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O:\Valuation\RNA Advisors\Pliant Therapeutics, Inc\409A VD 07.31.2018\6 - Analysis\"/>
    </mc:Choice>
  </mc:AlternateContent>
  <bookViews>
    <workbookView xWindow="0" yWindow="0" windowWidth="20490" windowHeight="7755" tabRatio="890" firstSheet="4" activeTab="7"/>
  </bookViews>
  <sheets>
    <sheet name="Model Guidelines" sheetId="123" r:id="rId1"/>
    <sheet name="MASTER PubCo Inputs" sheetId="79" r:id="rId2"/>
    <sheet name="Change Log" sheetId="228" r:id="rId3"/>
    <sheet name="Notes &amp; Assumptions" sheetId="142" r:id="rId4"/>
    <sheet name="Checklist" sheetId="248" r:id="rId5"/>
    <sheet name="Title_Dividend Check" sheetId="323" r:id="rId6"/>
    <sheet name="Outline_Dividend" sheetId="325" r:id="rId7"/>
    <sheet name="Comparison Sheet" sheetId="320" r:id="rId8"/>
    <sheet name="Dividend Calculations" sheetId="322" r:id="rId9"/>
    <sheet name="PWERM_1" sheetId="324" r:id="rId10"/>
    <sheet name="PWERM_2" sheetId="73" r:id="rId11"/>
    <sheet name="Exhibits--&gt;&gt;" sheetId="86" r:id="rId12"/>
    <sheet name="Title" sheetId="1" r:id="rId13"/>
    <sheet name="Outline" sheetId="133" r:id="rId14"/>
    <sheet name="_CIQHiddenCacheSheet" sheetId="321" state="veryHidden" r:id="rId15"/>
    <sheet name="Val Summ" sheetId="4" r:id="rId16"/>
    <sheet name="Allocation Method &gt;&gt;" sheetId="90" r:id="rId17"/>
    <sheet name="Exit Probability" sheetId="126" r:id="rId18"/>
    <sheet name="PoTS" sheetId="281" r:id="rId19"/>
    <sheet name="FS &gt;&gt;" sheetId="94" r:id="rId20"/>
    <sheet name="Forecast" sheetId="270" r:id="rId21"/>
    <sheet name="Hist IS" sheetId="10" r:id="rId22"/>
    <sheet name="Hist BS" sheetId="8" r:id="rId23"/>
    <sheet name="Discount Rate FP &gt;&gt;" sheetId="27" r:id="rId24"/>
    <sheet name="WACC PWERM" sheetId="40" r:id="rId25"/>
    <sheet name="RoR Stage of Dev" sheetId="38" r:id="rId26"/>
    <sheet name="GCM FP &gt;&gt;" sheetId="21" r:id="rId27"/>
    <sheet name="Comp.1" sheetId="47" r:id="rId28"/>
    <sheet name="Comp.6" sheetId="15" r:id="rId29"/>
    <sheet name="GTM FP &gt;&gt;" sheetId="22" r:id="rId30"/>
    <sheet name="Trans.1" sheetId="57" r:id="rId31"/>
    <sheet name="Trans.2" sheetId="59" r:id="rId32"/>
    <sheet name="Cap Structure FP &gt;&gt;" sheetId="24" r:id="rId33"/>
    <sheet name="Cap Table" sheetId="63" r:id="rId34"/>
    <sheet name="Econ Rights" sheetId="64" r:id="rId35"/>
    <sheet name="Support FP &gt;&gt;" sheetId="25" r:id="rId36"/>
    <sheet name="PWERM DLOM" sheetId="11" r:id="rId37"/>
    <sheet name="Asset Vol_Early" sheetId="256" r:id="rId38"/>
    <sheet name="Asset Vol_Late" sheetId="250" r:id="rId39"/>
    <sheet name="Asset Vol_Structured" sheetId="310" r:id="rId40"/>
    <sheet name="Equity Vol" sheetId="13" r:id="rId41"/>
    <sheet name="Risk-Free Rates" sheetId="14" r:id="rId42"/>
    <sheet name="Licensing Deals" sheetId="295" r:id="rId43"/>
    <sheet name="Fibrosis IPO Data" sheetId="283" r:id="rId44"/>
    <sheet name="IPO Data_BioPharma" sheetId="276" r:id="rId45"/>
    <sheet name="Title_Workpapers &gt; &gt;" sheetId="152" r:id="rId46"/>
    <sheet name="Outline_Workpapers" sheetId="232" r:id="rId47"/>
    <sheet name="Hybrid OPM" sheetId="236" r:id="rId48"/>
    <sheet name="Waterfall Analysis" sheetId="273" r:id="rId49"/>
    <sheet name="Hybrid OPM 1" sheetId="274" r:id="rId50"/>
    <sheet name="Hybrid OPM 2" sheetId="242" r:id="rId51"/>
    <sheet name="Asset Vol_Hybrid OPM" sheetId="12" r:id="rId52"/>
    <sheet name="DLOM Hybrid OPM" sheetId="294" r:id="rId53"/>
    <sheet name="Market Trends since Prior Val" sheetId="185" r:id="rId54"/>
    <sheet name="Comparative Sheet" sheetId="156" r:id="rId55"/>
    <sheet name="OPM BackSolve WP" sheetId="303" r:id="rId56"/>
    <sheet name="OPM Backsolve WP2" sheetId="304" r:id="rId57"/>
    <sheet name="Asset Vol_OPM BackSolve" sheetId="305" r:id="rId58"/>
    <sheet name="DLOM OPM Backsolve" sheetId="306" r:id="rId59"/>
    <sheet name="Additional Adjustment" sheetId="282" r:id="rId60"/>
    <sheet name="PBC -&gt;&gt;&gt;" sheetId="231" r:id="rId61"/>
    <sheet name="Annual (000s)" sheetId="271" r:id="rId62"/>
    <sheet name="BOD.BS" sheetId="264" r:id="rId63"/>
    <sheet name="BOD.IS" sheetId="265" r:id="rId64"/>
    <sheet name="BvA" sheetId="266" r:id="rId65"/>
    <sheet name="Budget " sheetId="267" r:id="rId66"/>
    <sheet name="QB BS det" sheetId="268" r:id="rId67"/>
    <sheet name="QB PL det" sheetId="269" r:id="rId68"/>
    <sheet name="Cap table " sheetId="272" r:id="rId69"/>
    <sheet name="Detailed Cap_KC calcs" sheetId="293" r:id="rId70"/>
    <sheet name="CAPIQ -&gt;&gt;&gt;" sheetId="230" r:id="rId71"/>
    <sheet name="Capital IQ Sheet-GPC" sheetId="200" r:id="rId72"/>
    <sheet name="Capital IQ Sheet-STM" sheetId="204" r:id="rId73"/>
    <sheet name="GPC Linked" sheetId="213" r:id="rId74"/>
    <sheet name="STM Linked" sheetId="214" r:id="rId75"/>
    <sheet name="&lt;DO NOT INCLUDE&gt;" sheetId="26" r:id="rId76"/>
    <sheet name="List Data" sheetId="106" r:id="rId77"/>
    <sheet name="Template Details" sheetId="88" r:id="rId78"/>
    <sheet name="OPM 1" sheetId="52" r:id="rId79"/>
    <sheet name="OPM 2" sheetId="66" r:id="rId80"/>
    <sheet name="Asset Vol_OPM" sheetId="285" r:id="rId81"/>
    <sheet name="Beta Calc" sheetId="41" r:id="rId82"/>
    <sheet name="Comp.2" sheetId="172" r:id="rId83"/>
    <sheet name="Comp.5" sheetId="53" r:id="rId84"/>
    <sheet name="Comp.4" sheetId="173" r:id="rId85"/>
  </sheets>
  <externalReferences>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s>
  <definedNames>
    <definedName name="_" localSheetId="59" hidden="1">#REF!</definedName>
    <definedName name="_" localSheetId="37" hidden="1">#REF!</definedName>
    <definedName name="_" localSheetId="80" hidden="1">#REF!</definedName>
    <definedName name="_" localSheetId="39" hidden="1">#REF!</definedName>
    <definedName name="_" localSheetId="4" hidden="1">#REF!</definedName>
    <definedName name="_" localSheetId="8" hidden="1">#REF!</definedName>
    <definedName name="_" localSheetId="52" hidden="1">#REF!</definedName>
    <definedName name="_" localSheetId="58" hidden="1">#REF!</definedName>
    <definedName name="_" localSheetId="43" hidden="1">#REF!</definedName>
    <definedName name="_" localSheetId="20" hidden="1">#REF!</definedName>
    <definedName name="_" localSheetId="49" hidden="1">#REF!</definedName>
    <definedName name="_" localSheetId="44" hidden="1">#REF!</definedName>
    <definedName name="_" localSheetId="55" hidden="1">#REF!</definedName>
    <definedName name="_" localSheetId="6" hidden="1">#REF!</definedName>
    <definedName name="_" localSheetId="46" hidden="1">#REF!</definedName>
    <definedName name="_" localSheetId="5" hidden="1">#REF!</definedName>
    <definedName name="_" localSheetId="48" hidden="1">#REF!</definedName>
    <definedName name="_" hidden="1">#REF!</definedName>
    <definedName name="__123Graph_A" hidden="1">'[1]Sheet1 (2)'!$H$20:$O$20</definedName>
    <definedName name="__123Graph_B" hidden="1">'[1]Sheet1 (2)'!$H$15:$O$15</definedName>
    <definedName name="__123Graph_X" hidden="1">'[1]Sheet1 (2)'!$H$3:$P$3</definedName>
    <definedName name="__FDS_HYPERLINK_TOGGLE_STATE__" hidden="1">"ON"</definedName>
    <definedName name="__IntlFixup" hidden="1">TRUE</definedName>
    <definedName name="__IntlFixupTable" localSheetId="59" hidden="1">#REF!</definedName>
    <definedName name="__IntlFixupTable" localSheetId="37" hidden="1">#REF!</definedName>
    <definedName name="__IntlFixupTable" localSheetId="80" hidden="1">#REF!</definedName>
    <definedName name="__IntlFixupTable" localSheetId="39" hidden="1">#REF!</definedName>
    <definedName name="__IntlFixupTable" localSheetId="4" hidden="1">#REF!</definedName>
    <definedName name="__IntlFixupTable" localSheetId="8" hidden="1">#REF!</definedName>
    <definedName name="__IntlFixupTable" localSheetId="52" hidden="1">#REF!</definedName>
    <definedName name="__IntlFixupTable" localSheetId="58" hidden="1">#REF!</definedName>
    <definedName name="__IntlFixupTable" localSheetId="43" hidden="1">#REF!</definedName>
    <definedName name="__IntlFixupTable" localSheetId="20" hidden="1">#REF!</definedName>
    <definedName name="__IntlFixupTable" localSheetId="49" hidden="1">#REF!</definedName>
    <definedName name="__IntlFixupTable" localSheetId="44" hidden="1">#REF!</definedName>
    <definedName name="__IntlFixupTable" localSheetId="55" hidden="1">#REF!</definedName>
    <definedName name="__IntlFixupTable" localSheetId="6" hidden="1">#REF!</definedName>
    <definedName name="__IntlFixupTable" localSheetId="46" hidden="1">#REF!</definedName>
    <definedName name="__IntlFixupTable" localSheetId="5" hidden="1">#REF!</definedName>
    <definedName name="__IntlFixupTable" localSheetId="48" hidden="1">#REF!</definedName>
    <definedName name="__IntlFixupTable" hidden="1">#REF!</definedName>
    <definedName name="_1__123Graph_ACHART_1" localSheetId="43" hidden="1">[2]Africa!$B$19:$V$19</definedName>
    <definedName name="_1__123Graph_ACHART_1" hidden="1">[3]Africa!$B$19:$V$19</definedName>
    <definedName name="_10__123Graph_ACHART_18" localSheetId="43" hidden="1">[2]Ocean!$B$28:$V$28</definedName>
    <definedName name="_10__123Graph_ACHART_18" hidden="1">[3]Ocean!$B$28:$V$28</definedName>
    <definedName name="_11__123Graph_ACHART_19" localSheetId="43" hidden="1">'[2]S Amer'!$B$19:$V$19</definedName>
    <definedName name="_11__123Graph_ACHART_19" hidden="1">'[3]S Amer'!$B$19:$V$19</definedName>
    <definedName name="_12__123Graph_ACHART_2" localSheetId="43" hidden="1">[2]Africa!$B$14:$V$14</definedName>
    <definedName name="_12__123Graph_ACHART_2" hidden="1">[3]Africa!$B$14:$V$14</definedName>
    <definedName name="_13__123Graph_ACHART_20" localSheetId="43" hidden="1">'[2]S Amer'!$B$14:$V$14</definedName>
    <definedName name="_13__123Graph_ACHART_20" hidden="1">'[3]S Amer'!$B$14:$V$14</definedName>
    <definedName name="_14__123Graph_ACHART_21" localSheetId="43" hidden="1">'[2]S Amer'!$B$28:$V$28</definedName>
    <definedName name="_14__123Graph_ACHART_21" hidden="1">'[3]S Amer'!$B$28:$V$28</definedName>
    <definedName name="_15__123Graph_ACHART_22" localSheetId="43" hidden="1">'[2]W Eur'!$B$19:$V$19</definedName>
    <definedName name="_15__123Graph_ACHART_22" hidden="1">'[3]W Eur'!$B$19:$V$19</definedName>
    <definedName name="_16__123Graph_ACHART_23" localSheetId="43" hidden="1">'[2]W Eur'!$B$14:$V$14</definedName>
    <definedName name="_16__123Graph_ACHART_23" hidden="1">'[3]W Eur'!$B$14:$V$14</definedName>
    <definedName name="_17__123Graph_ACHART_24" localSheetId="43" hidden="1">'[2]W Eur'!$B$28:$V$28</definedName>
    <definedName name="_17__123Graph_ACHART_24" hidden="1">'[3]W Eur'!$B$28:$V$28</definedName>
    <definedName name="_18__123Graph_ACHART_3" localSheetId="43" hidden="1">[2]Africa!$B$28:$V$28</definedName>
    <definedName name="_18__123Graph_ACHART_3" hidden="1">[3]Africa!$B$28:$V$28</definedName>
    <definedName name="_19__123Graph_ACHART_4" localSheetId="43" hidden="1">'[2]C Amer'!$B$19:$V$19</definedName>
    <definedName name="_19__123Graph_ACHART_4" hidden="1">'[3]C Amer'!$B$19:$V$19</definedName>
    <definedName name="_2__123Graph_ACHART_10" localSheetId="43" hidden="1">'[2]E Eur'!$B$14:$V$14</definedName>
    <definedName name="_2__123Graph_ACHART_10" hidden="1">'[3]E Eur'!$B$14:$V$14</definedName>
    <definedName name="_20__123Graph_ACHART_5" localSheetId="43" hidden="1">'[2]C Amer'!$B$14:$V$14</definedName>
    <definedName name="_20__123Graph_ACHART_5" hidden="1">'[3]C Amer'!$B$14:$V$14</definedName>
    <definedName name="_21__123Graph_ACHART_6" localSheetId="43" hidden="1">'[2]C Amer'!$B$28:$V$28</definedName>
    <definedName name="_21__123Graph_ACHART_6" hidden="1">'[3]C Amer'!$B$28:$V$28</definedName>
    <definedName name="_22__123Graph_A_Chart_1A" hidden="1">'[4]Stock Price'!$B$4:$B$265</definedName>
    <definedName name="_22__123Graph_ACHART_7" localSheetId="43" hidden="1">'[2]E Asia'!$B$19:$V$19</definedName>
    <definedName name="_22__123Graph_ACHART_7" hidden="1">'[3]E Asia'!$B$19:$V$19</definedName>
    <definedName name="_23__123Graph_AChart_1" hidden="1">[5]Total!$D$322:$D$325</definedName>
    <definedName name="_23__123Graph_ACHART_8" localSheetId="43" hidden="1">'[2]E Asia'!$B$14:$V$14</definedName>
    <definedName name="_23__123Graph_ACHART_8" hidden="1">'[3]E Asia'!$B$14:$V$14</definedName>
    <definedName name="_24__123Graph_AChart_2" hidden="1">'[6]sales vol.'!$K$398:$K$401</definedName>
    <definedName name="_24__123Graph_ACHART_9" localSheetId="43" hidden="1">'[2]E Eur'!$B$19:$V$19</definedName>
    <definedName name="_24__123Graph_ACHART_9" hidden="1">'[3]E Eur'!$B$19:$V$19</definedName>
    <definedName name="_25__123Graph_AChart_3" hidden="1">'[6]sales vol.'!$K$211:$K$214</definedName>
    <definedName name="_25__123Graph_BCHART_1" localSheetId="43" hidden="1">[2]Africa!$B$21:$V$21</definedName>
    <definedName name="_25__123Graph_BCHART_1" hidden="1">[3]Africa!$B$21:$V$21</definedName>
    <definedName name="_26__123Graph_AChart_4" hidden="1">'[6]sales vol.'!$J$1121:$J$1122</definedName>
    <definedName name="_26__123Graph_BCHART_10" localSheetId="43" hidden="1">'[2]E Eur'!$B$51:$V$51</definedName>
    <definedName name="_26__123Graph_BCHART_10" hidden="1">'[3]E Eur'!$B$51:$V$51</definedName>
    <definedName name="_27__123Graph_AChart_5" hidden="1">'[6]sales vol.'!$J$1632:$J$1635</definedName>
    <definedName name="_27__123Graph_BCHART_13" localSheetId="43" hidden="1">[2]Mideast!$B$21:$V$21</definedName>
    <definedName name="_27__123Graph_BCHART_13" hidden="1">[3]Mideast!$B$21:$V$21</definedName>
    <definedName name="_28__123Graph_AChart_6" hidden="1">'[6]sales vol.'!$J$2248:$J$2251</definedName>
    <definedName name="_28__123Graph_BCHART_14" localSheetId="43" hidden="1">[2]Mideast!$B$51:$V$51</definedName>
    <definedName name="_28__123Graph_BCHART_14" hidden="1">[3]Mideast!$B$51:$V$51</definedName>
    <definedName name="_29__123Graph_B_Chart_1A" hidden="1">'[4]Stock Price'!$C$4:$C$265</definedName>
    <definedName name="_29__123Graph_BCHART_16" localSheetId="43" hidden="1">[2]Ocean!$B$21:$V$21</definedName>
    <definedName name="_29__123Graph_BCHART_16" hidden="1">[3]Ocean!$B$21:$V$21</definedName>
    <definedName name="_3__123Graph_ACHART_11" localSheetId="43" hidden="1">'[2]E Eur'!$B$28:$V$28</definedName>
    <definedName name="_3__123Graph_ACHART_11" hidden="1">'[3]E Eur'!$B$28:$V$28</definedName>
    <definedName name="_30__123Graph_BCHART_17" localSheetId="43" hidden="1">[2]Ocean!$B$51:$V$51</definedName>
    <definedName name="_30__123Graph_BCHART_17" hidden="1">[3]Ocean!$B$51:$V$51</definedName>
    <definedName name="_30__123Graph_C_Chart_1A" hidden="1">'[4]Stock Price'!$D$4:$D$265</definedName>
    <definedName name="_31__123Graph_BCHART_19" localSheetId="43" hidden="1">'[2]S Amer'!$B$21:$V$21</definedName>
    <definedName name="_31__123Graph_BCHART_19" hidden="1">'[3]S Amer'!$B$21:$V$21</definedName>
    <definedName name="_31__123Graph_D_Chart_1A" hidden="1">'[4]Stock Price'!$E$4:$E$265</definedName>
    <definedName name="_32__123Graph_BCHART_2" localSheetId="43" hidden="1">[2]Africa!$B$51:$V$51</definedName>
    <definedName name="_32__123Graph_BCHART_2" hidden="1">[3]Africa!$B$51:$V$51</definedName>
    <definedName name="_32__123Graph_E_Chart_1A" hidden="1">'[4]Stock Price'!$F$4:$F$265</definedName>
    <definedName name="_33__123Graph_BCHART_20" localSheetId="43" hidden="1">'[2]S Amer'!$B$51:$V$51</definedName>
    <definedName name="_33__123Graph_BCHART_20" hidden="1">'[3]S Amer'!$B$51:$V$51</definedName>
    <definedName name="_33__123Graph_F_Chart_1A" hidden="1">'[4]Stock Price'!$G$4:$G$265</definedName>
    <definedName name="_34__123Graph_BCHART_22" localSheetId="43" hidden="1">'[2]W Eur'!$B$21:$V$21</definedName>
    <definedName name="_34__123Graph_BCHART_22" hidden="1">'[3]W Eur'!$B$21:$V$21</definedName>
    <definedName name="_34__123Graph_X_Chart_1A" hidden="1">'[4]Stock Price'!$A$4:$A$265</definedName>
    <definedName name="_35__123Graph_BCHART_23" localSheetId="43" hidden="1">'[2]W Eur'!$B$51:$V$51</definedName>
    <definedName name="_35__123Graph_BCHART_23" hidden="1">'[3]W Eur'!$B$51:$V$51</definedName>
    <definedName name="_35__123Graph_XChart_1" hidden="1">[5]Total!$C$322:$C$325</definedName>
    <definedName name="_36__123Graph_BCHART_4" localSheetId="43" hidden="1">'[2]C Amer'!$B$21:$V$21</definedName>
    <definedName name="_36__123Graph_BCHART_4" hidden="1">'[3]C Amer'!$B$21:$V$21</definedName>
    <definedName name="_36__123Graph_XChart_2" hidden="1">'[6]sales vol.'!$J$398:$J$401</definedName>
    <definedName name="_37__123Graph_BCHART_5" localSheetId="43" hidden="1">'[2]C Amer'!$B$51:$V$51</definedName>
    <definedName name="_37__123Graph_BCHART_5" hidden="1">'[3]C Amer'!$B$51:$V$51</definedName>
    <definedName name="_37__123Graph_XChart_3" hidden="1">'[6]sales vol.'!$J$211:$J$214</definedName>
    <definedName name="_38__123Graph_BCHART_7" localSheetId="43" hidden="1">'[2]E Asia'!$B$21:$V$21</definedName>
    <definedName name="_38__123Graph_BCHART_7" hidden="1">'[3]E Asia'!$B$21:$V$21</definedName>
    <definedName name="_38__123Graph_XChart_4" hidden="1">'[6]sales vol.'!$I$1121:$I$1122</definedName>
    <definedName name="_39__123Graph_BCHART_8" localSheetId="43" hidden="1">'[2]E Asia'!$B$51:$V$51</definedName>
    <definedName name="_39__123Graph_BCHART_8" hidden="1">'[3]E Asia'!$B$51:$V$51</definedName>
    <definedName name="_39__123Graph_XChart_5" hidden="1">'[6]sales vol.'!$I$1632:$I$1635</definedName>
    <definedName name="_4__123Graph_ACHART_12" localSheetId="43" hidden="1">'[2]E Asia'!$B$28:$V$28</definedName>
    <definedName name="_4__123Graph_ACHART_12" hidden="1">'[3]E Asia'!$B$28:$V$28</definedName>
    <definedName name="_40__123Graph_BCHART_9" localSheetId="43" hidden="1">'[2]E Eur'!$B$21:$V$21</definedName>
    <definedName name="_40__123Graph_BCHART_9" hidden="1">'[3]E Eur'!$B$21:$V$21</definedName>
    <definedName name="_40__123Graph_XChart_6" hidden="1">'[6]sales vol.'!$I$2248:$I$2251</definedName>
    <definedName name="_41__123Graph_CCHART_10" localSheetId="43" hidden="1">'[2]E Eur'!$B$13:$V$13</definedName>
    <definedName name="_41__123Graph_CCHART_10" hidden="1">'[3]E Eur'!$B$13:$V$13</definedName>
    <definedName name="_42__123Graph_CCHART_14" localSheetId="43" hidden="1">[2]Mideast!$B$13:$V$13</definedName>
    <definedName name="_42__123Graph_CCHART_14" hidden="1">[3]Mideast!$B$13:$V$13</definedName>
    <definedName name="_43__123Graph_CCHART_17" localSheetId="43" hidden="1">[2]Ocean!$B$13:$V$13</definedName>
    <definedName name="_43__123Graph_CCHART_17" hidden="1">[3]Ocean!$B$13:$V$13</definedName>
    <definedName name="_44__123Graph_CCHART_2" localSheetId="43" hidden="1">[2]Africa!$B$13:$V$13</definedName>
    <definedName name="_44__123Graph_CCHART_2" hidden="1">[3]Africa!$B$13:$V$13</definedName>
    <definedName name="_45__123Graph_CCHART_20" localSheetId="43" hidden="1">'[2]S Amer'!$B$13:$V$13</definedName>
    <definedName name="_45__123Graph_CCHART_20" hidden="1">'[3]S Amer'!$B$13:$V$13</definedName>
    <definedName name="_46__123Graph_CCHART_23" localSheetId="43" hidden="1">'[2]W Eur'!$B$13:$V$13</definedName>
    <definedName name="_46__123Graph_CCHART_23" hidden="1">'[3]W Eur'!$B$13:$V$13</definedName>
    <definedName name="_47__123Graph_CCHART_5" localSheetId="43" hidden="1">'[2]C Amer'!$B$13:$V$13</definedName>
    <definedName name="_47__123Graph_CCHART_5" hidden="1">'[3]C Amer'!$B$13:$V$13</definedName>
    <definedName name="_48__123Graph_CCHART_8" localSheetId="43" hidden="1">'[2]E Asia'!$B$13:$V$13</definedName>
    <definedName name="_48__123Graph_CCHART_8" hidden="1">'[3]E Asia'!$B$13:$V$13</definedName>
    <definedName name="_49__123Graph_XCHART_10" localSheetId="43" hidden="1">'[2]E Eur'!$B$8:$V$8</definedName>
    <definedName name="_49__123Graph_XCHART_10" hidden="1">'[3]E Eur'!$B$8:$V$8</definedName>
    <definedName name="_5__123Graph_ACHART_13" localSheetId="43" hidden="1">[2]Mideast!$B$19:$V$19</definedName>
    <definedName name="_5__123Graph_ACHART_13" hidden="1">[3]Mideast!$B$19:$V$19</definedName>
    <definedName name="_50__123Graph_XCHART_11" localSheetId="43" hidden="1">'[2]E Eur'!$B$8:$V$8</definedName>
    <definedName name="_50__123Graph_XCHART_11" hidden="1">'[3]E Eur'!$B$8:$V$8</definedName>
    <definedName name="_51__123Graph_XCHART_14" localSheetId="43" hidden="1">[2]Mideast!$B$8:$V$8</definedName>
    <definedName name="_51__123Graph_XCHART_14" hidden="1">[3]Mideast!$B$8:$V$8</definedName>
    <definedName name="_52__123Graph_XCHART_15" localSheetId="43" hidden="1">[2]Mideast!$B$8:$V$8</definedName>
    <definedName name="_52__123Graph_XCHART_15" hidden="1">[3]Mideast!$B$8:$V$8</definedName>
    <definedName name="_53__123Graph_XCHART_17" localSheetId="43" hidden="1">[2]Ocean!$B$8:$V$8</definedName>
    <definedName name="_53__123Graph_XCHART_17" hidden="1">[3]Ocean!$B$8:$V$8</definedName>
    <definedName name="_54__123Graph_XCHART_18" localSheetId="43" hidden="1">[2]Ocean!$B$8:$V$8</definedName>
    <definedName name="_54__123Graph_XCHART_18" hidden="1">[3]Ocean!$B$8:$V$8</definedName>
    <definedName name="_55__123Graph_XCHART_2" localSheetId="43" hidden="1">[2]Africa!$B$8:$V$8</definedName>
    <definedName name="_55__123Graph_XCHART_2" hidden="1">[3]Africa!$B$8:$V$8</definedName>
    <definedName name="_56__123Graph_XCHART_20" localSheetId="43" hidden="1">'[2]S Amer'!$B$8:$V$8</definedName>
    <definedName name="_56__123Graph_XCHART_20" hidden="1">'[3]S Amer'!$B$8:$V$8</definedName>
    <definedName name="_57__123Graph_XCHART_21" localSheetId="43" hidden="1">'[2]S Amer'!$B$8:$V$8</definedName>
    <definedName name="_57__123Graph_XCHART_21" hidden="1">'[3]S Amer'!$B$8:$V$8</definedName>
    <definedName name="_58__123Graph_XCHART_23" localSheetId="43" hidden="1">'[2]W Eur'!$B$8:$V$8</definedName>
    <definedName name="_58__123Graph_XCHART_23" hidden="1">'[3]W Eur'!$B$8:$V$8</definedName>
    <definedName name="_59__123Graph_XCHART_24" localSheetId="43" hidden="1">'[2]W Eur'!$B$8:$V$8</definedName>
    <definedName name="_59__123Graph_XCHART_24" hidden="1">'[3]W Eur'!$B$8:$V$8</definedName>
    <definedName name="_6__123Graph_ACHART_14" localSheetId="43" hidden="1">[2]Mideast!$B$14:$V$14</definedName>
    <definedName name="_6__123Graph_ACHART_14" hidden="1">[3]Mideast!$B$14:$V$14</definedName>
    <definedName name="_60__123Graph_XCHART_3" localSheetId="43" hidden="1">[2]Africa!$B$8:$V$8</definedName>
    <definedName name="_60__123Graph_XCHART_3" hidden="1">[3]Africa!$B$8:$V$8</definedName>
    <definedName name="_61__123Graph_XCHART_5" localSheetId="43" hidden="1">'[2]C Amer'!$B$8:$V$8</definedName>
    <definedName name="_61__123Graph_XCHART_5" hidden="1">'[3]C Amer'!$B$8:$V$8</definedName>
    <definedName name="_62__123Graph_XCHART_6" localSheetId="43" hidden="1">'[2]C Amer'!$B$8:$V$8</definedName>
    <definedName name="_62__123Graph_XCHART_6" hidden="1">'[3]C Amer'!$B$8:$V$8</definedName>
    <definedName name="_63__123Graph_XCHART_8" localSheetId="43" hidden="1">'[2]E Asia'!$B$8:$V$8</definedName>
    <definedName name="_63__123Graph_XCHART_8" hidden="1">'[3]E Asia'!$B$8:$V$8</definedName>
    <definedName name="_64_0_0Cwvu.GREY_A" localSheetId="59" hidden="1">[7]TargIS!#REF!</definedName>
    <definedName name="_64_0_0Cwvu.GREY_A" localSheetId="37" hidden="1">[7]TargIS!#REF!</definedName>
    <definedName name="_64_0_0Cwvu.GREY_A" localSheetId="80" hidden="1">[7]TargIS!#REF!</definedName>
    <definedName name="_64_0_0Cwvu.GREY_A" localSheetId="39" hidden="1">[7]TargIS!#REF!</definedName>
    <definedName name="_64_0_0Cwvu.GREY_A" localSheetId="4" hidden="1">[7]TargIS!#REF!</definedName>
    <definedName name="_64_0_0Cwvu.GREY_A" localSheetId="8" hidden="1">[7]TargIS!#REF!</definedName>
    <definedName name="_64_0_0Cwvu.GREY_A" localSheetId="52" hidden="1">[7]TargIS!#REF!</definedName>
    <definedName name="_64_0_0Cwvu.GREY_A" localSheetId="58" hidden="1">[7]TargIS!#REF!</definedName>
    <definedName name="_64_0_0Cwvu.GREY_A" localSheetId="43" hidden="1">[8]TargIS!#REF!</definedName>
    <definedName name="_64_0_0Cwvu.GREY_A" localSheetId="20" hidden="1">[7]TargIS!#REF!</definedName>
    <definedName name="_64_0_0Cwvu.GREY_A" localSheetId="49" hidden="1">[7]TargIS!#REF!</definedName>
    <definedName name="_64_0_0Cwvu.GREY_A" localSheetId="44" hidden="1">[7]TargIS!#REF!</definedName>
    <definedName name="_64_0_0Cwvu.GREY_A" localSheetId="55" hidden="1">[7]TargIS!#REF!</definedName>
    <definedName name="_64_0_0Cwvu.GREY_A" localSheetId="6" hidden="1">[7]TargIS!#REF!</definedName>
    <definedName name="_64_0_0Cwvu.GREY_A" localSheetId="46" hidden="1">[7]TargIS!#REF!</definedName>
    <definedName name="_64_0_0Cwvu.GREY_A" localSheetId="5" hidden="1">[7]TargIS!#REF!</definedName>
    <definedName name="_64_0_0Cwvu.GREY_A" localSheetId="48" hidden="1">[7]TargIS!#REF!</definedName>
    <definedName name="_64_0_0Cwvu.GREY_A" hidden="1">[7]TargIS!#REF!</definedName>
    <definedName name="_7__123Graph_ACHART_15" localSheetId="43" hidden="1">[2]Mideast!$B$28:$V$28</definedName>
    <definedName name="_7__123Graph_ACHART_15" hidden="1">[3]Mideast!$B$28:$V$28</definedName>
    <definedName name="_8__123Graph_ACHART_16" localSheetId="43" hidden="1">[2]Ocean!$B$19:$V$19</definedName>
    <definedName name="_8__123Graph_ACHART_16" hidden="1">[3]Ocean!$B$19:$V$19</definedName>
    <definedName name="_9__123Graph_ACHART_17" localSheetId="43" hidden="1">[2]Ocean!$B$14:$V$14</definedName>
    <definedName name="_9__123Graph_ACHART_17" hidden="1">[3]Ocean!$B$14:$V$14</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localSheetId="61" hidden="1">8</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localSheetId="61"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46a18ed9dffd4cd6880b56437874ece9.edm" localSheetId="59" hidden="1">#REF!</definedName>
    <definedName name="_bdm.46a18ed9dffd4cd6880b56437874ece9.edm" localSheetId="37" hidden="1">#REF!</definedName>
    <definedName name="_bdm.46a18ed9dffd4cd6880b56437874ece9.edm" localSheetId="80" hidden="1">#REF!</definedName>
    <definedName name="_bdm.46a18ed9dffd4cd6880b56437874ece9.edm" localSheetId="39" hidden="1">#REF!</definedName>
    <definedName name="_bdm.46a18ed9dffd4cd6880b56437874ece9.edm" localSheetId="4" hidden="1">#REF!</definedName>
    <definedName name="_bdm.46a18ed9dffd4cd6880b56437874ece9.edm" localSheetId="8" hidden="1">#REF!</definedName>
    <definedName name="_bdm.46a18ed9dffd4cd6880b56437874ece9.edm" localSheetId="52" hidden="1">#REF!</definedName>
    <definedName name="_bdm.46a18ed9dffd4cd6880b56437874ece9.edm" localSheetId="58" hidden="1">#REF!</definedName>
    <definedName name="_bdm.46a18ed9dffd4cd6880b56437874ece9.edm" localSheetId="20" hidden="1">#REF!</definedName>
    <definedName name="_bdm.46a18ed9dffd4cd6880b56437874ece9.edm" localSheetId="49" hidden="1">#REF!</definedName>
    <definedName name="_bdm.46a18ed9dffd4cd6880b56437874ece9.edm" localSheetId="55" hidden="1">#REF!</definedName>
    <definedName name="_bdm.46a18ed9dffd4cd6880b56437874ece9.edm" localSheetId="6" hidden="1">#REF!</definedName>
    <definedName name="_bdm.46a18ed9dffd4cd6880b56437874ece9.edm" localSheetId="5" hidden="1">#REF!</definedName>
    <definedName name="_bdm.46a18ed9dffd4cd6880b56437874ece9.edm" localSheetId="48" hidden="1">#REF!</definedName>
    <definedName name="_bdm.46a18ed9dffd4cd6880b56437874ece9.edm" hidden="1">#REF!</definedName>
    <definedName name="_bdm.d437fcb6dd254b7a8c2aff490de850e3.edm" localSheetId="59" hidden="1">#REF!</definedName>
    <definedName name="_bdm.d437fcb6dd254b7a8c2aff490de850e3.edm" localSheetId="37" hidden="1">#REF!</definedName>
    <definedName name="_bdm.d437fcb6dd254b7a8c2aff490de850e3.edm" localSheetId="80" hidden="1">#REF!</definedName>
    <definedName name="_bdm.d437fcb6dd254b7a8c2aff490de850e3.edm" localSheetId="39" hidden="1">#REF!</definedName>
    <definedName name="_bdm.d437fcb6dd254b7a8c2aff490de850e3.edm" localSheetId="4" hidden="1">#REF!</definedName>
    <definedName name="_bdm.d437fcb6dd254b7a8c2aff490de850e3.edm" localSheetId="8" hidden="1">#REF!</definedName>
    <definedName name="_bdm.d437fcb6dd254b7a8c2aff490de850e3.edm" localSheetId="52" hidden="1">#REF!</definedName>
    <definedName name="_bdm.d437fcb6dd254b7a8c2aff490de850e3.edm" localSheetId="58" hidden="1">#REF!</definedName>
    <definedName name="_bdm.d437fcb6dd254b7a8c2aff490de850e3.edm" localSheetId="20" hidden="1">#REF!</definedName>
    <definedName name="_bdm.d437fcb6dd254b7a8c2aff490de850e3.edm" localSheetId="49" hidden="1">#REF!</definedName>
    <definedName name="_bdm.d437fcb6dd254b7a8c2aff490de850e3.edm" localSheetId="55" hidden="1">#REF!</definedName>
    <definedName name="_bdm.d437fcb6dd254b7a8c2aff490de850e3.edm" localSheetId="6" hidden="1">#REF!</definedName>
    <definedName name="_bdm.d437fcb6dd254b7a8c2aff490de850e3.edm" localSheetId="5" hidden="1">#REF!</definedName>
    <definedName name="_bdm.d437fcb6dd254b7a8c2aff490de850e3.edm" localSheetId="48" hidden="1">#REF!</definedName>
    <definedName name="_bdm.d437fcb6dd254b7a8c2aff490de850e3.edm" hidden="1">#REF!</definedName>
    <definedName name="_bdm.d97762a431bc47a188ab7c2f84c57d3e.edm" localSheetId="59" hidden="1">#REF!</definedName>
    <definedName name="_bdm.d97762a431bc47a188ab7c2f84c57d3e.edm" localSheetId="61" hidden="1">#REF!</definedName>
    <definedName name="_bdm.d97762a431bc47a188ab7c2f84c57d3e.edm" localSheetId="37" hidden="1">#REF!</definedName>
    <definedName name="_bdm.d97762a431bc47a188ab7c2f84c57d3e.edm" localSheetId="80" hidden="1">#REF!</definedName>
    <definedName name="_bdm.d97762a431bc47a188ab7c2f84c57d3e.edm" localSheetId="39" hidden="1">#REF!</definedName>
    <definedName name="_bdm.d97762a431bc47a188ab7c2f84c57d3e.edm" localSheetId="64" hidden="1">#REF!</definedName>
    <definedName name="_bdm.d97762a431bc47a188ab7c2f84c57d3e.edm" localSheetId="4" hidden="1">#REF!</definedName>
    <definedName name="_bdm.d97762a431bc47a188ab7c2f84c57d3e.edm" localSheetId="8" hidden="1">#REF!</definedName>
    <definedName name="_bdm.d97762a431bc47a188ab7c2f84c57d3e.edm" localSheetId="52" hidden="1">#REF!</definedName>
    <definedName name="_bdm.d97762a431bc47a188ab7c2f84c57d3e.edm" localSheetId="58" hidden="1">#REF!</definedName>
    <definedName name="_bdm.d97762a431bc47a188ab7c2f84c57d3e.edm" localSheetId="20" hidden="1">#REF!</definedName>
    <definedName name="_bdm.d97762a431bc47a188ab7c2f84c57d3e.edm" localSheetId="49" hidden="1">#REF!</definedName>
    <definedName name="_bdm.d97762a431bc47a188ab7c2f84c57d3e.edm" localSheetId="44" hidden="1">#REF!</definedName>
    <definedName name="_bdm.d97762a431bc47a188ab7c2f84c57d3e.edm" localSheetId="55" hidden="1">#REF!</definedName>
    <definedName name="_bdm.d97762a431bc47a188ab7c2f84c57d3e.edm" localSheetId="6" hidden="1">#REF!</definedName>
    <definedName name="_bdm.d97762a431bc47a188ab7c2f84c57d3e.edm" localSheetId="46" hidden="1">#REF!</definedName>
    <definedName name="_bdm.d97762a431bc47a188ab7c2f84c57d3e.edm" localSheetId="5" hidden="1">#REF!</definedName>
    <definedName name="_bdm.d97762a431bc47a188ab7c2f84c57d3e.edm" localSheetId="48" hidden="1">#REF!</definedName>
    <definedName name="_bdm.d97762a431bc47a188ab7c2f84c57d3e.edm" hidden="1">#REF!</definedName>
    <definedName name="_bdm.D97763A431BC47A188AB7C2F84C57D3E.edm" localSheetId="59" hidden="1">#REF!</definedName>
    <definedName name="_bdm.D97763A431BC47A188AB7C2F84C57D3E.edm" localSheetId="61" hidden="1">#REF!</definedName>
    <definedName name="_bdm.D97763A431BC47A188AB7C2F84C57D3E.edm" localSheetId="37" hidden="1">#REF!</definedName>
    <definedName name="_bdm.D97763A431BC47A188AB7C2F84C57D3E.edm" localSheetId="80" hidden="1">#REF!</definedName>
    <definedName name="_bdm.D97763A431BC47A188AB7C2F84C57D3E.edm" localSheetId="39" hidden="1">#REF!</definedName>
    <definedName name="_bdm.D97763A431BC47A188AB7C2F84C57D3E.edm" localSheetId="64" hidden="1">#REF!</definedName>
    <definedName name="_bdm.D97763A431BC47A188AB7C2F84C57D3E.edm" localSheetId="4" hidden="1">#REF!</definedName>
    <definedName name="_bdm.D97763A431BC47A188AB7C2F84C57D3E.edm" localSheetId="8" hidden="1">#REF!</definedName>
    <definedName name="_bdm.D97763A431BC47A188AB7C2F84C57D3E.edm" localSheetId="52" hidden="1">#REF!</definedName>
    <definedName name="_bdm.D97763A431BC47A188AB7C2F84C57D3E.edm" localSheetId="58" hidden="1">#REF!</definedName>
    <definedName name="_bdm.D97763A431BC47A188AB7C2F84C57D3E.edm" localSheetId="20" hidden="1">#REF!</definedName>
    <definedName name="_bdm.D97763A431BC47A188AB7C2F84C57D3E.edm" localSheetId="49" hidden="1">#REF!</definedName>
    <definedName name="_bdm.D97763A431BC47A188AB7C2F84C57D3E.edm" localSheetId="44" hidden="1">#REF!</definedName>
    <definedName name="_bdm.D97763A431BC47A188AB7C2F84C57D3E.edm" localSheetId="55" hidden="1">#REF!</definedName>
    <definedName name="_bdm.D97763A431BC47A188AB7C2F84C57D3E.edm" localSheetId="6" hidden="1">#REF!</definedName>
    <definedName name="_bdm.D97763A431BC47A188AB7C2F84C57D3E.edm" localSheetId="46" hidden="1">#REF!</definedName>
    <definedName name="_bdm.D97763A431BC47A188AB7C2F84C57D3E.edm" localSheetId="5" hidden="1">#REF!</definedName>
    <definedName name="_bdm.D97763A431BC47A188AB7C2F84C57D3E.edm" localSheetId="48" hidden="1">#REF!</definedName>
    <definedName name="_bdm.D97763A431BC47A188AB7C2F84C57D3E.edm" hidden="1">#REF!</definedName>
    <definedName name="_bdm.FBC8F4734CD44B95848F689416B40C4F.edm" localSheetId="59" hidden="1">#REF!</definedName>
    <definedName name="_bdm.FBC8F4734CD44B95848F689416B40C4F.edm" localSheetId="37" hidden="1">#REF!</definedName>
    <definedName name="_bdm.FBC8F4734CD44B95848F689416B40C4F.edm" localSheetId="80" hidden="1">#REF!</definedName>
    <definedName name="_bdm.FBC8F4734CD44B95848F689416B40C4F.edm" localSheetId="39" hidden="1">#REF!</definedName>
    <definedName name="_bdm.FBC8F4734CD44B95848F689416B40C4F.edm" localSheetId="4" hidden="1">#REF!</definedName>
    <definedName name="_bdm.FBC8F4734CD44B95848F689416B40C4F.edm" localSheetId="8" hidden="1">#REF!</definedName>
    <definedName name="_bdm.FBC8F4734CD44B95848F689416B40C4F.edm" localSheetId="52" hidden="1">#REF!</definedName>
    <definedName name="_bdm.FBC8F4734CD44B95848F689416B40C4F.edm" localSheetId="58" hidden="1">#REF!</definedName>
    <definedName name="_bdm.FBC8F4734CD44B95848F689416B40C4F.edm" localSheetId="43" hidden="1">#REF!</definedName>
    <definedName name="_bdm.FBC8F4734CD44B95848F689416B40C4F.edm" localSheetId="20" hidden="1">#REF!</definedName>
    <definedName name="_bdm.FBC8F4734CD44B95848F689416B40C4F.edm" localSheetId="49" hidden="1">#REF!</definedName>
    <definedName name="_bdm.FBC8F4734CD44B95848F689416B40C4F.edm" localSheetId="44" hidden="1">#REF!</definedName>
    <definedName name="_bdm.FBC8F4734CD44B95848F689416B40C4F.edm" localSheetId="55" hidden="1">#REF!</definedName>
    <definedName name="_bdm.FBC8F4734CD44B95848F689416B40C4F.edm" localSheetId="6" hidden="1">#REF!</definedName>
    <definedName name="_bdm.FBC8F4734CD44B95848F689416B40C4F.edm" localSheetId="46" hidden="1">#REF!</definedName>
    <definedName name="_bdm.FBC8F4734CD44B95848F689416B40C4F.edm" localSheetId="74" hidden="1">#REF!</definedName>
    <definedName name="_bdm.FBC8F4734CD44B95848F689416B40C4F.edm" localSheetId="5" hidden="1">#REF!</definedName>
    <definedName name="_bdm.FBC8F4734CD44B95848F689416B40C4F.edm" localSheetId="48" hidden="1">#REF!</definedName>
    <definedName name="_bdm.FBC8F4734CD44B95848F689416B40C4F.edm" hidden="1">#REF!</definedName>
    <definedName name="_Dist_Values" localSheetId="59" hidden="1">#REF!</definedName>
    <definedName name="_Dist_Values" localSheetId="37" hidden="1">#REF!</definedName>
    <definedName name="_Dist_Values" localSheetId="80" hidden="1">#REF!</definedName>
    <definedName name="_Dist_Values" localSheetId="39" hidden="1">#REF!</definedName>
    <definedName name="_Dist_Values" localSheetId="4" hidden="1">#REF!</definedName>
    <definedName name="_Dist_Values" localSheetId="8" hidden="1">#REF!</definedName>
    <definedName name="_Dist_Values" localSheetId="52" hidden="1">#REF!</definedName>
    <definedName name="_Dist_Values" localSheetId="58" hidden="1">#REF!</definedName>
    <definedName name="_Dist_Values" localSheetId="43" hidden="1">#REF!</definedName>
    <definedName name="_Dist_Values" localSheetId="20" hidden="1">#REF!</definedName>
    <definedName name="_Dist_Values" localSheetId="49" hidden="1">#REF!</definedName>
    <definedName name="_Dist_Values" localSheetId="44" hidden="1">#REF!</definedName>
    <definedName name="_Dist_Values" localSheetId="55" hidden="1">#REF!</definedName>
    <definedName name="_Dist_Values" localSheetId="6" hidden="1">#REF!</definedName>
    <definedName name="_Dist_Values" localSheetId="46" hidden="1">#REF!</definedName>
    <definedName name="_Dist_Values" localSheetId="74" hidden="1">#REF!</definedName>
    <definedName name="_Dist_Values" localSheetId="5" hidden="1">#REF!</definedName>
    <definedName name="_Dist_Values" localSheetId="48" hidden="1">#REF!</definedName>
    <definedName name="_Dist_Values" hidden="1">#REF!</definedName>
    <definedName name="_Fill" localSheetId="59" hidden="1">#REF!</definedName>
    <definedName name="_Fill" localSheetId="37" hidden="1">#REF!</definedName>
    <definedName name="_Fill" localSheetId="80" hidden="1">#REF!</definedName>
    <definedName name="_Fill" localSheetId="39" hidden="1">#REF!</definedName>
    <definedName name="_Fill" localSheetId="4" hidden="1">#REF!</definedName>
    <definedName name="_Fill" localSheetId="8" hidden="1">#REF!</definedName>
    <definedName name="_Fill" localSheetId="52" hidden="1">#REF!</definedName>
    <definedName name="_Fill" localSheetId="58" hidden="1">#REF!</definedName>
    <definedName name="_Fill" localSheetId="43" hidden="1">#REF!</definedName>
    <definedName name="_Fill" localSheetId="20" hidden="1">#REF!</definedName>
    <definedName name="_Fill" localSheetId="49" hidden="1">#REF!</definedName>
    <definedName name="_Fill" localSheetId="44" hidden="1">#REF!</definedName>
    <definedName name="_Fill" localSheetId="55" hidden="1">#REF!</definedName>
    <definedName name="_Fill" localSheetId="6" hidden="1">#REF!</definedName>
    <definedName name="_Fill" localSheetId="46" hidden="1">#REF!</definedName>
    <definedName name="_Fill" localSheetId="74" hidden="1">#REF!</definedName>
    <definedName name="_Fill" localSheetId="5" hidden="1">#REF!</definedName>
    <definedName name="_Fill" localSheetId="48" hidden="1">#REF!</definedName>
    <definedName name="_Fill" hidden="1">#REF!</definedName>
    <definedName name="_xlnm._FilterDatabase" localSheetId="61" hidden="1">'Annual (000s)'!#REF!</definedName>
    <definedName name="_xlnm._FilterDatabase" localSheetId="43" hidden="1">'Fibrosis IPO Data'!$A$8:$AH$8</definedName>
    <definedName name="_xlnm._FilterDatabase" localSheetId="44" hidden="1">'IPO Data_BioPharma'!$B$9:$AI$165</definedName>
    <definedName name="_xlnm._FilterDatabase" localSheetId="42" hidden="1">'Licensing Deals'!$A$6:$P$67</definedName>
    <definedName name="_I2" localSheetId="59" hidden="1">{"PVGraph2",#N/A,FALSE,"PV Data"}</definedName>
    <definedName name="_I2" localSheetId="52" hidden="1">{"PVGraph2",#N/A,FALSE,"PV Data"}</definedName>
    <definedName name="_I2" localSheetId="58" hidden="1">{"PVGraph2",#N/A,FALSE,"PV Data"}</definedName>
    <definedName name="_I2" localSheetId="43" hidden="1">{"PVGraph2",#N/A,FALSE,"PV Data"}</definedName>
    <definedName name="_I2" localSheetId="47" hidden="1">{"PVGraph2",#N/A,FALSE,"PV Data"}</definedName>
    <definedName name="_I2" localSheetId="44" hidden="1">{"PVGraph2",#N/A,FALSE,"PV Data"}</definedName>
    <definedName name="_I2" localSheetId="42" hidden="1">{"PVGraph2",#N/A,FALSE,"PV Data"}</definedName>
    <definedName name="_I2" localSheetId="18" hidden="1">{"PVGraph2",#N/A,FALSE,"PV Data"}</definedName>
    <definedName name="_I2" localSheetId="9" hidden="1">{"PVGraph2",#N/A,FALSE,"PV Data"}</definedName>
    <definedName name="_I2" hidden="1">{"PVGraph2",#N/A,FALSE,"PV Data"}</definedName>
    <definedName name="_I3" localSheetId="59" hidden="1">{"PVGraph2",#N/A,FALSE,"PV Data"}</definedName>
    <definedName name="_I3" localSheetId="52" hidden="1">{"PVGraph2",#N/A,FALSE,"PV Data"}</definedName>
    <definedName name="_I3" localSheetId="58" hidden="1">{"PVGraph2",#N/A,FALSE,"PV Data"}</definedName>
    <definedName name="_I3" localSheetId="43" hidden="1">{"PVGraph2",#N/A,FALSE,"PV Data"}</definedName>
    <definedName name="_I3" localSheetId="47" hidden="1">{"PVGraph2",#N/A,FALSE,"PV Data"}</definedName>
    <definedName name="_I3" localSheetId="44" hidden="1">{"PVGraph2",#N/A,FALSE,"PV Data"}</definedName>
    <definedName name="_I3" localSheetId="42" hidden="1">{"PVGraph2",#N/A,FALSE,"PV Data"}</definedName>
    <definedName name="_I3" localSheetId="18" hidden="1">{"PVGraph2",#N/A,FALSE,"PV Data"}</definedName>
    <definedName name="_I3" localSheetId="9" hidden="1">{"PVGraph2",#N/A,FALSE,"PV Data"}</definedName>
    <definedName name="_I3" hidden="1">{"PVGraph2",#N/A,FALSE,"PV Data"}</definedName>
    <definedName name="_Key1" localSheetId="59" hidden="1">#REF!</definedName>
    <definedName name="_Key1" localSheetId="61" hidden="1">#REF!</definedName>
    <definedName name="_Key1" localSheetId="37" hidden="1">#REF!</definedName>
    <definedName name="_Key1" localSheetId="80" hidden="1">#REF!</definedName>
    <definedName name="_Key1" localSheetId="39" hidden="1">#REF!</definedName>
    <definedName name="_Key1" localSheetId="64" hidden="1">#REF!</definedName>
    <definedName name="_Key1" localSheetId="4" hidden="1">#REF!</definedName>
    <definedName name="_Key1" localSheetId="8" hidden="1">#REF!</definedName>
    <definedName name="_Key1" localSheetId="52" hidden="1">#REF!</definedName>
    <definedName name="_Key1" localSheetId="58" hidden="1">#REF!</definedName>
    <definedName name="_Key1" localSheetId="43" hidden="1">#REF!</definedName>
    <definedName name="_Key1" localSheetId="20" hidden="1">#REF!</definedName>
    <definedName name="_Key1" localSheetId="49" hidden="1">#REF!</definedName>
    <definedName name="_Key1" localSheetId="44" hidden="1">#REF!</definedName>
    <definedName name="_Key1" localSheetId="55" hidden="1">#REF!</definedName>
    <definedName name="_Key1" localSheetId="6" hidden="1">#REF!</definedName>
    <definedName name="_Key1" localSheetId="46" hidden="1">#REF!</definedName>
    <definedName name="_Key1" localSheetId="74" hidden="1">#REF!</definedName>
    <definedName name="_Key1" localSheetId="5" hidden="1">#REF!</definedName>
    <definedName name="_Key1" localSheetId="48" hidden="1">#REF!</definedName>
    <definedName name="_Key1" hidden="1">#REF!</definedName>
    <definedName name="_Key2" localSheetId="59" hidden="1">#REF!</definedName>
    <definedName name="_Key2" localSheetId="37" hidden="1">#REF!</definedName>
    <definedName name="_Key2" localSheetId="80" hidden="1">#REF!</definedName>
    <definedName name="_Key2" localSheetId="39" hidden="1">#REF!</definedName>
    <definedName name="_Key2" localSheetId="4" hidden="1">#REF!</definedName>
    <definedName name="_Key2" localSheetId="8" hidden="1">#REF!</definedName>
    <definedName name="_Key2" localSheetId="52" hidden="1">#REF!</definedName>
    <definedName name="_Key2" localSheetId="58" hidden="1">#REF!</definedName>
    <definedName name="_Key2" localSheetId="43" hidden="1">#REF!</definedName>
    <definedName name="_Key2" localSheetId="20" hidden="1">#REF!</definedName>
    <definedName name="_Key2" localSheetId="49" hidden="1">#REF!</definedName>
    <definedName name="_Key2" localSheetId="44" hidden="1">#REF!</definedName>
    <definedName name="_Key2" localSheetId="55" hidden="1">#REF!</definedName>
    <definedName name="_Key2" localSheetId="6" hidden="1">#REF!</definedName>
    <definedName name="_Key2" localSheetId="46" hidden="1">#REF!</definedName>
    <definedName name="_Key2" localSheetId="74" hidden="1">#REF!</definedName>
    <definedName name="_Key2" localSheetId="5" hidden="1">#REF!</definedName>
    <definedName name="_Key2" localSheetId="48" hidden="1">#REF!</definedName>
    <definedName name="_Key2" hidden="1">#REF!</definedName>
    <definedName name="_m" localSheetId="59" hidden="1">#REF!</definedName>
    <definedName name="_m" localSheetId="61" hidden="1">#REF!</definedName>
    <definedName name="_m" localSheetId="37" hidden="1">#REF!</definedName>
    <definedName name="_m" localSheetId="80" hidden="1">#REF!</definedName>
    <definedName name="_m" localSheetId="39" hidden="1">#REF!</definedName>
    <definedName name="_m" localSheetId="64" hidden="1">#REF!</definedName>
    <definedName name="_m" localSheetId="4" hidden="1">#REF!</definedName>
    <definedName name="_m" localSheetId="8" hidden="1">#REF!</definedName>
    <definedName name="_m" localSheetId="52" hidden="1">#REF!</definedName>
    <definedName name="_m" localSheetId="58" hidden="1">#REF!</definedName>
    <definedName name="_m" localSheetId="20" hidden="1">#REF!</definedName>
    <definedName name="_m" localSheetId="49" hidden="1">#REF!</definedName>
    <definedName name="_m" localSheetId="44" hidden="1">#REF!</definedName>
    <definedName name="_m" localSheetId="55" hidden="1">#REF!</definedName>
    <definedName name="_m" localSheetId="6" hidden="1">#REF!</definedName>
    <definedName name="_m" localSheetId="46" hidden="1">#REF!</definedName>
    <definedName name="_m" localSheetId="5" hidden="1">#REF!</definedName>
    <definedName name="_m" localSheetId="48" hidden="1">#REF!</definedName>
    <definedName name="_m" hidden="1">#REF!</definedName>
    <definedName name="_Order1" localSheetId="61" hidden="1">255</definedName>
    <definedName name="_Order1" hidden="1">0</definedName>
    <definedName name="_Order2" hidden="1">255</definedName>
    <definedName name="_s1" hidden="1">'[6]sales vol.'!$J$34:$J$37</definedName>
    <definedName name="_s2" hidden="1">'[6]sales vol.'!$J$398:$J$401</definedName>
    <definedName name="_s3" hidden="1">'[6]sales vol.'!$J$211:$J$214</definedName>
    <definedName name="_s4" hidden="1">'[6]sales vol.'!$I$1121:$I$1122</definedName>
    <definedName name="_s5" hidden="1">'[6]sales vol.'!$I$1632:$I$1635</definedName>
    <definedName name="_s6" hidden="1">'[6]sales vol.'!$I$2248:$I$2251</definedName>
    <definedName name="_Sort" localSheetId="59" hidden="1">#REF!</definedName>
    <definedName name="_Sort" localSheetId="61" hidden="1">#REF!</definedName>
    <definedName name="_Sort" localSheetId="37" hidden="1">#REF!</definedName>
    <definedName name="_Sort" localSheetId="80" hidden="1">#REF!</definedName>
    <definedName name="_Sort" localSheetId="39" hidden="1">#REF!</definedName>
    <definedName name="_Sort" localSheetId="64" hidden="1">#REF!</definedName>
    <definedName name="_Sort" localSheetId="4" hidden="1">#REF!</definedName>
    <definedName name="_Sort" localSheetId="8" hidden="1">#REF!</definedName>
    <definedName name="_Sort" localSheetId="52" hidden="1">#REF!</definedName>
    <definedName name="_Sort" localSheetId="58" hidden="1">#REF!</definedName>
    <definedName name="_Sort" localSheetId="43" hidden="1">#REF!</definedName>
    <definedName name="_Sort" localSheetId="20" hidden="1">#REF!</definedName>
    <definedName name="_Sort" localSheetId="49" hidden="1">#REF!</definedName>
    <definedName name="_Sort" localSheetId="44" hidden="1">#REF!</definedName>
    <definedName name="_Sort" localSheetId="55" hidden="1">#REF!</definedName>
    <definedName name="_Sort" localSheetId="6" hidden="1">#REF!</definedName>
    <definedName name="_Sort" localSheetId="46" hidden="1">#REF!</definedName>
    <definedName name="_Sort" localSheetId="74" hidden="1">#REF!</definedName>
    <definedName name="_Sort" localSheetId="5" hidden="1">#REF!</definedName>
    <definedName name="_Sort" localSheetId="48" hidden="1">#REF!</definedName>
    <definedName name="_Sort" hidden="1">#REF!</definedName>
    <definedName name="_Table1_In1" localSheetId="59" hidden="1">#REF!</definedName>
    <definedName name="_Table1_In1" localSheetId="37" hidden="1">#REF!</definedName>
    <definedName name="_Table1_In1" localSheetId="80" hidden="1">#REF!</definedName>
    <definedName name="_Table1_In1" localSheetId="39" hidden="1">#REF!</definedName>
    <definedName name="_Table1_In1" localSheetId="4" hidden="1">#REF!</definedName>
    <definedName name="_Table1_In1" localSheetId="8" hidden="1">#REF!</definedName>
    <definedName name="_Table1_In1" localSheetId="52" hidden="1">#REF!</definedName>
    <definedName name="_Table1_In1" localSheetId="58" hidden="1">#REF!</definedName>
    <definedName name="_Table1_In1" localSheetId="43" hidden="1">#REF!</definedName>
    <definedName name="_Table1_In1" localSheetId="20" hidden="1">#REF!</definedName>
    <definedName name="_Table1_In1" localSheetId="49" hidden="1">#REF!</definedName>
    <definedName name="_Table1_In1" localSheetId="44" hidden="1">#REF!</definedName>
    <definedName name="_Table1_In1" localSheetId="55" hidden="1">#REF!</definedName>
    <definedName name="_Table1_In1" localSheetId="6" hidden="1">#REF!</definedName>
    <definedName name="_Table1_In1" localSheetId="46" hidden="1">#REF!</definedName>
    <definedName name="_Table1_In1" localSheetId="74" hidden="1">#REF!</definedName>
    <definedName name="_Table1_In1" localSheetId="5" hidden="1">#REF!</definedName>
    <definedName name="_Table1_In1" localSheetId="48" hidden="1">#REF!</definedName>
    <definedName name="_Table1_In1" hidden="1">#REF!</definedName>
    <definedName name="_Table1_Out" localSheetId="59" hidden="1">#REF!</definedName>
    <definedName name="_Table1_Out" localSheetId="37" hidden="1">#REF!</definedName>
    <definedName name="_Table1_Out" localSheetId="80" hidden="1">#REF!</definedName>
    <definedName name="_Table1_Out" localSheetId="39" hidden="1">#REF!</definedName>
    <definedName name="_Table1_Out" localSheetId="4" hidden="1">#REF!</definedName>
    <definedName name="_Table1_Out" localSheetId="8" hidden="1">#REF!</definedName>
    <definedName name="_Table1_Out" localSheetId="52" hidden="1">#REF!</definedName>
    <definedName name="_Table1_Out" localSheetId="58" hidden="1">#REF!</definedName>
    <definedName name="_Table1_Out" localSheetId="43" hidden="1">#REF!</definedName>
    <definedName name="_Table1_Out" localSheetId="20" hidden="1">#REF!</definedName>
    <definedName name="_Table1_Out" localSheetId="49" hidden="1">#REF!</definedName>
    <definedName name="_Table1_Out" localSheetId="44" hidden="1">#REF!</definedName>
    <definedName name="_Table1_Out" localSheetId="55" hidden="1">#REF!</definedName>
    <definedName name="_Table1_Out" localSheetId="6" hidden="1">#REF!</definedName>
    <definedName name="_Table1_Out" localSheetId="46" hidden="1">#REF!</definedName>
    <definedName name="_Table1_Out" localSheetId="74" hidden="1">#REF!</definedName>
    <definedName name="_Table1_Out" localSheetId="5" hidden="1">#REF!</definedName>
    <definedName name="_Table1_Out" localSheetId="48" hidden="1">#REF!</definedName>
    <definedName name="_Table1_Out" hidden="1">#REF!</definedName>
    <definedName name="_Table2_In1" localSheetId="59" hidden="1">#REF!</definedName>
    <definedName name="_Table2_In1" localSheetId="37" hidden="1">#REF!</definedName>
    <definedName name="_Table2_In1" localSheetId="80" hidden="1">#REF!</definedName>
    <definedName name="_Table2_In1" localSheetId="39" hidden="1">#REF!</definedName>
    <definedName name="_Table2_In1" localSheetId="4" hidden="1">#REF!</definedName>
    <definedName name="_Table2_In1" localSheetId="8" hidden="1">#REF!</definedName>
    <definedName name="_Table2_In1" localSheetId="52" hidden="1">#REF!</definedName>
    <definedName name="_Table2_In1" localSheetId="58" hidden="1">#REF!</definedName>
    <definedName name="_Table2_In1" localSheetId="43" hidden="1">#REF!</definedName>
    <definedName name="_Table2_In1" localSheetId="20" hidden="1">#REF!</definedName>
    <definedName name="_Table2_In1" localSheetId="49" hidden="1">#REF!</definedName>
    <definedName name="_Table2_In1" localSheetId="44" hidden="1">#REF!</definedName>
    <definedName name="_Table2_In1" localSheetId="55" hidden="1">#REF!</definedName>
    <definedName name="_Table2_In1" localSheetId="6" hidden="1">#REF!</definedName>
    <definedName name="_Table2_In1" localSheetId="46" hidden="1">#REF!</definedName>
    <definedName name="_Table2_In1" localSheetId="74" hidden="1">#REF!</definedName>
    <definedName name="_Table2_In1" localSheetId="5" hidden="1">#REF!</definedName>
    <definedName name="_Table2_In1" localSheetId="48" hidden="1">#REF!</definedName>
    <definedName name="_Table2_In1" hidden="1">#REF!</definedName>
    <definedName name="_Table2_In2" localSheetId="59" hidden="1">#REF!</definedName>
    <definedName name="_Table2_In2" localSheetId="37" hidden="1">#REF!</definedName>
    <definedName name="_Table2_In2" localSheetId="80" hidden="1">#REF!</definedName>
    <definedName name="_Table2_In2" localSheetId="39" hidden="1">#REF!</definedName>
    <definedName name="_Table2_In2" localSheetId="4" hidden="1">#REF!</definedName>
    <definedName name="_Table2_In2" localSheetId="8" hidden="1">#REF!</definedName>
    <definedName name="_Table2_In2" localSheetId="52" hidden="1">#REF!</definedName>
    <definedName name="_Table2_In2" localSheetId="58" hidden="1">#REF!</definedName>
    <definedName name="_Table2_In2" localSheetId="43" hidden="1">#REF!</definedName>
    <definedName name="_Table2_In2" localSheetId="20" hidden="1">#REF!</definedName>
    <definedName name="_Table2_In2" localSheetId="49" hidden="1">#REF!</definedName>
    <definedName name="_Table2_In2" localSheetId="44" hidden="1">#REF!</definedName>
    <definedName name="_Table2_In2" localSheetId="55" hidden="1">#REF!</definedName>
    <definedName name="_Table2_In2" localSheetId="6" hidden="1">#REF!</definedName>
    <definedName name="_Table2_In2" localSheetId="46" hidden="1">#REF!</definedName>
    <definedName name="_Table2_In2" localSheetId="5" hidden="1">#REF!</definedName>
    <definedName name="_Table2_In2" localSheetId="48" hidden="1">#REF!</definedName>
    <definedName name="_Table2_In2" hidden="1">#REF!</definedName>
    <definedName name="_Table2_Out" localSheetId="59" hidden="1">#REF!</definedName>
    <definedName name="_Table2_Out" localSheetId="37" hidden="1">#REF!</definedName>
    <definedName name="_Table2_Out" localSheetId="80" hidden="1">#REF!</definedName>
    <definedName name="_Table2_Out" localSheetId="39" hidden="1">#REF!</definedName>
    <definedName name="_Table2_Out" localSheetId="4" hidden="1">#REF!</definedName>
    <definedName name="_Table2_Out" localSheetId="8" hidden="1">#REF!</definedName>
    <definedName name="_Table2_Out" localSheetId="52" hidden="1">#REF!</definedName>
    <definedName name="_Table2_Out" localSheetId="58" hidden="1">#REF!</definedName>
    <definedName name="_Table2_Out" localSheetId="43" hidden="1">#REF!</definedName>
    <definedName name="_Table2_Out" localSheetId="20" hidden="1">#REF!</definedName>
    <definedName name="_Table2_Out" localSheetId="49" hidden="1">#REF!</definedName>
    <definedName name="_Table2_Out" localSheetId="44" hidden="1">#REF!</definedName>
    <definedName name="_Table2_Out" localSheetId="55" hidden="1">#REF!</definedName>
    <definedName name="_Table2_Out" localSheetId="6" hidden="1">#REF!</definedName>
    <definedName name="_Table2_Out" localSheetId="46" hidden="1">#REF!</definedName>
    <definedName name="_Table2_Out" localSheetId="74" hidden="1">#REF!</definedName>
    <definedName name="_Table2_Out" localSheetId="5" hidden="1">#REF!</definedName>
    <definedName name="_Table2_Out" localSheetId="48" hidden="1">#REF!</definedName>
    <definedName name="_Table2_Out" hidden="1">#REF!</definedName>
    <definedName name="_w1" localSheetId="59" hidden="1">{"PVGraph2",#N/A,FALSE,"PV Data"}</definedName>
    <definedName name="_w1" localSheetId="52" hidden="1">{"PVGraph2",#N/A,FALSE,"PV Data"}</definedName>
    <definedName name="_w1" localSheetId="58" hidden="1">{"PVGraph2",#N/A,FALSE,"PV Data"}</definedName>
    <definedName name="_w1" localSheetId="43" hidden="1">{"PVGraph2",#N/A,FALSE,"PV Data"}</definedName>
    <definedName name="_w1" localSheetId="47" hidden="1">{"PVGraph2",#N/A,FALSE,"PV Data"}</definedName>
    <definedName name="_w1" localSheetId="44" hidden="1">{"PVGraph2",#N/A,FALSE,"PV Data"}</definedName>
    <definedName name="_w1" localSheetId="42" hidden="1">{"PVGraph2",#N/A,FALSE,"PV Data"}</definedName>
    <definedName name="_w1" localSheetId="18" hidden="1">{"PVGraph2",#N/A,FALSE,"PV Data"}</definedName>
    <definedName name="_w1" localSheetId="9" hidden="1">{"PVGraph2",#N/A,FALSE,"PV Data"}</definedName>
    <definedName name="_w1" hidden="1">{"PVGraph2",#N/A,FALSE,"PV Data"}</definedName>
    <definedName name="_w2" localSheetId="59" hidden="1">{"PVGraph2",#N/A,FALSE,"PV Data"}</definedName>
    <definedName name="_w2" localSheetId="52" hidden="1">{"PVGraph2",#N/A,FALSE,"PV Data"}</definedName>
    <definedName name="_w2" localSheetId="58" hidden="1">{"PVGraph2",#N/A,FALSE,"PV Data"}</definedName>
    <definedName name="_w2" localSheetId="43" hidden="1">{"PVGraph2",#N/A,FALSE,"PV Data"}</definedName>
    <definedName name="_w2" localSheetId="47" hidden="1">{"PVGraph2",#N/A,FALSE,"PV Data"}</definedName>
    <definedName name="_w2" localSheetId="44" hidden="1">{"PVGraph2",#N/A,FALSE,"PV Data"}</definedName>
    <definedName name="_w2" localSheetId="42" hidden="1">{"PVGraph2",#N/A,FALSE,"PV Data"}</definedName>
    <definedName name="_w2" localSheetId="18" hidden="1">{"PVGraph2",#N/A,FALSE,"PV Data"}</definedName>
    <definedName name="_w2" localSheetId="9" hidden="1">{"PVGraph2",#N/A,FALSE,"PV Data"}</definedName>
    <definedName name="_w2" hidden="1">{"PVGraph2",#N/A,FALSE,"PV Data"}</definedName>
    <definedName name="_w3" localSheetId="59" hidden="1">{"PVGraph2",#N/A,FALSE,"PV Data"}</definedName>
    <definedName name="_w3" localSheetId="52" hidden="1">{"PVGraph2",#N/A,FALSE,"PV Data"}</definedName>
    <definedName name="_w3" localSheetId="58" hidden="1">{"PVGraph2",#N/A,FALSE,"PV Data"}</definedName>
    <definedName name="_w3" localSheetId="43" hidden="1">{"PVGraph2",#N/A,FALSE,"PV Data"}</definedName>
    <definedName name="_w3" localSheetId="47" hidden="1">{"PVGraph2",#N/A,FALSE,"PV Data"}</definedName>
    <definedName name="_w3" localSheetId="44" hidden="1">{"PVGraph2",#N/A,FALSE,"PV Data"}</definedName>
    <definedName name="_w3" localSheetId="42" hidden="1">{"PVGraph2",#N/A,FALSE,"PV Data"}</definedName>
    <definedName name="_w3" localSheetId="18" hidden="1">{"PVGraph2",#N/A,FALSE,"PV Data"}</definedName>
    <definedName name="_w3" localSheetId="9" hidden="1">{"PVGraph2",#N/A,FALSE,"PV Data"}</definedName>
    <definedName name="_w3" hidden="1">{"PVGraph2",#N/A,FALSE,"PV Data"}</definedName>
    <definedName name="_y2" localSheetId="59" hidden="1">{"PVGraph2",#N/A,FALSE,"PV Data"}</definedName>
    <definedName name="_y2" localSheetId="52" hidden="1">{"PVGraph2",#N/A,FALSE,"PV Data"}</definedName>
    <definedName name="_y2" localSheetId="58" hidden="1">{"PVGraph2",#N/A,FALSE,"PV Data"}</definedName>
    <definedName name="_y2" localSheetId="43" hidden="1">{"PVGraph2",#N/A,FALSE,"PV Data"}</definedName>
    <definedName name="_y2" localSheetId="47" hidden="1">{"PVGraph2",#N/A,FALSE,"PV Data"}</definedName>
    <definedName name="_y2" localSheetId="44" hidden="1">{"PVGraph2",#N/A,FALSE,"PV Data"}</definedName>
    <definedName name="_y2" localSheetId="42" hidden="1">{"PVGraph2",#N/A,FALSE,"PV Data"}</definedName>
    <definedName name="_y2" localSheetId="18" hidden="1">{"PVGraph2",#N/A,FALSE,"PV Data"}</definedName>
    <definedName name="_y2" localSheetId="9" hidden="1">{"PVGraph2",#N/A,FALSE,"PV Data"}</definedName>
    <definedName name="_y2" hidden="1">{"PVGraph2",#N/A,FALSE,"PV Data"}</definedName>
    <definedName name="abc" localSheetId="59" hidden="1">#REF!</definedName>
    <definedName name="abc" localSheetId="37" hidden="1">#REF!</definedName>
    <definedName name="abc" localSheetId="80" hidden="1">#REF!</definedName>
    <definedName name="abc" localSheetId="39" hidden="1">#REF!</definedName>
    <definedName name="abc" localSheetId="4" hidden="1">#REF!</definedName>
    <definedName name="abc" localSheetId="8" hidden="1">#REF!</definedName>
    <definedName name="abc" localSheetId="52" hidden="1">#REF!</definedName>
    <definedName name="abc" localSheetId="58" hidden="1">#REF!</definedName>
    <definedName name="abc" localSheetId="43" hidden="1">#REF!</definedName>
    <definedName name="abc" localSheetId="20" hidden="1">#REF!</definedName>
    <definedName name="abc" localSheetId="49" hidden="1">#REF!</definedName>
    <definedName name="abc" localSheetId="44" hidden="1">#REF!</definedName>
    <definedName name="abc" localSheetId="55" hidden="1">#REF!</definedName>
    <definedName name="abc" localSheetId="6" hidden="1">#REF!</definedName>
    <definedName name="abc" localSheetId="46" hidden="1">#REF!</definedName>
    <definedName name="abc" localSheetId="5" hidden="1">#REF!</definedName>
    <definedName name="abc" localSheetId="48" hidden="1">#REF!</definedName>
    <definedName name="abc" hidden="1">#REF!</definedName>
    <definedName name="ABS" localSheetId="59" hidden="1">#REF!</definedName>
    <definedName name="ABS" localSheetId="37" hidden="1">#REF!</definedName>
    <definedName name="ABS" localSheetId="80" hidden="1">#REF!</definedName>
    <definedName name="ABS" localSheetId="39" hidden="1">#REF!</definedName>
    <definedName name="ABS" localSheetId="4" hidden="1">#REF!</definedName>
    <definedName name="ABS" localSheetId="8" hidden="1">#REF!</definedName>
    <definedName name="ABS" localSheetId="52" hidden="1">#REF!</definedName>
    <definedName name="ABS" localSheetId="58" hidden="1">#REF!</definedName>
    <definedName name="ABS" localSheetId="43" hidden="1">#REF!</definedName>
    <definedName name="ABS" localSheetId="20" hidden="1">#REF!</definedName>
    <definedName name="ABS" localSheetId="49" hidden="1">#REF!</definedName>
    <definedName name="ABS" localSheetId="44" hidden="1">#REF!</definedName>
    <definedName name="ABS" localSheetId="55" hidden="1">#REF!</definedName>
    <definedName name="ABS" localSheetId="6" hidden="1">#REF!</definedName>
    <definedName name="ABS" localSheetId="46" hidden="1">#REF!</definedName>
    <definedName name="ABS" localSheetId="5" hidden="1">#REF!</definedName>
    <definedName name="ABS" localSheetId="48" hidden="1">#REF!</definedName>
    <definedName name="ABS" hidden="1">#REF!</definedName>
    <definedName name="AccessDatabase" hidden="1">"I:\DEPT8900\OEL\FY01\Reports\Budget Comparison\Comparitive Budget TEST.mdb"</definedName>
    <definedName name="adsf" localSheetId="59" hidden="1">#REF!</definedName>
    <definedName name="adsf" localSheetId="37" hidden="1">#REF!</definedName>
    <definedName name="adsf" localSheetId="80" hidden="1">#REF!</definedName>
    <definedName name="adsf" localSheetId="39" hidden="1">#REF!</definedName>
    <definedName name="adsf" localSheetId="4" hidden="1">#REF!</definedName>
    <definedName name="adsf" localSheetId="8" hidden="1">#REF!</definedName>
    <definedName name="adsf" localSheetId="52" hidden="1">#REF!</definedName>
    <definedName name="adsf" localSheetId="58" hidden="1">#REF!</definedName>
    <definedName name="adsf" localSheetId="43" hidden="1">#REF!</definedName>
    <definedName name="adsf" localSheetId="20" hidden="1">#REF!</definedName>
    <definedName name="adsf" localSheetId="49" hidden="1">#REF!</definedName>
    <definedName name="adsf" localSheetId="44" hidden="1">#REF!</definedName>
    <definedName name="adsf" localSheetId="55" hidden="1">#REF!</definedName>
    <definedName name="adsf" localSheetId="6" hidden="1">#REF!</definedName>
    <definedName name="adsf" localSheetId="46" hidden="1">#REF!</definedName>
    <definedName name="adsf" localSheetId="5" hidden="1">#REF!</definedName>
    <definedName name="adsf" localSheetId="48" hidden="1">#REF!</definedName>
    <definedName name="adsf" hidden="1">#REF!</definedName>
    <definedName name="anscount" hidden="1">6</definedName>
    <definedName name="as" localSheetId="59" hidden="1">{"ModelPage1",#N/A,TRUE,"Model";"ModelSum_Debt",#N/A,TRUE,"Model"}</definedName>
    <definedName name="as" localSheetId="52" hidden="1">{"ModelPage1",#N/A,TRUE,"Model";"ModelSum_Debt",#N/A,TRUE,"Model"}</definedName>
    <definedName name="as" localSheetId="58" hidden="1">{"ModelPage1",#N/A,TRUE,"Model";"ModelSum_Debt",#N/A,TRUE,"Model"}</definedName>
    <definedName name="as" localSheetId="43" hidden="1">{"ModelPage1",#N/A,TRUE,"Model";"ModelSum_Debt",#N/A,TRUE,"Model"}</definedName>
    <definedName name="as" localSheetId="47" hidden="1">{"ModelPage1",#N/A,TRUE,"Model";"ModelSum_Debt",#N/A,TRUE,"Model"}</definedName>
    <definedName name="as" localSheetId="44" hidden="1">{"ModelPage1",#N/A,TRUE,"Model";"ModelSum_Debt",#N/A,TRUE,"Model"}</definedName>
    <definedName name="as" localSheetId="42" hidden="1">{"ModelPage1",#N/A,TRUE,"Model";"ModelSum_Debt",#N/A,TRUE,"Model"}</definedName>
    <definedName name="as" localSheetId="18" hidden="1">{"ModelPage1",#N/A,TRUE,"Model";"ModelSum_Debt",#N/A,TRUE,"Model"}</definedName>
    <definedName name="as" localSheetId="9" hidden="1">{"ModelPage1",#N/A,TRUE,"Model";"ModelSum_Debt",#N/A,TRUE,"Model"}</definedName>
    <definedName name="as" hidden="1">{"ModelPage1",#N/A,TRUE,"Model";"ModelSum_Debt",#N/A,TRUE,"Model"}</definedName>
    <definedName name="AS2DocOpenMode" hidden="1">"AS2DocumentEdit"</definedName>
    <definedName name="AS2NamedRange" hidden="1">6</definedName>
    <definedName name="AS2ReportLS" localSheetId="61" hidden="1">2</definedName>
    <definedName name="AS2ReportLS" hidden="1">1</definedName>
    <definedName name="AS2StaticLS" localSheetId="80" hidden="1">#REF!</definedName>
    <definedName name="AS2StaticLS" localSheetId="39" hidden="1">#REF!</definedName>
    <definedName name="AS2StaticLS" localSheetId="8" hidden="1">#REF!</definedName>
    <definedName name="AS2StaticLS" localSheetId="52" hidden="1">#REF!</definedName>
    <definedName name="AS2StaticLS" localSheetId="58" hidden="1">#REF!</definedName>
    <definedName name="AS2StaticLS" localSheetId="49" hidden="1">#REF!</definedName>
    <definedName name="AS2StaticLS" localSheetId="55" hidden="1">#REF!</definedName>
    <definedName name="AS2StaticLS" localSheetId="6" hidden="1">#REF!</definedName>
    <definedName name="AS2StaticLS" localSheetId="5" hidden="1">#REF!</definedName>
    <definedName name="AS2StaticLS" localSheetId="48" hidden="1">#REF!</definedName>
    <definedName name="AS2StaticLS" hidden="1">#REF!</definedName>
    <definedName name="AS2SyncStepLS" hidden="1">0</definedName>
    <definedName name="AS2VersionLS" hidden="1">300</definedName>
    <definedName name="asd" localSheetId="43" hidden="1">{"DCF","UPSIDE CASE",FALSE,"Sheet1";"DCF","BASE CASE",FALSE,"Sheet1";"DCF","DOWNSIDE CASE",FALSE,"Sheet1"}</definedName>
    <definedName name="asd" localSheetId="47" hidden="1">{"DCF","UPSIDE CASE",FALSE,"Sheet1";"DCF","BASE CASE",FALSE,"Sheet1";"DCF","DOWNSIDE CASE",FALSE,"Sheet1"}</definedName>
    <definedName name="asd" localSheetId="18" hidden="1">{"DCF","UPSIDE CASE",FALSE,"Sheet1";"DCF","BASE CASE",FALSE,"Sheet1";"DCF","DOWNSIDE CASE",FALSE,"Sheet1"}</definedName>
    <definedName name="asd" localSheetId="9" hidden="1">{"DCF","UPSIDE CASE",FALSE,"Sheet1";"DCF","BASE CASE",FALSE,"Sheet1";"DCF","DOWNSIDE CASE",FALSE,"Sheet1"}</definedName>
    <definedName name="asd" hidden="1">{"DCF","UPSIDE CASE",FALSE,"Sheet1";"DCF","BASE CASE",FALSE,"Sheet1";"DCF","DOWNSIDE CASE",FALSE,"Sheet1"}</definedName>
    <definedName name="asdfasdfdddd" localSheetId="59" hidden="1">{"DCF","UPSIDE CASE",FALSE,"Sheet1";"DCF","BASE CASE",FALSE,"Sheet1";"DCF","DOWNSIDE CASE",FALSE,"Sheet1"}</definedName>
    <definedName name="asdfasdfdddd" localSheetId="52" hidden="1">{"DCF","UPSIDE CASE",FALSE,"Sheet1";"DCF","BASE CASE",FALSE,"Sheet1";"DCF","DOWNSIDE CASE",FALSE,"Sheet1"}</definedName>
    <definedName name="asdfasdfdddd" localSheetId="58" hidden="1">{"DCF","UPSIDE CASE",FALSE,"Sheet1";"DCF","BASE CASE",FALSE,"Sheet1";"DCF","DOWNSIDE CASE",FALSE,"Sheet1"}</definedName>
    <definedName name="asdfasdfdddd" localSheetId="43" hidden="1">{"DCF","UPSIDE CASE",FALSE,"Sheet1";"DCF","BASE CASE",FALSE,"Sheet1";"DCF","DOWNSIDE CASE",FALSE,"Sheet1"}</definedName>
    <definedName name="asdfasdfdddd" localSheetId="47" hidden="1">{"DCF","UPSIDE CASE",FALSE,"Sheet1";"DCF","BASE CASE",FALSE,"Sheet1";"DCF","DOWNSIDE CASE",FALSE,"Sheet1"}</definedName>
    <definedName name="asdfasdfdddd" localSheetId="44" hidden="1">{"DCF","UPSIDE CASE",FALSE,"Sheet1";"DCF","BASE CASE",FALSE,"Sheet1";"DCF","DOWNSIDE CASE",FALSE,"Sheet1"}</definedName>
    <definedName name="asdfasdfdddd" localSheetId="42" hidden="1">{"DCF","UPSIDE CASE",FALSE,"Sheet1";"DCF","BASE CASE",FALSE,"Sheet1";"DCF","DOWNSIDE CASE",FALSE,"Sheet1"}</definedName>
    <definedName name="asdfasdfdddd" localSheetId="18" hidden="1">{"DCF","UPSIDE CASE",FALSE,"Sheet1";"DCF","BASE CASE",FALSE,"Sheet1";"DCF","DOWNSIDE CASE",FALSE,"Sheet1"}</definedName>
    <definedName name="asdfasdfdddd" localSheetId="9" hidden="1">{"DCF","UPSIDE CASE",FALSE,"Sheet1";"DCF","BASE CASE",FALSE,"Sheet1";"DCF","DOWNSIDE CASE",FALSE,"Sheet1"}</definedName>
    <definedName name="asdfasdfdddd" hidden="1">{"DCF","UPSIDE CASE",FALSE,"Sheet1";"DCF","BASE CASE",FALSE,"Sheet1";"DCF","DOWNSIDE CASE",FALSE,"Sheet1"}</definedName>
    <definedName name="avegmultiple" localSheetId="59" hidden="1">#REF!</definedName>
    <definedName name="avegmultiple" localSheetId="37" hidden="1">#REF!</definedName>
    <definedName name="avegmultiple" localSheetId="80" hidden="1">#REF!</definedName>
    <definedName name="avegmultiple" localSheetId="39" hidden="1">#REF!</definedName>
    <definedName name="avegmultiple" localSheetId="4" hidden="1">#REF!</definedName>
    <definedName name="avegmultiple" localSheetId="8" hidden="1">#REF!</definedName>
    <definedName name="avegmultiple" localSheetId="52" hidden="1">#REF!</definedName>
    <definedName name="avegmultiple" localSheetId="58" hidden="1">#REF!</definedName>
    <definedName name="avegmultiple" localSheetId="43" hidden="1">#REF!</definedName>
    <definedName name="avegmultiple" localSheetId="20" hidden="1">#REF!</definedName>
    <definedName name="avegmultiple" localSheetId="49" hidden="1">#REF!</definedName>
    <definedName name="avegmultiple" localSheetId="44" hidden="1">#REF!</definedName>
    <definedName name="avegmultiple" localSheetId="55" hidden="1">#REF!</definedName>
    <definedName name="avegmultiple" localSheetId="6" hidden="1">#REF!</definedName>
    <definedName name="avegmultiple" localSheetId="46" hidden="1">#REF!</definedName>
    <definedName name="avegmultiple" localSheetId="5" hidden="1">#REF!</definedName>
    <definedName name="avegmultiple" localSheetId="48" hidden="1">#REF!</definedName>
    <definedName name="avegmultiple" hidden="1">#REF!</definedName>
    <definedName name="bei" localSheetId="59" hidden="1">{#N/A,#N/A,FALSE,"softdraw";#N/A,#N/A,FALSE,"linereclass";"northpint loan",#N/A,FALSE,"LOAN"}</definedName>
    <definedName name="bei" localSheetId="61" hidden="1">{#N/A,#N/A,FALSE,"softdraw";#N/A,#N/A,FALSE,"linereclass";"northpint loan",#N/A,FALSE,"LOAN"}</definedName>
    <definedName name="bei" localSheetId="52" hidden="1">{#N/A,#N/A,FALSE,"softdraw";#N/A,#N/A,FALSE,"linereclass";"northpint loan",#N/A,FALSE,"LOAN"}</definedName>
    <definedName name="bei" localSheetId="58" hidden="1">{#N/A,#N/A,FALSE,"softdraw";#N/A,#N/A,FALSE,"linereclass";"northpint loan",#N/A,FALSE,"LOAN"}</definedName>
    <definedName name="bei" localSheetId="43" hidden="1">{#N/A,#N/A,FALSE,"softdraw";#N/A,#N/A,FALSE,"linereclass";"northpint loan",#N/A,FALSE,"LOAN"}</definedName>
    <definedName name="bei" localSheetId="47" hidden="1">{#N/A,#N/A,FALSE,"softdraw";#N/A,#N/A,FALSE,"linereclass";"northpint loan",#N/A,FALSE,"LOAN"}</definedName>
    <definedName name="bei" localSheetId="44" hidden="1">{#N/A,#N/A,FALSE,"softdraw";#N/A,#N/A,FALSE,"linereclass";"northpint loan",#N/A,FALSE,"LOAN"}</definedName>
    <definedName name="bei" localSheetId="42" hidden="1">{#N/A,#N/A,FALSE,"softdraw";#N/A,#N/A,FALSE,"linereclass";"northpint loan",#N/A,FALSE,"LOAN"}</definedName>
    <definedName name="bei" localSheetId="18" hidden="1">{#N/A,#N/A,FALSE,"softdraw";#N/A,#N/A,FALSE,"linereclass";"northpint loan",#N/A,FALSE,"LOAN"}</definedName>
    <definedName name="bei" localSheetId="9" hidden="1">{#N/A,#N/A,FALSE,"softdraw";#N/A,#N/A,FALSE,"linereclass";"northpint loan",#N/A,FALSE,"LOAN"}</definedName>
    <definedName name="bei" hidden="1">{#N/A,#N/A,FALSE,"softdraw";#N/A,#N/A,FALSE,"linereclass";"northpint loan",#N/A,FALSE,"LOAN"}</definedName>
    <definedName name="BG_Del" hidden="1">15</definedName>
    <definedName name="BG_Ins" hidden="1">4</definedName>
    <definedName name="BG_Mod" hidden="1">6</definedName>
    <definedName name="BLPH1" localSheetId="59" hidden="1">#REF!</definedName>
    <definedName name="BLPH1" localSheetId="37" hidden="1">#REF!</definedName>
    <definedName name="BLPH1" localSheetId="80" hidden="1">#REF!</definedName>
    <definedName name="BLPH1" localSheetId="39" hidden="1">#REF!</definedName>
    <definedName name="BLPH1" localSheetId="4" hidden="1">#REF!</definedName>
    <definedName name="BLPH1" localSheetId="8" hidden="1">#REF!</definedName>
    <definedName name="BLPH1" localSheetId="52" hidden="1">#REF!</definedName>
    <definedName name="BLPH1" localSheetId="58" hidden="1">#REF!</definedName>
    <definedName name="BLPH1" localSheetId="43" hidden="1">#REF!</definedName>
    <definedName name="BLPH1" localSheetId="20" hidden="1">#REF!</definedName>
    <definedName name="BLPH1" localSheetId="47" hidden="1">#REF!</definedName>
    <definedName name="BLPH1" localSheetId="49" hidden="1">#REF!</definedName>
    <definedName name="BLPH1" localSheetId="44" hidden="1">#REF!</definedName>
    <definedName name="BLPH1" localSheetId="55" hidden="1">#REF!</definedName>
    <definedName name="BLPH1" localSheetId="6" hidden="1">#REF!</definedName>
    <definedName name="BLPH1" localSheetId="46" hidden="1">#REF!</definedName>
    <definedName name="BLPH1" localSheetId="5" hidden="1">#REF!</definedName>
    <definedName name="BLPH1" localSheetId="48" hidden="1">#REF!</definedName>
    <definedName name="BLPH1" hidden="1">#REF!</definedName>
    <definedName name="BLPH10" localSheetId="59" hidden="1">#REF!</definedName>
    <definedName name="BLPH10" localSheetId="37" hidden="1">#REF!</definedName>
    <definedName name="BLPH10" localSheetId="80" hidden="1">#REF!</definedName>
    <definedName name="BLPH10" localSheetId="39" hidden="1">#REF!</definedName>
    <definedName name="BLPH10" localSheetId="4" hidden="1">#REF!</definedName>
    <definedName name="BLPH10" localSheetId="8" hidden="1">#REF!</definedName>
    <definedName name="BLPH10" localSheetId="52" hidden="1">#REF!</definedName>
    <definedName name="BLPH10" localSheetId="58" hidden="1">#REF!</definedName>
    <definedName name="BLPH10" localSheetId="43" hidden="1">#REF!</definedName>
    <definedName name="BLPH10" localSheetId="20" hidden="1">#REF!</definedName>
    <definedName name="BLPH10" localSheetId="49" hidden="1">#REF!</definedName>
    <definedName name="BLPH10" localSheetId="44" hidden="1">#REF!</definedName>
    <definedName name="BLPH10" localSheetId="55" hidden="1">#REF!</definedName>
    <definedName name="BLPH10" localSheetId="6" hidden="1">#REF!</definedName>
    <definedName name="BLPH10" localSheetId="46" hidden="1">#REF!</definedName>
    <definedName name="BLPH10" localSheetId="5" hidden="1">#REF!</definedName>
    <definedName name="BLPH10" localSheetId="48" hidden="1">#REF!</definedName>
    <definedName name="BLPH10" hidden="1">#REF!</definedName>
    <definedName name="BLPH11" localSheetId="59" hidden="1">#REF!</definedName>
    <definedName name="BLPH11" localSheetId="37" hidden="1">#REF!</definedName>
    <definedName name="BLPH11" localSheetId="80" hidden="1">#REF!</definedName>
    <definedName name="BLPH11" localSheetId="39" hidden="1">#REF!</definedName>
    <definedName name="BLPH11" localSheetId="4" hidden="1">#REF!</definedName>
    <definedName name="BLPH11" localSheetId="8" hidden="1">#REF!</definedName>
    <definedName name="BLPH11" localSheetId="52" hidden="1">#REF!</definedName>
    <definedName name="BLPH11" localSheetId="58" hidden="1">#REF!</definedName>
    <definedName name="BLPH11" localSheetId="43" hidden="1">#REF!</definedName>
    <definedName name="BLPH11" localSheetId="20" hidden="1">#REF!</definedName>
    <definedName name="BLPH11" localSheetId="49" hidden="1">#REF!</definedName>
    <definedName name="BLPH11" localSheetId="44" hidden="1">#REF!</definedName>
    <definedName name="BLPH11" localSheetId="55" hidden="1">#REF!</definedName>
    <definedName name="BLPH11" localSheetId="6" hidden="1">#REF!</definedName>
    <definedName name="BLPH11" localSheetId="46" hidden="1">#REF!</definedName>
    <definedName name="BLPH11" localSheetId="5" hidden="1">#REF!</definedName>
    <definedName name="BLPH11" localSheetId="48" hidden="1">#REF!</definedName>
    <definedName name="BLPH11" hidden="1">#REF!</definedName>
    <definedName name="BLPH12" localSheetId="59" hidden="1">#REF!</definedName>
    <definedName name="BLPH12" localSheetId="37" hidden="1">#REF!</definedName>
    <definedName name="BLPH12" localSheetId="80" hidden="1">#REF!</definedName>
    <definedName name="BLPH12" localSheetId="39" hidden="1">#REF!</definedName>
    <definedName name="BLPH12" localSheetId="4" hidden="1">#REF!</definedName>
    <definedName name="BLPH12" localSheetId="8" hidden="1">#REF!</definedName>
    <definedName name="BLPH12" localSheetId="52" hidden="1">#REF!</definedName>
    <definedName name="BLPH12" localSheetId="58" hidden="1">#REF!</definedName>
    <definedName name="BLPH12" localSheetId="43" hidden="1">#REF!</definedName>
    <definedName name="BLPH12" localSheetId="20" hidden="1">#REF!</definedName>
    <definedName name="BLPH12" localSheetId="49" hidden="1">#REF!</definedName>
    <definedName name="BLPH12" localSheetId="44" hidden="1">#REF!</definedName>
    <definedName name="BLPH12" localSheetId="55" hidden="1">#REF!</definedName>
    <definedName name="BLPH12" localSheetId="6" hidden="1">#REF!</definedName>
    <definedName name="BLPH12" localSheetId="46" hidden="1">#REF!</definedName>
    <definedName name="BLPH12" localSheetId="5" hidden="1">#REF!</definedName>
    <definedName name="BLPH12" localSheetId="48" hidden="1">#REF!</definedName>
    <definedName name="BLPH12" hidden="1">#REF!</definedName>
    <definedName name="BLPH13" localSheetId="59" hidden="1">#REF!</definedName>
    <definedName name="BLPH13" localSheetId="37" hidden="1">#REF!</definedName>
    <definedName name="BLPH13" localSheetId="80" hidden="1">#REF!</definedName>
    <definedName name="BLPH13" localSheetId="39" hidden="1">#REF!</definedName>
    <definedName name="BLPH13" localSheetId="4" hidden="1">#REF!</definedName>
    <definedName name="BLPH13" localSheetId="8" hidden="1">#REF!</definedName>
    <definedName name="BLPH13" localSheetId="52" hidden="1">#REF!</definedName>
    <definedName name="BLPH13" localSheetId="58" hidden="1">#REF!</definedName>
    <definedName name="BLPH13" localSheetId="43" hidden="1">#REF!</definedName>
    <definedName name="BLPH13" localSheetId="20" hidden="1">#REF!</definedName>
    <definedName name="BLPH13" localSheetId="49" hidden="1">#REF!</definedName>
    <definedName name="BLPH13" localSheetId="44" hidden="1">#REF!</definedName>
    <definedName name="BLPH13" localSheetId="55" hidden="1">#REF!</definedName>
    <definedName name="BLPH13" localSheetId="6" hidden="1">#REF!</definedName>
    <definedName name="BLPH13" localSheetId="46" hidden="1">#REF!</definedName>
    <definedName name="BLPH13" localSheetId="5" hidden="1">#REF!</definedName>
    <definedName name="BLPH13" localSheetId="48" hidden="1">#REF!</definedName>
    <definedName name="BLPH13" hidden="1">#REF!</definedName>
    <definedName name="BLPH14" localSheetId="59" hidden="1">#REF!</definedName>
    <definedName name="BLPH14" localSheetId="37" hidden="1">#REF!</definedName>
    <definedName name="BLPH14" localSheetId="80" hidden="1">#REF!</definedName>
    <definedName name="BLPH14" localSheetId="39" hidden="1">#REF!</definedName>
    <definedName name="BLPH14" localSheetId="4" hidden="1">#REF!</definedName>
    <definedName name="BLPH14" localSheetId="8" hidden="1">#REF!</definedName>
    <definedName name="BLPH14" localSheetId="52" hidden="1">#REF!</definedName>
    <definedName name="BLPH14" localSheetId="58" hidden="1">#REF!</definedName>
    <definedName name="BLPH14" localSheetId="43" hidden="1">#REF!</definedName>
    <definedName name="BLPH14" localSheetId="20" hidden="1">#REF!</definedName>
    <definedName name="BLPH14" localSheetId="49" hidden="1">#REF!</definedName>
    <definedName name="BLPH14" localSheetId="44" hidden="1">#REF!</definedName>
    <definedName name="BLPH14" localSheetId="55" hidden="1">#REF!</definedName>
    <definedName name="BLPH14" localSheetId="6" hidden="1">#REF!</definedName>
    <definedName name="BLPH14" localSheetId="46" hidden="1">#REF!</definedName>
    <definedName name="BLPH14" localSheetId="5" hidden="1">#REF!</definedName>
    <definedName name="BLPH14" localSheetId="48" hidden="1">#REF!</definedName>
    <definedName name="BLPH14" hidden="1">#REF!</definedName>
    <definedName name="BLPH15" localSheetId="59" hidden="1">#REF!</definedName>
    <definedName name="BLPH15" localSheetId="37" hidden="1">#REF!</definedName>
    <definedName name="BLPH15" localSheetId="80" hidden="1">#REF!</definedName>
    <definedName name="BLPH15" localSheetId="39" hidden="1">#REF!</definedName>
    <definedName name="BLPH15" localSheetId="4" hidden="1">#REF!</definedName>
    <definedName name="BLPH15" localSheetId="8" hidden="1">#REF!</definedName>
    <definedName name="BLPH15" localSheetId="52" hidden="1">#REF!</definedName>
    <definedName name="BLPH15" localSheetId="58" hidden="1">#REF!</definedName>
    <definedName name="BLPH15" localSheetId="43" hidden="1">#REF!</definedName>
    <definedName name="BLPH15" localSheetId="20" hidden="1">#REF!</definedName>
    <definedName name="BLPH15" localSheetId="49" hidden="1">#REF!</definedName>
    <definedName name="BLPH15" localSheetId="44" hidden="1">#REF!</definedName>
    <definedName name="BLPH15" localSheetId="55" hidden="1">#REF!</definedName>
    <definedName name="BLPH15" localSheetId="6" hidden="1">#REF!</definedName>
    <definedName name="BLPH15" localSheetId="46" hidden="1">#REF!</definedName>
    <definedName name="BLPH15" localSheetId="5" hidden="1">#REF!</definedName>
    <definedName name="BLPH15" localSheetId="48" hidden="1">#REF!</definedName>
    <definedName name="BLPH15" hidden="1">#REF!</definedName>
    <definedName name="BLPH16" localSheetId="59" hidden="1">#REF!</definedName>
    <definedName name="BLPH16" localSheetId="37" hidden="1">#REF!</definedName>
    <definedName name="BLPH16" localSheetId="80" hidden="1">#REF!</definedName>
    <definedName name="BLPH16" localSheetId="39" hidden="1">#REF!</definedName>
    <definedName name="BLPH16" localSheetId="4" hidden="1">#REF!</definedName>
    <definedName name="BLPH16" localSheetId="8" hidden="1">#REF!</definedName>
    <definedName name="BLPH16" localSheetId="52" hidden="1">#REF!</definedName>
    <definedName name="BLPH16" localSheetId="58" hidden="1">#REF!</definedName>
    <definedName name="BLPH16" localSheetId="43" hidden="1">#REF!</definedName>
    <definedName name="BLPH16" localSheetId="20" hidden="1">#REF!</definedName>
    <definedName name="BLPH16" localSheetId="49" hidden="1">#REF!</definedName>
    <definedName name="BLPH16" localSheetId="44" hidden="1">#REF!</definedName>
    <definedName name="BLPH16" localSheetId="55" hidden="1">#REF!</definedName>
    <definedName name="BLPH16" localSheetId="6" hidden="1">#REF!</definedName>
    <definedName name="BLPH16" localSheetId="46" hidden="1">#REF!</definedName>
    <definedName name="BLPH16" localSheetId="5" hidden="1">#REF!</definedName>
    <definedName name="BLPH16" localSheetId="48" hidden="1">#REF!</definedName>
    <definedName name="BLPH16" hidden="1">#REF!</definedName>
    <definedName name="BLPH2" localSheetId="59" hidden="1">#REF!</definedName>
    <definedName name="BLPH2" localSheetId="37" hidden="1">#REF!</definedName>
    <definedName name="BLPH2" localSheetId="80" hidden="1">#REF!</definedName>
    <definedName name="BLPH2" localSheetId="39" hidden="1">#REF!</definedName>
    <definedName name="BLPH2" localSheetId="4" hidden="1">#REF!</definedName>
    <definedName name="BLPH2" localSheetId="8" hidden="1">#REF!</definedName>
    <definedName name="BLPH2" localSheetId="52" hidden="1">#REF!</definedName>
    <definedName name="BLPH2" localSheetId="58" hidden="1">#REF!</definedName>
    <definedName name="BLPH2" localSheetId="43" hidden="1">#REF!</definedName>
    <definedName name="BLPH2" localSheetId="20" hidden="1">#REF!</definedName>
    <definedName name="BLPH2" localSheetId="49" hidden="1">#REF!</definedName>
    <definedName name="BLPH2" localSheetId="44" hidden="1">#REF!</definedName>
    <definedName name="BLPH2" localSheetId="55" hidden="1">#REF!</definedName>
    <definedName name="BLPH2" localSheetId="6" hidden="1">#REF!</definedName>
    <definedName name="BLPH2" localSheetId="46" hidden="1">#REF!</definedName>
    <definedName name="BLPH2" localSheetId="5" hidden="1">#REF!</definedName>
    <definedName name="BLPH2" localSheetId="48" hidden="1">#REF!</definedName>
    <definedName name="BLPH2" hidden="1">#REF!</definedName>
    <definedName name="BLPH3" localSheetId="59" hidden="1">#REF!</definedName>
    <definedName name="BLPH3" localSheetId="37" hidden="1">#REF!</definedName>
    <definedName name="BLPH3" localSheetId="80" hidden="1">#REF!</definedName>
    <definedName name="BLPH3" localSheetId="39" hidden="1">#REF!</definedName>
    <definedName name="BLPH3" localSheetId="4" hidden="1">#REF!</definedName>
    <definedName name="BLPH3" localSheetId="8" hidden="1">#REF!</definedName>
    <definedName name="BLPH3" localSheetId="52" hidden="1">#REF!</definedName>
    <definedName name="BLPH3" localSheetId="58" hidden="1">#REF!</definedName>
    <definedName name="BLPH3" localSheetId="43" hidden="1">#REF!</definedName>
    <definedName name="BLPH3" localSheetId="20" hidden="1">#REF!</definedName>
    <definedName name="BLPH3" localSheetId="49" hidden="1">#REF!</definedName>
    <definedName name="BLPH3" localSheetId="44" hidden="1">#REF!</definedName>
    <definedName name="BLPH3" localSheetId="55" hidden="1">#REF!</definedName>
    <definedName name="BLPH3" localSheetId="6" hidden="1">#REF!</definedName>
    <definedName name="BLPH3" localSheetId="46" hidden="1">#REF!</definedName>
    <definedName name="BLPH3" localSheetId="5" hidden="1">#REF!</definedName>
    <definedName name="BLPH3" localSheetId="48" hidden="1">#REF!</definedName>
    <definedName name="BLPH3" hidden="1">#REF!</definedName>
    <definedName name="BLPH4" localSheetId="59" hidden="1">#REF!</definedName>
    <definedName name="BLPH4" localSheetId="37" hidden="1">#REF!</definedName>
    <definedName name="BLPH4" localSheetId="80" hidden="1">#REF!</definedName>
    <definedName name="BLPH4" localSheetId="39" hidden="1">#REF!</definedName>
    <definedName name="BLPH4" localSheetId="4" hidden="1">#REF!</definedName>
    <definedName name="BLPH4" localSheetId="8" hidden="1">#REF!</definedName>
    <definedName name="BLPH4" localSheetId="52" hidden="1">#REF!</definedName>
    <definedName name="BLPH4" localSheetId="58" hidden="1">#REF!</definedName>
    <definedName name="BLPH4" localSheetId="43" hidden="1">#REF!</definedName>
    <definedName name="BLPH4" localSheetId="20" hidden="1">#REF!</definedName>
    <definedName name="BLPH4" localSheetId="49" hidden="1">#REF!</definedName>
    <definedName name="BLPH4" localSheetId="44" hidden="1">#REF!</definedName>
    <definedName name="BLPH4" localSheetId="55" hidden="1">#REF!</definedName>
    <definedName name="BLPH4" localSheetId="6" hidden="1">#REF!</definedName>
    <definedName name="BLPH4" localSheetId="46" hidden="1">#REF!</definedName>
    <definedName name="BLPH4" localSheetId="5" hidden="1">#REF!</definedName>
    <definedName name="BLPH4" localSheetId="48" hidden="1">#REF!</definedName>
    <definedName name="BLPH4" hidden="1">#REF!</definedName>
    <definedName name="BLPH5" localSheetId="59" hidden="1">#REF!</definedName>
    <definedName name="BLPH5" localSheetId="37" hidden="1">#REF!</definedName>
    <definedName name="BLPH5" localSheetId="80" hidden="1">#REF!</definedName>
    <definedName name="BLPH5" localSheetId="39" hidden="1">#REF!</definedName>
    <definedName name="BLPH5" localSheetId="4" hidden="1">#REF!</definedName>
    <definedName name="BLPH5" localSheetId="8" hidden="1">#REF!</definedName>
    <definedName name="BLPH5" localSheetId="52" hidden="1">#REF!</definedName>
    <definedName name="BLPH5" localSheetId="58" hidden="1">#REF!</definedName>
    <definedName name="BLPH5" localSheetId="43" hidden="1">#REF!</definedName>
    <definedName name="BLPH5" localSheetId="20" hidden="1">#REF!</definedName>
    <definedName name="BLPH5" localSheetId="49" hidden="1">#REF!</definedName>
    <definedName name="BLPH5" localSheetId="44" hidden="1">#REF!</definedName>
    <definedName name="BLPH5" localSheetId="55" hidden="1">#REF!</definedName>
    <definedName name="BLPH5" localSheetId="6" hidden="1">#REF!</definedName>
    <definedName name="BLPH5" localSheetId="46" hidden="1">#REF!</definedName>
    <definedName name="BLPH5" localSheetId="5" hidden="1">#REF!</definedName>
    <definedName name="BLPH5" localSheetId="48" hidden="1">#REF!</definedName>
    <definedName name="BLPH5" hidden="1">#REF!</definedName>
    <definedName name="BLPH6" localSheetId="59" hidden="1">#REF!</definedName>
    <definedName name="BLPH6" localSheetId="37" hidden="1">#REF!</definedName>
    <definedName name="BLPH6" localSheetId="80" hidden="1">#REF!</definedName>
    <definedName name="BLPH6" localSheetId="39" hidden="1">#REF!</definedName>
    <definedName name="BLPH6" localSheetId="4" hidden="1">#REF!</definedName>
    <definedName name="BLPH6" localSheetId="8" hidden="1">#REF!</definedName>
    <definedName name="BLPH6" localSheetId="52" hidden="1">#REF!</definedName>
    <definedName name="BLPH6" localSheetId="58" hidden="1">#REF!</definedName>
    <definedName name="BLPH6" localSheetId="43" hidden="1">#REF!</definedName>
    <definedName name="BLPH6" localSheetId="20" hidden="1">#REF!</definedName>
    <definedName name="BLPH6" localSheetId="49" hidden="1">#REF!</definedName>
    <definedName name="BLPH6" localSheetId="44" hidden="1">#REF!</definedName>
    <definedName name="BLPH6" localSheetId="55" hidden="1">#REF!</definedName>
    <definedName name="BLPH6" localSheetId="6" hidden="1">#REF!</definedName>
    <definedName name="BLPH6" localSheetId="46" hidden="1">#REF!</definedName>
    <definedName name="BLPH6" localSheetId="5" hidden="1">#REF!</definedName>
    <definedName name="BLPH6" localSheetId="48" hidden="1">#REF!</definedName>
    <definedName name="BLPH6" hidden="1">#REF!</definedName>
    <definedName name="BLPH7" localSheetId="59" hidden="1">#REF!</definedName>
    <definedName name="BLPH7" localSheetId="37" hidden="1">#REF!</definedName>
    <definedName name="BLPH7" localSheetId="80" hidden="1">#REF!</definedName>
    <definedName name="BLPH7" localSheetId="39" hidden="1">#REF!</definedName>
    <definedName name="BLPH7" localSheetId="4" hidden="1">#REF!</definedName>
    <definedName name="BLPH7" localSheetId="8" hidden="1">#REF!</definedName>
    <definedName name="BLPH7" localSheetId="52" hidden="1">#REF!</definedName>
    <definedName name="BLPH7" localSheetId="58" hidden="1">#REF!</definedName>
    <definedName name="BLPH7" localSheetId="43" hidden="1">#REF!</definedName>
    <definedName name="BLPH7" localSheetId="20" hidden="1">#REF!</definedName>
    <definedName name="BLPH7" localSheetId="49" hidden="1">#REF!</definedName>
    <definedName name="BLPH7" localSheetId="44" hidden="1">#REF!</definedName>
    <definedName name="BLPH7" localSheetId="55" hidden="1">#REF!</definedName>
    <definedName name="BLPH7" localSheetId="6" hidden="1">#REF!</definedName>
    <definedName name="BLPH7" localSheetId="46" hidden="1">#REF!</definedName>
    <definedName name="BLPH7" localSheetId="5" hidden="1">#REF!</definedName>
    <definedName name="BLPH7" localSheetId="48" hidden="1">#REF!</definedName>
    <definedName name="BLPH7" hidden="1">#REF!</definedName>
    <definedName name="BLPH8" localSheetId="59" hidden="1">#REF!</definedName>
    <definedName name="BLPH8" localSheetId="37" hidden="1">#REF!</definedName>
    <definedName name="BLPH8" localSheetId="80" hidden="1">#REF!</definedName>
    <definedName name="BLPH8" localSheetId="39" hidden="1">#REF!</definedName>
    <definedName name="BLPH8" localSheetId="4" hidden="1">#REF!</definedName>
    <definedName name="BLPH8" localSheetId="8" hidden="1">#REF!</definedName>
    <definedName name="BLPH8" localSheetId="52" hidden="1">#REF!</definedName>
    <definedName name="BLPH8" localSheetId="58" hidden="1">#REF!</definedName>
    <definedName name="BLPH8" localSheetId="43" hidden="1">#REF!</definedName>
    <definedName name="BLPH8" localSheetId="20" hidden="1">#REF!</definedName>
    <definedName name="BLPH8" localSheetId="49" hidden="1">#REF!</definedName>
    <definedName name="BLPH8" localSheetId="44" hidden="1">#REF!</definedName>
    <definedName name="BLPH8" localSheetId="55" hidden="1">#REF!</definedName>
    <definedName name="BLPH8" localSheetId="6" hidden="1">#REF!</definedName>
    <definedName name="BLPH8" localSheetId="46" hidden="1">#REF!</definedName>
    <definedName name="BLPH8" localSheetId="5" hidden="1">#REF!</definedName>
    <definedName name="BLPH8" localSheetId="48" hidden="1">#REF!</definedName>
    <definedName name="BLPH8" hidden="1">#REF!</definedName>
    <definedName name="BLPH9" localSheetId="59" hidden="1">#REF!</definedName>
    <definedName name="BLPH9" localSheetId="37" hidden="1">#REF!</definedName>
    <definedName name="BLPH9" localSheetId="80" hidden="1">#REF!</definedName>
    <definedName name="BLPH9" localSheetId="39" hidden="1">#REF!</definedName>
    <definedName name="BLPH9" localSheetId="4" hidden="1">#REF!</definedName>
    <definedName name="BLPH9" localSheetId="8" hidden="1">#REF!</definedName>
    <definedName name="BLPH9" localSheetId="52" hidden="1">#REF!</definedName>
    <definedName name="BLPH9" localSheetId="58" hidden="1">#REF!</definedName>
    <definedName name="BLPH9" localSheetId="43" hidden="1">#REF!</definedName>
    <definedName name="BLPH9" localSheetId="20" hidden="1">#REF!</definedName>
    <definedName name="BLPH9" localSheetId="49" hidden="1">#REF!</definedName>
    <definedName name="BLPH9" localSheetId="44" hidden="1">#REF!</definedName>
    <definedName name="BLPH9" localSheetId="55" hidden="1">#REF!</definedName>
    <definedName name="BLPH9" localSheetId="6" hidden="1">#REF!</definedName>
    <definedName name="BLPH9" localSheetId="46" hidden="1">#REF!</definedName>
    <definedName name="BLPH9" localSheetId="5" hidden="1">#REF!</definedName>
    <definedName name="BLPH9" localSheetId="48" hidden="1">#REF!</definedName>
    <definedName name="BLPH9" hidden="1">#REF!</definedName>
    <definedName name="BNE_MESSAGES_HIDDEN" localSheetId="59" hidden="1">#REF!</definedName>
    <definedName name="BNE_MESSAGES_HIDDEN" localSheetId="37" hidden="1">#REF!</definedName>
    <definedName name="BNE_MESSAGES_HIDDEN" localSheetId="80" hidden="1">#REF!</definedName>
    <definedName name="BNE_MESSAGES_HIDDEN" localSheetId="39" hidden="1">#REF!</definedName>
    <definedName name="BNE_MESSAGES_HIDDEN" localSheetId="4" hidden="1">#REF!</definedName>
    <definedName name="BNE_MESSAGES_HIDDEN" localSheetId="8" hidden="1">#REF!</definedName>
    <definedName name="BNE_MESSAGES_HIDDEN" localSheetId="52" hidden="1">#REF!</definedName>
    <definedName name="BNE_MESSAGES_HIDDEN" localSheetId="58" hidden="1">#REF!</definedName>
    <definedName name="BNE_MESSAGES_HIDDEN" localSheetId="20" hidden="1">#REF!</definedName>
    <definedName name="BNE_MESSAGES_HIDDEN" localSheetId="49" hidden="1">#REF!</definedName>
    <definedName name="BNE_MESSAGES_HIDDEN" localSheetId="44" hidden="1">#REF!</definedName>
    <definedName name="BNE_MESSAGES_HIDDEN" localSheetId="55" hidden="1">#REF!</definedName>
    <definedName name="BNE_MESSAGES_HIDDEN" localSheetId="6" hidden="1">#REF!</definedName>
    <definedName name="BNE_MESSAGES_HIDDEN" localSheetId="46" hidden="1">#REF!</definedName>
    <definedName name="BNE_MESSAGES_HIDDEN" localSheetId="5" hidden="1">#REF!</definedName>
    <definedName name="BNE_MESSAGES_HIDDEN" localSheetId="48" hidden="1">#REF!</definedName>
    <definedName name="BNE_MESSAGES_HIDDEN" hidden="1">#REF!</definedName>
    <definedName name="Bridge_mo" localSheetId="59" hidden="1">{#N/A,#N/A,FALSE,"Model";#N/A,#N/A,FALSE,"Gen Pts &amp; Rts 2000";#N/A,#N/A,FALSE,"AcqsAss";#N/A,#N/A,FALSE,"Acqs &amp; De Novos"}</definedName>
    <definedName name="Bridge_mo" localSheetId="52" hidden="1">{#N/A,#N/A,FALSE,"Model";#N/A,#N/A,FALSE,"Gen Pts &amp; Rts 2000";#N/A,#N/A,FALSE,"AcqsAss";#N/A,#N/A,FALSE,"Acqs &amp; De Novos"}</definedName>
    <definedName name="Bridge_mo" localSheetId="58" hidden="1">{#N/A,#N/A,FALSE,"Model";#N/A,#N/A,FALSE,"Gen Pts &amp; Rts 2000";#N/A,#N/A,FALSE,"AcqsAss";#N/A,#N/A,FALSE,"Acqs &amp; De Novos"}</definedName>
    <definedName name="Bridge_mo" localSheetId="43" hidden="1">{#N/A,#N/A,FALSE,"Model";#N/A,#N/A,FALSE,"Gen Pts &amp; Rts 2000";#N/A,#N/A,FALSE,"AcqsAss";#N/A,#N/A,FALSE,"Acqs &amp; De Novos"}</definedName>
    <definedName name="Bridge_mo" localSheetId="47" hidden="1">{#N/A,#N/A,FALSE,"Model";#N/A,#N/A,FALSE,"Gen Pts &amp; Rts 2000";#N/A,#N/A,FALSE,"AcqsAss";#N/A,#N/A,FALSE,"Acqs &amp; De Novos"}</definedName>
    <definedName name="Bridge_mo" localSheetId="44" hidden="1">{#N/A,#N/A,FALSE,"Model";#N/A,#N/A,FALSE,"Gen Pts &amp; Rts 2000";#N/A,#N/A,FALSE,"AcqsAss";#N/A,#N/A,FALSE,"Acqs &amp; De Novos"}</definedName>
    <definedName name="Bridge_mo" localSheetId="42" hidden="1">{#N/A,#N/A,FALSE,"Model";#N/A,#N/A,FALSE,"Gen Pts &amp; Rts 2000";#N/A,#N/A,FALSE,"AcqsAss";#N/A,#N/A,FALSE,"Acqs &amp; De Novos"}</definedName>
    <definedName name="Bridge_mo" localSheetId="18" hidden="1">{#N/A,#N/A,FALSE,"Model";#N/A,#N/A,FALSE,"Gen Pts &amp; Rts 2000";#N/A,#N/A,FALSE,"AcqsAss";#N/A,#N/A,FALSE,"Acqs &amp; De Novos"}</definedName>
    <definedName name="Bridge_mo" localSheetId="9" hidden="1">{#N/A,#N/A,FALSE,"Model";#N/A,#N/A,FALSE,"Gen Pts &amp; Rts 2000";#N/A,#N/A,FALSE,"AcqsAss";#N/A,#N/A,FALSE,"Acqs &amp; De Novos"}</definedName>
    <definedName name="Bridge_mo" hidden="1">{#N/A,#N/A,FALSE,"Model";#N/A,#N/A,FALSE,"Gen Pts &amp; Rts 2000";#N/A,#N/A,FALSE,"AcqsAss";#N/A,#N/A,FALSE,"Acqs &amp; De Novos"}</definedName>
    <definedName name="bridge_month" localSheetId="59" hidden="1">{#N/A,#N/A,FALSE,"Model";#N/A,#N/A,FALSE,"Gen Pts &amp; Rts 2000";#N/A,#N/A,FALSE,"AcqsAss";#N/A,#N/A,FALSE,"Acqs &amp; De Novos"}</definedName>
    <definedName name="bridge_month" localSheetId="52" hidden="1">{#N/A,#N/A,FALSE,"Model";#N/A,#N/A,FALSE,"Gen Pts &amp; Rts 2000";#N/A,#N/A,FALSE,"AcqsAss";#N/A,#N/A,FALSE,"Acqs &amp; De Novos"}</definedName>
    <definedName name="bridge_month" localSheetId="58" hidden="1">{#N/A,#N/A,FALSE,"Model";#N/A,#N/A,FALSE,"Gen Pts &amp; Rts 2000";#N/A,#N/A,FALSE,"AcqsAss";#N/A,#N/A,FALSE,"Acqs &amp; De Novos"}</definedName>
    <definedName name="bridge_month" localSheetId="43" hidden="1">{#N/A,#N/A,FALSE,"Model";#N/A,#N/A,FALSE,"Gen Pts &amp; Rts 2000";#N/A,#N/A,FALSE,"AcqsAss";#N/A,#N/A,FALSE,"Acqs &amp; De Novos"}</definedName>
    <definedName name="bridge_month" localSheetId="47" hidden="1">{#N/A,#N/A,FALSE,"Model";#N/A,#N/A,FALSE,"Gen Pts &amp; Rts 2000";#N/A,#N/A,FALSE,"AcqsAss";#N/A,#N/A,FALSE,"Acqs &amp; De Novos"}</definedName>
    <definedName name="bridge_month" localSheetId="44" hidden="1">{#N/A,#N/A,FALSE,"Model";#N/A,#N/A,FALSE,"Gen Pts &amp; Rts 2000";#N/A,#N/A,FALSE,"AcqsAss";#N/A,#N/A,FALSE,"Acqs &amp; De Novos"}</definedName>
    <definedName name="bridge_month" localSheetId="42" hidden="1">{#N/A,#N/A,FALSE,"Model";#N/A,#N/A,FALSE,"Gen Pts &amp; Rts 2000";#N/A,#N/A,FALSE,"AcqsAss";#N/A,#N/A,FALSE,"Acqs &amp; De Novos"}</definedName>
    <definedName name="bridge_month" localSheetId="18" hidden="1">{#N/A,#N/A,FALSE,"Model";#N/A,#N/A,FALSE,"Gen Pts &amp; Rts 2000";#N/A,#N/A,FALSE,"AcqsAss";#N/A,#N/A,FALSE,"Acqs &amp; De Novos"}</definedName>
    <definedName name="bridge_month" localSheetId="9" hidden="1">{#N/A,#N/A,FALSE,"Model";#N/A,#N/A,FALSE,"Gen Pts &amp; Rts 2000";#N/A,#N/A,FALSE,"AcqsAss";#N/A,#N/A,FALSE,"Acqs &amp; De Novos"}</definedName>
    <definedName name="bridge_month" hidden="1">{#N/A,#N/A,FALSE,"Model";#N/A,#N/A,FALSE,"Gen Pts &amp; Rts 2000";#N/A,#N/A,FALSE,"AcqsAss";#N/A,#N/A,FALSE,"Acqs &amp; De Novos"}</definedName>
    <definedName name="bridge_qtr" localSheetId="59" hidden="1">{#N/A,#N/A,FALSE,"Model";#N/A,#N/A,FALSE,"Gen Pts &amp; Rts 2000";#N/A,#N/A,FALSE,"AcqsAss";#N/A,#N/A,FALSE,"Acqs &amp; De Novos"}</definedName>
    <definedName name="bridge_qtr" localSheetId="52" hidden="1">{#N/A,#N/A,FALSE,"Model";#N/A,#N/A,FALSE,"Gen Pts &amp; Rts 2000";#N/A,#N/A,FALSE,"AcqsAss";#N/A,#N/A,FALSE,"Acqs &amp; De Novos"}</definedName>
    <definedName name="bridge_qtr" localSheetId="58" hidden="1">{#N/A,#N/A,FALSE,"Model";#N/A,#N/A,FALSE,"Gen Pts &amp; Rts 2000";#N/A,#N/A,FALSE,"AcqsAss";#N/A,#N/A,FALSE,"Acqs &amp; De Novos"}</definedName>
    <definedName name="bridge_qtr" localSheetId="43" hidden="1">{#N/A,#N/A,FALSE,"Model";#N/A,#N/A,FALSE,"Gen Pts &amp; Rts 2000";#N/A,#N/A,FALSE,"AcqsAss";#N/A,#N/A,FALSE,"Acqs &amp; De Novos"}</definedName>
    <definedName name="bridge_qtr" localSheetId="47" hidden="1">{#N/A,#N/A,FALSE,"Model";#N/A,#N/A,FALSE,"Gen Pts &amp; Rts 2000";#N/A,#N/A,FALSE,"AcqsAss";#N/A,#N/A,FALSE,"Acqs &amp; De Novos"}</definedName>
    <definedName name="bridge_qtr" localSheetId="44" hidden="1">{#N/A,#N/A,FALSE,"Model";#N/A,#N/A,FALSE,"Gen Pts &amp; Rts 2000";#N/A,#N/A,FALSE,"AcqsAss";#N/A,#N/A,FALSE,"Acqs &amp; De Novos"}</definedName>
    <definedName name="bridge_qtr" localSheetId="42" hidden="1">{#N/A,#N/A,FALSE,"Model";#N/A,#N/A,FALSE,"Gen Pts &amp; Rts 2000";#N/A,#N/A,FALSE,"AcqsAss";#N/A,#N/A,FALSE,"Acqs &amp; De Novos"}</definedName>
    <definedName name="bridge_qtr" localSheetId="18" hidden="1">{#N/A,#N/A,FALSE,"Model";#N/A,#N/A,FALSE,"Gen Pts &amp; Rts 2000";#N/A,#N/A,FALSE,"AcqsAss";#N/A,#N/A,FALSE,"Acqs &amp; De Novos"}</definedName>
    <definedName name="bridge_qtr" localSheetId="9" hidden="1">{#N/A,#N/A,FALSE,"Model";#N/A,#N/A,FALSE,"Gen Pts &amp; Rts 2000";#N/A,#N/A,FALSE,"AcqsAss";#N/A,#N/A,FALSE,"Acqs &amp; De Novos"}</definedName>
    <definedName name="bridge_qtr" hidden="1">{#N/A,#N/A,FALSE,"Model";#N/A,#N/A,FALSE,"Gen Pts &amp; Rts 2000";#N/A,#N/A,FALSE,"AcqsAss";#N/A,#N/A,FALSE,"Acqs &amp; De Novos"}</definedName>
    <definedName name="bridger_qtr" localSheetId="59" hidden="1">{#N/A,#N/A,FALSE,"Model";#N/A,#N/A,FALSE,"Gen Pts &amp; Rts 2000";#N/A,#N/A,FALSE,"AcqsAss";#N/A,#N/A,FALSE,"Acqs &amp; De Novos"}</definedName>
    <definedName name="bridger_qtr" localSheetId="52" hidden="1">{#N/A,#N/A,FALSE,"Model";#N/A,#N/A,FALSE,"Gen Pts &amp; Rts 2000";#N/A,#N/A,FALSE,"AcqsAss";#N/A,#N/A,FALSE,"Acqs &amp; De Novos"}</definedName>
    <definedName name="bridger_qtr" localSheetId="58" hidden="1">{#N/A,#N/A,FALSE,"Model";#N/A,#N/A,FALSE,"Gen Pts &amp; Rts 2000";#N/A,#N/A,FALSE,"AcqsAss";#N/A,#N/A,FALSE,"Acqs &amp; De Novos"}</definedName>
    <definedName name="bridger_qtr" localSheetId="43" hidden="1">{#N/A,#N/A,FALSE,"Model";#N/A,#N/A,FALSE,"Gen Pts &amp; Rts 2000";#N/A,#N/A,FALSE,"AcqsAss";#N/A,#N/A,FALSE,"Acqs &amp; De Novos"}</definedName>
    <definedName name="bridger_qtr" localSheetId="47" hidden="1">{#N/A,#N/A,FALSE,"Model";#N/A,#N/A,FALSE,"Gen Pts &amp; Rts 2000";#N/A,#N/A,FALSE,"AcqsAss";#N/A,#N/A,FALSE,"Acqs &amp; De Novos"}</definedName>
    <definedName name="bridger_qtr" localSheetId="44" hidden="1">{#N/A,#N/A,FALSE,"Model";#N/A,#N/A,FALSE,"Gen Pts &amp; Rts 2000";#N/A,#N/A,FALSE,"AcqsAss";#N/A,#N/A,FALSE,"Acqs &amp; De Novos"}</definedName>
    <definedName name="bridger_qtr" localSheetId="42" hidden="1">{#N/A,#N/A,FALSE,"Model";#N/A,#N/A,FALSE,"Gen Pts &amp; Rts 2000";#N/A,#N/A,FALSE,"AcqsAss";#N/A,#N/A,FALSE,"Acqs &amp; De Novos"}</definedName>
    <definedName name="bridger_qtr" localSheetId="18" hidden="1">{#N/A,#N/A,FALSE,"Model";#N/A,#N/A,FALSE,"Gen Pts &amp; Rts 2000";#N/A,#N/A,FALSE,"AcqsAss";#N/A,#N/A,FALSE,"Acqs &amp; De Novos"}</definedName>
    <definedName name="bridger_qtr" localSheetId="9" hidden="1">{#N/A,#N/A,FALSE,"Model";#N/A,#N/A,FALSE,"Gen Pts &amp; Rts 2000";#N/A,#N/A,FALSE,"AcqsAss";#N/A,#N/A,FALSE,"Acqs &amp; De Novos"}</definedName>
    <definedName name="bridger_qtr" hidden="1">{#N/A,#N/A,FALSE,"Model";#N/A,#N/A,FALSE,"Gen Pts &amp; Rts 2000";#N/A,#N/A,FALSE,"AcqsAss";#N/A,#N/A,FALSE,"Acqs &amp; De Novos"}</definedName>
    <definedName name="build" localSheetId="59" hidden="1">{#N/A,#N/A,FALSE,"softdraw";#N/A,#N/A,FALSE,"linereclass";"northpint loan",#N/A,FALSE,"LOAN"}</definedName>
    <definedName name="build" localSheetId="61" hidden="1">{#N/A,#N/A,FALSE,"softdraw";#N/A,#N/A,FALSE,"linereclass";"northpint loan",#N/A,FALSE,"LOAN"}</definedName>
    <definedName name="build" localSheetId="52" hidden="1">{#N/A,#N/A,FALSE,"softdraw";#N/A,#N/A,FALSE,"linereclass";"northpint loan",#N/A,FALSE,"LOAN"}</definedName>
    <definedName name="build" localSheetId="58" hidden="1">{#N/A,#N/A,FALSE,"softdraw";#N/A,#N/A,FALSE,"linereclass";"northpint loan",#N/A,FALSE,"LOAN"}</definedName>
    <definedName name="build" localSheetId="43" hidden="1">{#N/A,#N/A,FALSE,"softdraw";#N/A,#N/A,FALSE,"linereclass";"northpint loan",#N/A,FALSE,"LOAN"}</definedName>
    <definedName name="build" localSheetId="47" hidden="1">{#N/A,#N/A,FALSE,"softdraw";#N/A,#N/A,FALSE,"linereclass";"northpint loan",#N/A,FALSE,"LOAN"}</definedName>
    <definedName name="build" localSheetId="44" hidden="1">{#N/A,#N/A,FALSE,"softdraw";#N/A,#N/A,FALSE,"linereclass";"northpint loan",#N/A,FALSE,"LOAN"}</definedName>
    <definedName name="build" localSheetId="42" hidden="1">{#N/A,#N/A,FALSE,"softdraw";#N/A,#N/A,FALSE,"linereclass";"northpint loan",#N/A,FALSE,"LOAN"}</definedName>
    <definedName name="build" localSheetId="18" hidden="1">{#N/A,#N/A,FALSE,"softdraw";#N/A,#N/A,FALSE,"linereclass";"northpint loan",#N/A,FALSE,"LOAN"}</definedName>
    <definedName name="build" localSheetId="9" hidden="1">{#N/A,#N/A,FALSE,"softdraw";#N/A,#N/A,FALSE,"linereclass";"northpint loan",#N/A,FALSE,"LOAN"}</definedName>
    <definedName name="build" hidden="1">{#N/A,#N/A,FALSE,"softdraw";#N/A,#N/A,FALSE,"linereclass";"northpint loan",#N/A,FALSE,"LOAN"}</definedName>
    <definedName name="CBWorkbookPriority" localSheetId="43" hidden="1">-1959504492</definedName>
    <definedName name="CBWorkbookPriority" hidden="1">-1959504492</definedName>
    <definedName name="CIQWBGuid" localSheetId="43" hidden="1">"dfbac822-9ccb-4ebd-b71d-42267f62a008"</definedName>
    <definedName name="CIQWBGuid" localSheetId="73" hidden="1">"fbe512cc-6749-4c8e-993d-8a4c49fb67e0"</definedName>
    <definedName name="CIQWBGuid" localSheetId="74" hidden="1">"fbe512cc-6749-4c8e-993d-8a4c49fb67e0"</definedName>
    <definedName name="CIQWBGuid" hidden="1">"4c317e69-d429-41e3-b46a-b4c398e620fd"</definedName>
    <definedName name="COBRA" localSheetId="59" hidden="1">{#N/A,#N/A,FALSE,"softdraw";#N/A,#N/A,FALSE,"linereclass";"northpint loan",#N/A,FALSE,"LOAN"}</definedName>
    <definedName name="COBRA" localSheetId="61" hidden="1">{#N/A,#N/A,FALSE,"softdraw";#N/A,#N/A,FALSE,"linereclass";"northpint loan",#N/A,FALSE,"LOAN"}</definedName>
    <definedName name="COBRA" localSheetId="52" hidden="1">{#N/A,#N/A,FALSE,"softdraw";#N/A,#N/A,FALSE,"linereclass";"northpint loan",#N/A,FALSE,"LOAN"}</definedName>
    <definedName name="COBRA" localSheetId="58" hidden="1">{#N/A,#N/A,FALSE,"softdraw";#N/A,#N/A,FALSE,"linereclass";"northpint loan",#N/A,FALSE,"LOAN"}</definedName>
    <definedName name="COBRA" localSheetId="43" hidden="1">{#N/A,#N/A,FALSE,"softdraw";#N/A,#N/A,FALSE,"linereclass";"northpint loan",#N/A,FALSE,"LOAN"}</definedName>
    <definedName name="COBRA" localSheetId="47" hidden="1">{#N/A,#N/A,FALSE,"softdraw";#N/A,#N/A,FALSE,"linereclass";"northpint loan",#N/A,FALSE,"LOAN"}</definedName>
    <definedName name="COBRA" localSheetId="44" hidden="1">{#N/A,#N/A,FALSE,"softdraw";#N/A,#N/A,FALSE,"linereclass";"northpint loan",#N/A,FALSE,"LOAN"}</definedName>
    <definedName name="COBRA" localSheetId="42" hidden="1">{#N/A,#N/A,FALSE,"softdraw";#N/A,#N/A,FALSE,"linereclass";"northpint loan",#N/A,FALSE,"LOAN"}</definedName>
    <definedName name="COBRA" localSheetId="18" hidden="1">{#N/A,#N/A,FALSE,"softdraw";#N/A,#N/A,FALSE,"linereclass";"northpint loan",#N/A,FALSE,"LOAN"}</definedName>
    <definedName name="COBRA" localSheetId="9" hidden="1">{#N/A,#N/A,FALSE,"softdraw";#N/A,#N/A,FALSE,"linereclass";"northpint loan",#N/A,FALSE,"LOAN"}</definedName>
    <definedName name="COBRA" hidden="1">{#N/A,#N/A,FALSE,"softdraw";#N/A,#N/A,FALSE,"linereclass";"northpint loan",#N/A,FALSE,"LOAN"}</definedName>
    <definedName name="COBRA1" localSheetId="59" hidden="1">{#N/A,#N/A,FALSE,"softdraw";#N/A,#N/A,FALSE,"linereclass";"northpint loan",#N/A,FALSE,"LOAN"}</definedName>
    <definedName name="COBRA1" localSheetId="61" hidden="1">{#N/A,#N/A,FALSE,"softdraw";#N/A,#N/A,FALSE,"linereclass";"northpint loan",#N/A,FALSE,"LOAN"}</definedName>
    <definedName name="COBRA1" localSheetId="52" hidden="1">{#N/A,#N/A,FALSE,"softdraw";#N/A,#N/A,FALSE,"linereclass";"northpint loan",#N/A,FALSE,"LOAN"}</definedName>
    <definedName name="COBRA1" localSheetId="58" hidden="1">{#N/A,#N/A,FALSE,"softdraw";#N/A,#N/A,FALSE,"linereclass";"northpint loan",#N/A,FALSE,"LOAN"}</definedName>
    <definedName name="COBRA1" localSheetId="43" hidden="1">{#N/A,#N/A,FALSE,"softdraw";#N/A,#N/A,FALSE,"linereclass";"northpint loan",#N/A,FALSE,"LOAN"}</definedName>
    <definedName name="COBRA1" localSheetId="47" hidden="1">{#N/A,#N/A,FALSE,"softdraw";#N/A,#N/A,FALSE,"linereclass";"northpint loan",#N/A,FALSE,"LOAN"}</definedName>
    <definedName name="COBRA1" localSheetId="44" hidden="1">{#N/A,#N/A,FALSE,"softdraw";#N/A,#N/A,FALSE,"linereclass";"northpint loan",#N/A,FALSE,"LOAN"}</definedName>
    <definedName name="COBRA1" localSheetId="42" hidden="1">{#N/A,#N/A,FALSE,"softdraw";#N/A,#N/A,FALSE,"linereclass";"northpint loan",#N/A,FALSE,"LOAN"}</definedName>
    <definedName name="COBRA1" localSheetId="18" hidden="1">{#N/A,#N/A,FALSE,"softdraw";#N/A,#N/A,FALSE,"linereclass";"northpint loan",#N/A,FALSE,"LOAN"}</definedName>
    <definedName name="COBRA1" localSheetId="9" hidden="1">{#N/A,#N/A,FALSE,"softdraw";#N/A,#N/A,FALSE,"linereclass";"northpint loan",#N/A,FALSE,"LOAN"}</definedName>
    <definedName name="COBRA1" hidden="1">{#N/A,#N/A,FALSE,"softdraw";#N/A,#N/A,FALSE,"linereclass";"northpint loan",#N/A,FALSE,"LOAN"}</definedName>
    <definedName name="Company_Name" hidden="1">[9]Settings!$C$56</definedName>
    <definedName name="compnam" localSheetId="59" hidden="1">[10]KeyMultInputs!#REF!</definedName>
    <definedName name="compnam" localSheetId="37" hidden="1">[10]KeyMultInputs!#REF!</definedName>
    <definedName name="compnam" localSheetId="80" hidden="1">[10]KeyMultInputs!#REF!</definedName>
    <definedName name="compnam" localSheetId="39" hidden="1">[10]KeyMultInputs!#REF!</definedName>
    <definedName name="compnam" localSheetId="4" hidden="1">[10]KeyMultInputs!#REF!</definedName>
    <definedName name="compnam" localSheetId="8" hidden="1">[10]KeyMultInputs!#REF!</definedName>
    <definedName name="compnam" localSheetId="52" hidden="1">[10]KeyMultInputs!#REF!</definedName>
    <definedName name="compnam" localSheetId="58" hidden="1">[10]KeyMultInputs!#REF!</definedName>
    <definedName name="compnam" localSheetId="43" hidden="1">[10]KeyMultInputs!#REF!</definedName>
    <definedName name="compnam" localSheetId="20" hidden="1">[10]KeyMultInputs!#REF!</definedName>
    <definedName name="compnam" localSheetId="47" hidden="1">[10]KeyMultInputs!#REF!</definedName>
    <definedName name="compnam" localSheetId="49" hidden="1">[10]KeyMultInputs!#REF!</definedName>
    <definedName name="compnam" localSheetId="44" hidden="1">[10]KeyMultInputs!#REF!</definedName>
    <definedName name="compnam" localSheetId="55" hidden="1">[10]KeyMultInputs!#REF!</definedName>
    <definedName name="compnam" localSheetId="6" hidden="1">[10]KeyMultInputs!#REF!</definedName>
    <definedName name="compnam" localSheetId="46" hidden="1">[10]KeyMultInputs!#REF!</definedName>
    <definedName name="compnam" localSheetId="5" hidden="1">[10]KeyMultInputs!#REF!</definedName>
    <definedName name="compnam" localSheetId="48" hidden="1">[10]KeyMultInputs!#REF!</definedName>
    <definedName name="compnam" hidden="1">[10]KeyMultInputs!#REF!</definedName>
    <definedName name="copy" localSheetId="59" hidden="1">{#N/A,#N/A,FALSE,"Title Page";#N/A,#N/A,FALSE,"Conclusions";#N/A,#N/A,FALSE,"Assum.";#N/A,#N/A,FALSE,"Sun  DCF-WC-Dep";#N/A,#N/A,FALSE,"MarketValue";#N/A,#N/A,FALSE,"BalSheet";#N/A,#N/A,FALSE,"WACC";#N/A,#N/A,FALSE,"PC+ Info.";#N/A,#N/A,FALSE,"PC+Info_2"}</definedName>
    <definedName name="copy" localSheetId="52" hidden="1">{#N/A,#N/A,FALSE,"Title Page";#N/A,#N/A,FALSE,"Conclusions";#N/A,#N/A,FALSE,"Assum.";#N/A,#N/A,FALSE,"Sun  DCF-WC-Dep";#N/A,#N/A,FALSE,"MarketValue";#N/A,#N/A,FALSE,"BalSheet";#N/A,#N/A,FALSE,"WACC";#N/A,#N/A,FALSE,"PC+ Info.";#N/A,#N/A,FALSE,"PC+Info_2"}</definedName>
    <definedName name="copy" localSheetId="58" hidden="1">{#N/A,#N/A,FALSE,"Title Page";#N/A,#N/A,FALSE,"Conclusions";#N/A,#N/A,FALSE,"Assum.";#N/A,#N/A,FALSE,"Sun  DCF-WC-Dep";#N/A,#N/A,FALSE,"MarketValue";#N/A,#N/A,FALSE,"BalSheet";#N/A,#N/A,FALSE,"WACC";#N/A,#N/A,FALSE,"PC+ Info.";#N/A,#N/A,FALSE,"PC+Info_2"}</definedName>
    <definedName name="copy" localSheetId="43" hidden="1">{#N/A,#N/A,FALSE,"Title Page";#N/A,#N/A,FALSE,"Conclusions";#N/A,#N/A,FALSE,"Assum.";#N/A,#N/A,FALSE,"Sun  DCF-WC-Dep";#N/A,#N/A,FALSE,"MarketValue";#N/A,#N/A,FALSE,"BalSheet";#N/A,#N/A,FALSE,"WACC";#N/A,#N/A,FALSE,"PC+ Info.";#N/A,#N/A,FALSE,"PC+Info_2"}</definedName>
    <definedName name="copy" localSheetId="47" hidden="1">{#N/A,#N/A,FALSE,"Title Page";#N/A,#N/A,FALSE,"Conclusions";#N/A,#N/A,FALSE,"Assum.";#N/A,#N/A,FALSE,"Sun  DCF-WC-Dep";#N/A,#N/A,FALSE,"MarketValue";#N/A,#N/A,FALSE,"BalSheet";#N/A,#N/A,FALSE,"WACC";#N/A,#N/A,FALSE,"PC+ Info.";#N/A,#N/A,FALSE,"PC+Info_2"}</definedName>
    <definedName name="copy" localSheetId="44" hidden="1">{#N/A,#N/A,FALSE,"Title Page";#N/A,#N/A,FALSE,"Conclusions";#N/A,#N/A,FALSE,"Assum.";#N/A,#N/A,FALSE,"Sun  DCF-WC-Dep";#N/A,#N/A,FALSE,"MarketValue";#N/A,#N/A,FALSE,"BalSheet";#N/A,#N/A,FALSE,"WACC";#N/A,#N/A,FALSE,"PC+ Info.";#N/A,#N/A,FALSE,"PC+Info_2"}</definedName>
    <definedName name="copy" localSheetId="42" hidden="1">{#N/A,#N/A,FALSE,"Title Page";#N/A,#N/A,FALSE,"Conclusions";#N/A,#N/A,FALSE,"Assum.";#N/A,#N/A,FALSE,"Sun  DCF-WC-Dep";#N/A,#N/A,FALSE,"MarketValue";#N/A,#N/A,FALSE,"BalSheet";#N/A,#N/A,FALSE,"WACC";#N/A,#N/A,FALSE,"PC+ Info.";#N/A,#N/A,FALSE,"PC+Info_2"}</definedName>
    <definedName name="copy" localSheetId="18" hidden="1">{#N/A,#N/A,FALSE,"Title Page";#N/A,#N/A,FALSE,"Conclusions";#N/A,#N/A,FALSE,"Assum.";#N/A,#N/A,FALSE,"Sun  DCF-WC-Dep";#N/A,#N/A,FALSE,"MarketValue";#N/A,#N/A,FALSE,"BalSheet";#N/A,#N/A,FALSE,"WACC";#N/A,#N/A,FALSE,"PC+ Info.";#N/A,#N/A,FALSE,"PC+Info_2"}</definedName>
    <definedName name="copy" localSheetId="9"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DA_2164615669000001165" localSheetId="59" hidden="1">'[11]2 Monthly Expense Actuals'!#REF!</definedName>
    <definedName name="DA_2164615669000001165" localSheetId="80" hidden="1">'[12]2 Monthly Expense Actuals'!#REF!</definedName>
    <definedName name="DA_2164615669000001165" localSheetId="39" hidden="1">'[12]2 Monthly Expense Actuals'!#REF!</definedName>
    <definedName name="DA_2164615669000001165" localSheetId="8" hidden="1">'[12]2 Monthly Expense Actuals'!#REF!</definedName>
    <definedName name="DA_2164615669000001165" localSheetId="6" hidden="1">'[12]2 Monthly Expense Actuals'!#REF!</definedName>
    <definedName name="DA_2164615669000001165" localSheetId="5" hidden="1">'[12]2 Monthly Expense Actuals'!#REF!</definedName>
    <definedName name="DA_2164615669000001165" hidden="1">'[12]2 Monthly Expense Actuals'!#REF!</definedName>
    <definedName name="Data.Dump" localSheetId="59" hidden="1">OFFSET([0]!Data.Top.Left,1,0)</definedName>
    <definedName name="Data.Dump" localSheetId="37" hidden="1">OFFSET([0]!Data.Top.Left,1,0)</definedName>
    <definedName name="Data.Dump" localSheetId="80" hidden="1">OFFSET([0]!Data.Top.Left,1,0)</definedName>
    <definedName name="Data.Dump" localSheetId="39" hidden="1">OFFSET([0]!Data.Top.Left,1,0)</definedName>
    <definedName name="Data.Dump" localSheetId="4" hidden="1">OFFSET([0]!Data.Top.Left,1,0)</definedName>
    <definedName name="Data.Dump" localSheetId="8" hidden="1">OFFSET([0]!Data.Top.Left,1,0)</definedName>
    <definedName name="Data.Dump" localSheetId="52" hidden="1">OFFSET([0]!Data.Top.Left,1,0)</definedName>
    <definedName name="Data.Dump" localSheetId="58" hidden="1">OFFSET([0]!Data.Top.Left,1,0)</definedName>
    <definedName name="Data.Dump" localSheetId="43" hidden="1">OFFSET([0]!Data.Top.Left,1,0)</definedName>
    <definedName name="Data.Dump" localSheetId="20" hidden="1">OFFSET([0]!Data.Top.Left,1,0)</definedName>
    <definedName name="Data.Dump" localSheetId="47" hidden="1">OFFSET([0]!Data.Top.Left,1,0)</definedName>
    <definedName name="Data.Dump" localSheetId="49" hidden="1">OFFSET([0]!Data.Top.Left,1,0)</definedName>
    <definedName name="Data.Dump" localSheetId="44" hidden="1">OFFSET([0]!Data.Top.Left,1,0)</definedName>
    <definedName name="Data.Dump" localSheetId="42" hidden="1">OFFSET([0]!Data.Top.Left,1,0)</definedName>
    <definedName name="Data.Dump" localSheetId="55" hidden="1">OFFSET([0]!Data.Top.Left,1,0)</definedName>
    <definedName name="Data.Dump" localSheetId="6" hidden="1">OFFSET([0]!Data.Top.Left,1,0)</definedName>
    <definedName name="Data.Dump" localSheetId="46" hidden="1">OFFSET([0]!Data.Top.Left,1,0)</definedName>
    <definedName name="Data.Dump" localSheetId="18" hidden="1">OFFSET([0]!Data.Top.Left,1,0)</definedName>
    <definedName name="Data.Dump" localSheetId="9" hidden="1">OFFSET([0]!Data.Top.Left,1,0)</definedName>
    <definedName name="Data.Dump" localSheetId="5" hidden="1">OFFSET([0]!Data.Top.Left,1,0)</definedName>
    <definedName name="Data.Dump" localSheetId="48" hidden="1">OFFSET([0]!Data.Top.Left,1,0)</definedName>
    <definedName name="Data.Dump" hidden="1">OFFSET([0]!Data.Top.Left,1,0)</definedName>
    <definedName name="dd" localSheetId="59" hidden="1">{#N/A,#N/A,FALSE,"Bakersfield PCs";#N/A,#N/A,FALSE,"Bremer PCs";#N/A,#N/A,FALSE,"Bakersfield Notebooks"}</definedName>
    <definedName name="dd" localSheetId="52" hidden="1">{#N/A,#N/A,FALSE,"Bakersfield PCs";#N/A,#N/A,FALSE,"Bremer PCs";#N/A,#N/A,FALSE,"Bakersfield Notebooks"}</definedName>
    <definedName name="dd" localSheetId="58" hidden="1">{#N/A,#N/A,FALSE,"Bakersfield PCs";#N/A,#N/A,FALSE,"Bremer PCs";#N/A,#N/A,FALSE,"Bakersfield Notebooks"}</definedName>
    <definedName name="dd" localSheetId="43" hidden="1">{#N/A,#N/A,FALSE,"Bakersfield PCs";#N/A,#N/A,FALSE,"Bremer PCs";#N/A,#N/A,FALSE,"Bakersfield Notebooks"}</definedName>
    <definedName name="dd" localSheetId="47" hidden="1">{#N/A,#N/A,FALSE,"Bakersfield PCs";#N/A,#N/A,FALSE,"Bremer PCs";#N/A,#N/A,FALSE,"Bakersfield Notebooks"}</definedName>
    <definedName name="dd" localSheetId="44" hidden="1">{#N/A,#N/A,FALSE,"Bakersfield PCs";#N/A,#N/A,FALSE,"Bremer PCs";#N/A,#N/A,FALSE,"Bakersfield Notebooks"}</definedName>
    <definedName name="dd" localSheetId="42" hidden="1">{#N/A,#N/A,FALSE,"Bakersfield PCs";#N/A,#N/A,FALSE,"Bremer PCs";#N/A,#N/A,FALSE,"Bakersfield Notebooks"}</definedName>
    <definedName name="dd" localSheetId="18" hidden="1">{#N/A,#N/A,FALSE,"Bakersfield PCs";#N/A,#N/A,FALSE,"Bremer PCs";#N/A,#N/A,FALSE,"Bakersfield Notebooks"}</definedName>
    <definedName name="dd" localSheetId="9" hidden="1">{#N/A,#N/A,FALSE,"Bakersfield PCs";#N/A,#N/A,FALSE,"Bremer PCs";#N/A,#N/A,FALSE,"Bakersfield Notebooks"}</definedName>
    <definedName name="dd" hidden="1">{#N/A,#N/A,FALSE,"Bakersfield PCs";#N/A,#N/A,FALSE,"Bremer PCs";#N/A,#N/A,FALSE,"Bakersfield Notebooks"}</definedName>
    <definedName name="dddddddddddddddd" localSheetId="59" hidden="1">Main.SAPF4Help()</definedName>
    <definedName name="dddddddddddddddd" localSheetId="37" hidden="1">Main.SAPF4Help()</definedName>
    <definedName name="dddddddddddddddd" localSheetId="80" hidden="1">Main.SAPF4Help()</definedName>
    <definedName name="dddddddddddddddd" localSheetId="39" hidden="1">Main.SAPF4Help()</definedName>
    <definedName name="dddddddddddddddd" localSheetId="4" hidden="1">Main.SAPF4Help()</definedName>
    <definedName name="dddddddddddddddd" localSheetId="8" hidden="1">Main.SAPF4Help()</definedName>
    <definedName name="dddddddddddddddd" localSheetId="52" hidden="1">Main.SAPF4Help()</definedName>
    <definedName name="dddddddddddddddd" localSheetId="58" hidden="1">Main.SAPF4Help()</definedName>
    <definedName name="dddddddddddddddd" localSheetId="43" hidden="1">Main.SAPF4Help()</definedName>
    <definedName name="dddddddddddddddd" localSheetId="20" hidden="1">Main.SAPF4Help()</definedName>
    <definedName name="dddddddddddddddd" localSheetId="47" hidden="1">Main.SAPF4Help()</definedName>
    <definedName name="dddddddddddddddd" localSheetId="49" hidden="1">Main.SAPF4Help()</definedName>
    <definedName name="dddddddddddddddd" localSheetId="44" hidden="1">Main.SAPF4Help()</definedName>
    <definedName name="dddddddddddddddd" localSheetId="42" hidden="1">Main.SAPF4Help()</definedName>
    <definedName name="dddddddddddddddd" localSheetId="55" hidden="1">Main.SAPF4Help()</definedName>
    <definedName name="dddddddddddddddd" localSheetId="6" hidden="1">Main.SAPF4Help()</definedName>
    <definedName name="dddddddddddddddd" localSheetId="46" hidden="1">Main.SAPF4Help()</definedName>
    <definedName name="dddddddddddddddd" localSheetId="18" hidden="1">Main.SAPF4Help()</definedName>
    <definedName name="dddddddddddddddd" localSheetId="9" hidden="1">Main.SAPF4Help()</definedName>
    <definedName name="dddddddddddddddd" localSheetId="5" hidden="1">Main.SAPF4Help()</definedName>
    <definedName name="dddddddddddddddd" localSheetId="48" hidden="1">Main.SAPF4Help()</definedName>
    <definedName name="dddddddddddddddd" hidden="1">Main.SAPF4Help()</definedName>
    <definedName name="del" localSheetId="59" hidden="1">{#N/A,#N/A,FALSE,"Cov";#N/A,#N/A,FALSE,"sum";#N/A,#N/A,FALSE,"baladj";#N/A,#N/A,FALSE,"bs";#N/A,#N/A,FALSE,"is";#N/A,#N/A,FALSE,"pis";#N/A,#N/A,FALSE,"pis";#N/A,#N/A,FALSE,"cf";#N/A,#N/A,FALSE,"balhist";#N/A,#N/A,FALSE,"wc";#N/A,#N/A,FALSE,"ltd";#N/A,#N/A,FALSE,"cover";#N/A,#N/A,FALSE,"fa";#N/A,#N/A,FALSE,"tax";#N/A,#N/A,FALSE,"irr";#N/A,#N/A,FALSE,"in";#N/A,#N/A,FALSE,"DCF Cov";#N/A,#N/A,FALSE,"dcf"}</definedName>
    <definedName name="del" localSheetId="52" hidden="1">{#N/A,#N/A,FALSE,"Cov";#N/A,#N/A,FALSE,"sum";#N/A,#N/A,FALSE,"baladj";#N/A,#N/A,FALSE,"bs";#N/A,#N/A,FALSE,"is";#N/A,#N/A,FALSE,"pis";#N/A,#N/A,FALSE,"pis";#N/A,#N/A,FALSE,"cf";#N/A,#N/A,FALSE,"balhist";#N/A,#N/A,FALSE,"wc";#N/A,#N/A,FALSE,"ltd";#N/A,#N/A,FALSE,"cover";#N/A,#N/A,FALSE,"fa";#N/A,#N/A,FALSE,"tax";#N/A,#N/A,FALSE,"irr";#N/A,#N/A,FALSE,"in";#N/A,#N/A,FALSE,"DCF Cov";#N/A,#N/A,FALSE,"dcf"}</definedName>
    <definedName name="del" localSheetId="58" hidden="1">{#N/A,#N/A,FALSE,"Cov";#N/A,#N/A,FALSE,"sum";#N/A,#N/A,FALSE,"baladj";#N/A,#N/A,FALSE,"bs";#N/A,#N/A,FALSE,"is";#N/A,#N/A,FALSE,"pis";#N/A,#N/A,FALSE,"pis";#N/A,#N/A,FALSE,"cf";#N/A,#N/A,FALSE,"balhist";#N/A,#N/A,FALSE,"wc";#N/A,#N/A,FALSE,"ltd";#N/A,#N/A,FALSE,"cover";#N/A,#N/A,FALSE,"fa";#N/A,#N/A,FALSE,"tax";#N/A,#N/A,FALSE,"irr";#N/A,#N/A,FALSE,"in";#N/A,#N/A,FALSE,"DCF Cov";#N/A,#N/A,FALSE,"dcf"}</definedName>
    <definedName name="del" localSheetId="43" hidden="1">{#N/A,#N/A,FALSE,"Cov";#N/A,#N/A,FALSE,"sum";#N/A,#N/A,FALSE,"baladj";#N/A,#N/A,FALSE,"bs";#N/A,#N/A,FALSE,"is";#N/A,#N/A,FALSE,"pis";#N/A,#N/A,FALSE,"pis";#N/A,#N/A,FALSE,"cf";#N/A,#N/A,FALSE,"balhist";#N/A,#N/A,FALSE,"wc";#N/A,#N/A,FALSE,"ltd";#N/A,#N/A,FALSE,"cover";#N/A,#N/A,FALSE,"fa";#N/A,#N/A,FALSE,"tax";#N/A,#N/A,FALSE,"irr";#N/A,#N/A,FALSE,"in";#N/A,#N/A,FALSE,"DCF Cov";#N/A,#N/A,FALSE,"dcf"}</definedName>
    <definedName name="del" localSheetId="47" hidden="1">{#N/A,#N/A,FALSE,"Cov";#N/A,#N/A,FALSE,"sum";#N/A,#N/A,FALSE,"baladj";#N/A,#N/A,FALSE,"bs";#N/A,#N/A,FALSE,"is";#N/A,#N/A,FALSE,"pis";#N/A,#N/A,FALSE,"pis";#N/A,#N/A,FALSE,"cf";#N/A,#N/A,FALSE,"balhist";#N/A,#N/A,FALSE,"wc";#N/A,#N/A,FALSE,"ltd";#N/A,#N/A,FALSE,"cover";#N/A,#N/A,FALSE,"fa";#N/A,#N/A,FALSE,"tax";#N/A,#N/A,FALSE,"irr";#N/A,#N/A,FALSE,"in";#N/A,#N/A,FALSE,"DCF Cov";#N/A,#N/A,FALSE,"dcf"}</definedName>
    <definedName name="del" localSheetId="44" hidden="1">{#N/A,#N/A,FALSE,"Cov";#N/A,#N/A,FALSE,"sum";#N/A,#N/A,FALSE,"baladj";#N/A,#N/A,FALSE,"bs";#N/A,#N/A,FALSE,"is";#N/A,#N/A,FALSE,"pis";#N/A,#N/A,FALSE,"pis";#N/A,#N/A,FALSE,"cf";#N/A,#N/A,FALSE,"balhist";#N/A,#N/A,FALSE,"wc";#N/A,#N/A,FALSE,"ltd";#N/A,#N/A,FALSE,"cover";#N/A,#N/A,FALSE,"fa";#N/A,#N/A,FALSE,"tax";#N/A,#N/A,FALSE,"irr";#N/A,#N/A,FALSE,"in";#N/A,#N/A,FALSE,"DCF Cov";#N/A,#N/A,FALSE,"dcf"}</definedName>
    <definedName name="del" localSheetId="42" hidden="1">{#N/A,#N/A,FALSE,"Cov";#N/A,#N/A,FALSE,"sum";#N/A,#N/A,FALSE,"baladj";#N/A,#N/A,FALSE,"bs";#N/A,#N/A,FALSE,"is";#N/A,#N/A,FALSE,"pis";#N/A,#N/A,FALSE,"pis";#N/A,#N/A,FALSE,"cf";#N/A,#N/A,FALSE,"balhist";#N/A,#N/A,FALSE,"wc";#N/A,#N/A,FALSE,"ltd";#N/A,#N/A,FALSE,"cover";#N/A,#N/A,FALSE,"fa";#N/A,#N/A,FALSE,"tax";#N/A,#N/A,FALSE,"irr";#N/A,#N/A,FALSE,"in";#N/A,#N/A,FALSE,"DCF Cov";#N/A,#N/A,FALSE,"dcf"}</definedName>
    <definedName name="del" localSheetId="18" hidden="1">{#N/A,#N/A,FALSE,"Cov";#N/A,#N/A,FALSE,"sum";#N/A,#N/A,FALSE,"baladj";#N/A,#N/A,FALSE,"bs";#N/A,#N/A,FALSE,"is";#N/A,#N/A,FALSE,"pis";#N/A,#N/A,FALSE,"pis";#N/A,#N/A,FALSE,"cf";#N/A,#N/A,FALSE,"balhist";#N/A,#N/A,FALSE,"wc";#N/A,#N/A,FALSE,"ltd";#N/A,#N/A,FALSE,"cover";#N/A,#N/A,FALSE,"fa";#N/A,#N/A,FALSE,"tax";#N/A,#N/A,FALSE,"irr";#N/A,#N/A,FALSE,"in";#N/A,#N/A,FALSE,"DCF Cov";#N/A,#N/A,FALSE,"dcf"}</definedName>
    <definedName name="del" localSheetId="9"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59" hidden="1">{#N/A,#N/A,FALSE,"Cov";#N/A,#N/A,FALSE,"sum";#N/A,#N/A,FALSE,"baladj";#N/A,#N/A,FALSE,"bs";#N/A,#N/A,FALSE,"is";#N/A,#N/A,FALSE,"pis";#N/A,#N/A,FALSE,"cf";#N/A,#N/A,FALSE,"balhist";#N/A,#N/A,FALSE,"wc";#N/A,#N/A,FALSE,"ltd";#N/A,#N/A,FALSE,"cover";#N/A,#N/A,FALSE,"fa";#N/A,#N/A,FALSE,"tax";#N/A,#N/A,FALSE,"irr";#N/A,#N/A,FALSE,"in"}</definedName>
    <definedName name="dele" localSheetId="52" hidden="1">{#N/A,#N/A,FALSE,"Cov";#N/A,#N/A,FALSE,"sum";#N/A,#N/A,FALSE,"baladj";#N/A,#N/A,FALSE,"bs";#N/A,#N/A,FALSE,"is";#N/A,#N/A,FALSE,"pis";#N/A,#N/A,FALSE,"cf";#N/A,#N/A,FALSE,"balhist";#N/A,#N/A,FALSE,"wc";#N/A,#N/A,FALSE,"ltd";#N/A,#N/A,FALSE,"cover";#N/A,#N/A,FALSE,"fa";#N/A,#N/A,FALSE,"tax";#N/A,#N/A,FALSE,"irr";#N/A,#N/A,FALSE,"in"}</definedName>
    <definedName name="dele" localSheetId="58" hidden="1">{#N/A,#N/A,FALSE,"Cov";#N/A,#N/A,FALSE,"sum";#N/A,#N/A,FALSE,"baladj";#N/A,#N/A,FALSE,"bs";#N/A,#N/A,FALSE,"is";#N/A,#N/A,FALSE,"pis";#N/A,#N/A,FALSE,"cf";#N/A,#N/A,FALSE,"balhist";#N/A,#N/A,FALSE,"wc";#N/A,#N/A,FALSE,"ltd";#N/A,#N/A,FALSE,"cover";#N/A,#N/A,FALSE,"fa";#N/A,#N/A,FALSE,"tax";#N/A,#N/A,FALSE,"irr";#N/A,#N/A,FALSE,"in"}</definedName>
    <definedName name="dele" localSheetId="43" hidden="1">{#N/A,#N/A,FALSE,"Cov";#N/A,#N/A,FALSE,"sum";#N/A,#N/A,FALSE,"baladj";#N/A,#N/A,FALSE,"bs";#N/A,#N/A,FALSE,"is";#N/A,#N/A,FALSE,"pis";#N/A,#N/A,FALSE,"cf";#N/A,#N/A,FALSE,"balhist";#N/A,#N/A,FALSE,"wc";#N/A,#N/A,FALSE,"ltd";#N/A,#N/A,FALSE,"cover";#N/A,#N/A,FALSE,"fa";#N/A,#N/A,FALSE,"tax";#N/A,#N/A,FALSE,"irr";#N/A,#N/A,FALSE,"in"}</definedName>
    <definedName name="dele" localSheetId="47" hidden="1">{#N/A,#N/A,FALSE,"Cov";#N/A,#N/A,FALSE,"sum";#N/A,#N/A,FALSE,"baladj";#N/A,#N/A,FALSE,"bs";#N/A,#N/A,FALSE,"is";#N/A,#N/A,FALSE,"pis";#N/A,#N/A,FALSE,"cf";#N/A,#N/A,FALSE,"balhist";#N/A,#N/A,FALSE,"wc";#N/A,#N/A,FALSE,"ltd";#N/A,#N/A,FALSE,"cover";#N/A,#N/A,FALSE,"fa";#N/A,#N/A,FALSE,"tax";#N/A,#N/A,FALSE,"irr";#N/A,#N/A,FALSE,"in"}</definedName>
    <definedName name="dele" localSheetId="44" hidden="1">{#N/A,#N/A,FALSE,"Cov";#N/A,#N/A,FALSE,"sum";#N/A,#N/A,FALSE,"baladj";#N/A,#N/A,FALSE,"bs";#N/A,#N/A,FALSE,"is";#N/A,#N/A,FALSE,"pis";#N/A,#N/A,FALSE,"cf";#N/A,#N/A,FALSE,"balhist";#N/A,#N/A,FALSE,"wc";#N/A,#N/A,FALSE,"ltd";#N/A,#N/A,FALSE,"cover";#N/A,#N/A,FALSE,"fa";#N/A,#N/A,FALSE,"tax";#N/A,#N/A,FALSE,"irr";#N/A,#N/A,FALSE,"in"}</definedName>
    <definedName name="dele" localSheetId="42" hidden="1">{#N/A,#N/A,FALSE,"Cov";#N/A,#N/A,FALSE,"sum";#N/A,#N/A,FALSE,"baladj";#N/A,#N/A,FALSE,"bs";#N/A,#N/A,FALSE,"is";#N/A,#N/A,FALSE,"pis";#N/A,#N/A,FALSE,"cf";#N/A,#N/A,FALSE,"balhist";#N/A,#N/A,FALSE,"wc";#N/A,#N/A,FALSE,"ltd";#N/A,#N/A,FALSE,"cover";#N/A,#N/A,FALSE,"fa";#N/A,#N/A,FALSE,"tax";#N/A,#N/A,FALSE,"irr";#N/A,#N/A,FALSE,"in"}</definedName>
    <definedName name="dele" localSheetId="18" hidden="1">{#N/A,#N/A,FALSE,"Cov";#N/A,#N/A,FALSE,"sum";#N/A,#N/A,FALSE,"baladj";#N/A,#N/A,FALSE,"bs";#N/A,#N/A,FALSE,"is";#N/A,#N/A,FALSE,"pis";#N/A,#N/A,FALSE,"cf";#N/A,#N/A,FALSE,"balhist";#N/A,#N/A,FALSE,"wc";#N/A,#N/A,FALSE,"ltd";#N/A,#N/A,FALSE,"cover";#N/A,#N/A,FALSE,"fa";#N/A,#N/A,FALSE,"tax";#N/A,#N/A,FALSE,"irr";#N/A,#N/A,FALSE,"in"}</definedName>
    <definedName name="dele" localSheetId="9"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59" hidden="1">{#N/A,#N/A,FALSE,"DCF Cov";#N/A,#N/A,FALSE,"dcf"}</definedName>
    <definedName name="delete" localSheetId="52" hidden="1">{#N/A,#N/A,FALSE,"DCF Cov";#N/A,#N/A,FALSE,"dcf"}</definedName>
    <definedName name="delete" localSheetId="58" hidden="1">{#N/A,#N/A,FALSE,"DCF Cov";#N/A,#N/A,FALSE,"dcf"}</definedName>
    <definedName name="delete" localSheetId="43" hidden="1">{#N/A,#N/A,FALSE,"DCF Cov";#N/A,#N/A,FALSE,"dcf"}</definedName>
    <definedName name="delete" localSheetId="47" hidden="1">{#N/A,#N/A,FALSE,"DCF Cov";#N/A,#N/A,FALSE,"dcf"}</definedName>
    <definedName name="delete" localSheetId="44" hidden="1">{#N/A,#N/A,FALSE,"DCF Cov";#N/A,#N/A,FALSE,"dcf"}</definedName>
    <definedName name="delete" localSheetId="42" hidden="1">{#N/A,#N/A,FALSE,"DCF Cov";#N/A,#N/A,FALSE,"dcf"}</definedName>
    <definedName name="delete" localSheetId="18" hidden="1">{#N/A,#N/A,FALSE,"DCF Cov";#N/A,#N/A,FALSE,"dcf"}</definedName>
    <definedName name="delete" localSheetId="9" hidden="1">{#N/A,#N/A,FALSE,"DCF Cov";#N/A,#N/A,FALSE,"dcf"}</definedName>
    <definedName name="delete" hidden="1">{#N/A,#N/A,FALSE,"DCF Cov";#N/A,#N/A,FALSE,"dcf"}</definedName>
    <definedName name="dse" localSheetId="59" hidden="1">{#N/A,#N/A,FALSE,"Model";#N/A,#N/A,FALSE,"Gen Pts &amp; Rts 2000";#N/A,#N/A,FALSE,"AcqsAss";#N/A,#N/A,FALSE,"Acqs &amp; De Novos"}</definedName>
    <definedName name="dse" localSheetId="52" hidden="1">{#N/A,#N/A,FALSE,"Model";#N/A,#N/A,FALSE,"Gen Pts &amp; Rts 2000";#N/A,#N/A,FALSE,"AcqsAss";#N/A,#N/A,FALSE,"Acqs &amp; De Novos"}</definedName>
    <definedName name="dse" localSheetId="58" hidden="1">{#N/A,#N/A,FALSE,"Model";#N/A,#N/A,FALSE,"Gen Pts &amp; Rts 2000";#N/A,#N/A,FALSE,"AcqsAss";#N/A,#N/A,FALSE,"Acqs &amp; De Novos"}</definedName>
    <definedName name="dse" localSheetId="43" hidden="1">{#N/A,#N/A,FALSE,"Model";#N/A,#N/A,FALSE,"Gen Pts &amp; Rts 2000";#N/A,#N/A,FALSE,"AcqsAss";#N/A,#N/A,FALSE,"Acqs &amp; De Novos"}</definedName>
    <definedName name="dse" localSheetId="47" hidden="1">{#N/A,#N/A,FALSE,"Model";#N/A,#N/A,FALSE,"Gen Pts &amp; Rts 2000";#N/A,#N/A,FALSE,"AcqsAss";#N/A,#N/A,FALSE,"Acqs &amp; De Novos"}</definedName>
    <definedName name="dse" localSheetId="44" hidden="1">{#N/A,#N/A,FALSE,"Model";#N/A,#N/A,FALSE,"Gen Pts &amp; Rts 2000";#N/A,#N/A,FALSE,"AcqsAss";#N/A,#N/A,FALSE,"Acqs &amp; De Novos"}</definedName>
    <definedName name="dse" localSheetId="42" hidden="1">{#N/A,#N/A,FALSE,"Model";#N/A,#N/A,FALSE,"Gen Pts &amp; Rts 2000";#N/A,#N/A,FALSE,"AcqsAss";#N/A,#N/A,FALSE,"Acqs &amp; De Novos"}</definedName>
    <definedName name="dse" localSheetId="18" hidden="1">{#N/A,#N/A,FALSE,"Model";#N/A,#N/A,FALSE,"Gen Pts &amp; Rts 2000";#N/A,#N/A,FALSE,"AcqsAss";#N/A,#N/A,FALSE,"Acqs &amp; De Novos"}</definedName>
    <definedName name="dse" localSheetId="9" hidden="1">{#N/A,#N/A,FALSE,"Model";#N/A,#N/A,FALSE,"Gen Pts &amp; Rts 2000";#N/A,#N/A,FALSE,"AcqsAss";#N/A,#N/A,FALSE,"Acqs &amp; De Novos"}</definedName>
    <definedName name="dse" hidden="1">{#N/A,#N/A,FALSE,"Model";#N/A,#N/A,FALSE,"Gen Pts &amp; Rts 2000";#N/A,#N/A,FALSE,"AcqsAss";#N/A,#N/A,FALSE,"Acqs &amp; De Novos"}</definedName>
    <definedName name="ef." localSheetId="59" hidden="1">{#N/A,"A",FALSE,"DCF"}</definedName>
    <definedName name="ef." localSheetId="52" hidden="1">{#N/A,"A",FALSE,"DCF"}</definedName>
    <definedName name="ef." localSheetId="58" hidden="1">{#N/A,"A",FALSE,"DCF"}</definedName>
    <definedName name="ef." localSheetId="43" hidden="1">{#N/A,"A",FALSE,"DCF"}</definedName>
    <definedName name="ef." localSheetId="47" hidden="1">{#N/A,"A",FALSE,"DCF"}</definedName>
    <definedName name="ef." localSheetId="44" hidden="1">{#N/A,"A",FALSE,"DCF"}</definedName>
    <definedName name="ef." localSheetId="42" hidden="1">{#N/A,"A",FALSE,"DCF"}</definedName>
    <definedName name="ef." localSheetId="18" hidden="1">{#N/A,"A",FALSE,"DCF"}</definedName>
    <definedName name="ef." localSheetId="9" hidden="1">{#N/A,"A",FALSE,"DCF"}</definedName>
    <definedName name="ef." hidden="1">{#N/A,"A",FALSE,"DCF"}</definedName>
    <definedName name="Error_Amount" hidden="1">"'Error_Checks'!B10"</definedName>
    <definedName name="Error_Check" hidden="1">"ABS(Error_Amount)&gt;Error_Threshold"</definedName>
    <definedName name="Error_Threshold" hidden="1">0.05</definedName>
    <definedName name="ev.Calculation" hidden="1">-4105</definedName>
    <definedName name="ev.Initialized" hidden="1">FALSE</definedName>
    <definedName name="ExactAddinReports" hidden="1">1</definedName>
    <definedName name="ExbMult_Total" localSheetId="59" hidden="1">#REF!</definedName>
    <definedName name="ExbMult_Total" localSheetId="37" hidden="1">#REF!</definedName>
    <definedName name="ExbMult_Total" localSheetId="80" hidden="1">#REF!</definedName>
    <definedName name="ExbMult_Total" localSheetId="39" hidden="1">#REF!</definedName>
    <definedName name="ExbMult_Total" localSheetId="4" hidden="1">#REF!</definedName>
    <definedName name="ExbMult_Total" localSheetId="8" hidden="1">#REF!</definedName>
    <definedName name="ExbMult_Total" localSheetId="52" hidden="1">#REF!</definedName>
    <definedName name="ExbMult_Total" localSheetId="58" hidden="1">#REF!</definedName>
    <definedName name="ExbMult_Total" localSheetId="43" hidden="1">#REF!</definedName>
    <definedName name="ExbMult_Total" localSheetId="20" hidden="1">#REF!</definedName>
    <definedName name="ExbMult_Total" localSheetId="49" hidden="1">#REF!</definedName>
    <definedName name="ExbMult_Total" localSheetId="44" hidden="1">#REF!</definedName>
    <definedName name="ExbMult_Total" localSheetId="55" hidden="1">#REF!</definedName>
    <definedName name="ExbMult_Total" localSheetId="6" hidden="1">#REF!</definedName>
    <definedName name="ExbMult_Total" localSheetId="46" hidden="1">#REF!</definedName>
    <definedName name="ExbMult_Total" localSheetId="5" hidden="1">#REF!</definedName>
    <definedName name="ExbMult_Total" localSheetId="48" hidden="1">#REF!</definedName>
    <definedName name="ExbMult_Total" hidden="1">#REF!</definedName>
    <definedName name="finres" localSheetId="59" hidden="1">#REF!</definedName>
    <definedName name="finres" localSheetId="37" hidden="1">#REF!</definedName>
    <definedName name="finres" localSheetId="80" hidden="1">#REF!</definedName>
    <definedName name="finres" localSheetId="39" hidden="1">#REF!</definedName>
    <definedName name="finres" localSheetId="4" hidden="1">#REF!</definedName>
    <definedName name="finres" localSheetId="8" hidden="1">#REF!</definedName>
    <definedName name="finres" localSheetId="52" hidden="1">#REF!</definedName>
    <definedName name="finres" localSheetId="58" hidden="1">#REF!</definedName>
    <definedName name="finres" localSheetId="43" hidden="1">#REF!</definedName>
    <definedName name="finres" localSheetId="20" hidden="1">#REF!</definedName>
    <definedName name="finres" localSheetId="49" hidden="1">#REF!</definedName>
    <definedName name="finres" localSheetId="44" hidden="1">#REF!</definedName>
    <definedName name="finres" localSheetId="55" hidden="1">#REF!</definedName>
    <definedName name="finres" localSheetId="6" hidden="1">#REF!</definedName>
    <definedName name="finres" localSheetId="46" hidden="1">#REF!</definedName>
    <definedName name="finres" localSheetId="5" hidden="1">#REF!</definedName>
    <definedName name="finres" localSheetId="48" hidden="1">#REF!</definedName>
    <definedName name="finres" hidden="1">#REF!</definedName>
    <definedName name="fw" localSheetId="59" hidden="1">{#N/A,#N/A,FALSE,"Model";#N/A,#N/A,FALSE,"Gen Pts &amp; Rts 2000";#N/A,#N/A,FALSE,"AcqsAss";#N/A,#N/A,FALSE,"Acqs &amp; De Novos"}</definedName>
    <definedName name="fw" localSheetId="52" hidden="1">{#N/A,#N/A,FALSE,"Model";#N/A,#N/A,FALSE,"Gen Pts &amp; Rts 2000";#N/A,#N/A,FALSE,"AcqsAss";#N/A,#N/A,FALSE,"Acqs &amp; De Novos"}</definedName>
    <definedName name="fw" localSheetId="58" hidden="1">{#N/A,#N/A,FALSE,"Model";#N/A,#N/A,FALSE,"Gen Pts &amp; Rts 2000";#N/A,#N/A,FALSE,"AcqsAss";#N/A,#N/A,FALSE,"Acqs &amp; De Novos"}</definedName>
    <definedName name="fw" localSheetId="43" hidden="1">{#N/A,#N/A,FALSE,"Model";#N/A,#N/A,FALSE,"Gen Pts &amp; Rts 2000";#N/A,#N/A,FALSE,"AcqsAss";#N/A,#N/A,FALSE,"Acqs &amp; De Novos"}</definedName>
    <definedName name="fw" localSheetId="47" hidden="1">{#N/A,#N/A,FALSE,"Model";#N/A,#N/A,FALSE,"Gen Pts &amp; Rts 2000";#N/A,#N/A,FALSE,"AcqsAss";#N/A,#N/A,FALSE,"Acqs &amp; De Novos"}</definedName>
    <definedName name="fw" localSheetId="44" hidden="1">{#N/A,#N/A,FALSE,"Model";#N/A,#N/A,FALSE,"Gen Pts &amp; Rts 2000";#N/A,#N/A,FALSE,"AcqsAss";#N/A,#N/A,FALSE,"Acqs &amp; De Novos"}</definedName>
    <definedName name="fw" localSheetId="42" hidden="1">{#N/A,#N/A,FALSE,"Model";#N/A,#N/A,FALSE,"Gen Pts &amp; Rts 2000";#N/A,#N/A,FALSE,"AcqsAss";#N/A,#N/A,FALSE,"Acqs &amp; De Novos"}</definedName>
    <definedName name="fw" localSheetId="18" hidden="1">{#N/A,#N/A,FALSE,"Model";#N/A,#N/A,FALSE,"Gen Pts &amp; Rts 2000";#N/A,#N/A,FALSE,"AcqsAss";#N/A,#N/A,FALSE,"Acqs &amp; De Novos"}</definedName>
    <definedName name="fw" localSheetId="9" hidden="1">{#N/A,#N/A,FALSE,"Model";#N/A,#N/A,FALSE,"Gen Pts &amp; Rts 2000";#N/A,#N/A,FALSE,"AcqsAss";#N/A,#N/A,FALSE,"Acqs &amp; De Novos"}</definedName>
    <definedName name="fw" hidden="1">{#N/A,#N/A,FALSE,"Model";#N/A,#N/A,FALSE,"Gen Pts &amp; Rts 2000";#N/A,#N/A,FALSE,"AcqsAss";#N/A,#N/A,FALSE,"Acqs &amp; De Novos"}</definedName>
    <definedName name="gin" localSheetId="59" hidden="1">#REF!</definedName>
    <definedName name="gin" localSheetId="37" hidden="1">#REF!</definedName>
    <definedName name="gin" localSheetId="80" hidden="1">#REF!</definedName>
    <definedName name="gin" localSheetId="39" hidden="1">#REF!</definedName>
    <definedName name="gin" localSheetId="4" hidden="1">#REF!</definedName>
    <definedName name="gin" localSheetId="8" hidden="1">#REF!</definedName>
    <definedName name="gin" localSheetId="52" hidden="1">#REF!</definedName>
    <definedName name="gin" localSheetId="58" hidden="1">#REF!</definedName>
    <definedName name="gin" localSheetId="43" hidden="1">#REF!</definedName>
    <definedName name="gin" localSheetId="20" hidden="1">#REF!</definedName>
    <definedName name="gin" localSheetId="49" hidden="1">#REF!</definedName>
    <definedName name="gin" localSheetId="44" hidden="1">#REF!</definedName>
    <definedName name="gin" localSheetId="55" hidden="1">#REF!</definedName>
    <definedName name="gin" localSheetId="6" hidden="1">#REF!</definedName>
    <definedName name="gin" localSheetId="46" hidden="1">#REF!</definedName>
    <definedName name="gin" localSheetId="5" hidden="1">#REF!</definedName>
    <definedName name="gin" localSheetId="48" hidden="1">#REF!</definedName>
    <definedName name="gin" hidden="1">#REF!</definedName>
    <definedName name="hh" localSheetId="59" hidden="1">{#N/A,#N/A,FALSE,"Bakersfield PCs";#N/A,#N/A,FALSE,"Bremer PCs";#N/A,#N/A,FALSE,"Bakersfield Notebooks"}</definedName>
    <definedName name="hh" localSheetId="52" hidden="1">{#N/A,#N/A,FALSE,"Bakersfield PCs";#N/A,#N/A,FALSE,"Bremer PCs";#N/A,#N/A,FALSE,"Bakersfield Notebooks"}</definedName>
    <definedName name="hh" localSheetId="58" hidden="1">{#N/A,#N/A,FALSE,"Bakersfield PCs";#N/A,#N/A,FALSE,"Bremer PCs";#N/A,#N/A,FALSE,"Bakersfield Notebooks"}</definedName>
    <definedName name="hh" localSheetId="43" hidden="1">{#N/A,#N/A,FALSE,"Bakersfield PCs";#N/A,#N/A,FALSE,"Bremer PCs";#N/A,#N/A,FALSE,"Bakersfield Notebooks"}</definedName>
    <definedName name="hh" localSheetId="47" hidden="1">{#N/A,#N/A,FALSE,"Bakersfield PCs";#N/A,#N/A,FALSE,"Bremer PCs";#N/A,#N/A,FALSE,"Bakersfield Notebooks"}</definedName>
    <definedName name="hh" localSheetId="44" hidden="1">{#N/A,#N/A,FALSE,"Bakersfield PCs";#N/A,#N/A,FALSE,"Bremer PCs";#N/A,#N/A,FALSE,"Bakersfield Notebooks"}</definedName>
    <definedName name="hh" localSheetId="42" hidden="1">{#N/A,#N/A,FALSE,"Bakersfield PCs";#N/A,#N/A,FALSE,"Bremer PCs";#N/A,#N/A,FALSE,"Bakersfield Notebooks"}</definedName>
    <definedName name="hh" localSheetId="18" hidden="1">{#N/A,#N/A,FALSE,"Bakersfield PCs";#N/A,#N/A,FALSE,"Bremer PCs";#N/A,#N/A,FALSE,"Bakersfield Notebooks"}</definedName>
    <definedName name="hh" localSheetId="9" hidden="1">{#N/A,#N/A,FALSE,"Bakersfield PCs";#N/A,#N/A,FALSE,"Bremer PCs";#N/A,#N/A,FALSE,"Bakersfield Notebooks"}</definedName>
    <definedName name="hh" hidden="1">{#N/A,#N/A,FALSE,"Bakersfield PCs";#N/A,#N/A,FALSE,"Bremer PCs";#N/A,#N/A,FALSE,"Bakersfield Notebooks"}</definedName>
    <definedName name="hhhh" localSheetId="59" hidden="1">{#N/A,#N/A,FALSE,"Bakersfield PCs";#N/A,#N/A,FALSE,"Bremer PCs";#N/A,#N/A,FALSE,"Bakersfield Notebooks"}</definedName>
    <definedName name="hhhh" localSheetId="52" hidden="1">{#N/A,#N/A,FALSE,"Bakersfield PCs";#N/A,#N/A,FALSE,"Bremer PCs";#N/A,#N/A,FALSE,"Bakersfield Notebooks"}</definedName>
    <definedName name="hhhh" localSheetId="58" hidden="1">{#N/A,#N/A,FALSE,"Bakersfield PCs";#N/A,#N/A,FALSE,"Bremer PCs";#N/A,#N/A,FALSE,"Bakersfield Notebooks"}</definedName>
    <definedName name="hhhh" localSheetId="43" hidden="1">{#N/A,#N/A,FALSE,"Bakersfield PCs";#N/A,#N/A,FALSE,"Bremer PCs";#N/A,#N/A,FALSE,"Bakersfield Notebooks"}</definedName>
    <definedName name="hhhh" localSheetId="47" hidden="1">{#N/A,#N/A,FALSE,"Bakersfield PCs";#N/A,#N/A,FALSE,"Bremer PCs";#N/A,#N/A,FALSE,"Bakersfield Notebooks"}</definedName>
    <definedName name="hhhh" localSheetId="44" hidden="1">{#N/A,#N/A,FALSE,"Bakersfield PCs";#N/A,#N/A,FALSE,"Bremer PCs";#N/A,#N/A,FALSE,"Bakersfield Notebooks"}</definedName>
    <definedName name="hhhh" localSheetId="42" hidden="1">{#N/A,#N/A,FALSE,"Bakersfield PCs";#N/A,#N/A,FALSE,"Bremer PCs";#N/A,#N/A,FALSE,"Bakersfield Notebooks"}</definedName>
    <definedName name="hhhh" localSheetId="18" hidden="1">{#N/A,#N/A,FALSE,"Bakersfield PCs";#N/A,#N/A,FALSE,"Bremer PCs";#N/A,#N/A,FALSE,"Bakersfield Notebooks"}</definedName>
    <definedName name="hhhh" localSheetId="9" hidden="1">{#N/A,#N/A,FALSE,"Bakersfield PCs";#N/A,#N/A,FALSE,"Bremer PCs";#N/A,#N/A,FALSE,"Bakersfield Notebooks"}</definedName>
    <definedName name="hhhh" hidden="1">{#N/A,#N/A,FALSE,"Bakersfield PCs";#N/A,#N/A,FALSE,"Bremer PCs";#N/A,#N/A,FALSE,"Bakersfield Notebooks"}</definedName>
    <definedName name="hhhhh" localSheetId="59" hidden="1">{#N/A,#N/A,FALSE,"Bakersfield PCs";#N/A,#N/A,FALSE,"Bremer PCs";#N/A,#N/A,FALSE,"Bakersfield Notebooks"}</definedName>
    <definedName name="hhhhh" localSheetId="52" hidden="1">{#N/A,#N/A,FALSE,"Bakersfield PCs";#N/A,#N/A,FALSE,"Bremer PCs";#N/A,#N/A,FALSE,"Bakersfield Notebooks"}</definedName>
    <definedName name="hhhhh" localSheetId="58" hidden="1">{#N/A,#N/A,FALSE,"Bakersfield PCs";#N/A,#N/A,FALSE,"Bremer PCs";#N/A,#N/A,FALSE,"Bakersfield Notebooks"}</definedName>
    <definedName name="hhhhh" localSheetId="43" hidden="1">{#N/A,#N/A,FALSE,"Bakersfield PCs";#N/A,#N/A,FALSE,"Bremer PCs";#N/A,#N/A,FALSE,"Bakersfield Notebooks"}</definedName>
    <definedName name="hhhhh" localSheetId="47" hidden="1">{#N/A,#N/A,FALSE,"Bakersfield PCs";#N/A,#N/A,FALSE,"Bremer PCs";#N/A,#N/A,FALSE,"Bakersfield Notebooks"}</definedName>
    <definedName name="hhhhh" localSheetId="44" hidden="1">{#N/A,#N/A,FALSE,"Bakersfield PCs";#N/A,#N/A,FALSE,"Bremer PCs";#N/A,#N/A,FALSE,"Bakersfield Notebooks"}</definedName>
    <definedName name="hhhhh" localSheetId="42" hidden="1">{#N/A,#N/A,FALSE,"Bakersfield PCs";#N/A,#N/A,FALSE,"Bremer PCs";#N/A,#N/A,FALSE,"Bakersfield Notebooks"}</definedName>
    <definedName name="hhhhh" localSheetId="18" hidden="1">{#N/A,#N/A,FALSE,"Bakersfield PCs";#N/A,#N/A,FALSE,"Bremer PCs";#N/A,#N/A,FALSE,"Bakersfield Notebooks"}</definedName>
    <definedName name="hhhhh" localSheetId="9" hidden="1">{#N/A,#N/A,FALSE,"Bakersfield PCs";#N/A,#N/A,FALSE,"Bremer PCs";#N/A,#N/A,FALSE,"Bakersfield Notebooks"}</definedName>
    <definedName name="hhhhh" hidden="1">{#N/A,#N/A,FALSE,"Bakersfield PCs";#N/A,#N/A,FALSE,"Bremer PCs";#N/A,#N/A,FALSE,"Bakersfield Notebooks"}</definedName>
    <definedName name="hhhw" localSheetId="59" hidden="1">{#N/A,#N/A,FALSE,"Bakersfield PCs";#N/A,#N/A,FALSE,"Bremer PCs";#N/A,#N/A,FALSE,"Bakersfield Notebooks"}</definedName>
    <definedName name="hhhw" localSheetId="52" hidden="1">{#N/A,#N/A,FALSE,"Bakersfield PCs";#N/A,#N/A,FALSE,"Bremer PCs";#N/A,#N/A,FALSE,"Bakersfield Notebooks"}</definedName>
    <definedName name="hhhw" localSheetId="58" hidden="1">{#N/A,#N/A,FALSE,"Bakersfield PCs";#N/A,#N/A,FALSE,"Bremer PCs";#N/A,#N/A,FALSE,"Bakersfield Notebooks"}</definedName>
    <definedName name="hhhw" localSheetId="43" hidden="1">{#N/A,#N/A,FALSE,"Bakersfield PCs";#N/A,#N/A,FALSE,"Bremer PCs";#N/A,#N/A,FALSE,"Bakersfield Notebooks"}</definedName>
    <definedName name="hhhw" localSheetId="47" hidden="1">{#N/A,#N/A,FALSE,"Bakersfield PCs";#N/A,#N/A,FALSE,"Bremer PCs";#N/A,#N/A,FALSE,"Bakersfield Notebooks"}</definedName>
    <definedName name="hhhw" localSheetId="44" hidden="1">{#N/A,#N/A,FALSE,"Bakersfield PCs";#N/A,#N/A,FALSE,"Bremer PCs";#N/A,#N/A,FALSE,"Bakersfield Notebooks"}</definedName>
    <definedName name="hhhw" localSheetId="42" hidden="1">{#N/A,#N/A,FALSE,"Bakersfield PCs";#N/A,#N/A,FALSE,"Bremer PCs";#N/A,#N/A,FALSE,"Bakersfield Notebooks"}</definedName>
    <definedName name="hhhw" localSheetId="18" hidden="1">{#N/A,#N/A,FALSE,"Bakersfield PCs";#N/A,#N/A,FALSE,"Bremer PCs";#N/A,#N/A,FALSE,"Bakersfield Notebooks"}</definedName>
    <definedName name="hhhw" localSheetId="9"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59" hidden="1">{"'Leverage'!$B$2:$M$418"}</definedName>
    <definedName name="HTML_Control" localSheetId="52" hidden="1">{"'Leverage'!$B$2:$M$418"}</definedName>
    <definedName name="HTML_Control" localSheetId="58" hidden="1">{"'Leverage'!$B$2:$M$418"}</definedName>
    <definedName name="HTML_Control" localSheetId="43" hidden="1">{"'Leverage'!$B$2:$M$418"}</definedName>
    <definedName name="HTML_Control" localSheetId="47" hidden="1">{"'Leverage'!$B$2:$M$418"}</definedName>
    <definedName name="HTML_Control" localSheetId="44" hidden="1">{"'Leverage'!$B$2:$M$418"}</definedName>
    <definedName name="HTML_Control" localSheetId="42" hidden="1">{"'Leverage'!$B$2:$M$418"}</definedName>
    <definedName name="HTML_Control" localSheetId="18" hidden="1">{"'Leverage'!$B$2:$M$418"}</definedName>
    <definedName name="HTML_Control" localSheetId="9"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iiii" localSheetId="59" hidden="1">{#N/A,#N/A,FALSE,"Bakersfield PCs";#N/A,#N/A,FALSE,"Bremer PCs";#N/A,#N/A,FALSE,"Bakersfield Notebooks"}</definedName>
    <definedName name="iiii" localSheetId="52" hidden="1">{#N/A,#N/A,FALSE,"Bakersfield PCs";#N/A,#N/A,FALSE,"Bremer PCs";#N/A,#N/A,FALSE,"Bakersfield Notebooks"}</definedName>
    <definedName name="iiii" localSheetId="58" hidden="1">{#N/A,#N/A,FALSE,"Bakersfield PCs";#N/A,#N/A,FALSE,"Bremer PCs";#N/A,#N/A,FALSE,"Bakersfield Notebooks"}</definedName>
    <definedName name="iiii" localSheetId="43" hidden="1">{#N/A,#N/A,FALSE,"Bakersfield PCs";#N/A,#N/A,FALSE,"Bremer PCs";#N/A,#N/A,FALSE,"Bakersfield Notebooks"}</definedName>
    <definedName name="iiii" localSheetId="47" hidden="1">{#N/A,#N/A,FALSE,"Bakersfield PCs";#N/A,#N/A,FALSE,"Bremer PCs";#N/A,#N/A,FALSE,"Bakersfield Notebooks"}</definedName>
    <definedName name="iiii" localSheetId="44" hidden="1">{#N/A,#N/A,FALSE,"Bakersfield PCs";#N/A,#N/A,FALSE,"Bremer PCs";#N/A,#N/A,FALSE,"Bakersfield Notebooks"}</definedName>
    <definedName name="iiii" localSheetId="42" hidden="1">{#N/A,#N/A,FALSE,"Bakersfield PCs";#N/A,#N/A,FALSE,"Bremer PCs";#N/A,#N/A,FALSE,"Bakersfield Notebooks"}</definedName>
    <definedName name="iiii" localSheetId="18" hidden="1">{#N/A,#N/A,FALSE,"Bakersfield PCs";#N/A,#N/A,FALSE,"Bremer PCs";#N/A,#N/A,FALSE,"Bakersfield Notebooks"}</definedName>
    <definedName name="iiii" localSheetId="9" hidden="1">{#N/A,#N/A,FALSE,"Bakersfield PCs";#N/A,#N/A,FALSE,"Bremer PCs";#N/A,#N/A,FALSE,"Bakersfield Notebooks"}</definedName>
    <definedName name="iiii" hidden="1">{#N/A,#N/A,FALSE,"Bakersfield PCs";#N/A,#N/A,FALSE,"Bremer PCs";#N/A,#N/A,FALSE,"Bakersfield Notebooks"}</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localSheetId="61" hidden="1">"c36"</definedName>
    <definedName name="IQ_ACCOUNT_CHANGE" hidden="1">"c413"</definedName>
    <definedName name="IQ_ACCOUNTS_PAY" localSheetId="61" hidden="1">"c91"</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localSheetId="61" hidden="1">"c93"</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localSheetId="61" hidden="1">"c282"</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localSheetId="61" hidden="1">"c109"</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localSheetId="61" hidden="1">"c292"</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localSheetId="61" hidden="1">"c121"</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localSheetId="61" hidden="1">"c148"</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localSheetId="61" hidden="1">"c278"</definedName>
    <definedName name="IQ_AVG_BROKER_REC" hidden="1">"c63"</definedName>
    <definedName name="IQ_AVG_BROKER_REC_NO" localSheetId="61" hidden="1">"c279"</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localSheetId="61" hidden="1">"c253"</definedName>
    <definedName name="IQ_AVG_PRICE" hidden="1">"c81"</definedName>
    <definedName name="IQ_AVG_PRICE_TARGET" localSheetId="61" hidden="1">"c280"</definedName>
    <definedName name="IQ_AVG_PRICE_TARGET" hidden="1">"c82"</definedName>
    <definedName name="IQ_AVG_SHAREOUTSTANDING" hidden="1">"c83"</definedName>
    <definedName name="IQ_AVG_TEV" hidden="1">"c84"</definedName>
    <definedName name="IQ_AVG_VOLUME" localSheetId="61" hidden="1">"c254"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localSheetId="61" hidden="1">"c45"</definedName>
    <definedName name="IQ_BASIC_EPS_EXCL" hidden="1">"c85"</definedName>
    <definedName name="IQ_BASIC_EPS_INCL" localSheetId="61" hidden="1">"c46"</definedName>
    <definedName name="IQ_BASIC_EPS_INCL" hidden="1">"c86"</definedName>
    <definedName name="IQ_BASIC_NORMAL_EPS" localSheetId="61" hidden="1">"c65"</definedName>
    <definedName name="IQ_BASIC_NORMAL_EPS" hidden="1">"c1592"</definedName>
    <definedName name="IQ_BASIC_WEIGHT" localSheetId="61" hidden="1">"c44"</definedName>
    <definedName name="IQ_BASIC_WEIGHT" hidden="1">"c87"</definedName>
    <definedName name="IQ_BETA" localSheetId="61" hidden="1">"c226"</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localSheetId="61" hidden="1">"c233"</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localSheetId="61" hidden="1">"c234"</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localSheetId="61" hidden="1">"c177"</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localSheetId="61" hidden="1">"c246"</definedName>
    <definedName name="IQ_CAL_Q" hidden="1">"c101"</definedName>
    <definedName name="IQ_CAL_Q_EST_REUT" hidden="1">"c6800"</definedName>
    <definedName name="IQ_CAL_Y" localSheetId="61" hidden="1">"c248"</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localSheetId="61" hidden="1">"c126"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localSheetId="61" hidden="1">"c99"</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localSheetId="61" hidden="1">"c69"</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localSheetId="61" hidden="1">"c71"</definedName>
    <definedName name="IQ_CASH_DUE_BANKS" hidden="1">"c118"</definedName>
    <definedName name="IQ_CASH_EQUIV" localSheetId="61" hidden="1">"c70"</definedName>
    <definedName name="IQ_CASH_EQUIV" hidden="1">"c118"</definedName>
    <definedName name="IQ_CASH_FINAN" hidden="1">"c119"</definedName>
    <definedName name="IQ_CASH_IN_PROCESS_FDIC" hidden="1">"c6386"</definedName>
    <definedName name="IQ_CASH_INTEREST" localSheetId="61" hidden="1">"c137"</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localSheetId="61" hidden="1">"c73"</definedName>
    <definedName name="IQ_CASH_ST" hidden="1">"c124"</definedName>
    <definedName name="IQ_CASH_ST_INVEST" hidden="1">"c124"</definedName>
    <definedName name="IQ_CASH_TAXES" localSheetId="61" hidden="1">"c138"</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localSheetId="61" hidden="1">"c124"</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localSheetId="61" hidden="1">"c216"</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localSheetId="61" hidden="1">"c206"</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localSheetId="61" hidden="1">"c108"</definedName>
    <definedName name="IQ_COMMON_STOCK" hidden="1">"c182"</definedName>
    <definedName name="IQ_COMP_BENEFITS" hidden="1">"c213"</definedName>
    <definedName name="IQ_COMPANY_ADDRESS" localSheetId="61" hidden="1">"c213"</definedName>
    <definedName name="IQ_COMPANY_ADDRESS" hidden="1">"c214"</definedName>
    <definedName name="IQ_COMPANY_ID" hidden="1">"c3513"</definedName>
    <definedName name="IQ_COMPANY_NAME" localSheetId="61" hidden="1">"c208"</definedName>
    <definedName name="IQ_COMPANY_NAME" hidden="1">"c215"</definedName>
    <definedName name="IQ_COMPANY_NAME_LONG" hidden="1">"c1585"</definedName>
    <definedName name="IQ_COMPANY_PHONE" localSheetId="61" hidden="1">"c219"</definedName>
    <definedName name="IQ_COMPANY_PHONE" hidden="1">"c216"</definedName>
    <definedName name="IQ_COMPANY_STATUS" hidden="1">"c2097"</definedName>
    <definedName name="IQ_COMPANY_STREET1" localSheetId="61" hidden="1">"c214"</definedName>
    <definedName name="IQ_COMPANY_STREET1" hidden="1">"c217"</definedName>
    <definedName name="IQ_COMPANY_STREET2" localSheetId="61" hidden="1">"c215"</definedName>
    <definedName name="IQ_COMPANY_STREET2" hidden="1">"c218"</definedName>
    <definedName name="IQ_COMPANY_TICKER" localSheetId="61" hidden="1">"c209"</definedName>
    <definedName name="IQ_COMPANY_TICKER" hidden="1">"c219"</definedName>
    <definedName name="IQ_COMPANY_TYPE" hidden="1">"c2096"</definedName>
    <definedName name="IQ_COMPANY_WEBSITE" localSheetId="61" hidden="1">"c212"</definedName>
    <definedName name="IQ_COMPANY_WEBSITE" hidden="1">"c220"</definedName>
    <definedName name="IQ_COMPANY_ZIP" localSheetId="61" hidden="1">"c218"</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localSheetId="61" hidden="1">"c6"</definedName>
    <definedName name="IQ_COST_REVENUE" hidden="1">"c226"</definedName>
    <definedName name="IQ_COST_SAVINGS" hidden="1">"c227"</definedName>
    <definedName name="IQ_COST_SERVICE" hidden="1">"c228"</definedName>
    <definedName name="IQ_COST_TOTAL_BORROWINGS" hidden="1">"c229"</definedName>
    <definedName name="IQ_COUNTRY_NAME" localSheetId="61" hidden="1">"c220"</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localSheetId="61" hidden="1">"c95"</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localSheetId="61" hidden="1">"c164"</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localSheetId="61" hidden="1">"c154"</definedName>
    <definedName name="IQ_DAYS_PAY_OUTST" hidden="1">"c274"</definedName>
    <definedName name="IQ_DAYS_PAYABLE_OUT" hidden="1">"c274"</definedName>
    <definedName name="IQ_DAYS_SALES_OUT" hidden="1">"c275"</definedName>
    <definedName name="IQ_DAYS_SALES_OUTST" localSheetId="61" hidden="1">"c153"</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localSheetId="61" hidden="1">"c290"</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localSheetId="61" hidden="1">"c102"</definedName>
    <definedName name="IQ_DEFERRED_INC_TAX" hidden="1">"c315"</definedName>
    <definedName name="IQ_DEFERRED_TAXES" localSheetId="61" hidden="1">"c122"</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localSheetId="61" hidden="1">"c10"</definedName>
    <definedName name="IQ_DEPRE_AMORT" hidden="1">"c247"</definedName>
    <definedName name="IQ_DEPRE_AMORT_SUPPL" localSheetId="61" hidden="1">"c54"</definedName>
    <definedName name="IQ_DEPRE_AMORT_SUPPL" hidden="1">"c1593"</definedName>
    <definedName name="IQ_DEPRE_DEPLE" localSheetId="61" hidden="1">"c120"</definedName>
    <definedName name="IQ_DEPRE_DEPLE" hidden="1">"c261"</definedName>
    <definedName name="IQ_DEPRE_SUPP" localSheetId="61" hidden="1">"c136"</definedName>
    <definedName name="IQ_DEPRE_SUPP" hidden="1">"c1443"</definedName>
    <definedName name="IQ_DERIVATIVES_FDIC" hidden="1">"c6523"</definedName>
    <definedName name="IQ_DESCRIPTION_LONG" localSheetId="61" hidden="1">"c211"</definedName>
    <definedName name="IQ_DESCRIPTION_LONG" hidden="1">"c322"</definedName>
    <definedName name="IQ_DEVELOP_LAND" hidden="1">"c323"</definedName>
    <definedName name="IQ_DIFF_LASTCLOSE_TARGET_PRICE" hidden="1">"c1854"</definedName>
    <definedName name="IQ_DILUT_ADJUST" localSheetId="61" hidden="1">"c47"</definedName>
    <definedName name="IQ_DILUT_ADJUST" hidden="1">"c1621"</definedName>
    <definedName name="IQ_DILUT_EPS_EXCL" localSheetId="61" hidden="1">"c49"</definedName>
    <definedName name="IQ_DILUT_EPS_EXCL" hidden="1">"c324"</definedName>
    <definedName name="IQ_DILUT_EPS_INCL" localSheetId="61" hidden="1">"c50"</definedName>
    <definedName name="IQ_DILUT_EPS_INCL" hidden="1">"c325"</definedName>
    <definedName name="IQ_DILUT_EPS_NORM" hidden="1">"c1903"</definedName>
    <definedName name="IQ_DILUT_NI" hidden="1">"c2079"</definedName>
    <definedName name="IQ_DILUT_NORMAL_EPS" localSheetId="61" hidden="1">"c66"</definedName>
    <definedName name="IQ_DILUT_NORMAL_EPS" hidden="1">"c1594"</definedName>
    <definedName name="IQ_DILUT_WEIGHT" localSheetId="61" hidden="1">"c48"</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localSheetId="61" hidden="1">"c37"</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localSheetId="61" hidden="1">"c51"</definedName>
    <definedName name="IQ_DIVID_SHARE" hidden="1">"c330"</definedName>
    <definedName name="IQ_DIVIDEND_YIELD" localSheetId="61" hidden="1">"c230"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localSheetId="61" hidden="1">"c22"</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localSheetId="61" hidden="1">"c141"</definedName>
    <definedName name="IQ_EBIT_MARGIN" hidden="1">"c359"</definedName>
    <definedName name="IQ_EBIT_OVER_IE" localSheetId="61" hidden="1">"c184"</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localSheetId="61" hidden="1">"c23"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localSheetId="61" hidden="1">"c186"</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localSheetId="61" hidden="1">"c252"</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localSheetId="61" hidden="1">"c265"</definedName>
    <definedName name="IQ_EBITDA_HIGH_EST" hidden="1">"c370"</definedName>
    <definedName name="IQ_EBITDA_HIGH_EST_REUT" hidden="1">"c3642"</definedName>
    <definedName name="IQ_EBITDA_INT" hidden="1">"c373"</definedName>
    <definedName name="IQ_EBITDA_LOW_EST" localSheetId="61" hidden="1">"c266"</definedName>
    <definedName name="IQ_EBITDA_LOW_EST" hidden="1">"c371"</definedName>
    <definedName name="IQ_EBITDA_LOW_EST_REUT" hidden="1">"c3643"</definedName>
    <definedName name="IQ_EBITDA_MARGIN" localSheetId="61" hidden="1">"c140"</definedName>
    <definedName name="IQ_EBITDA_MARGIN" hidden="1">"c372"</definedName>
    <definedName name="IQ_EBITDA_MEDIAN_EST_REUT" hidden="1">"c3641"</definedName>
    <definedName name="IQ_EBITDA_NO_EST" hidden="1">"c267"</definedName>
    <definedName name="IQ_EBITDA_NUM_EST" localSheetId="61" hidden="1">"c267"</definedName>
    <definedName name="IQ_EBITDA_NUM_EST" hidden="1">"c374"</definedName>
    <definedName name="IQ_EBITDA_NUM_EST_REUT" hidden="1">"c3644"</definedName>
    <definedName name="IQ_EBITDA_OVER_TOTAL_IE" localSheetId="61" hidden="1">"c185"</definedName>
    <definedName name="IQ_EBITDA_OVER_TOTAL_IE" hidden="1">"c373"</definedName>
    <definedName name="IQ_EBITDA_STDDEV_EST" localSheetId="61" hidden="1">"c268"</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localSheetId="61" hidden="1">"c61"</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localSheetId="61" hidden="1">"c221"</definedName>
    <definedName name="IQ_EMPLOYEES" hidden="1">"c392"</definedName>
    <definedName name="IQ_ENTERPRISE_VALUE" localSheetId="61" hidden="1">"c2"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localSheetId="61" hidden="1">"c187"</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localSheetId="61" hidden="1">"c269"</definedName>
    <definedName name="IQ_EPS_HIGH_EST" hidden="1">"c400"</definedName>
    <definedName name="IQ_EPS_HIGH_EST_REUT" hidden="1">"c5454"</definedName>
    <definedName name="IQ_EPS_LOW_EST" localSheetId="61" hidden="1">"c270"</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localSheetId="61" hidden="1">"c271"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localSheetId="61" hidden="1">"c272"</definedName>
    <definedName name="IQ_EPS_STDDEV_EST" hidden="1">"c403"</definedName>
    <definedName name="IQ_EPS_STDDEV_EST_REUT" hidden="1">"c5452"</definedName>
    <definedName name="IQ_EQUITY_AFFIL" localSheetId="61" hidden="1">"c33"</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localSheetId="61" hidden="1">"c173"</definedName>
    <definedName name="IQ_EQV_OVER_BV" hidden="1">"c1596"</definedName>
    <definedName name="IQ_EQV_OVER_LTM_PRETAX_INC" localSheetId="61" hidden="1">"c178"</definedName>
    <definedName name="IQ_EQV_OVER_LTM_PRETAX_INC" hidden="1">"c739"</definedName>
    <definedName name="IQ_ESOP_DEBT" localSheetId="61" hidden="1">"c112"</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THOM" hidden="1">"c4005"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URPRISE_PERCENT_REUT" hidden="1">"c3891"</definedName>
    <definedName name="IQ_EST_FFO_SURPRISE_PERCENT_THOM" hidden="1">"c5187"</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localSheetId="61" hidden="1">"c172"</definedName>
    <definedName name="IQ_EV_OVER_EMPLOYEE" hidden="1">"c1225"</definedName>
    <definedName name="IQ_EV_OVER_LTM_EBIT" localSheetId="61" hidden="1">"c167"</definedName>
    <definedName name="IQ_EV_OVER_LTM_EBIT" hidden="1">"c1221"</definedName>
    <definedName name="IQ_EV_OVER_LTM_EBITDA" localSheetId="61" hidden="1">"c168"</definedName>
    <definedName name="IQ_EV_OVER_LTM_EBITDA" hidden="1">"c1223"</definedName>
    <definedName name="IQ_EV_OVER_LTM_REVENUE" localSheetId="61" hidden="1">"c169"</definedName>
    <definedName name="IQ_EV_OVER_LTM_REVENUE" hidden="1">"c1227"</definedName>
    <definedName name="IQ_EV_OVER_REVENUE_EST" hidden="1">"c165"</definedName>
    <definedName name="IQ_EV_OVER_REVENUE_EST_1" hidden="1">"c166"</definedName>
    <definedName name="IQ_EXCHANGE" localSheetId="61" hidden="1">"c210"</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localSheetId="61" hidden="1">"c38"</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localSheetId="61" hidden="1">"c273"</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DATE" hidden="1">"c12212"</definedName>
    <definedName name="IQ_FFO_EST_DET_EST_DATE_CIQ" hidden="1">"c12267"</definedName>
    <definedName name="IQ_FFO_EST_DET_EST_DATE_REUT" hidden="1">"c12295"</definedName>
    <definedName name="IQ_FFO_EST_DET_EST_INCL" hidden="1">"c12349"</definedName>
    <definedName name="IQ_FFO_EST_DET_EST_INCL_CIQ" hidden="1">"c12395"</definedName>
    <definedName name="IQ_FFO_EST_DET_EST_INCL_REUT" hidden="1">"c12419"</definedName>
    <definedName name="IQ_FFO_EST_DET_EST_ORIGIN" hidden="1">"c12722"</definedName>
    <definedName name="IQ_FFO_EST_DET_EST_ORIGIN_CIQ" hidden="1">"c12720"</definedName>
    <definedName name="IQ_FFO_EST_DET_EST_ORIGIN_REUT" hidden="1">"c12724"</definedName>
    <definedName name="IQ_FFO_EST_DET_EST_REUT" hidden="1">"c12153"</definedName>
    <definedName name="IQ_FFO_EST_REUT" hidden="1">"c3837"</definedName>
    <definedName name="IQ_FFO_EST_THOM" hidden="1">"c3999"</definedName>
    <definedName name="IQ_FFO_HIGH_EST" localSheetId="61" hidden="1">"c274"</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localSheetId="61" hidden="1">"c275"</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localSheetId="61"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TDDEV_EST" localSheetId="61" hidden="1">"c277"</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localSheetId="61" hidden="1">"c129"</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localSheetId="61" hidden="1">"c245"</definedName>
    <definedName name="IQ_FISCAL_Q" hidden="1">"c440"</definedName>
    <definedName name="IQ_FISCAL_Q_EST_REUT" hidden="1">"c6798"</definedName>
    <definedName name="IQ_FISCAL_Y" localSheetId="61" hidden="1">"c247"</definedName>
    <definedName name="IQ_FISCAL_Y" hidden="1">"c441"</definedName>
    <definedName name="IQ_FISCAL_Y_EST_REUT" hidden="1">"c6799"</definedName>
    <definedName name="IQ_FIVE_PERCENT_OWNER" localSheetId="61" hidden="1">"c239"</definedName>
    <definedName name="IQ_FIVE_PERCENT_OWNER" hidden="1">"c442"</definedName>
    <definedName name="IQ_FIVE_YEAR_FIXED_AND_FLOATING_RATE_FDIC" hidden="1">"c6422"</definedName>
    <definedName name="IQ_FIVE_YEAR_MORTGAGE_PASS_THROUGHS_FDIC" hidden="1">"c6414"</definedName>
    <definedName name="IQ_FIVEPERCENT_PERCENT" localSheetId="61" hidden="1">"c240"</definedName>
    <definedName name="IQ_FIVEPERCENT_PERCENT" hidden="1">"c443"</definedName>
    <definedName name="IQ_FIVEPERCENT_SHARES" localSheetId="61" hidden="1">"c251"</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localSheetId="61" hidden="1">"c134"</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localSheetId="61" hidden="1">"10001"</definedName>
    <definedName name="IQ_FWD_CY" hidden="1">10001</definedName>
    <definedName name="IQ_FWD_CY1" localSheetId="61" hidden="1">"10002"</definedName>
    <definedName name="IQ_FWD_CY1" hidden="1">10002</definedName>
    <definedName name="IQ_FWD_CY2" localSheetId="61" hidden="1">"10003"</definedName>
    <definedName name="IQ_FWD_CY2" hidden="1">10003</definedName>
    <definedName name="IQ_FWD_FY" localSheetId="61" hidden="1">"1001"</definedName>
    <definedName name="IQ_FWD_FY" hidden="1">1001</definedName>
    <definedName name="IQ_FWD_FY1" localSheetId="61" hidden="1">"1002"</definedName>
    <definedName name="IQ_FWD_FY1" hidden="1">1002</definedName>
    <definedName name="IQ_FWD_FY2" localSheetId="61" hidden="1">"1003"</definedName>
    <definedName name="IQ_FWD_FY2" hidden="1">1003</definedName>
    <definedName name="IQ_FWD_Q" localSheetId="61" hidden="1">"501"</definedName>
    <definedName name="IQ_FWD_Q" hidden="1">501</definedName>
    <definedName name="IQ_FWD_Q1" localSheetId="61" hidden="1">"502"</definedName>
    <definedName name="IQ_FWD_Q1" hidden="1">502</definedName>
    <definedName name="IQ_FWD_Q2" localSheetId="61" hidden="1">"503"</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localSheetId="61" hidden="1">"c27"</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localSheetId="61" hidden="1">"c85"</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localSheetId="61" hidden="1">"c52"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localSheetId="61" hidden="1">"c139"</definedName>
    <definedName name="IQ_GROSS_MARGIN" hidden="1">"c529"</definedName>
    <definedName name="IQ_GROSS_PC_EARNED" hidden="1">"c2747"</definedName>
    <definedName name="IQ_GROSS_PROFIT" localSheetId="61" hidden="1">"c7"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localSheetId="61" hidden="1">"c193"</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localSheetId="61" hidden="1">"c31"</definedName>
    <definedName name="IQ_INC_AFTER_TAX" hidden="1">"c1598"</definedName>
    <definedName name="IQ_INC_AVAIL_EXCL" localSheetId="61" hidden="1">"c42"</definedName>
    <definedName name="IQ_INC_AVAIL_EXCL" hidden="1">"c789"</definedName>
    <definedName name="IQ_INC_AVAIL_INCL" localSheetId="61" hidden="1">"c43"</definedName>
    <definedName name="IQ_INC_AVAIL_INCL" hidden="1">"c791"</definedName>
    <definedName name="IQ_INC_BEFORE_TAX" localSheetId="61" hidden="1">"c29"</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localSheetId="61" hidden="1">"c30"</definedName>
    <definedName name="IQ_INC_TAX" hidden="1">"c560"</definedName>
    <definedName name="IQ_INC_TAX_EXCL" localSheetId="61" hidden="1">"c62"</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localSheetId="61" hidden="1">"c237"</definedName>
    <definedName name="IQ_INSIDER_OWNER" hidden="1">"c577"</definedName>
    <definedName name="IQ_INSIDER_PERCENT" localSheetId="61" hidden="1">"c238"</definedName>
    <definedName name="IQ_INSIDER_PERCENT" hidden="1">"c578"</definedName>
    <definedName name="IQ_INSIDER_SHARES" localSheetId="61" hidden="1">"c250"</definedName>
    <definedName name="IQ_INSIDER_SHARES" hidden="1">"c579"</definedName>
    <definedName name="IQ_INSTITUTIONAL_OVER_TOTAL" hidden="1">"c1580"</definedName>
    <definedName name="IQ_INSTITUTIONAL_OWNER" localSheetId="61" hidden="1">"c235"</definedName>
    <definedName name="IQ_INSTITUTIONAL_OWNER" hidden="1">"c580"</definedName>
    <definedName name="IQ_INSTITUTIONAL_PERCENT" localSheetId="61" hidden="1">"c236"</definedName>
    <definedName name="IQ_INSTITUTIONAL_PERCENT" hidden="1">"c581"</definedName>
    <definedName name="IQ_INSTITUTIONAL_SHARES" localSheetId="61" hidden="1">"c249"</definedName>
    <definedName name="IQ_INSTITUTIONAL_SHARES" hidden="1">"c582"</definedName>
    <definedName name="IQ_INSTITUTIONS_EARNINGS_GAINS_FDIC" hidden="1">"c6723"</definedName>
    <definedName name="IQ_INSUR_RECEIV" localSheetId="61" hidden="1">"c288"</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localSheetId="61" hidden="1">"c86"</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localSheetId="61" hidden="1">"c17"</definedName>
    <definedName name="IQ_INTEREST_EXP_NET" hidden="1">"c1450"</definedName>
    <definedName name="IQ_INTEREST_EXP_NON" localSheetId="61" hidden="1">"c24"</definedName>
    <definedName name="IQ_INTEREST_EXP_NON" hidden="1">"c618"</definedName>
    <definedName name="IQ_INTEREST_EXP_SUPPL" localSheetId="61" hidden="1">"c53"</definedName>
    <definedName name="IQ_INTEREST_EXP_SUPPL" hidden="1">"c1460"</definedName>
    <definedName name="IQ_INTEREST_INC" localSheetId="61" hidden="1">"c26"</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localSheetId="61" hidden="1">"c25"</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localSheetId="61" hidden="1">"c147"</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localSheetId="61" hidden="1">"c132"</definedName>
    <definedName name="IQ_ISS_DEBT_NET" hidden="1">"c751"</definedName>
    <definedName name="IQ_ISS_STOCK_NET" localSheetId="61" hidden="1">"c131"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localSheetId="61" hidden="1">"c191"</definedName>
    <definedName name="IQ_LASTSALEPRICE" hidden="1">"c646"</definedName>
    <definedName name="IQ_LASTSALEPRICE_DATE" hidden="1">"c2109"</definedName>
    <definedName name="IQ_LATEST" hidden="1">"1"</definedName>
    <definedName name="IQ_LATESTK" localSheetId="61" hidden="1">"1000"</definedName>
    <definedName name="IQ_LATESTK" hidden="1">1000</definedName>
    <definedName name="IQ_LATESTKFR" hidden="1">"100"</definedName>
    <definedName name="IQ_LATESTQ" localSheetId="61" hidden="1">"500"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localSheetId="61" hidden="1">"c12"</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localSheetId="61" hidden="1">"c98"</definedName>
    <definedName name="IQ_LONG_TERM_DEBT" hidden="1">"c674"</definedName>
    <definedName name="IQ_LONG_TERM_DEBT_OVER_TOTAL_CAP" localSheetId="61" hidden="1">"c181"</definedName>
    <definedName name="IQ_LONG_TERM_DEBT_OVER_TOTAL_CAP" hidden="1">"c677"</definedName>
    <definedName name="IQ_LONG_TERM_GROWTH" localSheetId="61" hidden="1">"c143"</definedName>
    <definedName name="IQ_LONG_TERM_GROWTH" hidden="1">"c671"</definedName>
    <definedName name="IQ_LONG_TERM_INV" localSheetId="61" hidden="1">"c87"</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localSheetId="61" hidden="1">"c194"</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localSheetId="61" hidden="1">"c289"</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localSheetId="61" hidden="1">"c179"</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localSheetId="61" hidden="1">"c200"</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localSheetId="61" hidden="1">"c103"</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localSheetId="61" hidden="1">"c32"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localSheetId="61" hidden="1">"c41"</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59" hidden="1">43021.2359837963</definedName>
    <definedName name="IQ_NAMES_REVISION_DATE_" localSheetId="61" hidden="1">40462.6379282406</definedName>
    <definedName name="IQ_NAMES_REVISION_DATE_" localSheetId="43" hidden="1">42620.1639467593</definedName>
    <definedName name="IQ_NAMES_REVISION_DATE_" localSheetId="42" hidden="1">42620.1639467593</definedName>
    <definedName name="IQ_NAMES_REVISION_DATE_" localSheetId="53" hidden="1">42418.5945138889</definedName>
    <definedName name="IQ_NAMES_REVISION_DATE_" localSheetId="18" hidden="1">42620.1639467593</definedName>
    <definedName name="IQ_NAMES_REVISION_DATE_" localSheetId="9" hidden="1">43050.452337963</definedName>
    <definedName name="IQ_NAMES_REVISION_DATE_" localSheetId="74" hidden="1">42571.2669444444</definedName>
    <definedName name="IQ_NAMES_REVISION_DATE_" hidden="1">43096.4881481481</definedName>
    <definedName name="IQ_NAMES_REVISION_DATE__1" hidden="1">41449.5435763889</definedName>
    <definedName name="IQ_NAV_ACT_OR_EST" hidden="1">"c2225"</definedName>
    <definedName name="IQ_NET_CHANGE" localSheetId="61" hidden="1">"c135"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localSheetId="61" hidden="1">"c118"</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localSheetId="61" hidden="1">"c39"</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localSheetId="61" hidden="1">"c35"</definedName>
    <definedName name="IQ_NET_INC_BEFORE" hidden="1">"c344"</definedName>
    <definedName name="IQ_NET_INC_CF" localSheetId="61" hidden="1">"c119"</definedName>
    <definedName name="IQ_NET_INC_CF" hidden="1">"c793"</definedName>
    <definedName name="IQ_NET_INC_GROWTH_1" hidden="1">"c158"</definedName>
    <definedName name="IQ_NET_INC_GROWTH_2" hidden="1">"c162"</definedName>
    <definedName name="IQ_NET_INC_MARGIN" localSheetId="61" hidden="1">"c142"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localSheetId="61" hidden="1">"c11"</definedName>
    <definedName name="IQ_NET_INTEREST_INC" hidden="1">"c764"</definedName>
    <definedName name="IQ_NET_INTEREST_INC_AFTER_LL" localSheetId="61" hidden="1">"c13"</definedName>
    <definedName name="IQ_NET_INTEREST_INC_AFTER_LL" hidden="1">"c1604"</definedName>
    <definedName name="IQ_NET_INTEREST_MARGIN_FDIC" hidden="1">"c6726"</definedName>
    <definedName name="IQ_NET_LIFE_INS_IN_FORCE" hidden="1">"c2769"</definedName>
    <definedName name="IQ_NET_LOANS" localSheetId="61" hidden="1">"c75"</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localSheetId="61" hidden="1">"c123"</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localSheetId="61" hidden="1">"c15"</definedName>
    <definedName name="IQ_NON_INTEREST_EXP" hidden="1">"c801"</definedName>
    <definedName name="IQ_NON_INTEREST_INC" localSheetId="61" hidden="1">"c14"</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localSheetId="61" hidden="1">"c63"</definedName>
    <definedName name="IQ_NORMAL_INC_AFTER" hidden="1">"c1605"</definedName>
    <definedName name="IQ_NORMAL_INC_AVAIL" localSheetId="61" hidden="1">"c64"</definedName>
    <definedName name="IQ_NORMAL_INC_AVAIL" hidden="1">"c1606"</definedName>
    <definedName name="IQ_NORMAL_INC_BEFORE" localSheetId="61" hidden="1">"c60"</definedName>
    <definedName name="IQ_NORMAL_INC_BEFORE" hidden="1">"c1607"</definedName>
    <definedName name="IQ_NOTES_PAY" localSheetId="61" hidden="1">"c94"</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localSheetId="61" hidden="1">"c195"</definedName>
    <definedName name="IQ_OPENPRICE" hidden="1">"c848"</definedName>
    <definedName name="IQ_OPER_INC" localSheetId="61" hidden="1">"c21"</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localSheetId="61" hidden="1">"c89"</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localSheetId="61" hidden="1">"c285"</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localSheetId="61" hidden="1">"c80"</definedName>
    <definedName name="IQ_OTHER_CURRENT_ASSETS" hidden="1">"c868"</definedName>
    <definedName name="IQ_OTHER_CURRENT_LIAB" localSheetId="61" hidden="1">"c96"</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localSheetId="61" hidden="1">"c74"</definedName>
    <definedName name="IQ_OTHER_EARNING" hidden="1">"c1609"</definedName>
    <definedName name="IQ_OTHER_EQUITY" localSheetId="61" hidden="1">"c113"</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localSheetId="61" hidden="1">"c127"</definedName>
    <definedName name="IQ_OTHER_INVESTING" hidden="1">"c916"</definedName>
    <definedName name="IQ_OTHER_LIAB" localSheetId="61" hidden="1">"c104"</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localSheetId="61" hidden="1">"c88"</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localSheetId="61" hidden="1">"c28"</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localSheetId="61" hidden="1">"c19"</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localSheetId="61" hidden="1">"c77"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localSheetId="61" hidden="1">"c4"</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localSheetId="61" hidden="1">"c92"</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localSheetId="61" hidden="1">"c1"</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localSheetId="61" hidden="1">"c244"</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localSheetId="61" hidden="1">"c291"</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localSheetId="61" hidden="1">"c40"</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localSheetId="61" hidden="1">"c107"</definedName>
    <definedName name="IQ_PREF_STOCK" hidden="1">"c1052"</definedName>
    <definedName name="IQ_PREF_TOT" localSheetId="61" hidden="1">"c294"</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localSheetId="61" hidden="1">"c81"</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localSheetId="61" hidden="1">"c171"</definedName>
    <definedName name="IQ_PRICE_OVER_BVPS" hidden="1">"c1026"</definedName>
    <definedName name="IQ_PRICE_OVER_EPS_EST" hidden="1">"c174"</definedName>
    <definedName name="IQ_PRICE_OVER_EPS_EST_1" hidden="1">"c175"</definedName>
    <definedName name="IQ_PRICE_OVER_LTM_EPS" localSheetId="61" hidden="1">"c176"</definedName>
    <definedName name="IQ_PRICE_OVER_LTM_EPS" hidden="1">"c1029"</definedName>
    <definedName name="IQ_PRICE_TARGET" hidden="1">"c82"</definedName>
    <definedName name="IQ_PRICE_TARGET_REUT" hidden="1">"c3631"</definedName>
    <definedName name="IQ_PRICEDATE" localSheetId="61" hidden="1">"c207"</definedName>
    <definedName name="IQ_PRICEDATE" hidden="1">"c1069"</definedName>
    <definedName name="IQ_PRICEDATETIME" hidden="1">"IQ_PRICEDATETIME"</definedName>
    <definedName name="IQ_PRICING_DATE" localSheetId="61" hidden="1">"c260"</definedName>
    <definedName name="IQ_PRICING_DATE" hidden="1">"c1613"</definedName>
    <definedName name="IQ_PRIMARY_EPS_TYPE_THOM" hidden="1">"c5297"</definedName>
    <definedName name="IQ_PRIMARY_INDUSTRY" localSheetId="61" hidden="1">"c222"</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localSheetId="61" hidden="1">"c57"</definedName>
    <definedName name="IQ_PRO_FORMA_BASIC_EPS" hidden="1">"c1614"</definedName>
    <definedName name="IQ_PRO_FORMA_DILUT_EPS" localSheetId="61" hidden="1">"c58"</definedName>
    <definedName name="IQ_PRO_FORMA_DILUT_EPS" hidden="1">"c1615"</definedName>
    <definedName name="IQ_PRO_FORMA_NET_INC" localSheetId="61" hidden="1">"c56"</definedName>
    <definedName name="IQ_PRO_FORMA_NET_INC" hidden="1">"c795"</definedName>
    <definedName name="IQ_PROFESSIONAL" localSheetId="61" hidden="1">"c231"</definedName>
    <definedName name="IQ_PROFESSIONAL" hidden="1">"c1071"</definedName>
    <definedName name="IQ_PROFESSIONAL_TITLE" localSheetId="61" hidden="1">"c232"</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localSheetId="61" hidden="1">"c84"</definedName>
    <definedName name="IQ_PROPERTY_GROSS" hidden="1">"c518"</definedName>
    <definedName name="IQ_PROPERTY_MGMT_FEE" hidden="1">"c1074"</definedName>
    <definedName name="IQ_PROPERTY_NET" localSheetId="61" hidden="1">"c83"</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localSheetId="61" hidden="1">"c163"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localSheetId="61" hidden="1">"c106"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localSheetId="61" hidden="1">"c9"</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localSheetId="61" hidden="1">"c110"</definedName>
    <definedName name="IQ_RETAINED_EARN" hidden="1">"c1092"</definedName>
    <definedName name="IQ_RETAINED_EARNINGS_AVERAGE_EQUITY_FDIC" hidden="1">"c6733"</definedName>
    <definedName name="IQ_RETURN_ASSETS" localSheetId="61" hidden="1">"c145"</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localSheetId="61" hidden="1">"c146"</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localSheetId="61" hidden="1">"c144"</definedName>
    <definedName name="IQ_RETURN_INVESTMENT" hidden="1">"c1117"</definedName>
    <definedName name="IQ_REV" hidden="1">"c1122"</definedName>
    <definedName name="IQ_REV_BEFORE_LL" hidden="1">"c1123"</definedName>
    <definedName name="IQ_REV_STDDEV_EST" localSheetId="61" hidden="1">"c264"</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localSheetId="61" hidden="1">"c3"</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localSheetId="61" hidden="1">"c188"</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localSheetId="61" hidden="1">"c261"</definedName>
    <definedName name="IQ_REVENUE_HIGH_EST" hidden="1">"c1127"</definedName>
    <definedName name="IQ_REVENUE_HIGH_EST_REUT" hidden="1">"c3636"</definedName>
    <definedName name="IQ_REVENUE_LOW_EST" localSheetId="61" hidden="1">"c262"</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localSheetId="61" hidden="1">"c263"</definedName>
    <definedName name="IQ_REVENUE_NUM_EST" hidden="1">"c1129"</definedName>
    <definedName name="IQ_REVENUE_NUM_EST_REUT" hidden="1">"c3638"</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localSheetId="61" hidden="1">"c8"</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localSheetId="61" hidden="1">"c201"</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localSheetId="61" hidden="1">"c72"</definedName>
    <definedName name="IQ_SHORT_TERM_INVEST" hidden="1">"c1197"</definedName>
    <definedName name="IQ_SMALL_INT_BEAR_CD" hidden="1">"c1166"</definedName>
    <definedName name="IQ_SOFTWARE" hidden="1">"c1167"</definedName>
    <definedName name="IQ_SOURCE" localSheetId="61" hidden="1">"c281"</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localSheetId="61" hidden="1">"c217"</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localSheetId="61" hidden="1">"c55"</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localSheetId="61" hidden="1">"0"</definedName>
    <definedName name="IQ_TODAY" hidden="1">0</definedName>
    <definedName name="IQ_TOT_ADJ_INC" localSheetId="61" hidden="1">"c287"</definedName>
    <definedName name="IQ_TOT_ADJ_INC" hidden="1">"c1616"</definedName>
    <definedName name="IQ_TOTAL_AR_BR" hidden="1">"c1231"</definedName>
    <definedName name="IQ_TOTAL_AR_REIT" hidden="1">"c1232"</definedName>
    <definedName name="IQ_TOTAL_AR_UTI" hidden="1">"c1233"</definedName>
    <definedName name="IQ_TOTAL_ASSETS" localSheetId="61" hidden="1">"c90"</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localSheetId="61" hidden="1">"c130"</definedName>
    <definedName name="IQ_TOTAL_CASH_DIVID" hidden="1">"c1266"</definedName>
    <definedName name="IQ_TOTAL_CASH_FINAN" localSheetId="61" hidden="1">"c133"</definedName>
    <definedName name="IQ_TOTAL_CASH_FINAN" hidden="1">"c119"</definedName>
    <definedName name="IQ_TOTAL_CASH_INVEST" localSheetId="61" hidden="1">"c128"</definedName>
    <definedName name="IQ_TOTAL_CASH_INVEST" hidden="1">"c121"</definedName>
    <definedName name="IQ_TOTAL_CASH_OPER" localSheetId="61" hidden="1">"c125"</definedName>
    <definedName name="IQ_TOTAL_CASH_OPER" hidden="1">"c122"</definedName>
    <definedName name="IQ_TOTAL_CHARGE_OFFS_FDIC" hidden="1">"c6603"</definedName>
    <definedName name="IQ_TOTAL_CHURN" hidden="1">"c2122"</definedName>
    <definedName name="IQ_TOTAL_CL" hidden="1">"c1245"</definedName>
    <definedName name="IQ_TOTAL_COMMON" localSheetId="61" hidden="1">"c116"</definedName>
    <definedName name="IQ_TOTAL_COMMON" hidden="1">"c1022"</definedName>
    <definedName name="IQ_TOTAL_COMMON_EQUITY" hidden="1">"c1246"</definedName>
    <definedName name="IQ_TOTAL_CURRENT_ASSETS" localSheetId="61" hidden="1">"c82"</definedName>
    <definedName name="IQ_TOTAL_CURRENT_ASSETS" hidden="1">"c1243"</definedName>
    <definedName name="IQ_TOTAL_CURRENT_LIAB" localSheetId="61" hidden="1">"c97"</definedName>
    <definedName name="IQ_TOTAL_CURRENT_LIAB" hidden="1">"c1245"</definedName>
    <definedName name="IQ_TOTAL_DEBT" localSheetId="61" hidden="1">"c101"</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localSheetId="61" hidden="1">"c183"</definedName>
    <definedName name="IQ_TOTAL_DEBT_OVER_EBITDA" hidden="1">"c1249"</definedName>
    <definedName name="IQ_TOTAL_DEBT_OVER_TOTAL_BV" localSheetId="61" hidden="1">"c180"</definedName>
    <definedName name="IQ_TOTAL_DEBT_OVER_TOTAL_BV" hidden="1">"c1250"</definedName>
    <definedName name="IQ_TOTAL_DEBT_OVER_TOTAL_CAP" localSheetId="61" hidden="1">"c182"</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localSheetId="61" hidden="1">"c284"</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localSheetId="61" hidden="1">"c114"</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localSheetId="61" hidden="1">"c67"</definedName>
    <definedName name="IQ_TOTAL_INTEREST_EXP" hidden="1">"c591"</definedName>
    <definedName name="IQ_TOTAL_INVENTORY" localSheetId="61" hidden="1">"c79"</definedName>
    <definedName name="IQ_TOTAL_INVENTORY" hidden="1">"c622"</definedName>
    <definedName name="IQ_TOTAL_INVEST" hidden="1">"c1275"</definedName>
    <definedName name="IQ_TOTAL_LIAB" localSheetId="61" hidden="1">"c105"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localSheetId="61" hidden="1">"c115"</definedName>
    <definedName name="IQ_TOTAL_LIAB_SHAREHOLD" hidden="1">"c1279"</definedName>
    <definedName name="IQ_TOTAL_LIAB_TOTAL_ASSETS" hidden="1">"c1283"</definedName>
    <definedName name="IQ_TOTAL_LIABILITIES_FDIC" hidden="1">"c6348"</definedName>
    <definedName name="IQ_TOTAL_LONG_DEBT" localSheetId="61" hidden="1">"c100"</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localSheetId="61" hidden="1">"c20"</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localSheetId="61" hidden="1">"c78"</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localSheetId="61" hidden="1">"c5"</definedName>
    <definedName name="IQ_TOTAL_REVENUE" hidden="1">"c1294"</definedName>
    <definedName name="IQ_TOTAL_RISK_BASED_CAPITAL_RATIO_FDIC" hidden="1">"c6747"</definedName>
    <definedName name="IQ_TOTAL_SECURITIES_FDIC" hidden="1">"c6306"</definedName>
    <definedName name="IQ_TOTAL_SPECIAL" localSheetId="61" hidden="1">"c59"</definedName>
    <definedName name="IQ_TOTAL_SPECIAL" hidden="1">"c1618"</definedName>
    <definedName name="IQ_TOTAL_ST_BORROW" localSheetId="61" hidden="1">"c286"</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localSheetId="61" hidden="1">"c76"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localSheetId="61" hidden="1">"c111"</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localSheetId="61" hidden="1">"c117"</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localSheetId="61" hidden="1">"c18"</definedName>
    <definedName name="IQ_UNUSUAL_EXP" hidden="1">"c1456"</definedName>
    <definedName name="IQ_US_BRANCHES_FOREIGN_BANK_LOANS_FDIC" hidden="1">"c6435"</definedName>
    <definedName name="IQ_US_BRANCHES_FOREIGN_BANKS_FDIC" hidden="1">"c6390"</definedName>
    <definedName name="IQ_US_GAAP" localSheetId="61" hidden="1">"c34"</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localSheetId="61" hidden="1">"c293"</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localSheetId="61" hidden="1">"c199"</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localSheetId="61" hidden="1">"c255"</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localSheetId="61" hidden="1">"c197"</definedName>
    <definedName name="IQ_YEARHIGH" hidden="1">"c1337"</definedName>
    <definedName name="IQ_YEARHIGH_DATE" hidden="1">"c2250"</definedName>
    <definedName name="IQ_YEARLOW" localSheetId="61" hidden="1">"c198"</definedName>
    <definedName name="IQ_YEARLOW" hidden="1">"c1338"</definedName>
    <definedName name="IQ_YEARLOW_DATE" hidden="1">"c2251"</definedName>
    <definedName name="IQ_YTD">3000</definedName>
    <definedName name="IQ_YTDMONTH" hidden="1">130000</definedName>
    <definedName name="IQ_Z_SCORE" localSheetId="61" hidden="1">"c243"</definedName>
    <definedName name="IQ_Z_SCORE" hidden="1">"c1339"</definedName>
    <definedName name="IQRA1" hidden="1">"$A$2:$A$368"</definedName>
    <definedName name="IQRA22" hidden="1">"$A$23:$A$42"</definedName>
    <definedName name="IQRA5" hidden="1">"$A$6"</definedName>
    <definedName name="IQRA8" hidden="1">"$A$9:$A$260"</definedName>
    <definedName name="IQRAB22" hidden="1">"$AB$23:$AB$42"</definedName>
    <definedName name="IQRAE22" hidden="1">"$AE$23:$AE$42"</definedName>
    <definedName name="IQRAF16" hidden="1">"$AF$17:$AF$268"</definedName>
    <definedName name="IQRAF17" hidden="1">"$AF$18:$AF$269"</definedName>
    <definedName name="IQRAH22" hidden="1">"$AH$23:$AH$42"</definedName>
    <definedName name="IQRAK22" hidden="1">"$AK$23:$AK$42"</definedName>
    <definedName name="IQRAN22" hidden="1">"$AN$23:$AN$42"</definedName>
    <definedName name="IQRAQ22" hidden="1">"$AQ$23:$AQ$42"</definedName>
    <definedName name="IQRB14" hidden="1">"$B$15:$B$518"</definedName>
    <definedName name="IQRB16" hidden="1">"$B$17:$B$520"</definedName>
    <definedName name="IQRB17" hidden="1">"$B$18:$B$78"</definedName>
    <definedName name="IQRB18" hidden="1">"$B$19:$B$522"</definedName>
    <definedName name="IQRB8" hidden="1">"$B$9:$B$260"</definedName>
    <definedName name="IQRBB17" hidden="1">"$BB$18:$BB$1299"</definedName>
    <definedName name="IQRC14" hidden="1">"$C$15:$C$119"</definedName>
    <definedName name="IQRC5" hidden="1">"$C$6:$C$70"</definedName>
    <definedName name="IQRC8" hidden="1">"$C$9:$C$260"</definedName>
    <definedName name="IQRCapitalIQDATAJ8" hidden="1">'GPC Linked'!$N$10</definedName>
    <definedName name="IQRCapitalIQDATAK8" hidden="1">'GPC Linked'!$O$10</definedName>
    <definedName name="IQRCapitalIQDATAL8" hidden="1">'GPC Linked'!$P$10</definedName>
    <definedName name="IQRCapitalIQDATAM8" hidden="1">'GPC Linked'!$Q$10</definedName>
    <definedName name="IQRD14" hidden="1">"$D$15:$D$38"</definedName>
    <definedName name="IQRD22" hidden="1">"$D$23:$D$42"</definedName>
    <definedName name="IQRD5" hidden="1">"$D$6:$D$70"</definedName>
    <definedName name="IQRE5" hidden="1">"$E$6:$E$70"</definedName>
    <definedName name="IQRF3" hidden="1">"$F$4:$F$68"</definedName>
    <definedName name="IQRF5" hidden="1">"$F$6:$F$70"</definedName>
    <definedName name="IQRF8" hidden="1">"$F$9:$F$269"</definedName>
    <definedName name="IQRG22" hidden="1">"$G$23:$G$42"</definedName>
    <definedName name="IQRG3" hidden="1">"$G$4:$G$68"</definedName>
    <definedName name="IQRG41" hidden="1">"$G$42:$G$1300"</definedName>
    <definedName name="IQRG5" hidden="1">"$G$6:$G$70"</definedName>
    <definedName name="IQRHistoricMultiplesAR9" localSheetId="59" hidden="1">#REF!</definedName>
    <definedName name="IQRHistoricMultiplesAR9" localSheetId="37" hidden="1">#REF!</definedName>
    <definedName name="IQRHistoricMultiplesAR9" localSheetId="80" hidden="1">#REF!</definedName>
    <definedName name="IQRHistoricMultiplesAR9" localSheetId="39" hidden="1">#REF!</definedName>
    <definedName name="IQRHistoricMultiplesAR9" localSheetId="4" hidden="1">#REF!</definedName>
    <definedName name="IQRHistoricMultiplesAR9" localSheetId="8" hidden="1">#REF!</definedName>
    <definedName name="IQRHistoricMultiplesAR9" localSheetId="52" hidden="1">#REF!</definedName>
    <definedName name="IQRHistoricMultiplesAR9" localSheetId="58" hidden="1">#REF!</definedName>
    <definedName name="IQRHistoricMultiplesAR9" localSheetId="43" hidden="1">#REF!</definedName>
    <definedName name="IQRHistoricMultiplesAR9" localSheetId="20" hidden="1">#REF!</definedName>
    <definedName name="IQRHistoricMultiplesAR9" localSheetId="49" hidden="1">#REF!</definedName>
    <definedName name="IQRHistoricMultiplesAR9" localSheetId="44" hidden="1">#REF!</definedName>
    <definedName name="IQRHistoricMultiplesAR9" localSheetId="55" hidden="1">#REF!</definedName>
    <definedName name="IQRHistoricMultiplesAR9" localSheetId="6" hidden="1">#REF!</definedName>
    <definedName name="IQRHistoricMultiplesAR9" localSheetId="46" hidden="1">#REF!</definedName>
    <definedName name="IQRHistoricMultiplesAR9" localSheetId="5" hidden="1">#REF!</definedName>
    <definedName name="IQRHistoricMultiplesAR9" localSheetId="48" hidden="1">#REF!</definedName>
    <definedName name="IQRHistoricMultiplesAR9" hidden="1">#REF!</definedName>
    <definedName name="IQRHistoricMultiplesAW9" localSheetId="59" hidden="1">#REF!</definedName>
    <definedName name="IQRHistoricMultiplesAW9" localSheetId="37" hidden="1">#REF!</definedName>
    <definedName name="IQRHistoricMultiplesAW9" localSheetId="80" hidden="1">#REF!</definedName>
    <definedName name="IQRHistoricMultiplesAW9" localSheetId="39" hidden="1">#REF!</definedName>
    <definedName name="IQRHistoricMultiplesAW9" localSheetId="4" hidden="1">#REF!</definedName>
    <definedName name="IQRHistoricMultiplesAW9" localSheetId="8" hidden="1">#REF!</definedName>
    <definedName name="IQRHistoricMultiplesAW9" localSheetId="52" hidden="1">#REF!</definedName>
    <definedName name="IQRHistoricMultiplesAW9" localSheetId="58" hidden="1">#REF!</definedName>
    <definedName name="IQRHistoricMultiplesAW9" localSheetId="43" hidden="1">#REF!</definedName>
    <definedName name="IQRHistoricMultiplesAW9" localSheetId="20" hidden="1">#REF!</definedName>
    <definedName name="IQRHistoricMultiplesAW9" localSheetId="49" hidden="1">#REF!</definedName>
    <definedName name="IQRHistoricMultiplesAW9" localSheetId="44" hidden="1">#REF!</definedName>
    <definedName name="IQRHistoricMultiplesAW9" localSheetId="55" hidden="1">#REF!</definedName>
    <definedName name="IQRHistoricMultiplesAW9" localSheetId="6" hidden="1">#REF!</definedName>
    <definedName name="IQRHistoricMultiplesAW9" localSheetId="46" hidden="1">#REF!</definedName>
    <definedName name="IQRHistoricMultiplesAW9" localSheetId="5" hidden="1">#REF!</definedName>
    <definedName name="IQRHistoricMultiplesAW9" localSheetId="48" hidden="1">#REF!</definedName>
    <definedName name="IQRHistoricMultiplesAW9" hidden="1">#REF!</definedName>
    <definedName name="IQRHistoricMultiplesBB9" localSheetId="59" hidden="1">#REF!</definedName>
    <definedName name="IQRHistoricMultiplesBB9" localSheetId="37" hidden="1">#REF!</definedName>
    <definedName name="IQRHistoricMultiplesBB9" localSheetId="80" hidden="1">#REF!</definedName>
    <definedName name="IQRHistoricMultiplesBB9" localSheetId="39" hidden="1">#REF!</definedName>
    <definedName name="IQRHistoricMultiplesBB9" localSheetId="4" hidden="1">#REF!</definedName>
    <definedName name="IQRHistoricMultiplesBB9" localSheetId="8" hidden="1">#REF!</definedName>
    <definedName name="IQRHistoricMultiplesBB9" localSheetId="52" hidden="1">#REF!</definedName>
    <definedName name="IQRHistoricMultiplesBB9" localSheetId="58" hidden="1">#REF!</definedName>
    <definedName name="IQRHistoricMultiplesBB9" localSheetId="43" hidden="1">#REF!</definedName>
    <definedName name="IQRHistoricMultiplesBB9" localSheetId="20" hidden="1">#REF!</definedName>
    <definedName name="IQRHistoricMultiplesBB9" localSheetId="49" hidden="1">#REF!</definedName>
    <definedName name="IQRHistoricMultiplesBB9" localSheetId="44" hidden="1">#REF!</definedName>
    <definedName name="IQRHistoricMultiplesBB9" localSheetId="55" hidden="1">#REF!</definedName>
    <definedName name="IQRHistoricMultiplesBB9" localSheetId="6" hidden="1">#REF!</definedName>
    <definedName name="IQRHistoricMultiplesBB9" localSheetId="46" hidden="1">#REF!</definedName>
    <definedName name="IQRHistoricMultiplesBB9" localSheetId="5" hidden="1">#REF!</definedName>
    <definedName name="IQRHistoricMultiplesBB9" localSheetId="48" hidden="1">#REF!</definedName>
    <definedName name="IQRHistoricMultiplesBB9" hidden="1">#REF!</definedName>
    <definedName name="IQRHistoricMultiplesBG9" localSheetId="59" hidden="1">#REF!</definedName>
    <definedName name="IQRHistoricMultiplesBG9" localSheetId="37" hidden="1">#REF!</definedName>
    <definedName name="IQRHistoricMultiplesBG9" localSheetId="80" hidden="1">#REF!</definedName>
    <definedName name="IQRHistoricMultiplesBG9" localSheetId="39" hidden="1">#REF!</definedName>
    <definedName name="IQRHistoricMultiplesBG9" localSheetId="4" hidden="1">#REF!</definedName>
    <definedName name="IQRHistoricMultiplesBG9" localSheetId="8" hidden="1">#REF!</definedName>
    <definedName name="IQRHistoricMultiplesBG9" localSheetId="52" hidden="1">#REF!</definedName>
    <definedName name="IQRHistoricMultiplesBG9" localSheetId="58" hidden="1">#REF!</definedName>
    <definedName name="IQRHistoricMultiplesBG9" localSheetId="43" hidden="1">#REF!</definedName>
    <definedName name="IQRHistoricMultiplesBG9" localSheetId="20" hidden="1">#REF!</definedName>
    <definedName name="IQRHistoricMultiplesBG9" localSheetId="49" hidden="1">#REF!</definedName>
    <definedName name="IQRHistoricMultiplesBG9" localSheetId="44" hidden="1">#REF!</definedName>
    <definedName name="IQRHistoricMultiplesBG9" localSheetId="55" hidden="1">#REF!</definedName>
    <definedName name="IQRHistoricMultiplesBG9" localSheetId="6" hidden="1">#REF!</definedName>
    <definedName name="IQRHistoricMultiplesBG9" localSheetId="46" hidden="1">#REF!</definedName>
    <definedName name="IQRHistoricMultiplesBG9" localSheetId="5" hidden="1">#REF!</definedName>
    <definedName name="IQRHistoricMultiplesBG9" localSheetId="48" hidden="1">#REF!</definedName>
    <definedName name="IQRHistoricMultiplesBG9" hidden="1">#REF!</definedName>
    <definedName name="IQRHistoricMultiplesBL9" localSheetId="59" hidden="1">#REF!</definedName>
    <definedName name="IQRHistoricMultiplesBL9" localSheetId="37" hidden="1">#REF!</definedName>
    <definedName name="IQRHistoricMultiplesBL9" localSheetId="80" hidden="1">#REF!</definedName>
    <definedName name="IQRHistoricMultiplesBL9" localSheetId="39" hidden="1">#REF!</definedName>
    <definedName name="IQRHistoricMultiplesBL9" localSheetId="4" hidden="1">#REF!</definedName>
    <definedName name="IQRHistoricMultiplesBL9" localSheetId="8" hidden="1">#REF!</definedName>
    <definedName name="IQRHistoricMultiplesBL9" localSheetId="52" hidden="1">#REF!</definedName>
    <definedName name="IQRHistoricMultiplesBL9" localSheetId="58" hidden="1">#REF!</definedName>
    <definedName name="IQRHistoricMultiplesBL9" localSheetId="43" hidden="1">#REF!</definedName>
    <definedName name="IQRHistoricMultiplesBL9" localSheetId="20" hidden="1">#REF!</definedName>
    <definedName name="IQRHistoricMultiplesBL9" localSheetId="49" hidden="1">#REF!</definedName>
    <definedName name="IQRHistoricMultiplesBL9" localSheetId="44" hidden="1">#REF!</definedName>
    <definedName name="IQRHistoricMultiplesBL9" localSheetId="55" hidden="1">#REF!</definedName>
    <definedName name="IQRHistoricMultiplesBL9" localSheetId="6" hidden="1">#REF!</definedName>
    <definedName name="IQRHistoricMultiplesBL9" localSheetId="46" hidden="1">#REF!</definedName>
    <definedName name="IQRHistoricMultiplesBL9" localSheetId="5" hidden="1">#REF!</definedName>
    <definedName name="IQRHistoricMultiplesBL9" localSheetId="48" hidden="1">#REF!</definedName>
    <definedName name="IQRHistoricMultiplesBL9" hidden="1">#REF!</definedName>
    <definedName name="IQRHistoricMultiplesBQ9" localSheetId="59" hidden="1">#REF!</definedName>
    <definedName name="IQRHistoricMultiplesBQ9" localSheetId="37" hidden="1">#REF!</definedName>
    <definedName name="IQRHistoricMultiplesBQ9" localSheetId="80" hidden="1">#REF!</definedName>
    <definedName name="IQRHistoricMultiplesBQ9" localSheetId="39" hidden="1">#REF!</definedName>
    <definedName name="IQRHistoricMultiplesBQ9" localSheetId="4" hidden="1">#REF!</definedName>
    <definedName name="IQRHistoricMultiplesBQ9" localSheetId="8" hidden="1">#REF!</definedName>
    <definedName name="IQRHistoricMultiplesBQ9" localSheetId="52" hidden="1">#REF!</definedName>
    <definedName name="IQRHistoricMultiplesBQ9" localSheetId="58" hidden="1">#REF!</definedName>
    <definedName name="IQRHistoricMultiplesBQ9" localSheetId="43" hidden="1">#REF!</definedName>
    <definedName name="IQRHistoricMultiplesBQ9" localSheetId="20" hidden="1">#REF!</definedName>
    <definedName name="IQRHistoricMultiplesBQ9" localSheetId="49" hidden="1">#REF!</definedName>
    <definedName name="IQRHistoricMultiplesBQ9" localSheetId="44" hidden="1">#REF!</definedName>
    <definedName name="IQRHistoricMultiplesBQ9" localSheetId="55" hidden="1">#REF!</definedName>
    <definedName name="IQRHistoricMultiplesBQ9" localSheetId="6" hidden="1">#REF!</definedName>
    <definedName name="IQRHistoricMultiplesBQ9" localSheetId="46" hidden="1">#REF!</definedName>
    <definedName name="IQRHistoricMultiplesBQ9" localSheetId="5" hidden="1">#REF!</definedName>
    <definedName name="IQRHistoricMultiplesBQ9" localSheetId="48" hidden="1">#REF!</definedName>
    <definedName name="IQRHistoricMultiplesBQ9" hidden="1">#REF!</definedName>
    <definedName name="IQRHistoricMultiplesBV9" localSheetId="59" hidden="1">#REF!</definedName>
    <definedName name="IQRHistoricMultiplesBV9" localSheetId="37" hidden="1">#REF!</definedName>
    <definedName name="IQRHistoricMultiplesBV9" localSheetId="80" hidden="1">#REF!</definedName>
    <definedName name="IQRHistoricMultiplesBV9" localSheetId="39" hidden="1">#REF!</definedName>
    <definedName name="IQRHistoricMultiplesBV9" localSheetId="4" hidden="1">#REF!</definedName>
    <definedName name="IQRHistoricMultiplesBV9" localSheetId="8" hidden="1">#REF!</definedName>
    <definedName name="IQRHistoricMultiplesBV9" localSheetId="52" hidden="1">#REF!</definedName>
    <definedName name="IQRHistoricMultiplesBV9" localSheetId="58" hidden="1">#REF!</definedName>
    <definedName name="IQRHistoricMultiplesBV9" localSheetId="43" hidden="1">#REF!</definedName>
    <definedName name="IQRHistoricMultiplesBV9" localSheetId="20" hidden="1">#REF!</definedName>
    <definedName name="IQRHistoricMultiplesBV9" localSheetId="49" hidden="1">#REF!</definedName>
    <definedName name="IQRHistoricMultiplesBV9" localSheetId="44" hidden="1">#REF!</definedName>
    <definedName name="IQRHistoricMultiplesBV9" localSheetId="55" hidden="1">#REF!</definedName>
    <definedName name="IQRHistoricMultiplesBV9" localSheetId="6" hidden="1">#REF!</definedName>
    <definedName name="IQRHistoricMultiplesBV9" localSheetId="46" hidden="1">#REF!</definedName>
    <definedName name="IQRHistoricMultiplesBV9" localSheetId="5" hidden="1">#REF!</definedName>
    <definedName name="IQRHistoricMultiplesBV9" localSheetId="48" hidden="1">#REF!</definedName>
    <definedName name="IQRHistoricMultiplesBV9" hidden="1">#REF!</definedName>
    <definedName name="IQRHistoricMultiplesCA9" localSheetId="59" hidden="1">#REF!</definedName>
    <definedName name="IQRHistoricMultiplesCA9" localSheetId="37" hidden="1">#REF!</definedName>
    <definedName name="IQRHistoricMultiplesCA9" localSheetId="80" hidden="1">#REF!</definedName>
    <definedName name="IQRHistoricMultiplesCA9" localSheetId="39" hidden="1">#REF!</definedName>
    <definedName name="IQRHistoricMultiplesCA9" localSheetId="4" hidden="1">#REF!</definedName>
    <definedName name="IQRHistoricMultiplesCA9" localSheetId="8" hidden="1">#REF!</definedName>
    <definedName name="IQRHistoricMultiplesCA9" localSheetId="52" hidden="1">#REF!</definedName>
    <definedName name="IQRHistoricMultiplesCA9" localSheetId="58" hidden="1">#REF!</definedName>
    <definedName name="IQRHistoricMultiplesCA9" localSheetId="43" hidden="1">#REF!</definedName>
    <definedName name="IQRHistoricMultiplesCA9" localSheetId="20" hidden="1">#REF!</definedName>
    <definedName name="IQRHistoricMultiplesCA9" localSheetId="49" hidden="1">#REF!</definedName>
    <definedName name="IQRHistoricMultiplesCA9" localSheetId="44" hidden="1">#REF!</definedName>
    <definedName name="IQRHistoricMultiplesCA9" localSheetId="55" hidden="1">#REF!</definedName>
    <definedName name="IQRHistoricMultiplesCA9" localSheetId="6" hidden="1">#REF!</definedName>
    <definedName name="IQRHistoricMultiplesCA9" localSheetId="46" hidden="1">#REF!</definedName>
    <definedName name="IQRHistoricMultiplesCA9" localSheetId="5" hidden="1">#REF!</definedName>
    <definedName name="IQRHistoricMultiplesCA9" localSheetId="48" hidden="1">#REF!</definedName>
    <definedName name="IQRHistoricMultiplesCA9" hidden="1">#REF!</definedName>
    <definedName name="IQRHistoricMultiplesCF9" localSheetId="59" hidden="1">#REF!</definedName>
    <definedName name="IQRHistoricMultiplesCF9" localSheetId="37" hidden="1">#REF!</definedName>
    <definedName name="IQRHistoricMultiplesCF9" localSheetId="80" hidden="1">#REF!</definedName>
    <definedName name="IQRHistoricMultiplesCF9" localSheetId="39" hidden="1">#REF!</definedName>
    <definedName name="IQRHistoricMultiplesCF9" localSheetId="4" hidden="1">#REF!</definedName>
    <definedName name="IQRHistoricMultiplesCF9" localSheetId="8" hidden="1">#REF!</definedName>
    <definedName name="IQRHistoricMultiplesCF9" localSheetId="52" hidden="1">#REF!</definedName>
    <definedName name="IQRHistoricMultiplesCF9" localSheetId="58" hidden="1">#REF!</definedName>
    <definedName name="IQRHistoricMultiplesCF9" localSheetId="43" hidden="1">#REF!</definedName>
    <definedName name="IQRHistoricMultiplesCF9" localSheetId="20" hidden="1">#REF!</definedName>
    <definedName name="IQRHistoricMultiplesCF9" localSheetId="49" hidden="1">#REF!</definedName>
    <definedName name="IQRHistoricMultiplesCF9" localSheetId="44" hidden="1">#REF!</definedName>
    <definedName name="IQRHistoricMultiplesCF9" localSheetId="55" hidden="1">#REF!</definedName>
    <definedName name="IQRHistoricMultiplesCF9" localSheetId="6" hidden="1">#REF!</definedName>
    <definedName name="IQRHistoricMultiplesCF9" localSheetId="46" hidden="1">#REF!</definedName>
    <definedName name="IQRHistoricMultiplesCF9" localSheetId="5" hidden="1">#REF!</definedName>
    <definedName name="IQRHistoricMultiplesCF9" localSheetId="48" hidden="1">#REF!</definedName>
    <definedName name="IQRHistoricMultiplesCF9" hidden="1">#REF!</definedName>
    <definedName name="IQRHistoricMultiplesCK9" localSheetId="59" hidden="1">#REF!</definedName>
    <definedName name="IQRHistoricMultiplesCK9" localSheetId="37" hidden="1">#REF!</definedName>
    <definedName name="IQRHistoricMultiplesCK9" localSheetId="80" hidden="1">#REF!</definedName>
    <definedName name="IQRHistoricMultiplesCK9" localSheetId="39" hidden="1">#REF!</definedName>
    <definedName name="IQRHistoricMultiplesCK9" localSheetId="4" hidden="1">#REF!</definedName>
    <definedName name="IQRHistoricMultiplesCK9" localSheetId="8" hidden="1">#REF!</definedName>
    <definedName name="IQRHistoricMultiplesCK9" localSheetId="52" hidden="1">#REF!</definedName>
    <definedName name="IQRHistoricMultiplesCK9" localSheetId="58" hidden="1">#REF!</definedName>
    <definedName name="IQRHistoricMultiplesCK9" localSheetId="43" hidden="1">#REF!</definedName>
    <definedName name="IQRHistoricMultiplesCK9" localSheetId="20" hidden="1">#REF!</definedName>
    <definedName name="IQRHistoricMultiplesCK9" localSheetId="49" hidden="1">#REF!</definedName>
    <definedName name="IQRHistoricMultiplesCK9" localSheetId="44" hidden="1">#REF!</definedName>
    <definedName name="IQRHistoricMultiplesCK9" localSheetId="55" hidden="1">#REF!</definedName>
    <definedName name="IQRHistoricMultiplesCK9" localSheetId="6" hidden="1">#REF!</definedName>
    <definedName name="IQRHistoricMultiplesCK9" localSheetId="46" hidden="1">#REF!</definedName>
    <definedName name="IQRHistoricMultiplesCK9" localSheetId="5" hidden="1">#REF!</definedName>
    <definedName name="IQRHistoricMultiplesCK9" localSheetId="48" hidden="1">#REF!</definedName>
    <definedName name="IQRHistoricMultiplesCK9" hidden="1">#REF!</definedName>
    <definedName name="IQRIPOAF12" localSheetId="59" hidden="1">#REF!</definedName>
    <definedName name="IQRIPOAF12" localSheetId="37" hidden="1">#REF!</definedName>
    <definedName name="IQRIPOAF12" localSheetId="80" hidden="1">#REF!</definedName>
    <definedName name="IQRIPOAF12" localSheetId="39" hidden="1">#REF!</definedName>
    <definedName name="IQRIPOAF12" localSheetId="4" hidden="1">#REF!</definedName>
    <definedName name="IQRIPOAF12" localSheetId="8" hidden="1">#REF!</definedName>
    <definedName name="IQRIPOAF12" localSheetId="52" hidden="1">#REF!</definedName>
    <definedName name="IQRIPOAF12" localSheetId="58" hidden="1">#REF!</definedName>
    <definedName name="IQRIPOAF12" localSheetId="43" hidden="1">#REF!</definedName>
    <definedName name="IQRIPOAF12" localSheetId="20" hidden="1">#REF!</definedName>
    <definedName name="IQRIPOAF12" localSheetId="49" hidden="1">#REF!</definedName>
    <definedName name="IQRIPOAF12" localSheetId="44" hidden="1">#REF!</definedName>
    <definedName name="IQRIPOAF12" localSheetId="55" hidden="1">#REF!</definedName>
    <definedName name="IQRIPOAF12" localSheetId="6" hidden="1">#REF!</definedName>
    <definedName name="IQRIPOAF12" localSheetId="46" hidden="1">#REF!</definedName>
    <definedName name="IQRIPOAF12" localSheetId="5" hidden="1">#REF!</definedName>
    <definedName name="IQRIPOAF12" localSheetId="48" hidden="1">#REF!</definedName>
    <definedName name="IQRIPOAF12" hidden="1">#REF!</definedName>
    <definedName name="IQRIPOAF13" localSheetId="59" hidden="1">#REF!</definedName>
    <definedName name="IQRIPOAF13" localSheetId="37" hidden="1">#REF!</definedName>
    <definedName name="IQRIPOAF13" localSheetId="80" hidden="1">#REF!</definedName>
    <definedName name="IQRIPOAF13" localSheetId="39" hidden="1">#REF!</definedName>
    <definedName name="IQRIPOAF13" localSheetId="4" hidden="1">#REF!</definedName>
    <definedName name="IQRIPOAF13" localSheetId="8" hidden="1">#REF!</definedName>
    <definedName name="IQRIPOAF13" localSheetId="52" hidden="1">#REF!</definedName>
    <definedName name="IQRIPOAF13" localSheetId="58" hidden="1">#REF!</definedName>
    <definedName name="IQRIPOAF13" localSheetId="43" hidden="1">#REF!</definedName>
    <definedName name="IQRIPOAF13" localSheetId="20" hidden="1">#REF!</definedName>
    <definedName name="IQRIPOAF13" localSheetId="49" hidden="1">#REF!</definedName>
    <definedName name="IQRIPOAF13" localSheetId="44" hidden="1">#REF!</definedName>
    <definedName name="IQRIPOAF13" localSheetId="55" hidden="1">#REF!</definedName>
    <definedName name="IQRIPOAF13" localSheetId="6" hidden="1">#REF!</definedName>
    <definedName name="IQRIPOAF13" localSheetId="46" hidden="1">#REF!</definedName>
    <definedName name="IQRIPOAF13" localSheetId="5" hidden="1">#REF!</definedName>
    <definedName name="IQRIPOAF13" localSheetId="48" hidden="1">#REF!</definedName>
    <definedName name="IQRIPOAF13" hidden="1">#REF!</definedName>
    <definedName name="IQRIPOAF14" localSheetId="59" hidden="1">[13]IPO!#REF!</definedName>
    <definedName name="IQRIPOAF14" localSheetId="37" hidden="1">[13]IPO!#REF!</definedName>
    <definedName name="IQRIPOAF14" localSheetId="80" hidden="1">[13]IPO!#REF!</definedName>
    <definedName name="IQRIPOAF14" localSheetId="39" hidden="1">[13]IPO!#REF!</definedName>
    <definedName name="IQRIPOAF14" localSheetId="4" hidden="1">[13]IPO!#REF!</definedName>
    <definedName name="IQRIPOAF14" localSheetId="8" hidden="1">[13]IPO!#REF!</definedName>
    <definedName name="IQRIPOAF14" localSheetId="52" hidden="1">[13]IPO!#REF!</definedName>
    <definedName name="IQRIPOAF14" localSheetId="58" hidden="1">[13]IPO!#REF!</definedName>
    <definedName name="IQRIPOAF14" localSheetId="43" hidden="1">[13]IPO!#REF!</definedName>
    <definedName name="IQRIPOAF14" localSheetId="20" hidden="1">[13]IPO!#REF!</definedName>
    <definedName name="IQRIPOAF14" localSheetId="47" hidden="1">[14]IPO!#REF!</definedName>
    <definedName name="IQRIPOAF14" localSheetId="49" hidden="1">[13]IPO!#REF!</definedName>
    <definedName name="IQRIPOAF14" localSheetId="44" hidden="1">[13]IPO!#REF!</definedName>
    <definedName name="IQRIPOAF14" localSheetId="55" hidden="1">[13]IPO!#REF!</definedName>
    <definedName name="IQRIPOAF14" localSheetId="6" hidden="1">[13]IPO!#REF!</definedName>
    <definedName name="IQRIPOAF14" localSheetId="46" hidden="1">[13]IPO!#REF!</definedName>
    <definedName name="IQRIPOAF14" localSheetId="5" hidden="1">[13]IPO!#REF!</definedName>
    <definedName name="IQRIPOAF14" localSheetId="48" hidden="1">[13]IPO!#REF!</definedName>
    <definedName name="IQRIPOAF14" hidden="1">[13]IPO!#REF!</definedName>
    <definedName name="IQRIPOAF15" localSheetId="59" hidden="1">#REF!</definedName>
    <definedName name="IQRIPOAF15" localSheetId="37" hidden="1">#REF!</definedName>
    <definedName name="IQRIPOAF15" localSheetId="80" hidden="1">#REF!</definedName>
    <definedName name="IQRIPOAF15" localSheetId="39" hidden="1">#REF!</definedName>
    <definedName name="IQRIPOAF15" localSheetId="4" hidden="1">#REF!</definedName>
    <definedName name="IQRIPOAF15" localSheetId="8" hidden="1">#REF!</definedName>
    <definedName name="IQRIPOAF15" localSheetId="52" hidden="1">#REF!</definedName>
    <definedName name="IQRIPOAF15" localSheetId="58" hidden="1">#REF!</definedName>
    <definedName name="IQRIPOAF15" localSheetId="43" hidden="1">#REF!</definedName>
    <definedName name="IQRIPOAF15" localSheetId="20" hidden="1">#REF!</definedName>
    <definedName name="IQRIPOAF15" localSheetId="49" hidden="1">#REF!</definedName>
    <definedName name="IQRIPOAF15" localSheetId="44" hidden="1">#REF!</definedName>
    <definedName name="IQRIPOAF15" localSheetId="55" hidden="1">#REF!</definedName>
    <definedName name="IQRIPOAF15" localSheetId="6" hidden="1">#REF!</definedName>
    <definedName name="IQRIPOAF15" localSheetId="46" hidden="1">#REF!</definedName>
    <definedName name="IQRIPOAF15" localSheetId="5" hidden="1">#REF!</definedName>
    <definedName name="IQRIPOAF15" localSheetId="48" hidden="1">#REF!</definedName>
    <definedName name="IQRIPOAF15" hidden="1">#REF!</definedName>
    <definedName name="IQRIPOAF16" localSheetId="59" hidden="1">#REF!</definedName>
    <definedName name="IQRIPOAF16" localSheetId="37" hidden="1">#REF!</definedName>
    <definedName name="IQRIPOAF16" localSheetId="80" hidden="1">#REF!</definedName>
    <definedName name="IQRIPOAF16" localSheetId="39" hidden="1">#REF!</definedName>
    <definedName name="IQRIPOAF16" localSheetId="4" hidden="1">#REF!</definedName>
    <definedName name="IQRIPOAF16" localSheetId="8" hidden="1">#REF!</definedName>
    <definedName name="IQRIPOAF16" localSheetId="52" hidden="1">#REF!</definedName>
    <definedName name="IQRIPOAF16" localSheetId="58" hidden="1">#REF!</definedName>
    <definedName name="IQRIPOAF16" localSheetId="43" hidden="1">#REF!</definedName>
    <definedName name="IQRIPOAF16" localSheetId="20" hidden="1">#REF!</definedName>
    <definedName name="IQRIPOAF16" localSheetId="49" hidden="1">#REF!</definedName>
    <definedName name="IQRIPOAF16" localSheetId="44" hidden="1">#REF!</definedName>
    <definedName name="IQRIPOAF16" localSheetId="55" hidden="1">#REF!</definedName>
    <definedName name="IQRIPOAF16" localSheetId="6" hidden="1">#REF!</definedName>
    <definedName name="IQRIPOAF16" localSheetId="46" hidden="1">#REF!</definedName>
    <definedName name="IQRIPOAF16" localSheetId="5" hidden="1">#REF!</definedName>
    <definedName name="IQRIPOAF16" localSheetId="48" hidden="1">#REF!</definedName>
    <definedName name="IQRIPOAF16" hidden="1">#REF!</definedName>
    <definedName name="IQRIPOAF17" localSheetId="59" hidden="1">#REF!</definedName>
    <definedName name="IQRIPOAF17" localSheetId="37" hidden="1">#REF!</definedName>
    <definedName name="IQRIPOAF17" localSheetId="80" hidden="1">#REF!</definedName>
    <definedName name="IQRIPOAF17" localSheetId="39" hidden="1">#REF!</definedName>
    <definedName name="IQRIPOAF17" localSheetId="4" hidden="1">#REF!</definedName>
    <definedName name="IQRIPOAF17" localSheetId="8" hidden="1">#REF!</definedName>
    <definedName name="IQRIPOAF17" localSheetId="52" hidden="1">#REF!</definedName>
    <definedName name="IQRIPOAF17" localSheetId="58" hidden="1">#REF!</definedName>
    <definedName name="IQRIPOAF17" localSheetId="43" hidden="1">#REF!</definedName>
    <definedName name="IQRIPOAF17" localSheetId="20" hidden="1">#REF!</definedName>
    <definedName name="IQRIPOAF17" localSheetId="49" hidden="1">#REF!</definedName>
    <definedName name="IQRIPOAF17" localSheetId="44" hidden="1">#REF!</definedName>
    <definedName name="IQRIPOAF17" localSheetId="55" hidden="1">#REF!</definedName>
    <definedName name="IQRIPOAF17" localSheetId="6" hidden="1">#REF!</definedName>
    <definedName name="IQRIPOAF17" localSheetId="46" hidden="1">#REF!</definedName>
    <definedName name="IQRIPOAF17" localSheetId="5" hidden="1">#REF!</definedName>
    <definedName name="IQRIPOAF17" localSheetId="48" hidden="1">#REF!</definedName>
    <definedName name="IQRIPOAF17" hidden="1">#REF!</definedName>
    <definedName name="IQRIPOAF18" localSheetId="59" hidden="1">#REF!</definedName>
    <definedName name="IQRIPOAF18" localSheetId="37" hidden="1">#REF!</definedName>
    <definedName name="IQRIPOAF18" localSheetId="80" hidden="1">#REF!</definedName>
    <definedName name="IQRIPOAF18" localSheetId="39" hidden="1">#REF!</definedName>
    <definedName name="IQRIPOAF18" localSheetId="4" hidden="1">#REF!</definedName>
    <definedName name="IQRIPOAF18" localSheetId="8" hidden="1">#REF!</definedName>
    <definedName name="IQRIPOAF18" localSheetId="52" hidden="1">#REF!</definedName>
    <definedName name="IQRIPOAF18" localSheetId="58" hidden="1">#REF!</definedName>
    <definedName name="IQRIPOAF18" localSheetId="43" hidden="1">#REF!</definedName>
    <definedName name="IQRIPOAF18" localSheetId="20" hidden="1">#REF!</definedName>
    <definedName name="IQRIPOAF18" localSheetId="49" hidden="1">#REF!</definedName>
    <definedName name="IQRIPOAF18" localSheetId="44" hidden="1">#REF!</definedName>
    <definedName name="IQRIPOAF18" localSheetId="55" hidden="1">#REF!</definedName>
    <definedName name="IQRIPOAF18" localSheetId="6" hidden="1">#REF!</definedName>
    <definedName name="IQRIPOAF18" localSheetId="46" hidden="1">#REF!</definedName>
    <definedName name="IQRIPOAF18" localSheetId="5" hidden="1">#REF!</definedName>
    <definedName name="IQRIPOAF18" localSheetId="48" hidden="1">#REF!</definedName>
    <definedName name="IQRIPOAF18" hidden="1">#REF!</definedName>
    <definedName name="IQRIPOAF19" localSheetId="59" hidden="1">#REF!</definedName>
    <definedName name="IQRIPOAF19" localSheetId="37" hidden="1">#REF!</definedName>
    <definedName name="IQRIPOAF19" localSheetId="80" hidden="1">#REF!</definedName>
    <definedName name="IQRIPOAF19" localSheetId="39" hidden="1">#REF!</definedName>
    <definedName name="IQRIPOAF19" localSheetId="4" hidden="1">#REF!</definedName>
    <definedName name="IQRIPOAF19" localSheetId="8" hidden="1">#REF!</definedName>
    <definedName name="IQRIPOAF19" localSheetId="52" hidden="1">#REF!</definedName>
    <definedName name="IQRIPOAF19" localSheetId="58" hidden="1">#REF!</definedName>
    <definedName name="IQRIPOAF19" localSheetId="43" hidden="1">#REF!</definedName>
    <definedName name="IQRIPOAF19" localSheetId="20" hidden="1">#REF!</definedName>
    <definedName name="IQRIPOAF19" localSheetId="49" hidden="1">#REF!</definedName>
    <definedName name="IQRIPOAF19" localSheetId="44" hidden="1">#REF!</definedName>
    <definedName name="IQRIPOAF19" localSheetId="55" hidden="1">#REF!</definedName>
    <definedName name="IQRIPOAF19" localSheetId="6" hidden="1">#REF!</definedName>
    <definedName name="IQRIPOAF19" localSheetId="46" hidden="1">#REF!</definedName>
    <definedName name="IQRIPOAF19" localSheetId="5" hidden="1">#REF!</definedName>
    <definedName name="IQRIPOAF19" localSheetId="48" hidden="1">#REF!</definedName>
    <definedName name="IQRIPOAF19" hidden="1">#REF!</definedName>
    <definedName name="IQRIPOAF20" localSheetId="59" hidden="1">#REF!</definedName>
    <definedName name="IQRIPOAF20" localSheetId="37" hidden="1">#REF!</definedName>
    <definedName name="IQRIPOAF20" localSheetId="80" hidden="1">#REF!</definedName>
    <definedName name="IQRIPOAF20" localSheetId="39" hidden="1">#REF!</definedName>
    <definedName name="IQRIPOAF20" localSheetId="4" hidden="1">#REF!</definedName>
    <definedName name="IQRIPOAF20" localSheetId="8" hidden="1">#REF!</definedName>
    <definedName name="IQRIPOAF20" localSheetId="52" hidden="1">#REF!</definedName>
    <definedName name="IQRIPOAF20" localSheetId="58" hidden="1">#REF!</definedName>
    <definedName name="IQRIPOAF20" localSheetId="43" hidden="1">#REF!</definedName>
    <definedName name="IQRIPOAF20" localSheetId="20" hidden="1">#REF!</definedName>
    <definedName name="IQRIPOAF20" localSheetId="49" hidden="1">#REF!</definedName>
    <definedName name="IQRIPOAF20" localSheetId="44" hidden="1">#REF!</definedName>
    <definedName name="IQRIPOAF20" localSheetId="55" hidden="1">#REF!</definedName>
    <definedName name="IQRIPOAF20" localSheetId="6" hidden="1">#REF!</definedName>
    <definedName name="IQRIPOAF20" localSheetId="46" hidden="1">#REF!</definedName>
    <definedName name="IQRIPOAF20" localSheetId="5" hidden="1">#REF!</definedName>
    <definedName name="IQRIPOAF20" localSheetId="48" hidden="1">#REF!</definedName>
    <definedName name="IQRIPOAF20" hidden="1">#REF!</definedName>
    <definedName name="IQRIPOAF21" localSheetId="59" hidden="1">#REF!</definedName>
    <definedName name="IQRIPOAF21" localSheetId="37" hidden="1">#REF!</definedName>
    <definedName name="IQRIPOAF21" localSheetId="80" hidden="1">#REF!</definedName>
    <definedName name="IQRIPOAF21" localSheetId="39" hidden="1">#REF!</definedName>
    <definedName name="IQRIPOAF21" localSheetId="4" hidden="1">#REF!</definedName>
    <definedName name="IQRIPOAF21" localSheetId="8" hidden="1">#REF!</definedName>
    <definedName name="IQRIPOAF21" localSheetId="52" hidden="1">#REF!</definedName>
    <definedName name="IQRIPOAF21" localSheetId="58" hidden="1">#REF!</definedName>
    <definedName name="IQRIPOAF21" localSheetId="43" hidden="1">#REF!</definedName>
    <definedName name="IQRIPOAF21" localSheetId="20" hidden="1">#REF!</definedName>
    <definedName name="IQRIPOAF21" localSheetId="49" hidden="1">#REF!</definedName>
    <definedName name="IQRIPOAF21" localSheetId="44" hidden="1">#REF!</definedName>
    <definedName name="IQRIPOAF21" localSheetId="55" hidden="1">#REF!</definedName>
    <definedName name="IQRIPOAF21" localSheetId="6" hidden="1">#REF!</definedName>
    <definedName name="IQRIPOAF21" localSheetId="46" hidden="1">#REF!</definedName>
    <definedName name="IQRIPOAF21" localSheetId="5" hidden="1">#REF!</definedName>
    <definedName name="IQRIPOAF21" localSheetId="48" hidden="1">#REF!</definedName>
    <definedName name="IQRIPOAF21" hidden="1">#REF!</definedName>
    <definedName name="IQRIPOAF22" localSheetId="59" hidden="1">#REF!</definedName>
    <definedName name="IQRIPOAF22" localSheetId="37" hidden="1">#REF!</definedName>
    <definedName name="IQRIPOAF22" localSheetId="80" hidden="1">#REF!</definedName>
    <definedName name="IQRIPOAF22" localSheetId="39" hidden="1">#REF!</definedName>
    <definedName name="IQRIPOAF22" localSheetId="4" hidden="1">#REF!</definedName>
    <definedName name="IQRIPOAF22" localSheetId="8" hidden="1">#REF!</definedName>
    <definedName name="IQRIPOAF22" localSheetId="52" hidden="1">#REF!</definedName>
    <definedName name="IQRIPOAF22" localSheetId="58" hidden="1">#REF!</definedName>
    <definedName name="IQRIPOAF22" localSheetId="43" hidden="1">#REF!</definedName>
    <definedName name="IQRIPOAF22" localSheetId="20" hidden="1">#REF!</definedName>
    <definedName name="IQRIPOAF22" localSheetId="49" hidden="1">#REF!</definedName>
    <definedName name="IQRIPOAF22" localSheetId="44" hidden="1">#REF!</definedName>
    <definedName name="IQRIPOAF22" localSheetId="55" hidden="1">#REF!</definedName>
    <definedName name="IQRIPOAF22" localSheetId="6" hidden="1">#REF!</definedName>
    <definedName name="IQRIPOAF22" localSheetId="46" hidden="1">#REF!</definedName>
    <definedName name="IQRIPOAF22" localSheetId="5" hidden="1">#REF!</definedName>
    <definedName name="IQRIPOAF22" localSheetId="48" hidden="1">#REF!</definedName>
    <definedName name="IQRIPOAF22" hidden="1">#REF!</definedName>
    <definedName name="IQRIPOAF23" localSheetId="59" hidden="1">#REF!</definedName>
    <definedName name="IQRIPOAF23" localSheetId="37" hidden="1">#REF!</definedName>
    <definedName name="IQRIPOAF23" localSheetId="80" hidden="1">#REF!</definedName>
    <definedName name="IQRIPOAF23" localSheetId="39" hidden="1">#REF!</definedName>
    <definedName name="IQRIPOAF23" localSheetId="4" hidden="1">#REF!</definedName>
    <definedName name="IQRIPOAF23" localSheetId="8" hidden="1">#REF!</definedName>
    <definedName name="IQRIPOAF23" localSheetId="52" hidden="1">#REF!</definedName>
    <definedName name="IQRIPOAF23" localSheetId="58" hidden="1">#REF!</definedName>
    <definedName name="IQRIPOAF23" localSheetId="43" hidden="1">#REF!</definedName>
    <definedName name="IQRIPOAF23" localSheetId="20" hidden="1">#REF!</definedName>
    <definedName name="IQRIPOAF23" localSheetId="49" hidden="1">#REF!</definedName>
    <definedName name="IQRIPOAF23" localSheetId="44" hidden="1">#REF!</definedName>
    <definedName name="IQRIPOAF23" localSheetId="55" hidden="1">#REF!</definedName>
    <definedName name="IQRIPOAF23" localSheetId="6" hidden="1">#REF!</definedName>
    <definedName name="IQRIPOAF23" localSheetId="46" hidden="1">#REF!</definedName>
    <definedName name="IQRIPOAF23" localSheetId="5" hidden="1">#REF!</definedName>
    <definedName name="IQRIPOAF23" localSheetId="48" hidden="1">#REF!</definedName>
    <definedName name="IQRIPOAF23" hidden="1">#REF!</definedName>
    <definedName name="IQRIPOAF24" localSheetId="59" hidden="1">#REF!</definedName>
    <definedName name="IQRIPOAF24" localSheetId="37" hidden="1">#REF!</definedName>
    <definedName name="IQRIPOAF24" localSheetId="80" hidden="1">#REF!</definedName>
    <definedName name="IQRIPOAF24" localSheetId="39" hidden="1">#REF!</definedName>
    <definedName name="IQRIPOAF24" localSheetId="4" hidden="1">#REF!</definedName>
    <definedName name="IQRIPOAF24" localSheetId="8" hidden="1">#REF!</definedName>
    <definedName name="IQRIPOAF24" localSheetId="52" hidden="1">#REF!</definedName>
    <definedName name="IQRIPOAF24" localSheetId="58" hidden="1">#REF!</definedName>
    <definedName name="IQRIPOAF24" localSheetId="43" hidden="1">#REF!</definedName>
    <definedName name="IQRIPOAF24" localSheetId="20" hidden="1">#REF!</definedName>
    <definedName name="IQRIPOAF24" localSheetId="49" hidden="1">#REF!</definedName>
    <definedName name="IQRIPOAF24" localSheetId="44" hidden="1">#REF!</definedName>
    <definedName name="IQRIPOAF24" localSheetId="55" hidden="1">#REF!</definedName>
    <definedName name="IQRIPOAF24" localSheetId="6" hidden="1">#REF!</definedName>
    <definedName name="IQRIPOAF24" localSheetId="46" hidden="1">#REF!</definedName>
    <definedName name="IQRIPOAF24" localSheetId="5" hidden="1">#REF!</definedName>
    <definedName name="IQRIPOAF24" localSheetId="48" hidden="1">#REF!</definedName>
    <definedName name="IQRIPOAF24" hidden="1">#REF!</definedName>
    <definedName name="IQRIPOAF25" localSheetId="59" hidden="1">[13]IPO!#REF!</definedName>
    <definedName name="IQRIPOAF25" localSheetId="37" hidden="1">[13]IPO!#REF!</definedName>
    <definedName name="IQRIPOAF25" localSheetId="80" hidden="1">[13]IPO!#REF!</definedName>
    <definedName name="IQRIPOAF25" localSheetId="39" hidden="1">[13]IPO!#REF!</definedName>
    <definedName name="IQRIPOAF25" localSheetId="4" hidden="1">[13]IPO!#REF!</definedName>
    <definedName name="IQRIPOAF25" localSheetId="8" hidden="1">[13]IPO!#REF!</definedName>
    <definedName name="IQRIPOAF25" localSheetId="52" hidden="1">[13]IPO!#REF!</definedName>
    <definedName name="IQRIPOAF25" localSheetId="58" hidden="1">[13]IPO!#REF!</definedName>
    <definedName name="IQRIPOAF25" localSheetId="43" hidden="1">[13]IPO!#REF!</definedName>
    <definedName name="IQRIPOAF25" localSheetId="20" hidden="1">[13]IPO!#REF!</definedName>
    <definedName name="IQRIPOAF25" localSheetId="47" hidden="1">[14]IPO!#REF!</definedName>
    <definedName name="IQRIPOAF25" localSheetId="49" hidden="1">[13]IPO!#REF!</definedName>
    <definedName name="IQRIPOAF25" localSheetId="44" hidden="1">[13]IPO!#REF!</definedName>
    <definedName name="IQRIPOAF25" localSheetId="55" hidden="1">[13]IPO!#REF!</definedName>
    <definedName name="IQRIPOAF25" localSheetId="6" hidden="1">[13]IPO!#REF!</definedName>
    <definedName name="IQRIPOAF25" localSheetId="46" hidden="1">[13]IPO!#REF!</definedName>
    <definedName name="IQRIPOAF25" localSheetId="5" hidden="1">[13]IPO!#REF!</definedName>
    <definedName name="IQRIPOAF25" localSheetId="48" hidden="1">[13]IPO!#REF!</definedName>
    <definedName name="IQRIPOAF25" hidden="1">[13]IPO!#REF!</definedName>
    <definedName name="IQRIPOAF26" localSheetId="59" hidden="1">#REF!</definedName>
    <definedName name="IQRIPOAF26" localSheetId="37" hidden="1">#REF!</definedName>
    <definedName name="IQRIPOAF26" localSheetId="80" hidden="1">#REF!</definedName>
    <definedName name="IQRIPOAF26" localSheetId="39" hidden="1">#REF!</definedName>
    <definedName name="IQRIPOAF26" localSheetId="4" hidden="1">#REF!</definedName>
    <definedName name="IQRIPOAF26" localSheetId="8" hidden="1">#REF!</definedName>
    <definedName name="IQRIPOAF26" localSheetId="52" hidden="1">#REF!</definedName>
    <definedName name="IQRIPOAF26" localSheetId="58" hidden="1">#REF!</definedName>
    <definedName name="IQRIPOAF26" localSheetId="43" hidden="1">#REF!</definedName>
    <definedName name="IQRIPOAF26" localSheetId="20" hidden="1">#REF!</definedName>
    <definedName name="IQRIPOAF26" localSheetId="49" hidden="1">#REF!</definedName>
    <definedName name="IQRIPOAF26" localSheetId="44" hidden="1">#REF!</definedName>
    <definedName name="IQRIPOAF26" localSheetId="55" hidden="1">#REF!</definedName>
    <definedName name="IQRIPOAF26" localSheetId="6" hidden="1">#REF!</definedName>
    <definedName name="IQRIPOAF26" localSheetId="46" hidden="1">#REF!</definedName>
    <definedName name="IQRIPOAF26" localSheetId="5" hidden="1">#REF!</definedName>
    <definedName name="IQRIPOAF26" localSheetId="48" hidden="1">#REF!</definedName>
    <definedName name="IQRIPOAF26" hidden="1">#REF!</definedName>
    <definedName name="IQRIPOAF27" localSheetId="59" hidden="1">#REF!</definedName>
    <definedName name="IQRIPOAF27" localSheetId="37" hidden="1">#REF!</definedName>
    <definedName name="IQRIPOAF27" localSheetId="80" hidden="1">#REF!</definedName>
    <definedName name="IQRIPOAF27" localSheetId="39" hidden="1">#REF!</definedName>
    <definedName name="IQRIPOAF27" localSheetId="4" hidden="1">#REF!</definedName>
    <definedName name="IQRIPOAF27" localSheetId="8" hidden="1">#REF!</definedName>
    <definedName name="IQRIPOAF27" localSheetId="52" hidden="1">#REF!</definedName>
    <definedName name="IQRIPOAF27" localSheetId="58" hidden="1">#REF!</definedName>
    <definedName name="IQRIPOAF27" localSheetId="43" hidden="1">#REF!</definedName>
    <definedName name="IQRIPOAF27" localSheetId="20" hidden="1">#REF!</definedName>
    <definedName name="IQRIPOAF27" localSheetId="49" hidden="1">#REF!</definedName>
    <definedName name="IQRIPOAF27" localSheetId="44" hidden="1">#REF!</definedName>
    <definedName name="IQRIPOAF27" localSheetId="55" hidden="1">#REF!</definedName>
    <definedName name="IQRIPOAF27" localSheetId="6" hidden="1">#REF!</definedName>
    <definedName name="IQRIPOAF27" localSheetId="46" hidden="1">#REF!</definedName>
    <definedName name="IQRIPOAF27" localSheetId="5" hidden="1">#REF!</definedName>
    <definedName name="IQRIPOAF27" localSheetId="48" hidden="1">#REF!</definedName>
    <definedName name="IQRIPOAF27" hidden="1">#REF!</definedName>
    <definedName name="IQRIPOAF28" localSheetId="59" hidden="1">#REF!</definedName>
    <definedName name="IQRIPOAF28" localSheetId="37" hidden="1">#REF!</definedName>
    <definedName name="IQRIPOAF28" localSheetId="80" hidden="1">#REF!</definedName>
    <definedName name="IQRIPOAF28" localSheetId="39" hidden="1">#REF!</definedName>
    <definedName name="IQRIPOAF28" localSheetId="4" hidden="1">#REF!</definedName>
    <definedName name="IQRIPOAF28" localSheetId="8" hidden="1">#REF!</definedName>
    <definedName name="IQRIPOAF28" localSheetId="52" hidden="1">#REF!</definedName>
    <definedName name="IQRIPOAF28" localSheetId="58" hidden="1">#REF!</definedName>
    <definedName name="IQRIPOAF28" localSheetId="43" hidden="1">#REF!</definedName>
    <definedName name="IQRIPOAF28" localSheetId="20" hidden="1">#REF!</definedName>
    <definedName name="IQRIPOAF28" localSheetId="49" hidden="1">#REF!</definedName>
    <definedName name="IQRIPOAF28" localSheetId="44" hidden="1">#REF!</definedName>
    <definedName name="IQRIPOAF28" localSheetId="55" hidden="1">#REF!</definedName>
    <definedName name="IQRIPOAF28" localSheetId="6" hidden="1">#REF!</definedName>
    <definedName name="IQRIPOAF28" localSheetId="46" hidden="1">#REF!</definedName>
    <definedName name="IQRIPOAF28" localSheetId="5" hidden="1">#REF!</definedName>
    <definedName name="IQRIPOAF28" localSheetId="48" hidden="1">#REF!</definedName>
    <definedName name="IQRIPOAF28" hidden="1">#REF!</definedName>
    <definedName name="IQRIPOAF29" localSheetId="59" hidden="1">[13]IPO!#REF!</definedName>
    <definedName name="IQRIPOAF29" localSheetId="37" hidden="1">[13]IPO!#REF!</definedName>
    <definedName name="IQRIPOAF29" localSheetId="80" hidden="1">[13]IPO!#REF!</definedName>
    <definedName name="IQRIPOAF29" localSheetId="39" hidden="1">[13]IPO!#REF!</definedName>
    <definedName name="IQRIPOAF29" localSheetId="4" hidden="1">[13]IPO!#REF!</definedName>
    <definedName name="IQRIPOAF29" localSheetId="8" hidden="1">[13]IPO!#REF!</definedName>
    <definedName name="IQRIPOAF29" localSheetId="52" hidden="1">[13]IPO!#REF!</definedName>
    <definedName name="IQRIPOAF29" localSheetId="58" hidden="1">[13]IPO!#REF!</definedName>
    <definedName name="IQRIPOAF29" localSheetId="43" hidden="1">[13]IPO!#REF!</definedName>
    <definedName name="IQRIPOAF29" localSheetId="20" hidden="1">[13]IPO!#REF!</definedName>
    <definedName name="IQRIPOAF29" localSheetId="47" hidden="1">[14]IPO!#REF!</definedName>
    <definedName name="IQRIPOAF29" localSheetId="49" hidden="1">[13]IPO!#REF!</definedName>
    <definedName name="IQRIPOAF29" localSheetId="44" hidden="1">[13]IPO!#REF!</definedName>
    <definedName name="IQRIPOAF29" localSheetId="55" hidden="1">[13]IPO!#REF!</definedName>
    <definedName name="IQRIPOAF29" localSheetId="6" hidden="1">[13]IPO!#REF!</definedName>
    <definedName name="IQRIPOAF29" localSheetId="46" hidden="1">[13]IPO!#REF!</definedName>
    <definedName name="IQRIPOAF29" localSheetId="5" hidden="1">[13]IPO!#REF!</definedName>
    <definedName name="IQRIPOAF29" localSheetId="48" hidden="1">[13]IPO!#REF!</definedName>
    <definedName name="IQRIPOAF29" hidden="1">[13]IPO!#REF!</definedName>
    <definedName name="IQRJ22" hidden="1">"$J$23:$J$42"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59" hidden="1">'[15]Option Val.'!#REF!</definedName>
    <definedName name="IQROptionValI16" localSheetId="37" hidden="1">'[16]Option Val.'!#REF!</definedName>
    <definedName name="IQROptionValI16" localSheetId="80" hidden="1">'[16]Option Val.'!#REF!</definedName>
    <definedName name="IQROptionValI16" localSheetId="39" hidden="1">'[16]Option Val.'!#REF!</definedName>
    <definedName name="IQROptionValI16" localSheetId="4" hidden="1">'[16]Option Val.'!#REF!</definedName>
    <definedName name="IQROptionValI16" localSheetId="8" hidden="1">'[16]Option Val.'!#REF!</definedName>
    <definedName name="IQROptionValI16" localSheetId="52" hidden="1">'[16]Option Val.'!#REF!</definedName>
    <definedName name="IQROptionValI16" localSheetId="58" hidden="1">'[16]Option Val.'!#REF!</definedName>
    <definedName name="IQROptionValI16" localSheetId="43" hidden="1">'[15]Option Val.'!#REF!</definedName>
    <definedName name="IQROptionValI16" localSheetId="20" hidden="1">'[16]Option Val.'!#REF!</definedName>
    <definedName name="IQROptionValI16" localSheetId="47" hidden="1">'[15]Option Val.'!#REF!</definedName>
    <definedName name="IQROptionValI16" localSheetId="49" hidden="1">'[16]Option Val.'!#REF!</definedName>
    <definedName name="IQROptionValI16" localSheetId="44" hidden="1">'[15]Option Val.'!#REF!</definedName>
    <definedName name="IQROptionValI16" localSheetId="42" hidden="1">'[15]Option Val.'!#REF!</definedName>
    <definedName name="IQROptionValI16" localSheetId="55" hidden="1">'[16]Option Val.'!#REF!</definedName>
    <definedName name="IQROptionValI16" localSheetId="6" hidden="1">'[16]Option Val.'!#REF!</definedName>
    <definedName name="IQROptionValI16" localSheetId="18" hidden="1">'[15]Option Val.'!#REF!</definedName>
    <definedName name="IQROptionValI16" localSheetId="5" hidden="1">'[16]Option Val.'!#REF!</definedName>
    <definedName name="IQROptionValI16" localSheetId="48" hidden="1">'[16]Option Val.'!#REF!</definedName>
    <definedName name="IQROptionValI16" hidden="1">'[16]Option Val.'!#REF!</definedName>
    <definedName name="IQRP22" hidden="1">"$P$23:$P$42"</definedName>
    <definedName name="IQRS22" hidden="1">"$S$23:$S$42"</definedName>
    <definedName name="IQRT22" hidden="1">"$T$23:$T$32"</definedName>
    <definedName name="IQRU14" hidden="1">"$U$15:$U$266"</definedName>
    <definedName name="IQRV22" hidden="1">"$V$23:$V$42"</definedName>
    <definedName name="IQRWACCCapIQBV10" localSheetId="59" hidden="1">#REF!</definedName>
    <definedName name="IQRWACCCapIQBV10" localSheetId="37" hidden="1">#REF!</definedName>
    <definedName name="IQRWACCCapIQBV10" localSheetId="80" hidden="1">#REF!</definedName>
    <definedName name="IQRWACCCapIQBV10" localSheetId="39" hidden="1">#REF!</definedName>
    <definedName name="IQRWACCCapIQBV10" localSheetId="4" hidden="1">#REF!</definedName>
    <definedName name="IQRWACCCapIQBV10" localSheetId="8" hidden="1">#REF!</definedName>
    <definedName name="IQRWACCCapIQBV10" localSheetId="52" hidden="1">#REF!</definedName>
    <definedName name="IQRWACCCapIQBV10" localSheetId="58" hidden="1">#REF!</definedName>
    <definedName name="IQRWACCCapIQBV10" localSheetId="20" hidden="1">#REF!</definedName>
    <definedName name="IQRWACCCapIQBV10" localSheetId="49" hidden="1">#REF!</definedName>
    <definedName name="IQRWACCCapIQBV10" localSheetId="55" hidden="1">#REF!</definedName>
    <definedName name="IQRWACCCapIQBV10" localSheetId="6" hidden="1">#REF!</definedName>
    <definedName name="IQRWACCCapIQBV10" localSheetId="5" hidden="1">#REF!</definedName>
    <definedName name="IQRWACCCapIQBV10" localSheetId="48" hidden="1">#REF!</definedName>
    <definedName name="IQRWACCCapIQBV10" hidden="1">#REF!</definedName>
    <definedName name="IQRWACCCapIQCD10" localSheetId="59" hidden="1">#REF!</definedName>
    <definedName name="IQRWACCCapIQCD10" localSheetId="37" hidden="1">#REF!</definedName>
    <definedName name="IQRWACCCapIQCD10" localSheetId="80" hidden="1">#REF!</definedName>
    <definedName name="IQRWACCCapIQCD10" localSheetId="39" hidden="1">#REF!</definedName>
    <definedName name="IQRWACCCapIQCD10" localSheetId="4" hidden="1">#REF!</definedName>
    <definedName name="IQRWACCCapIQCD10" localSheetId="8" hidden="1">#REF!</definedName>
    <definedName name="IQRWACCCapIQCD10" localSheetId="52" hidden="1">#REF!</definedName>
    <definedName name="IQRWACCCapIQCD10" localSheetId="58" hidden="1">#REF!</definedName>
    <definedName name="IQRWACCCapIQCD10" localSheetId="20" hidden="1">#REF!</definedName>
    <definedName name="IQRWACCCapIQCD10" localSheetId="49" hidden="1">#REF!</definedName>
    <definedName name="IQRWACCCapIQCD10" localSheetId="55" hidden="1">#REF!</definedName>
    <definedName name="IQRWACCCapIQCD10" localSheetId="6" hidden="1">#REF!</definedName>
    <definedName name="IQRWACCCapIQCD10" localSheetId="5" hidden="1">#REF!</definedName>
    <definedName name="IQRWACCCapIQCD10" localSheetId="48" hidden="1">#REF!</definedName>
    <definedName name="IQRWACCCapIQCD10" hidden="1">#REF!</definedName>
    <definedName name="IQRY22" hidden="1">"$Y$23:$Y$42"</definedName>
    <definedName name="IsColHidden" hidden="1">FALSE</definedName>
    <definedName name="IsLTMColHidden" hidden="1">FALSE</definedName>
    <definedName name="jjj" localSheetId="59" hidden="1">{#N/A,#N/A,FALSE,"Bakersfield PCs";#N/A,#N/A,FALSE,"Bremer PCs";#N/A,#N/A,FALSE,"Bakersfield Notebooks"}</definedName>
    <definedName name="jjj" localSheetId="52" hidden="1">{#N/A,#N/A,FALSE,"Bakersfield PCs";#N/A,#N/A,FALSE,"Bremer PCs";#N/A,#N/A,FALSE,"Bakersfield Notebooks"}</definedName>
    <definedName name="jjj" localSheetId="58" hidden="1">{#N/A,#N/A,FALSE,"Bakersfield PCs";#N/A,#N/A,FALSE,"Bremer PCs";#N/A,#N/A,FALSE,"Bakersfield Notebooks"}</definedName>
    <definedName name="jjj" localSheetId="43" hidden="1">{#N/A,#N/A,FALSE,"Bakersfield PCs";#N/A,#N/A,FALSE,"Bremer PCs";#N/A,#N/A,FALSE,"Bakersfield Notebooks"}</definedName>
    <definedName name="jjj" localSheetId="47" hidden="1">{#N/A,#N/A,FALSE,"Bakersfield PCs";#N/A,#N/A,FALSE,"Bremer PCs";#N/A,#N/A,FALSE,"Bakersfield Notebooks"}</definedName>
    <definedName name="jjj" localSheetId="44" hidden="1">{#N/A,#N/A,FALSE,"Bakersfield PCs";#N/A,#N/A,FALSE,"Bremer PCs";#N/A,#N/A,FALSE,"Bakersfield Notebooks"}</definedName>
    <definedName name="jjj" localSheetId="42" hidden="1">{#N/A,#N/A,FALSE,"Bakersfield PCs";#N/A,#N/A,FALSE,"Bremer PCs";#N/A,#N/A,FALSE,"Bakersfield Notebooks"}</definedName>
    <definedName name="jjj" localSheetId="18" hidden="1">{#N/A,#N/A,FALSE,"Bakersfield PCs";#N/A,#N/A,FALSE,"Bremer PCs";#N/A,#N/A,FALSE,"Bakersfield Notebooks"}</definedName>
    <definedName name="jjj" localSheetId="9" hidden="1">{#N/A,#N/A,FALSE,"Bakersfield PCs";#N/A,#N/A,FALSE,"Bremer PCs";#N/A,#N/A,FALSE,"Bakersfield Notebooks"}</definedName>
    <definedName name="jjj" hidden="1">{#N/A,#N/A,FALSE,"Bakersfield PCs";#N/A,#N/A,FALSE,"Bremer PCs";#N/A,#N/A,FALSE,"Bakersfield Notebooks"}</definedName>
    <definedName name="jlklkjlk" localSheetId="59" hidden="1">{#N/A,#N/A,FALSE,"Bakersfield PCs";#N/A,#N/A,FALSE,"Bremer PCs";#N/A,#N/A,FALSE,"Bakersfield Notebooks"}</definedName>
    <definedName name="jlklkjlk" localSheetId="52" hidden="1">{#N/A,#N/A,FALSE,"Bakersfield PCs";#N/A,#N/A,FALSE,"Bremer PCs";#N/A,#N/A,FALSE,"Bakersfield Notebooks"}</definedName>
    <definedName name="jlklkjlk" localSheetId="58" hidden="1">{#N/A,#N/A,FALSE,"Bakersfield PCs";#N/A,#N/A,FALSE,"Bremer PCs";#N/A,#N/A,FALSE,"Bakersfield Notebooks"}</definedName>
    <definedName name="jlklkjlk" localSheetId="43" hidden="1">{#N/A,#N/A,FALSE,"Bakersfield PCs";#N/A,#N/A,FALSE,"Bremer PCs";#N/A,#N/A,FALSE,"Bakersfield Notebooks"}</definedName>
    <definedName name="jlklkjlk" localSheetId="47" hidden="1">{#N/A,#N/A,FALSE,"Bakersfield PCs";#N/A,#N/A,FALSE,"Bremer PCs";#N/A,#N/A,FALSE,"Bakersfield Notebooks"}</definedName>
    <definedName name="jlklkjlk" localSheetId="44" hidden="1">{#N/A,#N/A,FALSE,"Bakersfield PCs";#N/A,#N/A,FALSE,"Bremer PCs";#N/A,#N/A,FALSE,"Bakersfield Notebooks"}</definedName>
    <definedName name="jlklkjlk" localSheetId="42" hidden="1">{#N/A,#N/A,FALSE,"Bakersfield PCs";#N/A,#N/A,FALSE,"Bremer PCs";#N/A,#N/A,FALSE,"Bakersfield Notebooks"}</definedName>
    <definedName name="jlklkjlk" localSheetId="18" hidden="1">{#N/A,#N/A,FALSE,"Bakersfield PCs";#N/A,#N/A,FALSE,"Bremer PCs";#N/A,#N/A,FALSE,"Bakersfield Notebooks"}</definedName>
    <definedName name="jlklkjlk" localSheetId="9" hidden="1">{#N/A,#N/A,FALSE,"Bakersfield PCs";#N/A,#N/A,FALSE,"Bremer PCs";#N/A,#N/A,FALSE,"Bakersfield Notebooks"}</definedName>
    <definedName name="jlklkjlk" hidden="1">{#N/A,#N/A,FALSE,"Bakersfield PCs";#N/A,#N/A,FALSE,"Bremer PCs";#N/A,#N/A,FALSE,"Bakersfield Notebooks"}</definedName>
    <definedName name="K2_WBEVMODE" hidden="1">-1</definedName>
    <definedName name="kin" localSheetId="59" hidden="1">#REF!</definedName>
    <definedName name="kin" localSheetId="37" hidden="1">#REF!</definedName>
    <definedName name="kin" localSheetId="80" hidden="1">#REF!</definedName>
    <definedName name="kin" localSheetId="39" hidden="1">#REF!</definedName>
    <definedName name="kin" localSheetId="4" hidden="1">#REF!</definedName>
    <definedName name="kin" localSheetId="8" hidden="1">#REF!</definedName>
    <definedName name="kin" localSheetId="52" hidden="1">#REF!</definedName>
    <definedName name="kin" localSheetId="58" hidden="1">#REF!</definedName>
    <definedName name="kin" localSheetId="43" hidden="1">#REF!</definedName>
    <definedName name="kin" localSheetId="20" hidden="1">#REF!</definedName>
    <definedName name="kin" localSheetId="49" hidden="1">#REF!</definedName>
    <definedName name="kin" localSheetId="44" hidden="1">#REF!</definedName>
    <definedName name="kin" localSheetId="55" hidden="1">#REF!</definedName>
    <definedName name="kin" localSheetId="6" hidden="1">#REF!</definedName>
    <definedName name="kin" localSheetId="46" hidden="1">#REF!</definedName>
    <definedName name="kin" localSheetId="5" hidden="1">#REF!</definedName>
    <definedName name="kin" localSheetId="48" hidden="1">#REF!</definedName>
    <definedName name="kin" hidden="1">#REF!</definedName>
    <definedName name="Ledger_Code" hidden="1">" "</definedName>
    <definedName name="Ledger_Selection" hidden="1">" "</definedName>
    <definedName name="limcount" hidden="1">2</definedName>
    <definedName name="lin" localSheetId="59" hidden="1">#REF!</definedName>
    <definedName name="lin" localSheetId="37" hidden="1">#REF!</definedName>
    <definedName name="lin" localSheetId="80" hidden="1">#REF!</definedName>
    <definedName name="lin" localSheetId="39" hidden="1">#REF!</definedName>
    <definedName name="lin" localSheetId="4" hidden="1">#REF!</definedName>
    <definedName name="lin" localSheetId="8" hidden="1">#REF!</definedName>
    <definedName name="lin" localSheetId="52" hidden="1">#REF!</definedName>
    <definedName name="lin" localSheetId="58" hidden="1">#REF!</definedName>
    <definedName name="lin" localSheetId="43" hidden="1">#REF!</definedName>
    <definedName name="lin" localSheetId="20" hidden="1">#REF!</definedName>
    <definedName name="lin" localSheetId="49" hidden="1">#REF!</definedName>
    <definedName name="lin" localSheetId="44" hidden="1">#REF!</definedName>
    <definedName name="lin" localSheetId="55" hidden="1">#REF!</definedName>
    <definedName name="lin" localSheetId="6" hidden="1">#REF!</definedName>
    <definedName name="lin" localSheetId="46" hidden="1">#REF!</definedName>
    <definedName name="lin" localSheetId="5" hidden="1">#REF!</definedName>
    <definedName name="lin" localSheetId="48" hidden="1">#REF!</definedName>
    <definedName name="lin" hidden="1">#REF!</definedName>
    <definedName name="ListOffset" hidden="1">1</definedName>
    <definedName name="MA" localSheetId="59" hidden="1">#REF!</definedName>
    <definedName name="MA" localSheetId="80" hidden="1">#REF!</definedName>
    <definedName name="MA" localSheetId="39" hidden="1">#REF!</definedName>
    <definedName name="MA" localSheetId="8" hidden="1">#REF!</definedName>
    <definedName name="MA" localSheetId="6" hidden="1">#REF!</definedName>
    <definedName name="MA" localSheetId="5" hidden="1">#REF!</definedName>
    <definedName name="MA" hidden="1">#REF!</definedName>
    <definedName name="mb_inputLocation" localSheetId="59" hidden="1">#REF!</definedName>
    <definedName name="mb_inputLocation" localSheetId="37" hidden="1">#REF!</definedName>
    <definedName name="mb_inputLocation" localSheetId="80" hidden="1">#REF!</definedName>
    <definedName name="mb_inputLocation" localSheetId="39" hidden="1">#REF!</definedName>
    <definedName name="mb_inputLocation" localSheetId="4" hidden="1">#REF!</definedName>
    <definedName name="mb_inputLocation" localSheetId="8" hidden="1">#REF!</definedName>
    <definedName name="mb_inputLocation" localSheetId="52" hidden="1">#REF!</definedName>
    <definedName name="mb_inputLocation" localSheetId="58" hidden="1">#REF!</definedName>
    <definedName name="mb_inputLocation" localSheetId="43" hidden="1">#REF!</definedName>
    <definedName name="mb_inputLocation" localSheetId="20" hidden="1">#REF!</definedName>
    <definedName name="mb_inputLocation" localSheetId="49" hidden="1">#REF!</definedName>
    <definedName name="mb_inputLocation" localSheetId="44" hidden="1">#REF!</definedName>
    <definedName name="mb_inputLocation" localSheetId="55" hidden="1">#REF!</definedName>
    <definedName name="mb_inputLocation" localSheetId="6" hidden="1">#REF!</definedName>
    <definedName name="mb_inputLocation" localSheetId="46" hidden="1">#REF!</definedName>
    <definedName name="mb_inputLocation" localSheetId="5" hidden="1">#REF!</definedName>
    <definedName name="mb_inputLocation" localSheetId="48" hidden="1">#REF!</definedName>
    <definedName name="mb_inputLocation" hidden="1">#REF!</definedName>
    <definedName name="medmult" localSheetId="59" hidden="1">#REF!</definedName>
    <definedName name="medmult" localSheetId="37" hidden="1">#REF!</definedName>
    <definedName name="medmult" localSheetId="80" hidden="1">#REF!</definedName>
    <definedName name="medmult" localSheetId="39" hidden="1">#REF!</definedName>
    <definedName name="medmult" localSheetId="4" hidden="1">#REF!</definedName>
    <definedName name="medmult" localSheetId="8" hidden="1">#REF!</definedName>
    <definedName name="medmult" localSheetId="52" hidden="1">#REF!</definedName>
    <definedName name="medmult" localSheetId="58" hidden="1">#REF!</definedName>
    <definedName name="medmult" localSheetId="43" hidden="1">#REF!</definedName>
    <definedName name="medmult" localSheetId="20" hidden="1">#REF!</definedName>
    <definedName name="medmult" localSheetId="49" hidden="1">#REF!</definedName>
    <definedName name="medmult" localSheetId="44" hidden="1">#REF!</definedName>
    <definedName name="medmult" localSheetId="55" hidden="1">#REF!</definedName>
    <definedName name="medmult" localSheetId="6" hidden="1">#REF!</definedName>
    <definedName name="medmult" localSheetId="46" hidden="1">#REF!</definedName>
    <definedName name="medmult" localSheetId="5" hidden="1">#REF!</definedName>
    <definedName name="medmult" localSheetId="48" hidden="1">#REF!</definedName>
    <definedName name="medmult" hidden="1">#REF!</definedName>
    <definedName name="Month_ID" hidden="1">" "</definedName>
    <definedName name="New" localSheetId="59" hidden="1">{#N/A,#N/A,FALSE,"Title Page";#N/A,#N/A,FALSE,"Conclusions";#N/A,#N/A,FALSE,"Assum.";#N/A,#N/A,FALSE,"Sun  DCF-WC-Dep";#N/A,#N/A,FALSE,"MarketValue";#N/A,#N/A,FALSE,"BalSheet";#N/A,#N/A,FALSE,"WACC";#N/A,#N/A,FALSE,"PC+ Info.";#N/A,#N/A,FALSE,"PC+Info_2"}</definedName>
    <definedName name="New" localSheetId="52" hidden="1">{#N/A,#N/A,FALSE,"Title Page";#N/A,#N/A,FALSE,"Conclusions";#N/A,#N/A,FALSE,"Assum.";#N/A,#N/A,FALSE,"Sun  DCF-WC-Dep";#N/A,#N/A,FALSE,"MarketValue";#N/A,#N/A,FALSE,"BalSheet";#N/A,#N/A,FALSE,"WACC";#N/A,#N/A,FALSE,"PC+ Info.";#N/A,#N/A,FALSE,"PC+Info_2"}</definedName>
    <definedName name="New" localSheetId="58" hidden="1">{#N/A,#N/A,FALSE,"Title Page";#N/A,#N/A,FALSE,"Conclusions";#N/A,#N/A,FALSE,"Assum.";#N/A,#N/A,FALSE,"Sun  DCF-WC-Dep";#N/A,#N/A,FALSE,"MarketValue";#N/A,#N/A,FALSE,"BalSheet";#N/A,#N/A,FALSE,"WACC";#N/A,#N/A,FALSE,"PC+ Info.";#N/A,#N/A,FALSE,"PC+Info_2"}</definedName>
    <definedName name="New" localSheetId="43" hidden="1">{#N/A,#N/A,FALSE,"Title Page";#N/A,#N/A,FALSE,"Conclusions";#N/A,#N/A,FALSE,"Assum.";#N/A,#N/A,FALSE,"Sun  DCF-WC-Dep";#N/A,#N/A,FALSE,"MarketValue";#N/A,#N/A,FALSE,"BalSheet";#N/A,#N/A,FALSE,"WACC";#N/A,#N/A,FALSE,"PC+ Info.";#N/A,#N/A,FALSE,"PC+Info_2"}</definedName>
    <definedName name="New" localSheetId="47" hidden="1">{#N/A,#N/A,FALSE,"Title Page";#N/A,#N/A,FALSE,"Conclusions";#N/A,#N/A,FALSE,"Assum.";#N/A,#N/A,FALSE,"Sun  DCF-WC-Dep";#N/A,#N/A,FALSE,"MarketValue";#N/A,#N/A,FALSE,"BalSheet";#N/A,#N/A,FALSE,"WACC";#N/A,#N/A,FALSE,"PC+ Info.";#N/A,#N/A,FALSE,"PC+Info_2"}</definedName>
    <definedName name="New" localSheetId="44" hidden="1">{#N/A,#N/A,FALSE,"Title Page";#N/A,#N/A,FALSE,"Conclusions";#N/A,#N/A,FALSE,"Assum.";#N/A,#N/A,FALSE,"Sun  DCF-WC-Dep";#N/A,#N/A,FALSE,"MarketValue";#N/A,#N/A,FALSE,"BalSheet";#N/A,#N/A,FALSE,"WACC";#N/A,#N/A,FALSE,"PC+ Info.";#N/A,#N/A,FALSE,"PC+Info_2"}</definedName>
    <definedName name="New" localSheetId="42" hidden="1">{#N/A,#N/A,FALSE,"Title Page";#N/A,#N/A,FALSE,"Conclusions";#N/A,#N/A,FALSE,"Assum.";#N/A,#N/A,FALSE,"Sun  DCF-WC-Dep";#N/A,#N/A,FALSE,"MarketValue";#N/A,#N/A,FALSE,"BalSheet";#N/A,#N/A,FALSE,"WACC";#N/A,#N/A,FALSE,"PC+ Info.";#N/A,#N/A,FALSE,"PC+Info_2"}</definedName>
    <definedName name="New" localSheetId="18" hidden="1">{#N/A,#N/A,FALSE,"Title Page";#N/A,#N/A,FALSE,"Conclusions";#N/A,#N/A,FALSE,"Assum.";#N/A,#N/A,FALSE,"Sun  DCF-WC-Dep";#N/A,#N/A,FALSE,"MarketValue";#N/A,#N/A,FALSE,"BalSheet";#N/A,#N/A,FALSE,"WACC";#N/A,#N/A,FALSE,"PC+ Info.";#N/A,#N/A,FALSE,"PC+Info_2"}</definedName>
    <definedName name="New" localSheetId="9"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JSECcustomer" localSheetId="59" hidden="1">{#N/A,#N/A,FALSE,"Title Page";#N/A,#N/A,FALSE,"Conclusions";#N/A,#N/A,FALSE,"Assum.";#N/A,#N/A,FALSE,"Sun  DCF-WC-Dep";#N/A,#N/A,FALSE,"MarketValue";#N/A,#N/A,FALSE,"BalSheet";#N/A,#N/A,FALSE,"WACC";#N/A,#N/A,FALSE,"PC+ Info.";#N/A,#N/A,FALSE,"PC+Info_2"}</definedName>
    <definedName name="newJSECcustomer" localSheetId="52" hidden="1">{#N/A,#N/A,FALSE,"Title Page";#N/A,#N/A,FALSE,"Conclusions";#N/A,#N/A,FALSE,"Assum.";#N/A,#N/A,FALSE,"Sun  DCF-WC-Dep";#N/A,#N/A,FALSE,"MarketValue";#N/A,#N/A,FALSE,"BalSheet";#N/A,#N/A,FALSE,"WACC";#N/A,#N/A,FALSE,"PC+ Info.";#N/A,#N/A,FALSE,"PC+Info_2"}</definedName>
    <definedName name="newJSECcustomer" localSheetId="58" hidden="1">{#N/A,#N/A,FALSE,"Title Page";#N/A,#N/A,FALSE,"Conclusions";#N/A,#N/A,FALSE,"Assum.";#N/A,#N/A,FALSE,"Sun  DCF-WC-Dep";#N/A,#N/A,FALSE,"MarketValue";#N/A,#N/A,FALSE,"BalSheet";#N/A,#N/A,FALSE,"WACC";#N/A,#N/A,FALSE,"PC+ Info.";#N/A,#N/A,FALSE,"PC+Info_2"}</definedName>
    <definedName name="newJSECcustomer" localSheetId="43" hidden="1">{#N/A,#N/A,FALSE,"Title Page";#N/A,#N/A,FALSE,"Conclusions";#N/A,#N/A,FALSE,"Assum.";#N/A,#N/A,FALSE,"Sun  DCF-WC-Dep";#N/A,#N/A,FALSE,"MarketValue";#N/A,#N/A,FALSE,"BalSheet";#N/A,#N/A,FALSE,"WACC";#N/A,#N/A,FALSE,"PC+ Info.";#N/A,#N/A,FALSE,"PC+Info_2"}</definedName>
    <definedName name="newJSECcustomer" localSheetId="47" hidden="1">{#N/A,#N/A,FALSE,"Title Page";#N/A,#N/A,FALSE,"Conclusions";#N/A,#N/A,FALSE,"Assum.";#N/A,#N/A,FALSE,"Sun  DCF-WC-Dep";#N/A,#N/A,FALSE,"MarketValue";#N/A,#N/A,FALSE,"BalSheet";#N/A,#N/A,FALSE,"WACC";#N/A,#N/A,FALSE,"PC+ Info.";#N/A,#N/A,FALSE,"PC+Info_2"}</definedName>
    <definedName name="newJSECcustomer" localSheetId="44" hidden="1">{#N/A,#N/A,FALSE,"Title Page";#N/A,#N/A,FALSE,"Conclusions";#N/A,#N/A,FALSE,"Assum.";#N/A,#N/A,FALSE,"Sun  DCF-WC-Dep";#N/A,#N/A,FALSE,"MarketValue";#N/A,#N/A,FALSE,"BalSheet";#N/A,#N/A,FALSE,"WACC";#N/A,#N/A,FALSE,"PC+ Info.";#N/A,#N/A,FALSE,"PC+Info_2"}</definedName>
    <definedName name="newJSECcustomer" localSheetId="42" hidden="1">{#N/A,#N/A,FALSE,"Title Page";#N/A,#N/A,FALSE,"Conclusions";#N/A,#N/A,FALSE,"Assum.";#N/A,#N/A,FALSE,"Sun  DCF-WC-Dep";#N/A,#N/A,FALSE,"MarketValue";#N/A,#N/A,FALSE,"BalSheet";#N/A,#N/A,FALSE,"WACC";#N/A,#N/A,FALSE,"PC+ Info.";#N/A,#N/A,FALSE,"PC+Info_2"}</definedName>
    <definedName name="newJSECcustomer" localSheetId="18" hidden="1">{#N/A,#N/A,FALSE,"Title Page";#N/A,#N/A,FALSE,"Conclusions";#N/A,#N/A,FALSE,"Assum.";#N/A,#N/A,FALSE,"Sun  DCF-WC-Dep";#N/A,#N/A,FALSE,"MarketValue";#N/A,#N/A,FALSE,"BalSheet";#N/A,#N/A,FALSE,"WACC";#N/A,#N/A,FALSE,"PC+ Info.";#N/A,#N/A,FALSE,"PC+Info_2"}</definedName>
    <definedName name="newJSECcustomer" localSheetId="9"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n" localSheetId="59" hidden="1">{#N/A,#N/A,FALSE,"Bakersfield PCs";#N/A,#N/A,FALSE,"Bremer PCs";#N/A,#N/A,FALSE,"Bakersfield Notebooks"}</definedName>
    <definedName name="nn" localSheetId="52" hidden="1">{#N/A,#N/A,FALSE,"Bakersfield PCs";#N/A,#N/A,FALSE,"Bremer PCs";#N/A,#N/A,FALSE,"Bakersfield Notebooks"}</definedName>
    <definedName name="nn" localSheetId="58" hidden="1">{#N/A,#N/A,FALSE,"Bakersfield PCs";#N/A,#N/A,FALSE,"Bremer PCs";#N/A,#N/A,FALSE,"Bakersfield Notebooks"}</definedName>
    <definedName name="nn" localSheetId="43" hidden="1">{#N/A,#N/A,FALSE,"Bakersfield PCs";#N/A,#N/A,FALSE,"Bremer PCs";#N/A,#N/A,FALSE,"Bakersfield Notebooks"}</definedName>
    <definedName name="nn" localSheetId="47" hidden="1">{#N/A,#N/A,FALSE,"Bakersfield PCs";#N/A,#N/A,FALSE,"Bremer PCs";#N/A,#N/A,FALSE,"Bakersfield Notebooks"}</definedName>
    <definedName name="nn" localSheetId="44" hidden="1">{#N/A,#N/A,FALSE,"Bakersfield PCs";#N/A,#N/A,FALSE,"Bremer PCs";#N/A,#N/A,FALSE,"Bakersfield Notebooks"}</definedName>
    <definedName name="nn" localSheetId="42" hidden="1">{#N/A,#N/A,FALSE,"Bakersfield PCs";#N/A,#N/A,FALSE,"Bremer PCs";#N/A,#N/A,FALSE,"Bakersfield Notebooks"}</definedName>
    <definedName name="nn" localSheetId="18" hidden="1">{#N/A,#N/A,FALSE,"Bakersfield PCs";#N/A,#N/A,FALSE,"Bremer PCs";#N/A,#N/A,FALSE,"Bakersfield Notebooks"}</definedName>
    <definedName name="nn" localSheetId="9" hidden="1">{#N/A,#N/A,FALSE,"Bakersfield PCs";#N/A,#N/A,FALSE,"Bremer PCs";#N/A,#N/A,FALSE,"Bakersfield Notebooks"}</definedName>
    <definedName name="nn" hidden="1">{#N/A,#N/A,FALSE,"Bakersfield PCs";#N/A,#N/A,FALSE,"Bremer PCs";#N/A,#N/A,FALSE,"Bakersfield Notebooks"}</definedName>
    <definedName name="o" localSheetId="59" hidden="1">{#N/A,#N/A,FALSE,"New Depr Sch-150% DB";#N/A,#N/A,FALSE,"Cash Flows RLP";#N/A,#N/A,FALSE,"IRR";#N/A,#N/A,FALSE,"Proforma IS";#N/A,#N/A,FALSE,"Assumptions"}</definedName>
    <definedName name="o" localSheetId="52" hidden="1">{#N/A,#N/A,FALSE,"New Depr Sch-150% DB";#N/A,#N/A,FALSE,"Cash Flows RLP";#N/A,#N/A,FALSE,"IRR";#N/A,#N/A,FALSE,"Proforma IS";#N/A,#N/A,FALSE,"Assumptions"}</definedName>
    <definedName name="o" localSheetId="58" hidden="1">{#N/A,#N/A,FALSE,"New Depr Sch-150% DB";#N/A,#N/A,FALSE,"Cash Flows RLP";#N/A,#N/A,FALSE,"IRR";#N/A,#N/A,FALSE,"Proforma IS";#N/A,#N/A,FALSE,"Assumptions"}</definedName>
    <definedName name="o" localSheetId="43" hidden="1">{#N/A,#N/A,FALSE,"New Depr Sch-150% DB";#N/A,#N/A,FALSE,"Cash Flows RLP";#N/A,#N/A,FALSE,"IRR";#N/A,#N/A,FALSE,"Proforma IS";#N/A,#N/A,FALSE,"Assumptions"}</definedName>
    <definedName name="o" localSheetId="47" hidden="1">{#N/A,#N/A,FALSE,"New Depr Sch-150% DB";#N/A,#N/A,FALSE,"Cash Flows RLP";#N/A,#N/A,FALSE,"IRR";#N/A,#N/A,FALSE,"Proforma IS";#N/A,#N/A,FALSE,"Assumptions"}</definedName>
    <definedName name="o" localSheetId="44" hidden="1">{#N/A,#N/A,FALSE,"New Depr Sch-150% DB";#N/A,#N/A,FALSE,"Cash Flows RLP";#N/A,#N/A,FALSE,"IRR";#N/A,#N/A,FALSE,"Proforma IS";#N/A,#N/A,FALSE,"Assumptions"}</definedName>
    <definedName name="o" localSheetId="42" hidden="1">{#N/A,#N/A,FALSE,"New Depr Sch-150% DB";#N/A,#N/A,FALSE,"Cash Flows RLP";#N/A,#N/A,FALSE,"IRR";#N/A,#N/A,FALSE,"Proforma IS";#N/A,#N/A,FALSE,"Assumptions"}</definedName>
    <definedName name="o" localSheetId="18" hidden="1">{#N/A,#N/A,FALSE,"New Depr Sch-150% DB";#N/A,#N/A,FALSE,"Cash Flows RLP";#N/A,#N/A,FALSE,"IRR";#N/A,#N/A,FALSE,"Proforma IS";#N/A,#N/A,FALSE,"Assumptions"}</definedName>
    <definedName name="o" localSheetId="9" hidden="1">{#N/A,#N/A,FALSE,"New Depr Sch-150% DB";#N/A,#N/A,FALSE,"Cash Flows RLP";#N/A,#N/A,FALSE,"IRR";#N/A,#N/A,FALSE,"Proforma IS";#N/A,#N/A,FALSE,"Assumptions"}</definedName>
    <definedName name="o" localSheetId="74" hidden="1">{#N/A,#N/A,FALSE,"New Depr Sch-150% DB";#N/A,#N/A,FALSE,"Cash Flows RLP";#N/A,#N/A,FALSE,"IRR";#N/A,#N/A,FALSE,"Proforma IS";#N/A,#N/A,FALSE,"Assumptions"}</definedName>
    <definedName name="o" hidden="1">{#N/A,#N/A,FALSE,"New Depr Sch-150% DB";#N/A,#N/A,FALSE,"Cash Flows RLP";#N/A,#N/A,FALSE,"IRR";#N/A,#N/A,FALSE,"Proforma IS";#N/A,#N/A,FALSE,"Assumptions"}</definedName>
    <definedName name="ok" localSheetId="59" hidden="1">{"Opsys",#N/A,FALSE,"NPV_OPsys";"NT",#N/A,FALSE,"NPV_NT";"DevP",#N/A,FALSE,"NPV_DevPdt";"Office",#N/A,FALSE,"NPV_Office"}</definedName>
    <definedName name="ok" localSheetId="52" hidden="1">{"Opsys",#N/A,FALSE,"NPV_OPsys";"NT",#N/A,FALSE,"NPV_NT";"DevP",#N/A,FALSE,"NPV_DevPdt";"Office",#N/A,FALSE,"NPV_Office"}</definedName>
    <definedName name="ok" localSheetId="58" hidden="1">{"Opsys",#N/A,FALSE,"NPV_OPsys";"NT",#N/A,FALSE,"NPV_NT";"DevP",#N/A,FALSE,"NPV_DevPdt";"Office",#N/A,FALSE,"NPV_Office"}</definedName>
    <definedName name="ok" localSheetId="43" hidden="1">{"Opsys",#N/A,FALSE,"NPV_OPsys";"NT",#N/A,FALSE,"NPV_NT";"DevP",#N/A,FALSE,"NPV_DevPdt";"Office",#N/A,FALSE,"NPV_Office"}</definedName>
    <definedName name="ok" localSheetId="47" hidden="1">{"Opsys",#N/A,FALSE,"NPV_OPsys";"NT",#N/A,FALSE,"NPV_NT";"DevP",#N/A,FALSE,"NPV_DevPdt";"Office",#N/A,FALSE,"NPV_Office"}</definedName>
    <definedName name="ok" localSheetId="44" hidden="1">{"Opsys",#N/A,FALSE,"NPV_OPsys";"NT",#N/A,FALSE,"NPV_NT";"DevP",#N/A,FALSE,"NPV_DevPdt";"Office",#N/A,FALSE,"NPV_Office"}</definedName>
    <definedName name="ok" localSheetId="42" hidden="1">{"Opsys",#N/A,FALSE,"NPV_OPsys";"NT",#N/A,FALSE,"NPV_NT";"DevP",#N/A,FALSE,"NPV_DevPdt";"Office",#N/A,FALSE,"NPV_Office"}</definedName>
    <definedName name="ok" localSheetId="18" hidden="1">{"Opsys",#N/A,FALSE,"NPV_OPsys";"NT",#N/A,FALSE,"NPV_NT";"DevP",#N/A,FALSE,"NPV_DevPdt";"Office",#N/A,FALSE,"NPV_Office"}</definedName>
    <definedName name="ok" localSheetId="9" hidden="1">{"Opsys",#N/A,FALSE,"NPV_OPsys";"NT",#N/A,FALSE,"NPV_NT";"DevP",#N/A,FALSE,"NPV_DevPdt";"Office",#N/A,FALSE,"NPV_Office"}</definedName>
    <definedName name="ok" hidden="1">{"Opsys",#N/A,FALSE,"NPV_OPsys";"NT",#N/A,FALSE,"NPV_NT";"DevP",#N/A,FALSE,"NPV_DevPdt";"Office",#N/A,FALSE,"NPV_Office"}</definedName>
    <definedName name="oooo" localSheetId="59" hidden="1">{#N/A,#N/A,FALSE,"Bakersfield PCs";#N/A,#N/A,FALSE,"Bremer PCs";#N/A,#N/A,FALSE,"Bakersfield Notebooks"}</definedName>
    <definedName name="oooo" localSheetId="52" hidden="1">{#N/A,#N/A,FALSE,"Bakersfield PCs";#N/A,#N/A,FALSE,"Bremer PCs";#N/A,#N/A,FALSE,"Bakersfield Notebooks"}</definedName>
    <definedName name="oooo" localSheetId="58" hidden="1">{#N/A,#N/A,FALSE,"Bakersfield PCs";#N/A,#N/A,FALSE,"Bremer PCs";#N/A,#N/A,FALSE,"Bakersfield Notebooks"}</definedName>
    <definedName name="oooo" localSheetId="43" hidden="1">{#N/A,#N/A,FALSE,"Bakersfield PCs";#N/A,#N/A,FALSE,"Bremer PCs";#N/A,#N/A,FALSE,"Bakersfield Notebooks"}</definedName>
    <definedName name="oooo" localSheetId="47" hidden="1">{#N/A,#N/A,FALSE,"Bakersfield PCs";#N/A,#N/A,FALSE,"Bremer PCs";#N/A,#N/A,FALSE,"Bakersfield Notebooks"}</definedName>
    <definedName name="oooo" localSheetId="44" hidden="1">{#N/A,#N/A,FALSE,"Bakersfield PCs";#N/A,#N/A,FALSE,"Bremer PCs";#N/A,#N/A,FALSE,"Bakersfield Notebooks"}</definedName>
    <definedName name="oooo" localSheetId="42" hidden="1">{#N/A,#N/A,FALSE,"Bakersfield PCs";#N/A,#N/A,FALSE,"Bremer PCs";#N/A,#N/A,FALSE,"Bakersfield Notebooks"}</definedName>
    <definedName name="oooo" localSheetId="18" hidden="1">{#N/A,#N/A,FALSE,"Bakersfield PCs";#N/A,#N/A,FALSE,"Bremer PCs";#N/A,#N/A,FALSE,"Bakersfield Notebooks"}</definedName>
    <definedName name="oooo" localSheetId="9" hidden="1">{#N/A,#N/A,FALSE,"Bakersfield PCs";#N/A,#N/A,FALSE,"Bremer PCs";#N/A,#N/A,FALSE,"Bakersfield Notebooks"}</definedName>
    <definedName name="oooo" hidden="1">{#N/A,#N/A,FALSE,"Bakersfield PCs";#N/A,#N/A,FALSE,"Bremer PCs";#N/A,#N/A,FALSE,"Bakersfield Notebooks"}</definedName>
    <definedName name="Ownership" localSheetId="59" hidden="1">OFFSET([0]!Data.Top.Left,1,0)</definedName>
    <definedName name="Ownership" localSheetId="37" hidden="1">OFFSET([0]!Data.Top.Left,1,0)</definedName>
    <definedName name="Ownership" localSheetId="80" hidden="1">OFFSET([0]!Data.Top.Left,1,0)</definedName>
    <definedName name="Ownership" localSheetId="39" hidden="1">OFFSET([0]!Data.Top.Left,1,0)</definedName>
    <definedName name="Ownership" localSheetId="4" hidden="1">OFFSET([0]!Data.Top.Left,1,0)</definedName>
    <definedName name="Ownership" localSheetId="8" hidden="1">OFFSET([0]!Data.Top.Left,1,0)</definedName>
    <definedName name="Ownership" localSheetId="52" hidden="1">OFFSET([0]!Data.Top.Left,1,0)</definedName>
    <definedName name="Ownership" localSheetId="58" hidden="1">OFFSET([0]!Data.Top.Left,1,0)</definedName>
    <definedName name="Ownership" localSheetId="43" hidden="1">OFFSET([0]!Data.Top.Left,1,0)</definedName>
    <definedName name="Ownership" localSheetId="20" hidden="1">OFFSET([0]!Data.Top.Left,1,0)</definedName>
    <definedName name="Ownership" localSheetId="47" hidden="1">OFFSET([0]!Data.Top.Left,1,0)</definedName>
    <definedName name="Ownership" localSheetId="49" hidden="1">OFFSET([0]!Data.Top.Left,1,0)</definedName>
    <definedName name="Ownership" localSheetId="44" hidden="1">OFFSET([0]!Data.Top.Left,1,0)</definedName>
    <definedName name="Ownership" localSheetId="42" hidden="1">OFFSET([0]!Data.Top.Left,1,0)</definedName>
    <definedName name="Ownership" localSheetId="55" hidden="1">OFFSET([0]!Data.Top.Left,1,0)</definedName>
    <definedName name="Ownership" localSheetId="6" hidden="1">OFFSET([0]!Data.Top.Left,1,0)</definedName>
    <definedName name="Ownership" localSheetId="46" hidden="1">OFFSET([0]!Data.Top.Left,1,0)</definedName>
    <definedName name="Ownership" localSheetId="18" hidden="1">OFFSET([0]!Data.Top.Left,1,0)</definedName>
    <definedName name="Ownership" localSheetId="9" hidden="1">OFFSET([0]!Data.Top.Left,1,0)</definedName>
    <definedName name="Ownership" localSheetId="5" hidden="1">OFFSET([0]!Data.Top.Left,1,0)</definedName>
    <definedName name="Ownership" localSheetId="48" hidden="1">OFFSET([0]!Data.Top.Left,1,0)</definedName>
    <definedName name="Ownership" hidden="1">OFFSET([0]!Data.Top.Left,1,0)</definedName>
    <definedName name="Pal_Workbook_GUID" hidden="1">"BXU14MNTRXTLHN37PBI3Q5VV"</definedName>
    <definedName name="PCCnewcustomer" localSheetId="59" hidden="1">{#N/A,#N/A,FALSE,"Title Page";#N/A,#N/A,FALSE,"Conclusions";#N/A,#N/A,FALSE,"Assum.";#N/A,#N/A,FALSE,"Sun  DCF-WC-Dep";#N/A,#N/A,FALSE,"MarketValue";#N/A,#N/A,FALSE,"BalSheet";#N/A,#N/A,FALSE,"WACC";#N/A,#N/A,FALSE,"PC+ Info.";#N/A,#N/A,FALSE,"PC+Info_2"}</definedName>
    <definedName name="PCCnewcustomer" localSheetId="52" hidden="1">{#N/A,#N/A,FALSE,"Title Page";#N/A,#N/A,FALSE,"Conclusions";#N/A,#N/A,FALSE,"Assum.";#N/A,#N/A,FALSE,"Sun  DCF-WC-Dep";#N/A,#N/A,FALSE,"MarketValue";#N/A,#N/A,FALSE,"BalSheet";#N/A,#N/A,FALSE,"WACC";#N/A,#N/A,FALSE,"PC+ Info.";#N/A,#N/A,FALSE,"PC+Info_2"}</definedName>
    <definedName name="PCCnewcustomer" localSheetId="58" hidden="1">{#N/A,#N/A,FALSE,"Title Page";#N/A,#N/A,FALSE,"Conclusions";#N/A,#N/A,FALSE,"Assum.";#N/A,#N/A,FALSE,"Sun  DCF-WC-Dep";#N/A,#N/A,FALSE,"MarketValue";#N/A,#N/A,FALSE,"BalSheet";#N/A,#N/A,FALSE,"WACC";#N/A,#N/A,FALSE,"PC+ Info.";#N/A,#N/A,FALSE,"PC+Info_2"}</definedName>
    <definedName name="PCCnewcustomer" localSheetId="43" hidden="1">{#N/A,#N/A,FALSE,"Title Page";#N/A,#N/A,FALSE,"Conclusions";#N/A,#N/A,FALSE,"Assum.";#N/A,#N/A,FALSE,"Sun  DCF-WC-Dep";#N/A,#N/A,FALSE,"MarketValue";#N/A,#N/A,FALSE,"BalSheet";#N/A,#N/A,FALSE,"WACC";#N/A,#N/A,FALSE,"PC+ Info.";#N/A,#N/A,FALSE,"PC+Info_2"}</definedName>
    <definedName name="PCCnewcustomer" localSheetId="47" hidden="1">{#N/A,#N/A,FALSE,"Title Page";#N/A,#N/A,FALSE,"Conclusions";#N/A,#N/A,FALSE,"Assum.";#N/A,#N/A,FALSE,"Sun  DCF-WC-Dep";#N/A,#N/A,FALSE,"MarketValue";#N/A,#N/A,FALSE,"BalSheet";#N/A,#N/A,FALSE,"WACC";#N/A,#N/A,FALSE,"PC+ Info.";#N/A,#N/A,FALSE,"PC+Info_2"}</definedName>
    <definedName name="PCCnewcustomer" localSheetId="44" hidden="1">{#N/A,#N/A,FALSE,"Title Page";#N/A,#N/A,FALSE,"Conclusions";#N/A,#N/A,FALSE,"Assum.";#N/A,#N/A,FALSE,"Sun  DCF-WC-Dep";#N/A,#N/A,FALSE,"MarketValue";#N/A,#N/A,FALSE,"BalSheet";#N/A,#N/A,FALSE,"WACC";#N/A,#N/A,FALSE,"PC+ Info.";#N/A,#N/A,FALSE,"PC+Info_2"}</definedName>
    <definedName name="PCCnewcustomer" localSheetId="42" hidden="1">{#N/A,#N/A,FALSE,"Title Page";#N/A,#N/A,FALSE,"Conclusions";#N/A,#N/A,FALSE,"Assum.";#N/A,#N/A,FALSE,"Sun  DCF-WC-Dep";#N/A,#N/A,FALSE,"MarketValue";#N/A,#N/A,FALSE,"BalSheet";#N/A,#N/A,FALSE,"WACC";#N/A,#N/A,FALSE,"PC+ Info.";#N/A,#N/A,FALSE,"PC+Info_2"}</definedName>
    <definedName name="PCCnewcustomer" localSheetId="18" hidden="1">{#N/A,#N/A,FALSE,"Title Page";#N/A,#N/A,FALSE,"Conclusions";#N/A,#N/A,FALSE,"Assum.";#N/A,#N/A,FALSE,"Sun  DCF-WC-Dep";#N/A,#N/A,FALSE,"MarketValue";#N/A,#N/A,FALSE,"BalSheet";#N/A,#N/A,FALSE,"WACC";#N/A,#N/A,FALSE,"PC+ Info.";#N/A,#N/A,FALSE,"PC+Info_2"}</definedName>
    <definedName name="PCCnewcustomer" localSheetId="9"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pp" localSheetId="59" hidden="1">{#N/A,#N/A,FALSE,"Bakersfield PCs";#N/A,#N/A,FALSE,"Bremer PCs";#N/A,#N/A,FALSE,"Bakersfield Notebooks"}</definedName>
    <definedName name="ppp" localSheetId="52" hidden="1">{#N/A,#N/A,FALSE,"Bakersfield PCs";#N/A,#N/A,FALSE,"Bremer PCs";#N/A,#N/A,FALSE,"Bakersfield Notebooks"}</definedName>
    <definedName name="ppp" localSheetId="58" hidden="1">{#N/A,#N/A,FALSE,"Bakersfield PCs";#N/A,#N/A,FALSE,"Bremer PCs";#N/A,#N/A,FALSE,"Bakersfield Notebooks"}</definedName>
    <definedName name="ppp" localSheetId="43" hidden="1">{#N/A,#N/A,FALSE,"Bakersfield PCs";#N/A,#N/A,FALSE,"Bremer PCs";#N/A,#N/A,FALSE,"Bakersfield Notebooks"}</definedName>
    <definedName name="ppp" localSheetId="47" hidden="1">{#N/A,#N/A,FALSE,"Bakersfield PCs";#N/A,#N/A,FALSE,"Bremer PCs";#N/A,#N/A,FALSE,"Bakersfield Notebooks"}</definedName>
    <definedName name="ppp" localSheetId="44" hidden="1">{#N/A,#N/A,FALSE,"Bakersfield PCs";#N/A,#N/A,FALSE,"Bremer PCs";#N/A,#N/A,FALSE,"Bakersfield Notebooks"}</definedName>
    <definedName name="ppp" localSheetId="42" hidden="1">{#N/A,#N/A,FALSE,"Bakersfield PCs";#N/A,#N/A,FALSE,"Bremer PCs";#N/A,#N/A,FALSE,"Bakersfield Notebooks"}</definedName>
    <definedName name="ppp" localSheetId="18" hidden="1">{#N/A,#N/A,FALSE,"Bakersfield PCs";#N/A,#N/A,FALSE,"Bremer PCs";#N/A,#N/A,FALSE,"Bakersfield Notebooks"}</definedName>
    <definedName name="ppp" localSheetId="9" hidden="1">{#N/A,#N/A,FALSE,"Bakersfield PCs";#N/A,#N/A,FALSE,"Bremer PCs";#N/A,#N/A,FALSE,"Bakersfield Notebooks"}</definedName>
    <definedName name="ppp" hidden="1">{#N/A,#N/A,FALSE,"Bakersfield PCs";#N/A,#N/A,FALSE,"Bremer PCs";#N/A,#N/A,FALSE,"Bakersfield Notebooks"}</definedName>
    <definedName name="_xlnm.Print_Area" localSheetId="59">'Additional Adjustment'!$A$1:$I$23</definedName>
    <definedName name="_xlnm.Print_Area" localSheetId="16">'Allocation Method &gt;&gt;'!$A$1:$G$30</definedName>
    <definedName name="_xlnm.Print_Area" localSheetId="37">'Asset Vol_Early'!$A$1:$Z$58</definedName>
    <definedName name="_xlnm.Print_Area" localSheetId="51">'Asset Vol_Hybrid OPM'!$A$1:$Z$59</definedName>
    <definedName name="_xlnm.Print_Area" localSheetId="38">'Asset Vol_Late'!$A$1:$Z$58</definedName>
    <definedName name="_xlnm.Print_Area" localSheetId="80">'Asset Vol_OPM'!$A$1:$Z$56</definedName>
    <definedName name="_xlnm.Print_Area" localSheetId="57">'Asset Vol_OPM BackSolve'!$A$1:$Z$59</definedName>
    <definedName name="_xlnm.Print_Area" localSheetId="39">'Asset Vol_Structured'!$A$1:$Z$58</definedName>
    <definedName name="_xlnm.Print_Area" localSheetId="62">BOD.BS!$B$2:$F$43</definedName>
    <definedName name="_xlnm.Print_Area" localSheetId="63">BOD.IS!$B$1:$W$29</definedName>
    <definedName name="_xlnm.Print_Area" localSheetId="64">BvA!$B$2:$P$38</definedName>
    <definedName name="_xlnm.Print_Area" localSheetId="32">'Cap Structure FP &gt;&gt;'!$A$1:$G$30</definedName>
    <definedName name="_xlnm.Print_Area" localSheetId="33">'Cap Table'!$A$1:$J$35</definedName>
    <definedName name="_xlnm.Print_Area" localSheetId="71">'Capital IQ Sheet-GPC'!$A$1:$BZ$75</definedName>
    <definedName name="_xlnm.Print_Area" localSheetId="72">'Capital IQ Sheet-STM'!$A$1:$AJ$69</definedName>
    <definedName name="_xlnm.Print_Area" localSheetId="4">Checklist!$A$1:$F$33</definedName>
    <definedName name="_xlnm.Print_Area" localSheetId="27">'Comp.1'!$A$1:$AA$48</definedName>
    <definedName name="_xlnm.Print_Area" localSheetId="28">'Comp.6'!$A$1:$E$39</definedName>
    <definedName name="_xlnm.Print_Area" localSheetId="54">'Comparative Sheet'!$A$1:$F$139</definedName>
    <definedName name="_xlnm.Print_Area" localSheetId="7">'Comparison Sheet'!$A$1:$I$23</definedName>
    <definedName name="_xlnm.Print_Area" localSheetId="23">'Discount Rate FP &gt;&gt;'!$A$1:$G$30</definedName>
    <definedName name="_xlnm.Print_Area" localSheetId="8">'Dividend Calculations'!$A$1:$L$42</definedName>
    <definedName name="_xlnm.Print_Area" localSheetId="52">'DLOM Hybrid OPM'!$A$1:$G$60</definedName>
    <definedName name="_xlnm.Print_Area" localSheetId="58">'DLOM OPM Backsolve'!$A$1:$G$60</definedName>
    <definedName name="_xlnm.Print_Area" localSheetId="34">'Econ Rights'!$A$1:$G$39</definedName>
    <definedName name="_xlnm.Print_Area" localSheetId="40">'Equity Vol'!$A$1:$J$49</definedName>
    <definedName name="_xlnm.Print_Area" localSheetId="17">'Exit Probability'!$A$1:$K$51</definedName>
    <definedName name="_xlnm.Print_Area" localSheetId="43">'Fibrosis IPO Data'!$A$1:$Q$27</definedName>
    <definedName name="_xlnm.Print_Area" localSheetId="20">Forecast!$A$1:$H$19</definedName>
    <definedName name="_xlnm.Print_Area" localSheetId="19">'FS &gt;&gt;'!$A$1:$G$30</definedName>
    <definedName name="_xlnm.Print_Area" localSheetId="26">'GCM FP &gt;&gt;'!$A$1:$G$30</definedName>
    <definedName name="_xlnm.Print_Area" localSheetId="73">'GPC Linked'!$A$1:$BZ$74</definedName>
    <definedName name="_xlnm.Print_Area" localSheetId="29">'GTM FP &gt;&gt;'!$A$1:$G$30</definedName>
    <definedName name="_xlnm.Print_Area" localSheetId="22">'Hist BS'!$A$1:$O$41</definedName>
    <definedName name="_xlnm.Print_Area" localSheetId="21">'Hist IS'!$A$1:$I$28</definedName>
    <definedName name="_xlnm.Print_Area" localSheetId="47">'Hybrid OPM'!$A$1:$F$45</definedName>
    <definedName name="_xlnm.Print_Area" localSheetId="49">'Hybrid OPM 1'!$A$1:$L$103</definedName>
    <definedName name="_xlnm.Print_Area" localSheetId="50">'Hybrid OPM 2'!$A$1:$I$21</definedName>
    <definedName name="_xlnm.Print_Area" localSheetId="44">'IPO Data_BioPharma'!$A$1:$Q$195</definedName>
    <definedName name="_xlnm.Print_Area" localSheetId="42">'Licensing Deals'!$A$1:$K$70</definedName>
    <definedName name="_xlnm.Print_Area" localSheetId="53">'Market Trends since Prior Val'!$A$1:$AA$48</definedName>
    <definedName name="_xlnm.Print_Area" localSheetId="78">'OPM 1'!$A$1:$L$102</definedName>
    <definedName name="_xlnm.Print_Area" localSheetId="79">'OPM 2'!$A$1:$M$23</definedName>
    <definedName name="_xlnm.Print_Area" localSheetId="55">'OPM BackSolve WP'!$A$1:$L$103</definedName>
    <definedName name="_xlnm.Print_Area" localSheetId="56">'OPM Backsolve WP2'!$A$1:$M$21</definedName>
    <definedName name="_xlnm.Print_Area" localSheetId="13">Outline!$A$1:$H$46</definedName>
    <definedName name="_xlnm.Print_Area" localSheetId="6">Outline_Dividend!$A$1:$H$11</definedName>
    <definedName name="_xlnm.Print_Area" localSheetId="46">Outline_Workpapers!$A$1:$G$15</definedName>
    <definedName name="_xlnm.Print_Area" localSheetId="18">PoTS!$A$1:$G$64</definedName>
    <definedName name="_xlnm.Print_Area" localSheetId="36">'PWERM DLOM'!$A$1:$G$70</definedName>
    <definedName name="_xlnm.Print_Area" localSheetId="9">PWERM_1!$A$1:$I$212</definedName>
    <definedName name="_xlnm.Print_Area" localSheetId="10">PWERM_2!$A$1:$I$213</definedName>
    <definedName name="_xlnm.Print_Area" localSheetId="41">'Risk-Free Rates'!$A$1:$F$52</definedName>
    <definedName name="_xlnm.Print_Area" localSheetId="25">'RoR Stage of Dev'!$A$1:$I$30</definedName>
    <definedName name="_xlnm.Print_Area" localSheetId="74">'STM Linked'!$A$1:$AH$55</definedName>
    <definedName name="_xlnm.Print_Area" localSheetId="35">'Support FP &gt;&gt;'!$A$1:$G$30</definedName>
    <definedName name="_xlnm.Print_Area" localSheetId="12">Title!$A$1:$G$28</definedName>
    <definedName name="_xlnm.Print_Area" localSheetId="5">'Title_Dividend Check'!$A$1:$G$28</definedName>
    <definedName name="_xlnm.Print_Area" localSheetId="45">'Title_Workpapers &gt; &gt;'!$A$1:$G$28</definedName>
    <definedName name="_xlnm.Print_Area" localSheetId="30">Trans.1!$A$1:$AK$54</definedName>
    <definedName name="_xlnm.Print_Area" localSheetId="31">Trans.2!$A$1:$E$40</definedName>
    <definedName name="_xlnm.Print_Area" localSheetId="15">'Val Summ'!$A$1:$I$12</definedName>
    <definedName name="_xlnm.Print_Area" localSheetId="24">'WACC PWERM'!$A$1:$O$37</definedName>
    <definedName name="_xlnm.Print_Area" localSheetId="48">'Waterfall Analysis'!$A$1:$E$176</definedName>
    <definedName name="Print_Area_MI" localSheetId="39">'[17]Maint Res Inv'!#REF!</definedName>
    <definedName name="Print_Area_MI" localSheetId="8">'[17]Maint Res Inv'!#REF!</definedName>
    <definedName name="Print_Area_MI" localSheetId="6">'[17]Maint Res Inv'!#REF!</definedName>
    <definedName name="Print_Area_MI" localSheetId="9">'[17]Maint Res Inv'!#REF!</definedName>
    <definedName name="Print_Area_MI" localSheetId="5">'[17]Maint Res Inv'!#REF!</definedName>
    <definedName name="Print_Area_MI">'[17]Maint Res Inv'!#REF!</definedName>
    <definedName name="Print_Area_Reset" localSheetId="39">OFFSET(Full_Print,0,0,Last_Row)</definedName>
    <definedName name="Print_Area_Reset" localSheetId="8">OFFSET(Full_Print,0,0,Last_Row)</definedName>
    <definedName name="Print_Area_Reset" localSheetId="6">OFFSET(Full_Print,0,0,Last_Row)</definedName>
    <definedName name="Print_Area_Reset" localSheetId="9">OFFSET(Full_Print,0,0,Last_Row)</definedName>
    <definedName name="Print_Area_Reset" localSheetId="5">OFFSET(Full_Print,0,0,Last_Row)</definedName>
    <definedName name="Print_Area_Reset">OFFSET(Full_Print,0,0,Last_Row)</definedName>
    <definedName name="_xlnm.Print_Titles" localSheetId="28">'Comp.6'!$1:$7</definedName>
    <definedName name="_xlnm.Print_Titles" localSheetId="17">'Exit Probability'!$1:$5</definedName>
    <definedName name="_xlnm.Print_Titles" localSheetId="47">'Hybrid OPM'!$1:$5</definedName>
    <definedName name="_xlnm.Print_Titles" localSheetId="44">'IPO Data_BioPharma'!$1:$9</definedName>
    <definedName name="_xlnm.Print_Titles" localSheetId="42">'Licensing Deals'!$1:$7</definedName>
    <definedName name="_xlnm.Print_Titles" localSheetId="55">'OPM BackSolve WP'!$1:$17</definedName>
    <definedName name="_xlnm.Print_Titles" localSheetId="18">PoTS!$1:$5</definedName>
    <definedName name="_xlnm.Print_Titles" localSheetId="9">PWERM_1!$1:$8</definedName>
    <definedName name="_xlnm.Print_Titles" localSheetId="10">PWERM_2!$1:$8</definedName>
    <definedName name="_xlnm.Print_Titles" localSheetId="30">Trans.1!$1:$8</definedName>
    <definedName name="_xlnm.Print_Titles" localSheetId="31">Trans.2!$1:$7</definedName>
    <definedName name="q" localSheetId="59" hidden="1">{#N/A,#N/A,FALSE,"Bakersfield PCs";#N/A,#N/A,FALSE,"Bremer PCs";#N/A,#N/A,FALSE,"Bakersfield Notebooks"}</definedName>
    <definedName name="q" localSheetId="52" hidden="1">{#N/A,#N/A,FALSE,"Bakersfield PCs";#N/A,#N/A,FALSE,"Bremer PCs";#N/A,#N/A,FALSE,"Bakersfield Notebooks"}</definedName>
    <definedName name="q" localSheetId="58" hidden="1">{#N/A,#N/A,FALSE,"Bakersfield PCs";#N/A,#N/A,FALSE,"Bremer PCs";#N/A,#N/A,FALSE,"Bakersfield Notebooks"}</definedName>
    <definedName name="q" localSheetId="43" hidden="1">{#N/A,#N/A,FALSE,"Bakersfield PCs";#N/A,#N/A,FALSE,"Bremer PCs";#N/A,#N/A,FALSE,"Bakersfield Notebooks"}</definedName>
    <definedName name="q" localSheetId="47" hidden="1">{#N/A,#N/A,FALSE,"Bakersfield PCs";#N/A,#N/A,FALSE,"Bremer PCs";#N/A,#N/A,FALSE,"Bakersfield Notebooks"}</definedName>
    <definedName name="q" localSheetId="44" hidden="1">{#N/A,#N/A,FALSE,"Bakersfield PCs";#N/A,#N/A,FALSE,"Bremer PCs";#N/A,#N/A,FALSE,"Bakersfield Notebooks"}</definedName>
    <definedName name="q" localSheetId="42" hidden="1">{#N/A,#N/A,FALSE,"Bakersfield PCs";#N/A,#N/A,FALSE,"Bremer PCs";#N/A,#N/A,FALSE,"Bakersfield Notebooks"}</definedName>
    <definedName name="q" localSheetId="18" hidden="1">{#N/A,#N/A,FALSE,"Bakersfield PCs";#N/A,#N/A,FALSE,"Bremer PCs";#N/A,#N/A,FALSE,"Bakersfield Notebooks"}</definedName>
    <definedName name="q" localSheetId="9" hidden="1">{#N/A,#N/A,FALSE,"Bakersfield PCs";#N/A,#N/A,FALSE,"Bremer PCs";#N/A,#N/A,FALSE,"Bakersfield Notebooks"}</definedName>
    <definedName name="q" hidden="1">{#N/A,#N/A,FALSE,"Bakersfield PCs";#N/A,#N/A,FALSE,"Bremer PCs";#N/A,#N/A,FALSE,"Bakersfield Notebooks"}</definedName>
    <definedName name="rarte" localSheetId="59" hidden="1">{#N/A,#N/A,FALSE,"Bakersfield PCs";#N/A,#N/A,FALSE,"Bremer PCs";#N/A,#N/A,FALSE,"Bakersfield Notebooks"}</definedName>
    <definedName name="rarte" localSheetId="52" hidden="1">{#N/A,#N/A,FALSE,"Bakersfield PCs";#N/A,#N/A,FALSE,"Bremer PCs";#N/A,#N/A,FALSE,"Bakersfield Notebooks"}</definedName>
    <definedName name="rarte" localSheetId="58" hidden="1">{#N/A,#N/A,FALSE,"Bakersfield PCs";#N/A,#N/A,FALSE,"Bremer PCs";#N/A,#N/A,FALSE,"Bakersfield Notebooks"}</definedName>
    <definedName name="rarte" localSheetId="43" hidden="1">{#N/A,#N/A,FALSE,"Bakersfield PCs";#N/A,#N/A,FALSE,"Bremer PCs";#N/A,#N/A,FALSE,"Bakersfield Notebooks"}</definedName>
    <definedName name="rarte" localSheetId="47" hidden="1">{#N/A,#N/A,FALSE,"Bakersfield PCs";#N/A,#N/A,FALSE,"Bremer PCs";#N/A,#N/A,FALSE,"Bakersfield Notebooks"}</definedName>
    <definedName name="rarte" localSheetId="44" hidden="1">{#N/A,#N/A,FALSE,"Bakersfield PCs";#N/A,#N/A,FALSE,"Bremer PCs";#N/A,#N/A,FALSE,"Bakersfield Notebooks"}</definedName>
    <definedName name="rarte" localSheetId="42" hidden="1">{#N/A,#N/A,FALSE,"Bakersfield PCs";#N/A,#N/A,FALSE,"Bremer PCs";#N/A,#N/A,FALSE,"Bakersfield Notebooks"}</definedName>
    <definedName name="rarte" localSheetId="18" hidden="1">{#N/A,#N/A,FALSE,"Bakersfield PCs";#N/A,#N/A,FALSE,"Bremer PCs";#N/A,#N/A,FALSE,"Bakersfield Notebooks"}</definedName>
    <definedName name="rarte" localSheetId="9" hidden="1">{#N/A,#N/A,FALSE,"Bakersfield PCs";#N/A,#N/A,FALSE,"Bremer PCs";#N/A,#N/A,FALSE,"Bakersfield Notebooks"}</definedName>
    <definedName name="rarte" hidden="1">{#N/A,#N/A,FALSE,"Bakersfield PCs";#N/A,#N/A,FALSE,"Bremer PCs";#N/A,#N/A,FALSE,"Bakersfield Notebooks"}</definedName>
    <definedName name="reality" localSheetId="59" hidden="1">{#N/A,#N/A,FALSE,"Title Page";#N/A,#N/A,FALSE,"Conclusions";#N/A,#N/A,FALSE,"Assum.";#N/A,#N/A,FALSE,"Sun  DCF-WC-Dep";#N/A,#N/A,FALSE,"MarketValue";#N/A,#N/A,FALSE,"BalSheet";#N/A,#N/A,FALSE,"WACC";#N/A,#N/A,FALSE,"PC+ Info.";#N/A,#N/A,FALSE,"PC+Info_2"}</definedName>
    <definedName name="reality" localSheetId="52" hidden="1">{#N/A,#N/A,FALSE,"Title Page";#N/A,#N/A,FALSE,"Conclusions";#N/A,#N/A,FALSE,"Assum.";#N/A,#N/A,FALSE,"Sun  DCF-WC-Dep";#N/A,#N/A,FALSE,"MarketValue";#N/A,#N/A,FALSE,"BalSheet";#N/A,#N/A,FALSE,"WACC";#N/A,#N/A,FALSE,"PC+ Info.";#N/A,#N/A,FALSE,"PC+Info_2"}</definedName>
    <definedName name="reality" localSheetId="58" hidden="1">{#N/A,#N/A,FALSE,"Title Page";#N/A,#N/A,FALSE,"Conclusions";#N/A,#N/A,FALSE,"Assum.";#N/A,#N/A,FALSE,"Sun  DCF-WC-Dep";#N/A,#N/A,FALSE,"MarketValue";#N/A,#N/A,FALSE,"BalSheet";#N/A,#N/A,FALSE,"WACC";#N/A,#N/A,FALSE,"PC+ Info.";#N/A,#N/A,FALSE,"PC+Info_2"}</definedName>
    <definedName name="reality" localSheetId="43" hidden="1">{#N/A,#N/A,FALSE,"Title Page";#N/A,#N/A,FALSE,"Conclusions";#N/A,#N/A,FALSE,"Assum.";#N/A,#N/A,FALSE,"Sun  DCF-WC-Dep";#N/A,#N/A,FALSE,"MarketValue";#N/A,#N/A,FALSE,"BalSheet";#N/A,#N/A,FALSE,"WACC";#N/A,#N/A,FALSE,"PC+ Info.";#N/A,#N/A,FALSE,"PC+Info_2"}</definedName>
    <definedName name="reality" localSheetId="47" hidden="1">{#N/A,#N/A,FALSE,"Title Page";#N/A,#N/A,FALSE,"Conclusions";#N/A,#N/A,FALSE,"Assum.";#N/A,#N/A,FALSE,"Sun  DCF-WC-Dep";#N/A,#N/A,FALSE,"MarketValue";#N/A,#N/A,FALSE,"BalSheet";#N/A,#N/A,FALSE,"WACC";#N/A,#N/A,FALSE,"PC+ Info.";#N/A,#N/A,FALSE,"PC+Info_2"}</definedName>
    <definedName name="reality" localSheetId="44" hidden="1">{#N/A,#N/A,FALSE,"Title Page";#N/A,#N/A,FALSE,"Conclusions";#N/A,#N/A,FALSE,"Assum.";#N/A,#N/A,FALSE,"Sun  DCF-WC-Dep";#N/A,#N/A,FALSE,"MarketValue";#N/A,#N/A,FALSE,"BalSheet";#N/A,#N/A,FALSE,"WACC";#N/A,#N/A,FALSE,"PC+ Info.";#N/A,#N/A,FALSE,"PC+Info_2"}</definedName>
    <definedName name="reality" localSheetId="42" hidden="1">{#N/A,#N/A,FALSE,"Title Page";#N/A,#N/A,FALSE,"Conclusions";#N/A,#N/A,FALSE,"Assum.";#N/A,#N/A,FALSE,"Sun  DCF-WC-Dep";#N/A,#N/A,FALSE,"MarketValue";#N/A,#N/A,FALSE,"BalSheet";#N/A,#N/A,FALSE,"WACC";#N/A,#N/A,FALSE,"PC+ Info.";#N/A,#N/A,FALSE,"PC+Info_2"}</definedName>
    <definedName name="reality" localSheetId="18" hidden="1">{#N/A,#N/A,FALSE,"Title Page";#N/A,#N/A,FALSE,"Conclusions";#N/A,#N/A,FALSE,"Assum.";#N/A,#N/A,FALSE,"Sun  DCF-WC-Dep";#N/A,#N/A,FALSE,"MarketValue";#N/A,#N/A,FALSE,"BalSheet";#N/A,#N/A,FALSE,"WACC";#N/A,#N/A,FALSE,"PC+ Info.";#N/A,#N/A,FALSE,"PC+Info_2"}</definedName>
    <definedName name="reality" localSheetId="9"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gmult" localSheetId="59" hidden="1">#REF!</definedName>
    <definedName name="regmult" localSheetId="37" hidden="1">#REF!</definedName>
    <definedName name="regmult" localSheetId="80" hidden="1">#REF!</definedName>
    <definedName name="regmult" localSheetId="39" hidden="1">#REF!</definedName>
    <definedName name="regmult" localSheetId="4" hidden="1">#REF!</definedName>
    <definedName name="regmult" localSheetId="8" hidden="1">#REF!</definedName>
    <definedName name="regmult" localSheetId="52" hidden="1">#REF!</definedName>
    <definedName name="regmult" localSheetId="58" hidden="1">#REF!</definedName>
    <definedName name="regmult" localSheetId="43" hidden="1">#REF!</definedName>
    <definedName name="regmult" localSheetId="20" hidden="1">#REF!</definedName>
    <definedName name="regmult" localSheetId="49" hidden="1">#REF!</definedName>
    <definedName name="regmult" localSheetId="44" hidden="1">#REF!</definedName>
    <definedName name="regmult" localSheetId="55" hidden="1">#REF!</definedName>
    <definedName name="regmult" localSheetId="6" hidden="1">#REF!</definedName>
    <definedName name="regmult" localSheetId="46" hidden="1">#REF!</definedName>
    <definedName name="regmult" localSheetId="5" hidden="1">#REF!</definedName>
    <definedName name="regmult" localSheetId="48" hidden="1">#REF!</definedName>
    <definedName name="regmult" hidden="1">#REF!</definedName>
    <definedName name="Reim" localSheetId="80" hidden="1">#REF!</definedName>
    <definedName name="Reim" localSheetId="39" hidden="1">#REF!</definedName>
    <definedName name="Reim" localSheetId="8" hidden="1">#REF!</definedName>
    <definedName name="Reim" localSheetId="52" hidden="1">#REF!</definedName>
    <definedName name="Reim" localSheetId="58" hidden="1">#REF!</definedName>
    <definedName name="Reim" localSheetId="49" hidden="1">#REF!</definedName>
    <definedName name="Reim" localSheetId="55" hidden="1">#REF!</definedName>
    <definedName name="Reim" localSheetId="6" hidden="1">#REF!</definedName>
    <definedName name="Reim" localSheetId="5" hidden="1">#REF!</definedName>
    <definedName name="Reim" localSheetId="48" hidden="1">#REF!</definedName>
    <definedName name="Reim" hidden="1">#REF!</definedName>
    <definedName name="relativevalue2" localSheetId="59" hidden="1">{#N/A,#N/A,FALSE,"Bakersfield PCs";#N/A,#N/A,FALSE,"Bremer PCs";#N/A,#N/A,FALSE,"Bakersfield Notebooks"}</definedName>
    <definedName name="relativevalue2" localSheetId="52" hidden="1">{#N/A,#N/A,FALSE,"Bakersfield PCs";#N/A,#N/A,FALSE,"Bremer PCs";#N/A,#N/A,FALSE,"Bakersfield Notebooks"}</definedName>
    <definedName name="relativevalue2" localSheetId="58" hidden="1">{#N/A,#N/A,FALSE,"Bakersfield PCs";#N/A,#N/A,FALSE,"Bremer PCs";#N/A,#N/A,FALSE,"Bakersfield Notebooks"}</definedName>
    <definedName name="relativevalue2" localSheetId="43" hidden="1">{#N/A,#N/A,FALSE,"Bakersfield PCs";#N/A,#N/A,FALSE,"Bremer PCs";#N/A,#N/A,FALSE,"Bakersfield Notebooks"}</definedName>
    <definedName name="relativevalue2" localSheetId="47" hidden="1">{#N/A,#N/A,FALSE,"Bakersfield PCs";#N/A,#N/A,FALSE,"Bremer PCs";#N/A,#N/A,FALSE,"Bakersfield Notebooks"}</definedName>
    <definedName name="relativevalue2" localSheetId="44" hidden="1">{#N/A,#N/A,FALSE,"Bakersfield PCs";#N/A,#N/A,FALSE,"Bremer PCs";#N/A,#N/A,FALSE,"Bakersfield Notebooks"}</definedName>
    <definedName name="relativevalue2" localSheetId="42" hidden="1">{#N/A,#N/A,FALSE,"Bakersfield PCs";#N/A,#N/A,FALSE,"Bremer PCs";#N/A,#N/A,FALSE,"Bakersfield Notebooks"}</definedName>
    <definedName name="relativevalue2" localSheetId="18" hidden="1">{#N/A,#N/A,FALSE,"Bakersfield PCs";#N/A,#N/A,FALSE,"Bremer PCs";#N/A,#N/A,FALSE,"Bakersfield Notebooks"}</definedName>
    <definedName name="relativevalue2" localSheetId="9" hidden="1">{#N/A,#N/A,FALSE,"Bakersfield PCs";#N/A,#N/A,FALSE,"Bremer PCs";#N/A,#N/A,FALSE,"Bakersfield Notebooks"}</definedName>
    <definedName name="relativevalue2" hidden="1">{#N/A,#N/A,FALSE,"Bakersfield PCs";#N/A,#N/A,FALSE,"Bremer PCs";#N/A,#N/A,FALSE,"Bakersfield Notebooks"}</definedName>
    <definedName name="relativevalue3" localSheetId="59" hidden="1">{#N/A,#N/A,FALSE,"Bakersfield PCs";#N/A,#N/A,FALSE,"Bremer PCs";#N/A,#N/A,FALSE,"Bakersfield Notebooks"}</definedName>
    <definedName name="relativevalue3" localSheetId="52" hidden="1">{#N/A,#N/A,FALSE,"Bakersfield PCs";#N/A,#N/A,FALSE,"Bremer PCs";#N/A,#N/A,FALSE,"Bakersfield Notebooks"}</definedName>
    <definedName name="relativevalue3" localSheetId="58" hidden="1">{#N/A,#N/A,FALSE,"Bakersfield PCs";#N/A,#N/A,FALSE,"Bremer PCs";#N/A,#N/A,FALSE,"Bakersfield Notebooks"}</definedName>
    <definedName name="relativevalue3" localSheetId="43" hidden="1">{#N/A,#N/A,FALSE,"Bakersfield PCs";#N/A,#N/A,FALSE,"Bremer PCs";#N/A,#N/A,FALSE,"Bakersfield Notebooks"}</definedName>
    <definedName name="relativevalue3" localSheetId="47" hidden="1">{#N/A,#N/A,FALSE,"Bakersfield PCs";#N/A,#N/A,FALSE,"Bremer PCs";#N/A,#N/A,FALSE,"Bakersfield Notebooks"}</definedName>
    <definedName name="relativevalue3" localSheetId="44" hidden="1">{#N/A,#N/A,FALSE,"Bakersfield PCs";#N/A,#N/A,FALSE,"Bremer PCs";#N/A,#N/A,FALSE,"Bakersfield Notebooks"}</definedName>
    <definedName name="relativevalue3" localSheetId="42" hidden="1">{#N/A,#N/A,FALSE,"Bakersfield PCs";#N/A,#N/A,FALSE,"Bremer PCs";#N/A,#N/A,FALSE,"Bakersfield Notebooks"}</definedName>
    <definedName name="relativevalue3" localSheetId="18" hidden="1">{#N/A,#N/A,FALSE,"Bakersfield PCs";#N/A,#N/A,FALSE,"Bremer PCs";#N/A,#N/A,FALSE,"Bakersfield Notebooks"}</definedName>
    <definedName name="relativevalue3" localSheetId="9" hidden="1">{#N/A,#N/A,FALSE,"Bakersfield PCs";#N/A,#N/A,FALSE,"Bremer PCs";#N/A,#N/A,FALSE,"Bakersfield Notebooks"}</definedName>
    <definedName name="relativevalue3" hidden="1">{#N/A,#N/A,FALSE,"Bakersfield PCs";#N/A,#N/A,FALSE,"Bremer PCs";#N/A,#N/A,FALSE,"Bakersfield Notebooks"}</definedName>
    <definedName name="Report_Divisor" hidden="1">1000</definedName>
    <definedName name="Report_Divisor_000" hidden="1">1000000</definedName>
    <definedName name="Report_ID" hidden="1">"AL"</definedName>
    <definedName name="ReportGroup" hidden="1">0</definedName>
    <definedName name="RiskAfterRecalcMacro" hidden="1">""</definedName>
    <definedName name="RiskAfterSimMacro" hidden="1">""</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0.5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ATSTbaselineRequested" hidden="1">TRUE</definedName>
    <definedName name="riskATSTboxGraph" hidden="1">TRUE</definedName>
    <definedName name="riskATSTcomparisonGraph" hidden="1">TRUE</definedName>
    <definedName name="riskATSThistogramGraph" hidden="1">FALSE</definedName>
    <definedName name="riskATSToutputStatistic" hidden="1">4</definedName>
    <definedName name="riskATSTprintReport" hidden="1">FALSE</definedName>
    <definedName name="riskATSTreportsInActiveBook" hidden="1">FALSE</definedName>
    <definedName name="riskATSTreportsSelected" hidden="1">TRUE</definedName>
    <definedName name="riskATSTsequentialStress" hidden="1">TRUE</definedName>
    <definedName name="riskATSTsummaryReport" hidden="1">TRUE</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61" hidden="1">3</definedName>
    <definedName name="RiskSamplingType" hidden="1">2</definedName>
    <definedName name="RiskStandardRecalc" localSheetId="61" hidden="1">2</definedName>
    <definedName name="RiskStandardRecalc" hidden="1">1</definedName>
    <definedName name="RiskSwapState" hidden="1">FALSE</definedName>
    <definedName name="RiskUpdateDisplay" hidden="1">FALSE</definedName>
    <definedName name="RiskUseDifferentSeedForEachSim" hidden="1">FALSE</definedName>
    <definedName name="RiskUseFixedSeed" hidden="1">FALSE</definedName>
    <definedName name="RiskUseMultipleCPUs" hidden="1">TRUE</definedName>
    <definedName name="rr" localSheetId="59" hidden="1">{#N/A,#N/A,FALSE,"Bakersfield PCs";#N/A,#N/A,FALSE,"Bremer PCs";#N/A,#N/A,FALSE,"Bakersfield Notebooks"}</definedName>
    <definedName name="rr" localSheetId="52" hidden="1">{#N/A,#N/A,FALSE,"Bakersfield PCs";#N/A,#N/A,FALSE,"Bremer PCs";#N/A,#N/A,FALSE,"Bakersfield Notebooks"}</definedName>
    <definedName name="rr" localSheetId="58" hidden="1">{#N/A,#N/A,FALSE,"Bakersfield PCs";#N/A,#N/A,FALSE,"Bremer PCs";#N/A,#N/A,FALSE,"Bakersfield Notebooks"}</definedName>
    <definedName name="rr" localSheetId="43" hidden="1">{#N/A,#N/A,FALSE,"Bakersfield PCs";#N/A,#N/A,FALSE,"Bremer PCs";#N/A,#N/A,FALSE,"Bakersfield Notebooks"}</definedName>
    <definedName name="rr" localSheetId="47" hidden="1">{#N/A,#N/A,FALSE,"Bakersfield PCs";#N/A,#N/A,FALSE,"Bremer PCs";#N/A,#N/A,FALSE,"Bakersfield Notebooks"}</definedName>
    <definedName name="rr" localSheetId="44" hidden="1">{#N/A,#N/A,FALSE,"Bakersfield PCs";#N/A,#N/A,FALSE,"Bremer PCs";#N/A,#N/A,FALSE,"Bakersfield Notebooks"}</definedName>
    <definedName name="rr" localSheetId="42" hidden="1">{#N/A,#N/A,FALSE,"Bakersfield PCs";#N/A,#N/A,FALSE,"Bremer PCs";#N/A,#N/A,FALSE,"Bakersfield Notebooks"}</definedName>
    <definedName name="rr" localSheetId="18" hidden="1">{#N/A,#N/A,FALSE,"Bakersfield PCs";#N/A,#N/A,FALSE,"Bremer PCs";#N/A,#N/A,FALSE,"Bakersfield Notebooks"}</definedName>
    <definedName name="rr" localSheetId="9" hidden="1">{#N/A,#N/A,FALSE,"Bakersfield PCs";#N/A,#N/A,FALSE,"Bremer PCs";#N/A,#N/A,FALSE,"Bakersfield Notebooks"}</definedName>
    <definedName name="rr" hidden="1">{#N/A,#N/A,FALSE,"Bakersfield PCs";#N/A,#N/A,FALSE,"Bremer PCs";#N/A,#N/A,FALSE,"Bakersfield Notebooks"}</definedName>
    <definedName name="SAPBEXrevision" hidden="1">1</definedName>
    <definedName name="SAPBEXsysID" hidden="1">"PBL"</definedName>
    <definedName name="SAPBEXwbID" hidden="1">"3JWXP1JGVR0V27DB0INATEIH7"</definedName>
    <definedName name="SAPFuncF4Help" localSheetId="59" hidden="1">Main.SAPF4Help()</definedName>
    <definedName name="SAPFuncF4Help" localSheetId="37" hidden="1">Main.SAPF4Help()</definedName>
    <definedName name="SAPFuncF4Help" localSheetId="80" hidden="1">Main.SAPF4Help()</definedName>
    <definedName name="SAPFuncF4Help" localSheetId="39" hidden="1">Main.SAPF4Help()</definedName>
    <definedName name="SAPFuncF4Help" localSheetId="4" hidden="1">Main.SAPF4Help()</definedName>
    <definedName name="SAPFuncF4Help" localSheetId="8" hidden="1">Main.SAPF4Help()</definedName>
    <definedName name="SAPFuncF4Help" localSheetId="52" hidden="1">Main.SAPF4Help()</definedName>
    <definedName name="SAPFuncF4Help" localSheetId="58" hidden="1">Main.SAPF4Help()</definedName>
    <definedName name="SAPFuncF4Help" localSheetId="43" hidden="1">Main.SAPF4Help()</definedName>
    <definedName name="SAPFuncF4Help" localSheetId="20" hidden="1">Main.SAPF4Help()</definedName>
    <definedName name="SAPFuncF4Help" localSheetId="47" hidden="1">Main.SAPF4Help()</definedName>
    <definedName name="SAPFuncF4Help" localSheetId="49" hidden="1">Main.SAPF4Help()</definedName>
    <definedName name="SAPFuncF4Help" localSheetId="44" hidden="1">Main.SAPF4Help()</definedName>
    <definedName name="SAPFuncF4Help" localSheetId="42" hidden="1">Main.SAPF4Help()</definedName>
    <definedName name="SAPFuncF4Help" localSheetId="55" hidden="1">Main.SAPF4Help()</definedName>
    <definedName name="SAPFuncF4Help" localSheetId="6" hidden="1">Main.SAPF4Help()</definedName>
    <definedName name="SAPFuncF4Help" localSheetId="46" hidden="1">Main.SAPF4Help()</definedName>
    <definedName name="SAPFuncF4Help" localSheetId="18" hidden="1">Main.SAPF4Help()</definedName>
    <definedName name="SAPFuncF4Help" localSheetId="9" hidden="1">Main.SAPF4Help()</definedName>
    <definedName name="SAPFuncF4Help" localSheetId="5" hidden="1">Main.SAPF4Help()</definedName>
    <definedName name="SAPFuncF4Help" localSheetId="48" hidden="1">Main.SAPF4Help()</definedName>
    <definedName name="SAPFuncF4Help" hidden="1">Main.SAPF4Help()</definedName>
    <definedName name="Sc" localSheetId="59" hidden="1">#REF!</definedName>
    <definedName name="Sc" localSheetId="80" hidden="1">#REF!</definedName>
    <definedName name="Sc" localSheetId="39" hidden="1">#REF!</definedName>
    <definedName name="Sc" localSheetId="8" hidden="1">#REF!</definedName>
    <definedName name="Sc" localSheetId="6" hidden="1">#REF!</definedName>
    <definedName name="Sc" localSheetId="5" hidden="1">#REF!</definedName>
    <definedName name="Sc" hidden="1">#REF!</definedName>
    <definedName name="Science" localSheetId="59" hidden="1">{#N/A,#N/A,FALSE,"DCF Cov";#N/A,#N/A,FALSE,"dcf"}</definedName>
    <definedName name="Science" localSheetId="52" hidden="1">{#N/A,#N/A,FALSE,"DCF Cov";#N/A,#N/A,FALSE,"dcf"}</definedName>
    <definedName name="Science" localSheetId="58" hidden="1">{#N/A,#N/A,FALSE,"DCF Cov";#N/A,#N/A,FALSE,"dcf"}</definedName>
    <definedName name="Science" localSheetId="9" hidden="1">{#N/A,#N/A,FALSE,"DCF Cov";#N/A,#N/A,FALSE,"dcf"}</definedName>
    <definedName name="Science" hidden="1">{#N/A,#N/A,FALSE,"DCF Cov";#N/A,#N/A,FALSE,"dcf"}</definedName>
    <definedName name="sdf" localSheetId="59" hidden="1">{#N/A,"A",FALSE,"DCF"}</definedName>
    <definedName name="sdf" localSheetId="52" hidden="1">{#N/A,"A",FALSE,"DCF"}</definedName>
    <definedName name="sdf" localSheetId="58" hidden="1">{#N/A,"A",FALSE,"DCF"}</definedName>
    <definedName name="sdf" localSheetId="43" hidden="1">{#N/A,"A",FALSE,"DCF"}</definedName>
    <definedName name="sdf" localSheetId="47" hidden="1">{#N/A,"A",FALSE,"DCF"}</definedName>
    <definedName name="sdf" localSheetId="44" hidden="1">{#N/A,"A",FALSE,"DCF"}</definedName>
    <definedName name="sdf" localSheetId="42" hidden="1">{#N/A,"A",FALSE,"DCF"}</definedName>
    <definedName name="sdf" localSheetId="18" hidden="1">{#N/A,"A",FALSE,"DCF"}</definedName>
    <definedName name="sdf" localSheetId="9" hidden="1">{#N/A,"A",FALSE,"DCF"}</definedName>
    <definedName name="sdf" hidden="1">{#N/A,"A",FALSE,"DCF"}</definedName>
    <definedName name="sencount" hidden="1">2</definedName>
    <definedName name="Sheeet1" localSheetId="59" hidden="1">{#N/A,#N/A,FALSE,"Summary";#N/A,#N/A,FALSE,"Proforma";#N/A,#N/A,FALSE,"Tx"}</definedName>
    <definedName name="Sheeet1" localSheetId="52" hidden="1">{#N/A,#N/A,FALSE,"Summary";#N/A,#N/A,FALSE,"Proforma";#N/A,#N/A,FALSE,"Tx"}</definedName>
    <definedName name="Sheeet1" localSheetId="58" hidden="1">{#N/A,#N/A,FALSE,"Summary";#N/A,#N/A,FALSE,"Proforma";#N/A,#N/A,FALSE,"Tx"}</definedName>
    <definedName name="Sheeet1" localSheetId="43" hidden="1">{#N/A,#N/A,FALSE,"Summary";#N/A,#N/A,FALSE,"Proforma";#N/A,#N/A,FALSE,"Tx"}</definedName>
    <definedName name="Sheeet1" localSheetId="47" hidden="1">{#N/A,#N/A,FALSE,"Summary";#N/A,#N/A,FALSE,"Proforma";#N/A,#N/A,FALSE,"Tx"}</definedName>
    <definedName name="Sheeet1" localSheetId="44" hidden="1">{#N/A,#N/A,FALSE,"Summary";#N/A,#N/A,FALSE,"Proforma";#N/A,#N/A,FALSE,"Tx"}</definedName>
    <definedName name="Sheeet1" localSheetId="42" hidden="1">{#N/A,#N/A,FALSE,"Summary";#N/A,#N/A,FALSE,"Proforma";#N/A,#N/A,FALSE,"Tx"}</definedName>
    <definedName name="Sheeet1" localSheetId="18" hidden="1">{#N/A,#N/A,FALSE,"Summary";#N/A,#N/A,FALSE,"Proforma";#N/A,#N/A,FALSE,"Tx"}</definedName>
    <definedName name="Sheeet1" localSheetId="9" hidden="1">{#N/A,#N/A,FALSE,"Summary";#N/A,#N/A,FALSE,"Proforma";#N/A,#N/A,FALSE,"Tx"}</definedName>
    <definedName name="Sheeet1" hidden="1">{#N/A,#N/A,FALSE,"Summary";#N/A,#N/A,FALSE,"Proforma";#N/A,#N/A,FALSE,"Tx"}</definedName>
    <definedName name="sheet" localSheetId="59" hidden="1">{#N/A,#N/A,FALSE,"Summary";#N/A,#N/A,FALSE,"Proforma";#N/A,#N/A,FALSE,"Tx"}</definedName>
    <definedName name="sheet" localSheetId="52" hidden="1">{#N/A,#N/A,FALSE,"Summary";#N/A,#N/A,FALSE,"Proforma";#N/A,#N/A,FALSE,"Tx"}</definedName>
    <definedName name="sheet" localSheetId="58" hidden="1">{#N/A,#N/A,FALSE,"Summary";#N/A,#N/A,FALSE,"Proforma";#N/A,#N/A,FALSE,"Tx"}</definedName>
    <definedName name="sheet" localSheetId="43" hidden="1">{#N/A,#N/A,FALSE,"Summary";#N/A,#N/A,FALSE,"Proforma";#N/A,#N/A,FALSE,"Tx"}</definedName>
    <definedName name="sheet" localSheetId="47" hidden="1">{#N/A,#N/A,FALSE,"Summary";#N/A,#N/A,FALSE,"Proforma";#N/A,#N/A,FALSE,"Tx"}</definedName>
    <definedName name="sheet" localSheetId="44" hidden="1">{#N/A,#N/A,FALSE,"Summary";#N/A,#N/A,FALSE,"Proforma";#N/A,#N/A,FALSE,"Tx"}</definedName>
    <definedName name="sheet" localSheetId="42" hidden="1">{#N/A,#N/A,FALSE,"Summary";#N/A,#N/A,FALSE,"Proforma";#N/A,#N/A,FALSE,"Tx"}</definedName>
    <definedName name="sheet" localSheetId="18" hidden="1">{#N/A,#N/A,FALSE,"Summary";#N/A,#N/A,FALSE,"Proforma";#N/A,#N/A,FALSE,"Tx"}</definedName>
    <definedName name="sheet" localSheetId="9" hidden="1">{#N/A,#N/A,FALSE,"Summary";#N/A,#N/A,FALSE,"Proforma";#N/A,#N/A,FALSE,"Tx"}</definedName>
    <definedName name="sheet" hidden="1">{#N/A,#N/A,FALSE,"Summary";#N/A,#N/A,FALSE,"Proforma";#N/A,#N/A,FALSE,"Tx"}</definedName>
    <definedName name="sheet1" localSheetId="59" hidden="1">{#N/A,#N/A,FALSE,"Summary";#N/A,#N/A,FALSE,"Proforma";#N/A,#N/A,FALSE,"Tx"}</definedName>
    <definedName name="sheet1" localSheetId="52" hidden="1">{#N/A,#N/A,FALSE,"Summary";#N/A,#N/A,FALSE,"Proforma";#N/A,#N/A,FALSE,"Tx"}</definedName>
    <definedName name="sheet1" localSheetId="58" hidden="1">{#N/A,#N/A,FALSE,"Summary";#N/A,#N/A,FALSE,"Proforma";#N/A,#N/A,FALSE,"Tx"}</definedName>
    <definedName name="sheet1" localSheetId="43" hidden="1">{#N/A,#N/A,FALSE,"Summary";#N/A,#N/A,FALSE,"Proforma";#N/A,#N/A,FALSE,"Tx"}</definedName>
    <definedName name="sheet1" localSheetId="47" hidden="1">{#N/A,#N/A,FALSE,"Summary";#N/A,#N/A,FALSE,"Proforma";#N/A,#N/A,FALSE,"Tx"}</definedName>
    <definedName name="sheet1" localSheetId="44" hidden="1">{#N/A,#N/A,FALSE,"Summary";#N/A,#N/A,FALSE,"Proforma";#N/A,#N/A,FALSE,"Tx"}</definedName>
    <definedName name="sheet1" localSheetId="42" hidden="1">{#N/A,#N/A,FALSE,"Summary";#N/A,#N/A,FALSE,"Proforma";#N/A,#N/A,FALSE,"Tx"}</definedName>
    <definedName name="sheet1" localSheetId="18" hidden="1">{#N/A,#N/A,FALSE,"Summary";#N/A,#N/A,FALSE,"Proforma";#N/A,#N/A,FALSE,"Tx"}</definedName>
    <definedName name="sheet1" localSheetId="9" hidden="1">{#N/A,#N/A,FALSE,"Summary";#N/A,#N/A,FALSE,"Proforma";#N/A,#N/A,FALSE,"Tx"}</definedName>
    <definedName name="sheet1" hidden="1">{#N/A,#N/A,FALSE,"Summary";#N/A,#N/A,FALSE,"Proforma";#N/A,#N/A,FALSE,"Tx"}</definedName>
    <definedName name="solver_adj" localSheetId="37" hidden="1">'Asset Vol_Early'!$Q$51</definedName>
    <definedName name="solver_adj" localSheetId="51" hidden="1">'Asset Vol_Hybrid OPM'!$Q$51</definedName>
    <definedName name="solver_adj" localSheetId="38" hidden="1">'Asset Vol_Late'!$Q$51</definedName>
    <definedName name="solver_adj" localSheetId="80" hidden="1">'Asset Vol_OPM'!$Q$50</definedName>
    <definedName name="solver_adj" localSheetId="57" hidden="1">'Asset Vol_OPM BackSolve'!$Q$51</definedName>
    <definedName name="solver_adj" localSheetId="39" hidden="1">'Asset Vol_Structured'!$Q$51</definedName>
    <definedName name="solver_adj" localSheetId="47" hidden="1">'Hybrid OPM'!$I$36</definedName>
    <definedName name="solver_adj" localSheetId="79" hidden="1">'OPM 2'!$P$7</definedName>
    <definedName name="solver_adj" localSheetId="56" hidden="1">'OPM Backsolve WP2'!$Q$11</definedName>
    <definedName name="solver_cvg" localSheetId="37" hidden="1">0.0001</definedName>
    <definedName name="solver_cvg" localSheetId="51" hidden="1">0.0001</definedName>
    <definedName name="solver_cvg" localSheetId="38" hidden="1">0.0001</definedName>
    <definedName name="solver_cvg" localSheetId="80" hidden="1">0.0001</definedName>
    <definedName name="solver_cvg" localSheetId="57" hidden="1">0.0001</definedName>
    <definedName name="solver_cvg" localSheetId="39" hidden="1">0.0001</definedName>
    <definedName name="solver_cvg" localSheetId="47" hidden="1">0.0001</definedName>
    <definedName name="solver_cvg" localSheetId="79" hidden="1">0.0001</definedName>
    <definedName name="solver_cvg" localSheetId="56" hidden="1">0.0001</definedName>
    <definedName name="solver_drv" localSheetId="37" hidden="1">1</definedName>
    <definedName name="solver_drv" localSheetId="51" hidden="1">1</definedName>
    <definedName name="solver_drv" localSheetId="38" hidden="1">1</definedName>
    <definedName name="solver_drv" localSheetId="80" hidden="1">1</definedName>
    <definedName name="solver_drv" localSheetId="57" hidden="1">1</definedName>
    <definedName name="solver_drv" localSheetId="39" hidden="1">1</definedName>
    <definedName name="solver_drv" localSheetId="47" hidden="1">1</definedName>
    <definedName name="solver_drv" localSheetId="79" hidden="1">1</definedName>
    <definedName name="solver_drv" localSheetId="56" hidden="1">1</definedName>
    <definedName name="solver_eng" localSheetId="37" hidden="1">1</definedName>
    <definedName name="solver_eng" localSheetId="51" hidden="1">1</definedName>
    <definedName name="solver_eng" localSheetId="38" hidden="1">1</definedName>
    <definedName name="solver_eng" localSheetId="80" hidden="1">1</definedName>
    <definedName name="solver_eng" localSheetId="57" hidden="1">1</definedName>
    <definedName name="solver_eng" localSheetId="39" hidden="1">1</definedName>
    <definedName name="solver_eng" localSheetId="47" hidden="1">1</definedName>
    <definedName name="solver_eng" localSheetId="79" hidden="1">1</definedName>
    <definedName name="solver_eng" localSheetId="56" hidden="1">1</definedName>
    <definedName name="solver_est" localSheetId="37" hidden="1">1</definedName>
    <definedName name="solver_est" localSheetId="51" hidden="1">1</definedName>
    <definedName name="solver_est" localSheetId="38" hidden="1">1</definedName>
    <definedName name="solver_est" localSheetId="80" hidden="1">1</definedName>
    <definedName name="solver_est" localSheetId="57" hidden="1">1</definedName>
    <definedName name="solver_est" localSheetId="39" hidden="1">1</definedName>
    <definedName name="solver_est" localSheetId="47" hidden="1">1</definedName>
    <definedName name="solver_est" localSheetId="79" hidden="1">1</definedName>
    <definedName name="solver_est" localSheetId="56" hidden="1">1</definedName>
    <definedName name="solver_itr" localSheetId="37" hidden="1">2147483647</definedName>
    <definedName name="solver_itr" localSheetId="51" hidden="1">2147483647</definedName>
    <definedName name="solver_itr" localSheetId="38" hidden="1">2147483647</definedName>
    <definedName name="solver_itr" localSheetId="80" hidden="1">2147483647</definedName>
    <definedName name="solver_itr" localSheetId="57" hidden="1">2147483647</definedName>
    <definedName name="solver_itr" localSheetId="39" hidden="1">2147483647</definedName>
    <definedName name="solver_itr" localSheetId="47" hidden="1">2147483647</definedName>
    <definedName name="solver_itr" localSheetId="79" hidden="1">2147483647</definedName>
    <definedName name="solver_itr" localSheetId="56" hidden="1">2147483647</definedName>
    <definedName name="solver_lin" hidden="1">0</definedName>
    <definedName name="solver_mip" localSheetId="37" hidden="1">2147483647</definedName>
    <definedName name="solver_mip" localSheetId="51" hidden="1">2147483647</definedName>
    <definedName name="solver_mip" localSheetId="38" hidden="1">2147483647</definedName>
    <definedName name="solver_mip" localSheetId="80" hidden="1">2147483647</definedName>
    <definedName name="solver_mip" localSheetId="57" hidden="1">2147483647</definedName>
    <definedName name="solver_mip" localSheetId="39" hidden="1">2147483647</definedName>
    <definedName name="solver_mip" localSheetId="47" hidden="1">2147483647</definedName>
    <definedName name="solver_mip" localSheetId="79" hidden="1">2147483647</definedName>
    <definedName name="solver_mip" localSheetId="56" hidden="1">2147483647</definedName>
    <definedName name="solver_mni" localSheetId="37" hidden="1">30</definedName>
    <definedName name="solver_mni" localSheetId="51" hidden="1">30</definedName>
    <definedName name="solver_mni" localSheetId="38" hidden="1">30</definedName>
    <definedName name="solver_mni" localSheetId="80" hidden="1">30</definedName>
    <definedName name="solver_mni" localSheetId="57" hidden="1">30</definedName>
    <definedName name="solver_mni" localSheetId="39" hidden="1">30</definedName>
    <definedName name="solver_mni" localSheetId="47" hidden="1">30</definedName>
    <definedName name="solver_mni" localSheetId="79" hidden="1">30</definedName>
    <definedName name="solver_mni" localSheetId="56" hidden="1">30</definedName>
    <definedName name="solver_mrt" localSheetId="37" hidden="1">0.075</definedName>
    <definedName name="solver_mrt" localSheetId="51" hidden="1">0.075</definedName>
    <definedName name="solver_mrt" localSheetId="38" hidden="1">0.075</definedName>
    <definedName name="solver_mrt" localSheetId="80" hidden="1">0.075</definedName>
    <definedName name="solver_mrt" localSheetId="57" hidden="1">0.075</definedName>
    <definedName name="solver_mrt" localSheetId="39" hidden="1">0.075</definedName>
    <definedName name="solver_mrt" localSheetId="47" hidden="1">0.075</definedName>
    <definedName name="solver_mrt" localSheetId="79" hidden="1">0.075</definedName>
    <definedName name="solver_mrt" localSheetId="56" hidden="1">0.075</definedName>
    <definedName name="solver_msl" localSheetId="37" hidden="1">2</definedName>
    <definedName name="solver_msl" localSheetId="51" hidden="1">2</definedName>
    <definedName name="solver_msl" localSheetId="38" hidden="1">2</definedName>
    <definedName name="solver_msl" localSheetId="80" hidden="1">2</definedName>
    <definedName name="solver_msl" localSheetId="57" hidden="1">2</definedName>
    <definedName name="solver_msl" localSheetId="39" hidden="1">2</definedName>
    <definedName name="solver_msl" localSheetId="47" hidden="1">2</definedName>
    <definedName name="solver_msl" localSheetId="79" hidden="1">2</definedName>
    <definedName name="solver_msl" localSheetId="56" hidden="1">2</definedName>
    <definedName name="solver_neg" localSheetId="37" hidden="1">1</definedName>
    <definedName name="solver_neg" localSheetId="51" hidden="1">1</definedName>
    <definedName name="solver_neg" localSheetId="38" hidden="1">1</definedName>
    <definedName name="solver_neg" localSheetId="80" hidden="1">1</definedName>
    <definedName name="solver_neg" localSheetId="57" hidden="1">1</definedName>
    <definedName name="solver_neg" localSheetId="39" hidden="1">1</definedName>
    <definedName name="solver_neg" localSheetId="47" hidden="1">1</definedName>
    <definedName name="solver_neg" localSheetId="79" hidden="1">1</definedName>
    <definedName name="solver_neg" localSheetId="56" hidden="1">1</definedName>
    <definedName name="solver_nod" localSheetId="37" hidden="1">2147483647</definedName>
    <definedName name="solver_nod" localSheetId="51" hidden="1">2147483647</definedName>
    <definedName name="solver_nod" localSheetId="38" hidden="1">2147483647</definedName>
    <definedName name="solver_nod" localSheetId="80" hidden="1">2147483647</definedName>
    <definedName name="solver_nod" localSheetId="57" hidden="1">2147483647</definedName>
    <definedName name="solver_nod" localSheetId="39" hidden="1">2147483647</definedName>
    <definedName name="solver_nod" localSheetId="47" hidden="1">2147483647</definedName>
    <definedName name="solver_nod" localSheetId="79" hidden="1">2147483647</definedName>
    <definedName name="solver_nod" localSheetId="56" hidden="1">2147483647</definedName>
    <definedName name="solver_num" localSheetId="37" hidden="1">0</definedName>
    <definedName name="solver_num" localSheetId="51" hidden="1">0</definedName>
    <definedName name="solver_num" localSheetId="38" hidden="1">0</definedName>
    <definedName name="solver_num" localSheetId="80" hidden="1">0</definedName>
    <definedName name="solver_num" localSheetId="57" hidden="1">0</definedName>
    <definedName name="solver_num" localSheetId="39" hidden="1">0</definedName>
    <definedName name="solver_num" localSheetId="47" hidden="1">0</definedName>
    <definedName name="solver_num" localSheetId="79" hidden="1">0</definedName>
    <definedName name="solver_num" localSheetId="56" hidden="1">0</definedName>
    <definedName name="solver_num" hidden="1">0</definedName>
    <definedName name="solver_nwt" localSheetId="37" hidden="1">1</definedName>
    <definedName name="solver_nwt" localSheetId="51" hidden="1">1</definedName>
    <definedName name="solver_nwt" localSheetId="38" hidden="1">1</definedName>
    <definedName name="solver_nwt" localSheetId="80" hidden="1">1</definedName>
    <definedName name="solver_nwt" localSheetId="57" hidden="1">1</definedName>
    <definedName name="solver_nwt" localSheetId="39" hidden="1">1</definedName>
    <definedName name="solver_nwt" localSheetId="47" hidden="1">1</definedName>
    <definedName name="solver_nwt" localSheetId="79" hidden="1">1</definedName>
    <definedName name="solver_nwt" localSheetId="56" hidden="1">1</definedName>
    <definedName name="solver_opt" localSheetId="37" hidden="1">'Asset Vol_Early'!$Y$51</definedName>
    <definedName name="solver_opt" localSheetId="51" hidden="1">'Asset Vol_Hybrid OPM'!$Y$51</definedName>
    <definedName name="solver_opt" localSheetId="38" hidden="1">'Asset Vol_Late'!$Y$51</definedName>
    <definedName name="solver_opt" localSheetId="80" hidden="1">'Asset Vol_OPM'!$Y$50</definedName>
    <definedName name="solver_opt" localSheetId="57" hidden="1">'Asset Vol_OPM BackSolve'!$Y$51</definedName>
    <definedName name="solver_opt" localSheetId="39" hidden="1">'Asset Vol_Structured'!$Y$51</definedName>
    <definedName name="solver_opt" localSheetId="47" hidden="1">'Hybrid OPM'!$I$37</definedName>
    <definedName name="solver_opt" localSheetId="79" hidden="1">'OPM 2'!$P$6</definedName>
    <definedName name="solver_opt" localSheetId="56" hidden="1">'OPM Backsolve WP2'!$Q$12</definedName>
    <definedName name="solver_pre" localSheetId="37" hidden="1">0.000001</definedName>
    <definedName name="solver_pre" localSheetId="51" hidden="1">0.000001</definedName>
    <definedName name="solver_pre" localSheetId="38" hidden="1">0.000001</definedName>
    <definedName name="solver_pre" localSheetId="80" hidden="1">0.000001</definedName>
    <definedName name="solver_pre" localSheetId="57" hidden="1">0.000001</definedName>
    <definedName name="solver_pre" localSheetId="39" hidden="1">0.000001</definedName>
    <definedName name="solver_pre" localSheetId="47" hidden="1">0.000001</definedName>
    <definedName name="solver_pre" localSheetId="79" hidden="1">0.000001</definedName>
    <definedName name="solver_pre" localSheetId="56" hidden="1">0.000001</definedName>
    <definedName name="solver_rbv" localSheetId="37" hidden="1">1</definedName>
    <definedName name="solver_rbv" localSheetId="51" hidden="1">1</definedName>
    <definedName name="solver_rbv" localSheetId="38" hidden="1">1</definedName>
    <definedName name="solver_rbv" localSheetId="80" hidden="1">1</definedName>
    <definedName name="solver_rbv" localSheetId="57" hidden="1">1</definedName>
    <definedName name="solver_rbv" localSheetId="39" hidden="1">1</definedName>
    <definedName name="solver_rbv" localSheetId="47" hidden="1">1</definedName>
    <definedName name="solver_rbv" localSheetId="79" hidden="1">1</definedName>
    <definedName name="solver_rbv" localSheetId="56" hidden="1">1</definedName>
    <definedName name="solver_rlx" localSheetId="37" hidden="1">2</definedName>
    <definedName name="solver_rlx" localSheetId="51" hidden="1">2</definedName>
    <definedName name="solver_rlx" localSheetId="38" hidden="1">2</definedName>
    <definedName name="solver_rlx" localSheetId="80" hidden="1">2</definedName>
    <definedName name="solver_rlx" localSheetId="57" hidden="1">2</definedName>
    <definedName name="solver_rlx" localSheetId="39" hidden="1">2</definedName>
    <definedName name="solver_rlx" localSheetId="47" hidden="1">2</definedName>
    <definedName name="solver_rlx" localSheetId="79" hidden="1">2</definedName>
    <definedName name="solver_rlx" localSheetId="56" hidden="1">2</definedName>
    <definedName name="solver_rsd" localSheetId="37" hidden="1">0</definedName>
    <definedName name="solver_rsd" localSheetId="51" hidden="1">0</definedName>
    <definedName name="solver_rsd" localSheetId="38" hidden="1">0</definedName>
    <definedName name="solver_rsd" localSheetId="80" hidden="1">0</definedName>
    <definedName name="solver_rsd" localSheetId="57" hidden="1">0</definedName>
    <definedName name="solver_rsd" localSheetId="39" hidden="1">0</definedName>
    <definedName name="solver_rsd" localSheetId="47" hidden="1">0</definedName>
    <definedName name="solver_rsd" localSheetId="79" hidden="1">0</definedName>
    <definedName name="solver_rsd" localSheetId="56" hidden="1">0</definedName>
    <definedName name="solver_scl" localSheetId="37" hidden="1">1</definedName>
    <definedName name="solver_scl" localSheetId="51" hidden="1">1</definedName>
    <definedName name="solver_scl" localSheetId="38" hidden="1">1</definedName>
    <definedName name="solver_scl" localSheetId="80" hidden="1">1</definedName>
    <definedName name="solver_scl" localSheetId="57" hidden="1">1</definedName>
    <definedName name="solver_scl" localSheetId="39" hidden="1">1</definedName>
    <definedName name="solver_scl" localSheetId="47" hidden="1">1</definedName>
    <definedName name="solver_scl" localSheetId="79" hidden="1">1</definedName>
    <definedName name="solver_scl" localSheetId="56" hidden="1">1</definedName>
    <definedName name="solver_sho" localSheetId="37" hidden="1">2</definedName>
    <definedName name="solver_sho" localSheetId="51" hidden="1">2</definedName>
    <definedName name="solver_sho" localSheetId="38" hidden="1">2</definedName>
    <definedName name="solver_sho" localSheetId="80" hidden="1">2</definedName>
    <definedName name="solver_sho" localSheetId="57" hidden="1">2</definedName>
    <definedName name="solver_sho" localSheetId="39" hidden="1">2</definedName>
    <definedName name="solver_sho" localSheetId="47" hidden="1">2</definedName>
    <definedName name="solver_sho" localSheetId="79" hidden="1">2</definedName>
    <definedName name="solver_sho" localSheetId="56" hidden="1">2</definedName>
    <definedName name="solver_ssz" localSheetId="37" hidden="1">100</definedName>
    <definedName name="solver_ssz" localSheetId="51" hidden="1">100</definedName>
    <definedName name="solver_ssz" localSheetId="38" hidden="1">100</definedName>
    <definedName name="solver_ssz" localSheetId="80" hidden="1">100</definedName>
    <definedName name="solver_ssz" localSheetId="57" hidden="1">100</definedName>
    <definedName name="solver_ssz" localSheetId="39" hidden="1">100</definedName>
    <definedName name="solver_ssz" localSheetId="47" hidden="1">100</definedName>
    <definedName name="solver_ssz" localSheetId="79" hidden="1">100</definedName>
    <definedName name="solver_ssz" localSheetId="56" hidden="1">100</definedName>
    <definedName name="solver_tim" localSheetId="37" hidden="1">2147483647</definedName>
    <definedName name="solver_tim" localSheetId="51" hidden="1">2147483647</definedName>
    <definedName name="solver_tim" localSheetId="38" hidden="1">2147483647</definedName>
    <definedName name="solver_tim" localSheetId="80" hidden="1">2147483647</definedName>
    <definedName name="solver_tim" localSheetId="57" hidden="1">2147483647</definedName>
    <definedName name="solver_tim" localSheetId="39" hidden="1">2147483647</definedName>
    <definedName name="solver_tim" localSheetId="47" hidden="1">2147483647</definedName>
    <definedName name="solver_tim" localSheetId="79" hidden="1">2147483647</definedName>
    <definedName name="solver_tim" localSheetId="56" hidden="1">2147483647</definedName>
    <definedName name="solver_tol" localSheetId="37" hidden="1">0.01</definedName>
    <definedName name="solver_tol" localSheetId="51" hidden="1">0.01</definedName>
    <definedName name="solver_tol" localSheetId="38" hidden="1">0.01</definedName>
    <definedName name="solver_tol" localSheetId="80" hidden="1">0.01</definedName>
    <definedName name="solver_tol" localSheetId="57" hidden="1">0.01</definedName>
    <definedName name="solver_tol" localSheetId="39" hidden="1">0.01</definedName>
    <definedName name="solver_tol" localSheetId="47" hidden="1">0.01</definedName>
    <definedName name="solver_tol" localSheetId="79" hidden="1">0.01</definedName>
    <definedName name="solver_tol" localSheetId="56" hidden="1">0.01</definedName>
    <definedName name="solver_typ" localSheetId="37" hidden="1">3</definedName>
    <definedName name="solver_typ" localSheetId="51" hidden="1">3</definedName>
    <definedName name="solver_typ" localSheetId="38" hidden="1">3</definedName>
    <definedName name="solver_typ" localSheetId="80" hidden="1">3</definedName>
    <definedName name="solver_typ" localSheetId="57" hidden="1">3</definedName>
    <definedName name="solver_typ" localSheetId="39" hidden="1">3</definedName>
    <definedName name="solver_typ" localSheetId="47" hidden="1">3</definedName>
    <definedName name="solver_typ" localSheetId="79" hidden="1">3</definedName>
    <definedName name="solver_typ" localSheetId="56" hidden="1">3</definedName>
    <definedName name="solver_typ" hidden="1">3</definedName>
    <definedName name="solver_val" localSheetId="37" hidden="1">0.581</definedName>
    <definedName name="solver_val" localSheetId="51" hidden="1">0.555</definedName>
    <definedName name="solver_val" localSheetId="38" hidden="1">0.555</definedName>
    <definedName name="solver_val" localSheetId="80" hidden="1">0.555</definedName>
    <definedName name="solver_val" localSheetId="57" hidden="1">0.555</definedName>
    <definedName name="solver_val" localSheetId="39" hidden="1">0.555</definedName>
    <definedName name="solver_val" localSheetId="47" hidden="1">0</definedName>
    <definedName name="solver_val" localSheetId="79" hidden="1">0</definedName>
    <definedName name="solver_val" localSheetId="56" hidden="1">0</definedName>
    <definedName name="solver_val" hidden="1">0</definedName>
    <definedName name="solver_ver" localSheetId="37" hidden="1">3</definedName>
    <definedName name="solver_ver" localSheetId="51" hidden="1">3</definedName>
    <definedName name="solver_ver" localSheetId="38" hidden="1">3</definedName>
    <definedName name="solver_ver" localSheetId="80" hidden="1">3</definedName>
    <definedName name="solver_ver" localSheetId="57" hidden="1">3</definedName>
    <definedName name="solver_ver" localSheetId="39" hidden="1">3</definedName>
    <definedName name="solver_ver" localSheetId="47" hidden="1">3</definedName>
    <definedName name="solver_ver" localSheetId="79" hidden="1">3</definedName>
    <definedName name="solver_ver" localSheetId="56" hidden="1">3</definedName>
    <definedName name="Ss" localSheetId="59" hidden="1">{#N/A,#N/A,FALSE,"Model";#N/A,#N/A,FALSE,"Gen Pts &amp; Rts 2000";#N/A,#N/A,FALSE,"AcqsAss";#N/A,#N/A,FALSE,"Acqs &amp; De Novos"}</definedName>
    <definedName name="Ss" localSheetId="52" hidden="1">{#N/A,#N/A,FALSE,"Model";#N/A,#N/A,FALSE,"Gen Pts &amp; Rts 2000";#N/A,#N/A,FALSE,"AcqsAss";#N/A,#N/A,FALSE,"Acqs &amp; De Novos"}</definedName>
    <definedName name="Ss" localSheetId="58" hidden="1">{#N/A,#N/A,FALSE,"Model";#N/A,#N/A,FALSE,"Gen Pts &amp; Rts 2000";#N/A,#N/A,FALSE,"AcqsAss";#N/A,#N/A,FALSE,"Acqs &amp; De Novos"}</definedName>
    <definedName name="Ss" localSheetId="43" hidden="1">{#N/A,#N/A,FALSE,"Model";#N/A,#N/A,FALSE,"Gen Pts &amp; Rts 2000";#N/A,#N/A,FALSE,"AcqsAss";#N/A,#N/A,FALSE,"Acqs &amp; De Novos"}</definedName>
    <definedName name="Ss" localSheetId="47" hidden="1">{#N/A,#N/A,FALSE,"Model";#N/A,#N/A,FALSE,"Gen Pts &amp; Rts 2000";#N/A,#N/A,FALSE,"AcqsAss";#N/A,#N/A,FALSE,"Acqs &amp; De Novos"}</definedName>
    <definedName name="Ss" localSheetId="44" hidden="1">{#N/A,#N/A,FALSE,"Model";#N/A,#N/A,FALSE,"Gen Pts &amp; Rts 2000";#N/A,#N/A,FALSE,"AcqsAss";#N/A,#N/A,FALSE,"Acqs &amp; De Novos"}</definedName>
    <definedName name="Ss" localSheetId="42" hidden="1">{#N/A,#N/A,FALSE,"Model";#N/A,#N/A,FALSE,"Gen Pts &amp; Rts 2000";#N/A,#N/A,FALSE,"AcqsAss";#N/A,#N/A,FALSE,"Acqs &amp; De Novos"}</definedName>
    <definedName name="Ss" localSheetId="18" hidden="1">{#N/A,#N/A,FALSE,"Model";#N/A,#N/A,FALSE,"Gen Pts &amp; Rts 2000";#N/A,#N/A,FALSE,"AcqsAss";#N/A,#N/A,FALSE,"Acqs &amp; De Novos"}</definedName>
    <definedName name="Ss" localSheetId="9" hidden="1">{#N/A,#N/A,FALSE,"Model";#N/A,#N/A,FALSE,"Gen Pts &amp; Rts 2000";#N/A,#N/A,FALSE,"AcqsAss";#N/A,#N/A,FALSE,"Acqs &amp; De Novos"}</definedName>
    <definedName name="Ss" hidden="1">{#N/A,#N/A,FALSE,"Model";#N/A,#N/A,FALSE,"Gen Pts &amp; Rts 2000";#N/A,#N/A,FALSE,"AcqsAss";#N/A,#N/A,FALSE,"Acqs &amp; De Novos"}</definedName>
    <definedName name="steve" localSheetId="59" hidden="1">{#N/A,#N/A,FALSE,"Bakersfield PCs";#N/A,#N/A,FALSE,"Bremer PCs";#N/A,#N/A,FALSE,"Bakersfield Notebooks"}</definedName>
    <definedName name="steve" localSheetId="52" hidden="1">{#N/A,#N/A,FALSE,"Bakersfield PCs";#N/A,#N/A,FALSE,"Bremer PCs";#N/A,#N/A,FALSE,"Bakersfield Notebooks"}</definedName>
    <definedName name="steve" localSheetId="58" hidden="1">{#N/A,#N/A,FALSE,"Bakersfield PCs";#N/A,#N/A,FALSE,"Bremer PCs";#N/A,#N/A,FALSE,"Bakersfield Notebooks"}</definedName>
    <definedName name="steve" localSheetId="43" hidden="1">{#N/A,#N/A,FALSE,"Bakersfield PCs";#N/A,#N/A,FALSE,"Bremer PCs";#N/A,#N/A,FALSE,"Bakersfield Notebooks"}</definedName>
    <definedName name="steve" localSheetId="47" hidden="1">{#N/A,#N/A,FALSE,"Bakersfield PCs";#N/A,#N/A,FALSE,"Bremer PCs";#N/A,#N/A,FALSE,"Bakersfield Notebooks"}</definedName>
    <definedName name="steve" localSheetId="44" hidden="1">{#N/A,#N/A,FALSE,"Bakersfield PCs";#N/A,#N/A,FALSE,"Bremer PCs";#N/A,#N/A,FALSE,"Bakersfield Notebooks"}</definedName>
    <definedName name="steve" localSheetId="42" hidden="1">{#N/A,#N/A,FALSE,"Bakersfield PCs";#N/A,#N/A,FALSE,"Bremer PCs";#N/A,#N/A,FALSE,"Bakersfield Notebooks"}</definedName>
    <definedName name="steve" localSheetId="18" hidden="1">{#N/A,#N/A,FALSE,"Bakersfield PCs";#N/A,#N/A,FALSE,"Bremer PCs";#N/A,#N/A,FALSE,"Bakersfield Notebooks"}</definedName>
    <definedName name="steve" localSheetId="9" hidden="1">{#N/A,#N/A,FALSE,"Bakersfield PCs";#N/A,#N/A,FALSE,"Bremer PCs";#N/A,#N/A,FALSE,"Bakersfield Notebooks"}</definedName>
    <definedName name="steve" hidden="1">{#N/A,#N/A,FALSE,"Bakersfield PCs";#N/A,#N/A,FALSE,"Bremer PCs";#N/A,#N/A,FALSE,"Bakersfield Notebooks"}</definedName>
    <definedName name="steve2" localSheetId="59" hidden="1">{#N/A,#N/A,FALSE,"Bakersfield PCs";#N/A,#N/A,FALSE,"Bremer PCs";#N/A,#N/A,FALSE,"Bakersfield Notebooks"}</definedName>
    <definedName name="steve2" localSheetId="52" hidden="1">{#N/A,#N/A,FALSE,"Bakersfield PCs";#N/A,#N/A,FALSE,"Bremer PCs";#N/A,#N/A,FALSE,"Bakersfield Notebooks"}</definedName>
    <definedName name="steve2" localSheetId="58" hidden="1">{#N/A,#N/A,FALSE,"Bakersfield PCs";#N/A,#N/A,FALSE,"Bremer PCs";#N/A,#N/A,FALSE,"Bakersfield Notebooks"}</definedName>
    <definedName name="steve2" localSheetId="43" hidden="1">{#N/A,#N/A,FALSE,"Bakersfield PCs";#N/A,#N/A,FALSE,"Bremer PCs";#N/A,#N/A,FALSE,"Bakersfield Notebooks"}</definedName>
    <definedName name="steve2" localSheetId="47" hidden="1">{#N/A,#N/A,FALSE,"Bakersfield PCs";#N/A,#N/A,FALSE,"Bremer PCs";#N/A,#N/A,FALSE,"Bakersfield Notebooks"}</definedName>
    <definedName name="steve2" localSheetId="44" hidden="1">{#N/A,#N/A,FALSE,"Bakersfield PCs";#N/A,#N/A,FALSE,"Bremer PCs";#N/A,#N/A,FALSE,"Bakersfield Notebooks"}</definedName>
    <definedName name="steve2" localSheetId="42" hidden="1">{#N/A,#N/A,FALSE,"Bakersfield PCs";#N/A,#N/A,FALSE,"Bremer PCs";#N/A,#N/A,FALSE,"Bakersfield Notebooks"}</definedName>
    <definedName name="steve2" localSheetId="18" hidden="1">{#N/A,#N/A,FALSE,"Bakersfield PCs";#N/A,#N/A,FALSE,"Bremer PCs";#N/A,#N/A,FALSE,"Bakersfield Notebooks"}</definedName>
    <definedName name="steve2" localSheetId="9" hidden="1">{#N/A,#N/A,FALSE,"Bakersfield PCs";#N/A,#N/A,FALSE,"Bremer PCs";#N/A,#N/A,FALSE,"Bakersfield Notebooks"}</definedName>
    <definedName name="steve2" hidden="1">{#N/A,#N/A,FALSE,"Bakersfield PCs";#N/A,#N/A,FALSE,"Bremer PCs";#N/A,#N/A,FALSE,"Bakersfield Notebooks"}</definedName>
    <definedName name="suckit" localSheetId="59" hidden="1">#REF!</definedName>
    <definedName name="suckit" localSheetId="37" hidden="1">#REF!</definedName>
    <definedName name="suckit" localSheetId="80" hidden="1">#REF!</definedName>
    <definedName name="suckit" localSheetId="39" hidden="1">#REF!</definedName>
    <definedName name="suckit" localSheetId="4" hidden="1">#REF!</definedName>
    <definedName name="suckit" localSheetId="8" hidden="1">#REF!</definedName>
    <definedName name="suckit" localSheetId="52" hidden="1">#REF!</definedName>
    <definedName name="suckit" localSheetId="58" hidden="1">#REF!</definedName>
    <definedName name="suckit" localSheetId="43" hidden="1">#REF!</definedName>
    <definedName name="suckit" localSheetId="20" hidden="1">#REF!</definedName>
    <definedName name="suckit" localSheetId="49" hidden="1">#REF!</definedName>
    <definedName name="suckit" localSheetId="44" hidden="1">#REF!</definedName>
    <definedName name="suckit" localSheetId="55" hidden="1">#REF!</definedName>
    <definedName name="suckit" localSheetId="6" hidden="1">#REF!</definedName>
    <definedName name="suckit" localSheetId="46" hidden="1">#REF!</definedName>
    <definedName name="suckit" localSheetId="5" hidden="1">#REF!</definedName>
    <definedName name="suckit" localSheetId="48" hidden="1">#REF!</definedName>
    <definedName name="suckit" hidden="1">#REF!</definedName>
    <definedName name="t" localSheetId="59" hidden="1">{"bs",#N/A,FALSE,"SCF"}</definedName>
    <definedName name="t" localSheetId="52" hidden="1">{"bs",#N/A,FALSE,"SCF"}</definedName>
    <definedName name="t" localSheetId="58" hidden="1">{"bs",#N/A,FALSE,"SCF"}</definedName>
    <definedName name="t" localSheetId="43" hidden="1">{"bs",#N/A,FALSE,"SCF"}</definedName>
    <definedName name="t" localSheetId="47" hidden="1">{"bs",#N/A,FALSE,"SCF"}</definedName>
    <definedName name="t" localSheetId="44" hidden="1">{"bs",#N/A,FALSE,"SCF"}</definedName>
    <definedName name="t" localSheetId="42" hidden="1">{"bs",#N/A,FALSE,"SCF"}</definedName>
    <definedName name="t" localSheetId="18" hidden="1">{"bs",#N/A,FALSE,"SCF"}</definedName>
    <definedName name="t" localSheetId="9" hidden="1">{"bs",#N/A,FALSE,"SCF"}</definedName>
    <definedName name="t" hidden="1">{"bs",#N/A,FALSE,"SCF"}</definedName>
    <definedName name="tejhre" localSheetId="59" hidden="1">{#N/A,#N/A,FALSE,"Bakersfield PCs";#N/A,#N/A,FALSE,"Bremer PCs";#N/A,#N/A,FALSE,"Bakersfield Notebooks"}</definedName>
    <definedName name="tejhre" localSheetId="52" hidden="1">{#N/A,#N/A,FALSE,"Bakersfield PCs";#N/A,#N/A,FALSE,"Bremer PCs";#N/A,#N/A,FALSE,"Bakersfield Notebooks"}</definedName>
    <definedName name="tejhre" localSheetId="58" hidden="1">{#N/A,#N/A,FALSE,"Bakersfield PCs";#N/A,#N/A,FALSE,"Bremer PCs";#N/A,#N/A,FALSE,"Bakersfield Notebooks"}</definedName>
    <definedName name="tejhre" localSheetId="43" hidden="1">{#N/A,#N/A,FALSE,"Bakersfield PCs";#N/A,#N/A,FALSE,"Bremer PCs";#N/A,#N/A,FALSE,"Bakersfield Notebooks"}</definedName>
    <definedName name="tejhre" localSheetId="47" hidden="1">{#N/A,#N/A,FALSE,"Bakersfield PCs";#N/A,#N/A,FALSE,"Bremer PCs";#N/A,#N/A,FALSE,"Bakersfield Notebooks"}</definedName>
    <definedName name="tejhre" localSheetId="44" hidden="1">{#N/A,#N/A,FALSE,"Bakersfield PCs";#N/A,#N/A,FALSE,"Bremer PCs";#N/A,#N/A,FALSE,"Bakersfield Notebooks"}</definedName>
    <definedName name="tejhre" localSheetId="42" hidden="1">{#N/A,#N/A,FALSE,"Bakersfield PCs";#N/A,#N/A,FALSE,"Bremer PCs";#N/A,#N/A,FALSE,"Bakersfield Notebooks"}</definedName>
    <definedName name="tejhre" localSheetId="18" hidden="1">{#N/A,#N/A,FALSE,"Bakersfield PCs";#N/A,#N/A,FALSE,"Bremer PCs";#N/A,#N/A,FALSE,"Bakersfield Notebooks"}</definedName>
    <definedName name="tejhre" localSheetId="9" hidden="1">{#N/A,#N/A,FALSE,"Bakersfield PCs";#N/A,#N/A,FALSE,"Bremer PCs";#N/A,#N/A,FALSE,"Bakersfield Notebooks"}</definedName>
    <definedName name="tejhre" hidden="1">{#N/A,#N/A,FALSE,"Bakersfield PCs";#N/A,#N/A,FALSE,"Bremer PCs";#N/A,#N/A,FALSE,"Bakersfield Notebooks"}</definedName>
    <definedName name="temp" localSheetId="59" hidden="1">{#N/A,#N/A,FALSE,"Bakersfield PCs";#N/A,#N/A,FALSE,"Bremer PCs";#N/A,#N/A,FALSE,"Bakersfield Notebooks"}</definedName>
    <definedName name="temp" localSheetId="52" hidden="1">{#N/A,#N/A,FALSE,"Bakersfield PCs";#N/A,#N/A,FALSE,"Bremer PCs";#N/A,#N/A,FALSE,"Bakersfield Notebooks"}</definedName>
    <definedName name="temp" localSheetId="58" hidden="1">{#N/A,#N/A,FALSE,"Bakersfield PCs";#N/A,#N/A,FALSE,"Bremer PCs";#N/A,#N/A,FALSE,"Bakersfield Notebooks"}</definedName>
    <definedName name="temp" localSheetId="43" hidden="1">{#N/A,#N/A,FALSE,"Bakersfield PCs";#N/A,#N/A,FALSE,"Bremer PCs";#N/A,#N/A,FALSE,"Bakersfield Notebooks"}</definedName>
    <definedName name="temp" localSheetId="47" hidden="1">{#N/A,#N/A,FALSE,"Bakersfield PCs";#N/A,#N/A,FALSE,"Bremer PCs";#N/A,#N/A,FALSE,"Bakersfield Notebooks"}</definedName>
    <definedName name="temp" localSheetId="44" hidden="1">{#N/A,#N/A,FALSE,"Bakersfield PCs";#N/A,#N/A,FALSE,"Bremer PCs";#N/A,#N/A,FALSE,"Bakersfield Notebooks"}</definedName>
    <definedName name="temp" localSheetId="42" hidden="1">{#N/A,#N/A,FALSE,"Bakersfield PCs";#N/A,#N/A,FALSE,"Bremer PCs";#N/A,#N/A,FALSE,"Bakersfield Notebooks"}</definedName>
    <definedName name="temp" localSheetId="18" hidden="1">{#N/A,#N/A,FALSE,"Bakersfield PCs";#N/A,#N/A,FALSE,"Bremer PCs";#N/A,#N/A,FALSE,"Bakersfield Notebooks"}</definedName>
    <definedName name="temp" localSheetId="9" hidden="1">{#N/A,#N/A,FALSE,"Bakersfield PCs";#N/A,#N/A,FALSE,"Bremer PCs";#N/A,#N/A,FALSE,"Bakersfield Notebooks"}</definedName>
    <definedName name="temp" hidden="1">{#N/A,#N/A,FALSE,"Bakersfield PCs";#N/A,#N/A,FALSE,"Bremer PCs";#N/A,#N/A,FALSE,"Bakersfield Notebooks"}</definedName>
    <definedName name="test" localSheetId="59" hidden="1">{#N/A,#N/A,TRUE,"Tax";#N/A,#N/A,TRUE,"Structure";#N/A,#N/A,TRUE,"Accounting";#N/A,#N/A,TRUE,"Equipment"}</definedName>
    <definedName name="test" localSheetId="52" hidden="1">{#N/A,#N/A,TRUE,"Tax";#N/A,#N/A,TRUE,"Structure";#N/A,#N/A,TRUE,"Accounting";#N/A,#N/A,TRUE,"Equipment"}</definedName>
    <definedName name="test" localSheetId="58" hidden="1">{#N/A,#N/A,TRUE,"Tax";#N/A,#N/A,TRUE,"Structure";#N/A,#N/A,TRUE,"Accounting";#N/A,#N/A,TRUE,"Equipment"}</definedName>
    <definedName name="test" localSheetId="43" hidden="1">{#N/A,#N/A,TRUE,"Tax";#N/A,#N/A,TRUE,"Structure";#N/A,#N/A,TRUE,"Accounting";#N/A,#N/A,TRUE,"Equipment"}</definedName>
    <definedName name="test" localSheetId="47" hidden="1">{#N/A,#N/A,TRUE,"Tax";#N/A,#N/A,TRUE,"Structure";#N/A,#N/A,TRUE,"Accounting";#N/A,#N/A,TRUE,"Equipment"}</definedName>
    <definedName name="test" localSheetId="44" hidden="1">{#N/A,#N/A,TRUE,"Tax";#N/A,#N/A,TRUE,"Structure";#N/A,#N/A,TRUE,"Accounting";#N/A,#N/A,TRUE,"Equipment"}</definedName>
    <definedName name="test" localSheetId="42" hidden="1">{#N/A,#N/A,TRUE,"Tax";#N/A,#N/A,TRUE,"Structure";#N/A,#N/A,TRUE,"Accounting";#N/A,#N/A,TRUE,"Equipment"}</definedName>
    <definedName name="test" localSheetId="18" hidden="1">{#N/A,#N/A,TRUE,"Tax";#N/A,#N/A,TRUE,"Structure";#N/A,#N/A,TRUE,"Accounting";#N/A,#N/A,TRUE,"Equipment"}</definedName>
    <definedName name="test" localSheetId="9" hidden="1">{#N/A,#N/A,TRUE,"Tax";#N/A,#N/A,TRUE,"Structure";#N/A,#N/A,TRUE,"Accounting";#N/A,#N/A,TRUE,"Equipment"}</definedName>
    <definedName name="test" hidden="1">{#N/A,#N/A,TRUE,"Tax";#N/A,#N/A,TRUE,"Structure";#N/A,#N/A,TRUE,"Accounting";#N/A,#N/A,TRUE,"Equipment"}</definedName>
    <definedName name="TextRefCopyRangeCount" hidden="1">3</definedName>
    <definedName name="Toggle_DB_Location" hidden="1">2</definedName>
    <definedName name="Toggle_Freeze_View" hidden="1">0</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2</definedName>
    <definedName name="TopRankDefaultStepsPerInput" hidden="1">5</definedName>
    <definedName name="TopRankDetailByInputReport" hidden="1">TRUE</definedName>
    <definedName name="TopRankMaxInputsPerGraph" hidden="1">10</definedName>
    <definedName name="TopRankMultiWayReport" hidden="1">FALSE</definedName>
    <definedName name="TopRankNumberOfRuns" hidden="1">1</definedName>
    <definedName name="TopRankOnlyInputsOverThreshold" hidden="1">FALSE</definedName>
    <definedName name="TopRankOnlyTopRanking" hidden="1">FALSE</definedName>
    <definedName name="TopRankOutputCells1" localSheetId="80" hidden="1">#REF!</definedName>
    <definedName name="TopRankOutputCells1" localSheetId="39" hidden="1">#REF!</definedName>
    <definedName name="TopRankOutputCells1" localSheetId="8" hidden="1">#REF!</definedName>
    <definedName name="TopRankOutputCells1" localSheetId="52" hidden="1">#REF!</definedName>
    <definedName name="TopRankOutputCells1" localSheetId="58" hidden="1">#REF!</definedName>
    <definedName name="TopRankOutputCells1" localSheetId="49" hidden="1">#REF!</definedName>
    <definedName name="TopRankOutputCells1" localSheetId="55" hidden="1">#REF!</definedName>
    <definedName name="TopRankOutputCells1" localSheetId="6" hidden="1">#REF!</definedName>
    <definedName name="TopRankOutputCells1" localSheetId="5" hidden="1">#REF!</definedName>
    <definedName name="TopRankOutputCells1" localSheetId="48" hidden="1">#REF!</definedName>
    <definedName name="TopRankOutputCells1" hidden="1">#REF!</definedName>
    <definedName name="TopRankOutputDetailReport" hidden="1">TRUE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FALSE</definedName>
    <definedName name="TopRankPrecedentScanType" hidden="1">1</definedName>
    <definedName name="TopRankReportAllOutputCells" hidden="1">FALSE</definedName>
    <definedName name="TopRankReportsInExistingWorkbook" hidden="1">FALSE</definedName>
    <definedName name="TopRankReportsInExistingWorkbookName" hidden="1">"Active Workbook"</definedName>
    <definedName name="TopRankReportsInNewWorkbook" hidden="1">TRUE</definedName>
    <definedName name="TopRankSensitivityGraphs" hidden="1">TRUE</definedName>
    <definedName name="TopRankSingleWorkbookAllResults" hidden="1">FALSE</definedName>
    <definedName name="TopRankSpiderGraphs" hidden="1">TRUE</definedName>
    <definedName name="TopRankTornadoGraphs" hidden="1">TRUE</definedName>
    <definedName name="TopRankUpdateDisplay" hidden="1">FALSE</definedName>
    <definedName name="totcap" localSheetId="59" hidden="1">#REF!,#REF!,#REF!,#REF!</definedName>
    <definedName name="totcap" localSheetId="37" hidden="1">#REF!,#REF!,#REF!,#REF!</definedName>
    <definedName name="totcap" localSheetId="80" hidden="1">#REF!,#REF!,#REF!,#REF!</definedName>
    <definedName name="totcap" localSheetId="39" hidden="1">#REF!,#REF!,#REF!,#REF!</definedName>
    <definedName name="totcap" localSheetId="4" hidden="1">#REF!,#REF!,#REF!,#REF!</definedName>
    <definedName name="totcap" localSheetId="8" hidden="1">#REF!,#REF!,#REF!,#REF!</definedName>
    <definedName name="totcap" localSheetId="52" hidden="1">#REF!,#REF!,#REF!,#REF!</definedName>
    <definedName name="totcap" localSheetId="58" hidden="1">#REF!,#REF!,#REF!,#REF!</definedName>
    <definedName name="totcap" localSheetId="43" hidden="1">#REF!,#REF!,#REF!,#REF!</definedName>
    <definedName name="totcap" localSheetId="20" hidden="1">#REF!,#REF!,#REF!,#REF!</definedName>
    <definedName name="totcap" localSheetId="49" hidden="1">#REF!,#REF!,#REF!,#REF!</definedName>
    <definedName name="totcap" localSheetId="44" hidden="1">#REF!,#REF!,#REF!,#REF!</definedName>
    <definedName name="totcap" localSheetId="55" hidden="1">#REF!,#REF!,#REF!,#REF!</definedName>
    <definedName name="totcap" localSheetId="6" hidden="1">#REF!,#REF!,#REF!,#REF!</definedName>
    <definedName name="totcap" localSheetId="46" hidden="1">#REF!,#REF!,#REF!,#REF!</definedName>
    <definedName name="totcap" localSheetId="5" hidden="1">#REF!,#REF!,#REF!,#REF!</definedName>
    <definedName name="totcap" localSheetId="48" hidden="1">#REF!,#REF!,#REF!,#REF!</definedName>
    <definedName name="totcap" hidden="1">#REF!,#REF!,#REF!,#REF!</definedName>
    <definedName name="treeList" hidden="1">"10000000000000000000000000000000000000000000000000000000000000000000000000000000000000000000000000000000000000000000000000000000000000000000000000000000000000000000000000000000000000000000000000000000"</definedName>
    <definedName name="Version_Nbr" hidden="1">1</definedName>
    <definedName name="willie" localSheetId="59" hidden="1">{#N/A,#N/A,FALSE,"Bakersfield PCs";#N/A,#N/A,FALSE,"Bremer PCs";#N/A,#N/A,FALSE,"Bakersfield Notebooks"}</definedName>
    <definedName name="willie" localSheetId="52" hidden="1">{#N/A,#N/A,FALSE,"Bakersfield PCs";#N/A,#N/A,FALSE,"Bremer PCs";#N/A,#N/A,FALSE,"Bakersfield Notebooks"}</definedName>
    <definedName name="willie" localSheetId="58" hidden="1">{#N/A,#N/A,FALSE,"Bakersfield PCs";#N/A,#N/A,FALSE,"Bremer PCs";#N/A,#N/A,FALSE,"Bakersfield Notebooks"}</definedName>
    <definedName name="willie" localSheetId="43" hidden="1">{#N/A,#N/A,FALSE,"Bakersfield PCs";#N/A,#N/A,FALSE,"Bremer PCs";#N/A,#N/A,FALSE,"Bakersfield Notebooks"}</definedName>
    <definedName name="willie" localSheetId="47" hidden="1">{#N/A,#N/A,FALSE,"Bakersfield PCs";#N/A,#N/A,FALSE,"Bremer PCs";#N/A,#N/A,FALSE,"Bakersfield Notebooks"}</definedName>
    <definedName name="willie" localSheetId="44" hidden="1">{#N/A,#N/A,FALSE,"Bakersfield PCs";#N/A,#N/A,FALSE,"Bremer PCs";#N/A,#N/A,FALSE,"Bakersfield Notebooks"}</definedName>
    <definedName name="willie" localSheetId="42" hidden="1">{#N/A,#N/A,FALSE,"Bakersfield PCs";#N/A,#N/A,FALSE,"Bremer PCs";#N/A,#N/A,FALSE,"Bakersfield Notebooks"}</definedName>
    <definedName name="willie" localSheetId="18" hidden="1">{#N/A,#N/A,FALSE,"Bakersfield PCs";#N/A,#N/A,FALSE,"Bremer PCs";#N/A,#N/A,FALSE,"Bakersfield Notebooks"}</definedName>
    <definedName name="willie" localSheetId="9" hidden="1">{#N/A,#N/A,FALSE,"Bakersfield PCs";#N/A,#N/A,FALSE,"Bremer PCs";#N/A,#N/A,FALSE,"Bakersfield Notebooks"}</definedName>
    <definedName name="willie" hidden="1">{#N/A,#N/A,FALSE,"Bakersfield PCs";#N/A,#N/A,FALSE,"Bremer PCs";#N/A,#N/A,FALSE,"Bakersfield Notebooks"}</definedName>
    <definedName name="wrn.Aging._.and._.Trend._.Analysis." localSheetId="52" hidden="1">{#N/A,#N/A,FALSE,"Aging Summary";#N/A,#N/A,FALSE,"Ratio Analysis";#N/A,#N/A,FALSE,"Test 120 Day Accts";#N/A,#N/A,FALSE,"Tickmarks"}</definedName>
    <definedName name="wrn.Aging._.and._.Trend._.Analysis." localSheetId="58"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ites." localSheetId="59" hidden="1">{#N/A,#N/A,FALSE,"Bakersfield PCs";#N/A,#N/A,FALSE,"Bremer PCs";#N/A,#N/A,FALSE,"Bakersfield Notebooks"}</definedName>
    <definedName name="wrn.All._.Sites." localSheetId="52" hidden="1">{#N/A,#N/A,FALSE,"Bakersfield PCs";#N/A,#N/A,FALSE,"Bremer PCs";#N/A,#N/A,FALSE,"Bakersfield Notebooks"}</definedName>
    <definedName name="wrn.All._.Sites." localSheetId="58" hidden="1">{#N/A,#N/A,FALSE,"Bakersfield PCs";#N/A,#N/A,FALSE,"Bremer PCs";#N/A,#N/A,FALSE,"Bakersfield Notebooks"}</definedName>
    <definedName name="wrn.All._.Sites." localSheetId="43" hidden="1">{#N/A,#N/A,FALSE,"Bakersfield PCs";#N/A,#N/A,FALSE,"Bremer PCs";#N/A,#N/A,FALSE,"Bakersfield Notebooks"}</definedName>
    <definedName name="wrn.All._.Sites." localSheetId="47" hidden="1">{#N/A,#N/A,FALSE,"Bakersfield PCs";#N/A,#N/A,FALSE,"Bremer PCs";#N/A,#N/A,FALSE,"Bakersfield Notebooks"}</definedName>
    <definedName name="wrn.All._.Sites." localSheetId="44" hidden="1">{#N/A,#N/A,FALSE,"Bakersfield PCs";#N/A,#N/A,FALSE,"Bremer PCs";#N/A,#N/A,FALSE,"Bakersfield Notebooks"}</definedName>
    <definedName name="wrn.All._.Sites." localSheetId="42" hidden="1">{#N/A,#N/A,FALSE,"Bakersfield PCs";#N/A,#N/A,FALSE,"Bremer PCs";#N/A,#N/A,FALSE,"Bakersfield Notebooks"}</definedName>
    <definedName name="wrn.All._.Sites." localSheetId="18" hidden="1">{#N/A,#N/A,FALSE,"Bakersfield PCs";#N/A,#N/A,FALSE,"Bremer PCs";#N/A,#N/A,FALSE,"Bakersfield Notebooks"}</definedName>
    <definedName name="wrn.All._.Sites." localSheetId="9" hidden="1">{#N/A,#N/A,FALSE,"Bakersfield PCs";#N/A,#N/A,FALSE,"Bremer PCs";#N/A,#N/A,FALSE,"Bakersfield Notebooks"}</definedName>
    <definedName name="wrn.All._.Sites." hidden="1">{#N/A,#N/A,FALSE,"Bakersfield PCs";#N/A,#N/A,FALSE,"Bremer PCs";#N/A,#N/A,FALSE,"Bakersfield Notebooks"}</definedName>
    <definedName name="wrn.BAC" localSheetId="59" hidden="1">{#N/A,#N/A,TRUE,"Tax";#N/A,#N/A,TRUE,"Structure";#N/A,#N/A,TRUE,"Accounting";#N/A,#N/A,TRUE,"Equipment"}</definedName>
    <definedName name="wrn.BAC" localSheetId="52" hidden="1">{#N/A,#N/A,TRUE,"Tax";#N/A,#N/A,TRUE,"Structure";#N/A,#N/A,TRUE,"Accounting";#N/A,#N/A,TRUE,"Equipment"}</definedName>
    <definedName name="wrn.BAC" localSheetId="58" hidden="1">{#N/A,#N/A,TRUE,"Tax";#N/A,#N/A,TRUE,"Structure";#N/A,#N/A,TRUE,"Accounting";#N/A,#N/A,TRUE,"Equipment"}</definedName>
    <definedName name="wrn.BAC" localSheetId="43" hidden="1">{#N/A,#N/A,TRUE,"Tax";#N/A,#N/A,TRUE,"Structure";#N/A,#N/A,TRUE,"Accounting";#N/A,#N/A,TRUE,"Equipment"}</definedName>
    <definedName name="wrn.BAC" localSheetId="47" hidden="1">{#N/A,#N/A,TRUE,"Tax";#N/A,#N/A,TRUE,"Structure";#N/A,#N/A,TRUE,"Accounting";#N/A,#N/A,TRUE,"Equipment"}</definedName>
    <definedName name="wrn.BAC" localSheetId="44" hidden="1">{#N/A,#N/A,TRUE,"Tax";#N/A,#N/A,TRUE,"Structure";#N/A,#N/A,TRUE,"Accounting";#N/A,#N/A,TRUE,"Equipment"}</definedName>
    <definedName name="wrn.BAC" localSheetId="42" hidden="1">{#N/A,#N/A,TRUE,"Tax";#N/A,#N/A,TRUE,"Structure";#N/A,#N/A,TRUE,"Accounting";#N/A,#N/A,TRUE,"Equipment"}</definedName>
    <definedName name="wrn.BAC" localSheetId="18" hidden="1">{#N/A,#N/A,TRUE,"Tax";#N/A,#N/A,TRUE,"Structure";#N/A,#N/A,TRUE,"Accounting";#N/A,#N/A,TRUE,"Equipment"}</definedName>
    <definedName name="wrn.BAC" localSheetId="9" hidden="1">{#N/A,#N/A,TRUE,"Tax";#N/A,#N/A,TRUE,"Structure";#N/A,#N/A,TRUE,"Accounting";#N/A,#N/A,TRUE,"Equipment"}</definedName>
    <definedName name="wrn.BAC" hidden="1">{#N/A,#N/A,TRUE,"Tax";#N/A,#N/A,TRUE,"Structure";#N/A,#N/A,TRUE,"Accounting";#N/A,#N/A,TRUE,"Equipment"}</definedName>
    <definedName name="wrn.balance._.sheet." localSheetId="59" hidden="1">{"bs",#N/A,FALSE,"SCF"}</definedName>
    <definedName name="wrn.balance._.sheet." localSheetId="52" hidden="1">{"bs",#N/A,FALSE,"SCF"}</definedName>
    <definedName name="wrn.balance._.sheet." localSheetId="58" hidden="1">{"bs",#N/A,FALSE,"SCF"}</definedName>
    <definedName name="wrn.balance._.sheet." localSheetId="43" hidden="1">{"bs",#N/A,FALSE,"SCF"}</definedName>
    <definedName name="wrn.balance._.sheet." localSheetId="47" hidden="1">{"bs",#N/A,FALSE,"SCF"}</definedName>
    <definedName name="wrn.balance._.sheet." localSheetId="44" hidden="1">{"bs",#N/A,FALSE,"SCF"}</definedName>
    <definedName name="wrn.balance._.sheet." localSheetId="42" hidden="1">{"bs",#N/A,FALSE,"SCF"}</definedName>
    <definedName name="wrn.balance._.sheet." localSheetId="18" hidden="1">{"bs",#N/A,FALSE,"SCF"}</definedName>
    <definedName name="wrn.balance._.sheet." localSheetId="9" hidden="1">{"bs",#N/A,FALSE,"SCF"}</definedName>
    <definedName name="wrn.balance._.sheet." hidden="1">{"bs",#N/A,FALSE,"SCF"}</definedName>
    <definedName name="wrn.Basic._.Report." localSheetId="59" hidden="1">{#N/A,#N/A,FALSE,"New Depr Sch-150% DB";#N/A,#N/A,FALSE,"Cash Flows RLP";#N/A,#N/A,FALSE,"IRR";#N/A,#N/A,FALSE,"Proforma IS";#N/A,#N/A,FALSE,"Assumptions"}</definedName>
    <definedName name="wrn.Basic._.Report." localSheetId="52" hidden="1">{#N/A,#N/A,FALSE,"New Depr Sch-150% DB";#N/A,#N/A,FALSE,"Cash Flows RLP";#N/A,#N/A,FALSE,"IRR";#N/A,#N/A,FALSE,"Proforma IS";#N/A,#N/A,FALSE,"Assumptions"}</definedName>
    <definedName name="wrn.Basic._.Report." localSheetId="58" hidden="1">{#N/A,#N/A,FALSE,"New Depr Sch-150% DB";#N/A,#N/A,FALSE,"Cash Flows RLP";#N/A,#N/A,FALSE,"IRR";#N/A,#N/A,FALSE,"Proforma IS";#N/A,#N/A,FALSE,"Assumptions"}</definedName>
    <definedName name="wrn.Basic._.Report." localSheetId="43" hidden="1">{#N/A,#N/A,FALSE,"New Depr Sch-150% DB";#N/A,#N/A,FALSE,"Cash Flows RLP";#N/A,#N/A,FALSE,"IRR";#N/A,#N/A,FALSE,"Proforma IS";#N/A,#N/A,FALSE,"Assumptions"}</definedName>
    <definedName name="wrn.Basic._.Report." localSheetId="47" hidden="1">{#N/A,#N/A,FALSE,"New Depr Sch-150% DB";#N/A,#N/A,FALSE,"Cash Flows RLP";#N/A,#N/A,FALSE,"IRR";#N/A,#N/A,FALSE,"Proforma IS";#N/A,#N/A,FALSE,"Assumptions"}</definedName>
    <definedName name="wrn.Basic._.Report." localSheetId="44" hidden="1">{#N/A,#N/A,FALSE,"New Depr Sch-150% DB";#N/A,#N/A,FALSE,"Cash Flows RLP";#N/A,#N/A,FALSE,"IRR";#N/A,#N/A,FALSE,"Proforma IS";#N/A,#N/A,FALSE,"Assumptions"}</definedName>
    <definedName name="wrn.Basic._.Report." localSheetId="42" hidden="1">{#N/A,#N/A,FALSE,"New Depr Sch-150% DB";#N/A,#N/A,FALSE,"Cash Flows RLP";#N/A,#N/A,FALSE,"IRR";#N/A,#N/A,FALSE,"Proforma IS";#N/A,#N/A,FALSE,"Assumptions"}</definedName>
    <definedName name="wrn.Basic._.Report." localSheetId="18" hidden="1">{#N/A,#N/A,FALSE,"New Depr Sch-150% DB";#N/A,#N/A,FALSE,"Cash Flows RLP";#N/A,#N/A,FALSE,"IRR";#N/A,#N/A,FALSE,"Proforma IS";#N/A,#N/A,FALSE,"Assumptions"}</definedName>
    <definedName name="wrn.Basic._.Report." localSheetId="9" hidden="1">{#N/A,#N/A,FALSE,"New Depr Sch-150% DB";#N/A,#N/A,FALSE,"Cash Flows RLP";#N/A,#N/A,FALSE,"IRR";#N/A,#N/A,FALSE,"Proforma IS";#N/A,#N/A,FALSE,"Assumptions"}</definedName>
    <definedName name="wrn.Basic._.Report." localSheetId="74"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oeingAircraftChecklist." localSheetId="59" hidden="1">{#N/A,#N/A,TRUE,"Tax";#N/A,#N/A,TRUE,"Structure";#N/A,#N/A,TRUE,"Accounting";#N/A,#N/A,TRUE,"Equipment"}</definedName>
    <definedName name="wrn.BoeingAircraftChecklist." localSheetId="52" hidden="1">{#N/A,#N/A,TRUE,"Tax";#N/A,#N/A,TRUE,"Structure";#N/A,#N/A,TRUE,"Accounting";#N/A,#N/A,TRUE,"Equipment"}</definedName>
    <definedName name="wrn.BoeingAircraftChecklist." localSheetId="58" hidden="1">{#N/A,#N/A,TRUE,"Tax";#N/A,#N/A,TRUE,"Structure";#N/A,#N/A,TRUE,"Accounting";#N/A,#N/A,TRUE,"Equipment"}</definedName>
    <definedName name="wrn.BoeingAircraftChecklist." localSheetId="43" hidden="1">{#N/A,#N/A,TRUE,"Tax";#N/A,#N/A,TRUE,"Structure";#N/A,#N/A,TRUE,"Accounting";#N/A,#N/A,TRUE,"Equipment"}</definedName>
    <definedName name="wrn.BoeingAircraftChecklist." localSheetId="47" hidden="1">{#N/A,#N/A,TRUE,"Tax";#N/A,#N/A,TRUE,"Structure";#N/A,#N/A,TRUE,"Accounting";#N/A,#N/A,TRUE,"Equipment"}</definedName>
    <definedName name="wrn.BoeingAircraftChecklist." localSheetId="44" hidden="1">{#N/A,#N/A,TRUE,"Tax";#N/A,#N/A,TRUE,"Structure";#N/A,#N/A,TRUE,"Accounting";#N/A,#N/A,TRUE,"Equipment"}</definedName>
    <definedName name="wrn.BoeingAircraftChecklist." localSheetId="42" hidden="1">{#N/A,#N/A,TRUE,"Tax";#N/A,#N/A,TRUE,"Structure";#N/A,#N/A,TRUE,"Accounting";#N/A,#N/A,TRUE,"Equipment"}</definedName>
    <definedName name="wrn.BoeingAircraftChecklist." localSheetId="18" hidden="1">{#N/A,#N/A,TRUE,"Tax";#N/A,#N/A,TRUE,"Structure";#N/A,#N/A,TRUE,"Accounting";#N/A,#N/A,TRUE,"Equipment"}</definedName>
    <definedName name="wrn.BoeingAircraftChecklist." localSheetId="9" hidden="1">{#N/A,#N/A,TRUE,"Tax";#N/A,#N/A,TRUE,"Structure";#N/A,#N/A,TRUE,"Accounting";#N/A,#N/A,TRUE,"Equipment"}</definedName>
    <definedName name="wrn.BoeingAircraftChecklist." hidden="1">{#N/A,#N/A,TRUE,"Tax";#N/A,#N/A,TRUE,"Structure";#N/A,#N/A,TRUE,"Accounting";#N/A,#N/A,TRUE,"Equipment"}</definedName>
    <definedName name="wrn.brisbane." localSheetId="59" hidden="1">{#N/A,#N/A,FALSE,"LOAN";#N/A,#N/A,FALSE,"linereclass";#N/A,#N/A,FALSE,"softdraw"}</definedName>
    <definedName name="wrn.brisbane." localSheetId="61" hidden="1">{#N/A,#N/A,FALSE,"LOAN";#N/A,#N/A,FALSE,"linereclass";#N/A,#N/A,FALSE,"softdraw"}</definedName>
    <definedName name="wrn.brisbane." localSheetId="52" hidden="1">{#N/A,#N/A,FALSE,"LOAN";#N/A,#N/A,FALSE,"linereclass";#N/A,#N/A,FALSE,"softdraw"}</definedName>
    <definedName name="wrn.brisbane." localSheetId="58" hidden="1">{#N/A,#N/A,FALSE,"LOAN";#N/A,#N/A,FALSE,"linereclass";#N/A,#N/A,FALSE,"softdraw"}</definedName>
    <definedName name="wrn.brisbane." localSheetId="43" hidden="1">{#N/A,#N/A,FALSE,"LOAN";#N/A,#N/A,FALSE,"linereclass";#N/A,#N/A,FALSE,"softdraw"}</definedName>
    <definedName name="wrn.brisbane." localSheetId="47" hidden="1">{#N/A,#N/A,FALSE,"LOAN";#N/A,#N/A,FALSE,"linereclass";#N/A,#N/A,FALSE,"softdraw"}</definedName>
    <definedName name="wrn.brisbane." localSheetId="44" hidden="1">{#N/A,#N/A,FALSE,"LOAN";#N/A,#N/A,FALSE,"linereclass";#N/A,#N/A,FALSE,"softdraw"}</definedName>
    <definedName name="wrn.brisbane." localSheetId="42" hidden="1">{#N/A,#N/A,FALSE,"LOAN";#N/A,#N/A,FALSE,"linereclass";#N/A,#N/A,FALSE,"softdraw"}</definedName>
    <definedName name="wrn.brisbane." localSheetId="18" hidden="1">{#N/A,#N/A,FALSE,"LOAN";#N/A,#N/A,FALSE,"linereclass";#N/A,#N/A,FALSE,"softdraw"}</definedName>
    <definedName name="wrn.brisbane." localSheetId="9" hidden="1">{#N/A,#N/A,FALSE,"LOAN";#N/A,#N/A,FALSE,"linereclass";#N/A,#N/A,FALSE,"softdraw"}</definedName>
    <definedName name="wrn.brisbane." hidden="1">{#N/A,#N/A,FALSE,"LOAN";#N/A,#N/A,FALSE,"linereclass";#N/A,#N/A,FALSE,"softdraw"}</definedName>
    <definedName name="wrn.clientcopy." localSheetId="5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8"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4"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8"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74"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localSheetId="59" hidden="1">{#N/A,#N/A,FALSE,"Assumptions";#N/A,#N/A,FALSE,"Proforma IS";#N/A,#N/A,FALSE,"Cash Flows RLP";#N/A,#N/A,FALSE,"IRR";#N/A,#N/A,FALSE,"New Depr Sch-150% DB";#N/A,#N/A,FALSE,"Comments"}</definedName>
    <definedName name="wrn.Complete._.Report." localSheetId="52" hidden="1">{#N/A,#N/A,FALSE,"Assumptions";#N/A,#N/A,FALSE,"Proforma IS";#N/A,#N/A,FALSE,"Cash Flows RLP";#N/A,#N/A,FALSE,"IRR";#N/A,#N/A,FALSE,"New Depr Sch-150% DB";#N/A,#N/A,FALSE,"Comments"}</definedName>
    <definedName name="wrn.Complete._.Report." localSheetId="58" hidden="1">{#N/A,#N/A,FALSE,"Assumptions";#N/A,#N/A,FALSE,"Proforma IS";#N/A,#N/A,FALSE,"Cash Flows RLP";#N/A,#N/A,FALSE,"IRR";#N/A,#N/A,FALSE,"New Depr Sch-150% DB";#N/A,#N/A,FALSE,"Comments"}</definedName>
    <definedName name="wrn.Complete._.Report." localSheetId="43" hidden="1">{#N/A,#N/A,FALSE,"Assumptions";#N/A,#N/A,FALSE,"Proforma IS";#N/A,#N/A,FALSE,"Cash Flows RLP";#N/A,#N/A,FALSE,"IRR";#N/A,#N/A,FALSE,"New Depr Sch-150% DB";#N/A,#N/A,FALSE,"Comments"}</definedName>
    <definedName name="wrn.Complete._.Report." localSheetId="47" hidden="1">{#N/A,#N/A,FALSE,"Assumptions";#N/A,#N/A,FALSE,"Proforma IS";#N/A,#N/A,FALSE,"Cash Flows RLP";#N/A,#N/A,FALSE,"IRR";#N/A,#N/A,FALSE,"New Depr Sch-150% DB";#N/A,#N/A,FALSE,"Comments"}</definedName>
    <definedName name="wrn.Complete._.Report." localSheetId="44" hidden="1">{#N/A,#N/A,FALSE,"Assumptions";#N/A,#N/A,FALSE,"Proforma IS";#N/A,#N/A,FALSE,"Cash Flows RLP";#N/A,#N/A,FALSE,"IRR";#N/A,#N/A,FALSE,"New Depr Sch-150% DB";#N/A,#N/A,FALSE,"Comments"}</definedName>
    <definedName name="wrn.Complete._.Report." localSheetId="42" hidden="1">{#N/A,#N/A,FALSE,"Assumptions";#N/A,#N/A,FALSE,"Proforma IS";#N/A,#N/A,FALSE,"Cash Flows RLP";#N/A,#N/A,FALSE,"IRR";#N/A,#N/A,FALSE,"New Depr Sch-150% DB";#N/A,#N/A,FALSE,"Comments"}</definedName>
    <definedName name="wrn.Complete._.Report." localSheetId="18" hidden="1">{#N/A,#N/A,FALSE,"Assumptions";#N/A,#N/A,FALSE,"Proforma IS";#N/A,#N/A,FALSE,"Cash Flows RLP";#N/A,#N/A,FALSE,"IRR";#N/A,#N/A,FALSE,"New Depr Sch-150% DB";#N/A,#N/A,FALSE,"Comments"}</definedName>
    <definedName name="wrn.Complete._.Report." localSheetId="9" hidden="1">{#N/A,#N/A,FALSE,"Assumptions";#N/A,#N/A,FALSE,"Proforma IS";#N/A,#N/A,FALSE,"Cash Flows RLP";#N/A,#N/A,FALSE,"IRR";#N/A,#N/A,FALSE,"New Depr Sch-150% DB";#N/A,#N/A,FALSE,"Comments"}</definedName>
    <definedName name="wrn.Complete._.Report." localSheetId="74"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59" hidden="1">{"contributory1",#N/A,FALSE,"Contributory Assets Detail";"contributory2",#N/A,FALSE,"Contributory Assets Detail"}</definedName>
    <definedName name="wrn.contributory._.asset._.charges." localSheetId="52" hidden="1">{"contributory1",#N/A,FALSE,"Contributory Assets Detail";"contributory2",#N/A,FALSE,"Contributory Assets Detail"}</definedName>
    <definedName name="wrn.contributory._.asset._.charges." localSheetId="58" hidden="1">{"contributory1",#N/A,FALSE,"Contributory Assets Detail";"contributory2",#N/A,FALSE,"Contributory Assets Detail"}</definedName>
    <definedName name="wrn.contributory._.asset._.charges." localSheetId="43" hidden="1">{"contributory1",#N/A,FALSE,"Contributory Assets Detail";"contributory2",#N/A,FALSE,"Contributory Assets Detail"}</definedName>
    <definedName name="wrn.contributory._.asset._.charges." localSheetId="47" hidden="1">{"contributory1",#N/A,FALSE,"Contributory Assets Detail";"contributory2",#N/A,FALSE,"Contributory Assets Detail"}</definedName>
    <definedName name="wrn.contributory._.asset._.charges." localSheetId="44" hidden="1">{"contributory1",#N/A,FALSE,"Contributory Assets Detail";"contributory2",#N/A,FALSE,"Contributory Assets Detail"}</definedName>
    <definedName name="wrn.contributory._.asset._.charges." localSheetId="42" hidden="1">{"contributory1",#N/A,FALSE,"Contributory Assets Detail";"contributory2",#N/A,FALSE,"Contributory Assets Detail"}</definedName>
    <definedName name="wrn.contributory._.asset._.charges." localSheetId="18" hidden="1">{"contributory1",#N/A,FALSE,"Contributory Assets Detail";"contributory2",#N/A,FALSE,"Contributory Assets Detail"}</definedName>
    <definedName name="wrn.contributory._.asset._.charges." localSheetId="9"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ustomer_base." localSheetId="59" hidden="1">{"customer base",#N/A,FALSE,"customer_base";"customer base perf estimates",#N/A,FALSE,"customer_base"}</definedName>
    <definedName name="wrn.Customer_base." localSheetId="52" hidden="1">{"customer base",#N/A,FALSE,"customer_base";"customer base perf estimates",#N/A,FALSE,"customer_base"}</definedName>
    <definedName name="wrn.Customer_base." localSheetId="58" hidden="1">{"customer base",#N/A,FALSE,"customer_base";"customer base perf estimates",#N/A,FALSE,"customer_base"}</definedName>
    <definedName name="wrn.Customer_base." localSheetId="43" hidden="1">{"customer base",#N/A,FALSE,"customer_base";"customer base perf estimates",#N/A,FALSE,"customer_base"}</definedName>
    <definedName name="wrn.Customer_base." localSheetId="47" hidden="1">{"customer base",#N/A,FALSE,"customer_base";"customer base perf estimates",#N/A,FALSE,"customer_base"}</definedName>
    <definedName name="wrn.Customer_base." localSheetId="44" hidden="1">{"customer base",#N/A,FALSE,"customer_base";"customer base perf estimates",#N/A,FALSE,"customer_base"}</definedName>
    <definedName name="wrn.Customer_base." localSheetId="42" hidden="1">{"customer base",#N/A,FALSE,"customer_base";"customer base perf estimates",#N/A,FALSE,"customer_base"}</definedName>
    <definedName name="wrn.Customer_base." localSheetId="18" hidden="1">{"customer base",#N/A,FALSE,"customer_base";"customer base perf estimates",#N/A,FALSE,"customer_base"}</definedName>
    <definedName name="wrn.Customer_base." localSheetId="9" hidden="1">{"customer base",#N/A,FALSE,"customer_base";"customer base perf estimates",#N/A,FALSE,"customer_base"}</definedName>
    <definedName name="wrn.Customer_base." hidden="1">{"customer base",#N/A,FALSE,"customer_base";"customer base perf estimates",#N/A,FALSE,"customer_base"}</definedName>
    <definedName name="wrn.DCF." localSheetId="59" hidden="1">{#N/A,#N/A,FALSE,"DCF Cov";#N/A,#N/A,FALSE,"dcf"}</definedName>
    <definedName name="wrn.DCF." localSheetId="52" hidden="1">{#N/A,#N/A,FALSE,"DCF Cov";#N/A,#N/A,FALSE,"dcf"}</definedName>
    <definedName name="wrn.DCF." localSheetId="58" hidden="1">{#N/A,#N/A,FALSE,"DCF Cov";#N/A,#N/A,FALSE,"dcf"}</definedName>
    <definedName name="wrn.DCF." localSheetId="43" hidden="1">{#N/A,#N/A,FALSE,"DCF Cov";#N/A,#N/A,FALSE,"dcf"}</definedName>
    <definedName name="wrn.DCF." localSheetId="47" hidden="1">{#N/A,#N/A,FALSE,"DCF Cov";#N/A,#N/A,FALSE,"dcf"}</definedName>
    <definedName name="wrn.DCF." localSheetId="44" hidden="1">{#N/A,#N/A,FALSE,"DCF Cov";#N/A,#N/A,FALSE,"dcf"}</definedName>
    <definedName name="wrn.DCF." localSheetId="42" hidden="1">{#N/A,#N/A,FALSE,"DCF Cov";#N/A,#N/A,FALSE,"dcf"}</definedName>
    <definedName name="wrn.DCF." localSheetId="18" hidden="1">{#N/A,#N/A,FALSE,"DCF Cov";#N/A,#N/A,FALSE,"dcf"}</definedName>
    <definedName name="wrn.DCF." localSheetId="9" hidden="1">{#N/A,#N/A,FALSE,"DCF Cov";#N/A,#N/A,FALSE,"dcf"}</definedName>
    <definedName name="wrn.DCF." hidden="1">{#N/A,#N/A,FALSE,"DCF Cov";#N/A,#N/A,FALSE,"dcf"}</definedName>
    <definedName name="wrn.documentation." localSheetId="59" hidden="1">{"documentation1",#N/A,FALSE,"Documentation";"documentation2",#N/A,FALSE,"Documentation"}</definedName>
    <definedName name="wrn.documentation." localSheetId="52" hidden="1">{"documentation1",#N/A,FALSE,"Documentation";"documentation2",#N/A,FALSE,"Documentation"}</definedName>
    <definedName name="wrn.documentation." localSheetId="58" hidden="1">{"documentation1",#N/A,FALSE,"Documentation";"documentation2",#N/A,FALSE,"Documentation"}</definedName>
    <definedName name="wrn.documentation." localSheetId="43" hidden="1">{"documentation1",#N/A,FALSE,"Documentation";"documentation2",#N/A,FALSE,"Documentation"}</definedName>
    <definedName name="wrn.documentation." localSheetId="47" hidden="1">{"documentation1",#N/A,FALSE,"Documentation";"documentation2",#N/A,FALSE,"Documentation"}</definedName>
    <definedName name="wrn.documentation." localSheetId="44" hidden="1">{"documentation1",#N/A,FALSE,"Documentation";"documentation2",#N/A,FALSE,"Documentation"}</definedName>
    <definedName name="wrn.documentation." localSheetId="42" hidden="1">{"documentation1",#N/A,FALSE,"Documentation";"documentation2",#N/A,FALSE,"Documentation"}</definedName>
    <definedName name="wrn.documentation." localSheetId="18" hidden="1">{"documentation1",#N/A,FALSE,"Documentation";"documentation2",#N/A,FALSE,"Documentation"}</definedName>
    <definedName name="wrn.documentation." localSheetId="9" hidden="1">{"documentation1",#N/A,FALSE,"Documentation";"documentation2",#N/A,FALSE,"Documentation"}</definedName>
    <definedName name="wrn.documentation." hidden="1">{"documentation1",#N/A,FALSE,"Documentation";"documentation2",#N/A,FALSE,"Documentation"}</definedName>
    <definedName name="wrn.ESPP." localSheetId="59" hidden="1">{#N/A,#N/A,FALSE,"REPORT"}</definedName>
    <definedName name="wrn.ESPP." localSheetId="52" hidden="1">{#N/A,#N/A,FALSE,"REPORT"}</definedName>
    <definedName name="wrn.ESPP." localSheetId="58" hidden="1">{#N/A,#N/A,FALSE,"REPORT"}</definedName>
    <definedName name="wrn.ESPP." localSheetId="43" hidden="1">{#N/A,#N/A,FALSE,"REPORT"}</definedName>
    <definedName name="wrn.ESPP." localSheetId="47" hidden="1">{#N/A,#N/A,FALSE,"REPORT"}</definedName>
    <definedName name="wrn.ESPP." localSheetId="44" hidden="1">{#N/A,#N/A,FALSE,"REPORT"}</definedName>
    <definedName name="wrn.ESPP." localSheetId="42" hidden="1">{#N/A,#N/A,FALSE,"REPORT"}</definedName>
    <definedName name="wrn.ESPP." localSheetId="18" hidden="1">{#N/A,#N/A,FALSE,"REPORT"}</definedName>
    <definedName name="wrn.ESPP." localSheetId="9" hidden="1">{#N/A,#N/A,FALSE,"REPORT"}</definedName>
    <definedName name="wrn.ESPP." hidden="1">{#N/A,#N/A,FALSE,"REPORT"}</definedName>
    <definedName name="wrn.exhibits." localSheetId="59" hidden="1">{#N/A,#N/A,FALSE,"IS";#N/A,#N/A,FALSE,"BS";#N/A,#N/A,FALSE,"RMA";#N/A,#N/A,FALSE,"INCOME";#N/A,#N/A,FALSE,"DCF";#N/A,#N/A,FALSE,"MARKET"}</definedName>
    <definedName name="wrn.exhibits." localSheetId="52" hidden="1">{#N/A,#N/A,FALSE,"IS";#N/A,#N/A,FALSE,"BS";#N/A,#N/A,FALSE,"RMA";#N/A,#N/A,FALSE,"INCOME";#N/A,#N/A,FALSE,"DCF";#N/A,#N/A,FALSE,"MARKET"}</definedName>
    <definedName name="wrn.exhibits." localSheetId="58" hidden="1">{#N/A,#N/A,FALSE,"IS";#N/A,#N/A,FALSE,"BS";#N/A,#N/A,FALSE,"RMA";#N/A,#N/A,FALSE,"INCOME";#N/A,#N/A,FALSE,"DCF";#N/A,#N/A,FALSE,"MARKET"}</definedName>
    <definedName name="wrn.exhibits." localSheetId="43" hidden="1">{#N/A,#N/A,FALSE,"IS";#N/A,#N/A,FALSE,"BS";#N/A,#N/A,FALSE,"RMA";#N/A,#N/A,FALSE,"INCOME";#N/A,#N/A,FALSE,"DCF";#N/A,#N/A,FALSE,"MARKET"}</definedName>
    <definedName name="wrn.exhibits." localSheetId="47" hidden="1">{#N/A,#N/A,FALSE,"IS";#N/A,#N/A,FALSE,"BS";#N/A,#N/A,FALSE,"RMA";#N/A,#N/A,FALSE,"INCOME";#N/A,#N/A,FALSE,"DCF";#N/A,#N/A,FALSE,"MARKET"}</definedName>
    <definedName name="wrn.exhibits." localSheetId="44" hidden="1">{#N/A,#N/A,FALSE,"IS";#N/A,#N/A,FALSE,"BS";#N/A,#N/A,FALSE,"RMA";#N/A,#N/A,FALSE,"INCOME";#N/A,#N/A,FALSE,"DCF";#N/A,#N/A,FALSE,"MARKET"}</definedName>
    <definedName name="wrn.exhibits." localSheetId="42" hidden="1">{#N/A,#N/A,FALSE,"IS";#N/A,#N/A,FALSE,"BS";#N/A,#N/A,FALSE,"RMA";#N/A,#N/A,FALSE,"INCOME";#N/A,#N/A,FALSE,"DCF";#N/A,#N/A,FALSE,"MARKET"}</definedName>
    <definedName name="wrn.exhibits." localSheetId="18" hidden="1">{#N/A,#N/A,FALSE,"IS";#N/A,#N/A,FALSE,"BS";#N/A,#N/A,FALSE,"RMA";#N/A,#N/A,FALSE,"INCOME";#N/A,#N/A,FALSE,"DCF";#N/A,#N/A,FALSE,"MARKET"}</definedName>
    <definedName name="wrn.exhibits." localSheetId="9" hidden="1">{#N/A,#N/A,FALSE,"IS";#N/A,#N/A,FALSE,"BS";#N/A,#N/A,FALSE,"RMA";#N/A,#N/A,FALSE,"INCOME";#N/A,#N/A,FALSE,"DCF";#N/A,#N/A,FALSE,"MARKET"}</definedName>
    <definedName name="wrn.exhibits." hidden="1">{#N/A,#N/A,FALSE,"IS";#N/A,#N/A,FALSE,"BS";#N/A,#N/A,FALSE,"RMA";#N/A,#N/A,FALSE,"INCOME";#N/A,#N/A,FALSE,"DCF";#N/A,#N/A,FALSE,"MARKET"}</definedName>
    <definedName name="wrn.Fcst._.by._.Mon." localSheetId="59" hidden="1">{"Fcst by Mon Full",#N/A,FALSE,"Tot PalmPalm";"Fcst by Mon Full",#N/A,FALSE,"Tot Device";"Fcst by Mon Full",#N/A,FALSE,"Platform";"Fcst by Mon Full",#N/A,FALSE,"Palm.Net";"Fcst by Mon Full",#N/A,FALSE,"Elim"}</definedName>
    <definedName name="wrn.Fcst._.by._.Mon." localSheetId="52" hidden="1">{"Fcst by Mon Full",#N/A,FALSE,"Tot PalmPalm";"Fcst by Mon Full",#N/A,FALSE,"Tot Device";"Fcst by Mon Full",#N/A,FALSE,"Platform";"Fcst by Mon Full",#N/A,FALSE,"Palm.Net";"Fcst by Mon Full",#N/A,FALSE,"Elim"}</definedName>
    <definedName name="wrn.Fcst._.by._.Mon." localSheetId="58" hidden="1">{"Fcst by Mon Full",#N/A,FALSE,"Tot PalmPalm";"Fcst by Mon Full",#N/A,FALSE,"Tot Device";"Fcst by Mon Full",#N/A,FALSE,"Platform";"Fcst by Mon Full",#N/A,FALSE,"Palm.Net";"Fcst by Mon Full",#N/A,FALSE,"Elim"}</definedName>
    <definedName name="wrn.Fcst._.by._.Mon." localSheetId="43" hidden="1">{"Fcst by Mon Full",#N/A,FALSE,"Tot PalmPalm";"Fcst by Mon Full",#N/A,FALSE,"Tot Device";"Fcst by Mon Full",#N/A,FALSE,"Platform";"Fcst by Mon Full",#N/A,FALSE,"Palm.Net";"Fcst by Mon Full",#N/A,FALSE,"Elim"}</definedName>
    <definedName name="wrn.Fcst._.by._.Mon." localSheetId="47" hidden="1">{"Fcst by Mon Full",#N/A,FALSE,"Tot PalmPalm";"Fcst by Mon Full",#N/A,FALSE,"Tot Device";"Fcst by Mon Full",#N/A,FALSE,"Platform";"Fcst by Mon Full",#N/A,FALSE,"Palm.Net";"Fcst by Mon Full",#N/A,FALSE,"Elim"}</definedName>
    <definedName name="wrn.Fcst._.by._.Mon." localSheetId="44" hidden="1">{"Fcst by Mon Full",#N/A,FALSE,"Tot PalmPalm";"Fcst by Mon Full",#N/A,FALSE,"Tot Device";"Fcst by Mon Full",#N/A,FALSE,"Platform";"Fcst by Mon Full",#N/A,FALSE,"Palm.Net";"Fcst by Mon Full",#N/A,FALSE,"Elim"}</definedName>
    <definedName name="wrn.Fcst._.by._.Mon." localSheetId="42" hidden="1">{"Fcst by Mon Full",#N/A,FALSE,"Tot PalmPalm";"Fcst by Mon Full",#N/A,FALSE,"Tot Device";"Fcst by Mon Full",#N/A,FALSE,"Platform";"Fcst by Mon Full",#N/A,FALSE,"Palm.Net";"Fcst by Mon Full",#N/A,FALSE,"Elim"}</definedName>
    <definedName name="wrn.Fcst._.by._.Mon." localSheetId="18" hidden="1">{"Fcst by Mon Full",#N/A,FALSE,"Tot PalmPalm";"Fcst by Mon Full",#N/A,FALSE,"Tot Device";"Fcst by Mon Full",#N/A,FALSE,"Platform";"Fcst by Mon Full",#N/A,FALSE,"Palm.Net";"Fcst by Mon Full",#N/A,FALSE,"Elim"}</definedName>
    <definedName name="wrn.Fcst._.by._.Mon." localSheetId="9"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59" hidden="1">{"Fcst by Qtr Full",#N/A,FALSE,"Tot PalmPalm";"Fcst by Qtr Full",#N/A,FALSE,"Tot Device";"Fcst by Qtr Full",#N/A,FALSE,"Platform";"Fcst by Qtr Full",#N/A,FALSE,"Palm.Net";"Fcst by Qtr Full",#N/A,FALSE,"Elim"}</definedName>
    <definedName name="wrn.Fcst._.by._.Qtr." localSheetId="52" hidden="1">{"Fcst by Qtr Full",#N/A,FALSE,"Tot PalmPalm";"Fcst by Qtr Full",#N/A,FALSE,"Tot Device";"Fcst by Qtr Full",#N/A,FALSE,"Platform";"Fcst by Qtr Full",#N/A,FALSE,"Palm.Net";"Fcst by Qtr Full",#N/A,FALSE,"Elim"}</definedName>
    <definedName name="wrn.Fcst._.by._.Qtr." localSheetId="58" hidden="1">{"Fcst by Qtr Full",#N/A,FALSE,"Tot PalmPalm";"Fcst by Qtr Full",#N/A,FALSE,"Tot Device";"Fcst by Qtr Full",#N/A,FALSE,"Platform";"Fcst by Qtr Full",#N/A,FALSE,"Palm.Net";"Fcst by Qtr Full",#N/A,FALSE,"Elim"}</definedName>
    <definedName name="wrn.Fcst._.by._.Qtr." localSheetId="43" hidden="1">{"Fcst by Qtr Full",#N/A,FALSE,"Tot PalmPalm";"Fcst by Qtr Full",#N/A,FALSE,"Tot Device";"Fcst by Qtr Full",#N/A,FALSE,"Platform";"Fcst by Qtr Full",#N/A,FALSE,"Palm.Net";"Fcst by Qtr Full",#N/A,FALSE,"Elim"}</definedName>
    <definedName name="wrn.Fcst._.by._.Qtr." localSheetId="47" hidden="1">{"Fcst by Qtr Full",#N/A,FALSE,"Tot PalmPalm";"Fcst by Qtr Full",#N/A,FALSE,"Tot Device";"Fcst by Qtr Full",#N/A,FALSE,"Platform";"Fcst by Qtr Full",#N/A,FALSE,"Palm.Net";"Fcst by Qtr Full",#N/A,FALSE,"Elim"}</definedName>
    <definedName name="wrn.Fcst._.by._.Qtr." localSheetId="44" hidden="1">{"Fcst by Qtr Full",#N/A,FALSE,"Tot PalmPalm";"Fcst by Qtr Full",#N/A,FALSE,"Tot Device";"Fcst by Qtr Full",#N/A,FALSE,"Platform";"Fcst by Qtr Full",#N/A,FALSE,"Palm.Net";"Fcst by Qtr Full",#N/A,FALSE,"Elim"}</definedName>
    <definedName name="wrn.Fcst._.by._.Qtr." localSheetId="42" hidden="1">{"Fcst by Qtr Full",#N/A,FALSE,"Tot PalmPalm";"Fcst by Qtr Full",#N/A,FALSE,"Tot Device";"Fcst by Qtr Full",#N/A,FALSE,"Platform";"Fcst by Qtr Full",#N/A,FALSE,"Palm.Net";"Fcst by Qtr Full",#N/A,FALSE,"Elim"}</definedName>
    <definedName name="wrn.Fcst._.by._.Qtr." localSheetId="18" hidden="1">{"Fcst by Qtr Full",#N/A,FALSE,"Tot PalmPalm";"Fcst by Qtr Full",#N/A,FALSE,"Tot Device";"Fcst by Qtr Full",#N/A,FALSE,"Platform";"Fcst by Qtr Full",#N/A,FALSE,"Palm.Net";"Fcst by Qtr Full",#N/A,FALSE,"Elim"}</definedName>
    <definedName name="wrn.Fcst._.by._.Qtr." localSheetId="9"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59"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8"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7"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4"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8"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9"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5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8"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4"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8"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74"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localSheetId="59"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8"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3"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7"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4"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8"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9"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59"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52"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58"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4"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2"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8"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9"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ACQ." localSheetId="59" hidden="1">{#N/A,#N/A,FALSE,"Summary";#N/A,#N/A,FALSE,"Proforma";#N/A,#N/A,FALSE,"Tx"}</definedName>
    <definedName name="wrn.FULL_ACQ." localSheetId="52" hidden="1">{#N/A,#N/A,FALSE,"Summary";#N/A,#N/A,FALSE,"Proforma";#N/A,#N/A,FALSE,"Tx"}</definedName>
    <definedName name="wrn.FULL_ACQ." localSheetId="58" hidden="1">{#N/A,#N/A,FALSE,"Summary";#N/A,#N/A,FALSE,"Proforma";#N/A,#N/A,FALSE,"Tx"}</definedName>
    <definedName name="wrn.FULL_ACQ." localSheetId="43" hidden="1">{#N/A,#N/A,FALSE,"Summary";#N/A,#N/A,FALSE,"Proforma";#N/A,#N/A,FALSE,"Tx"}</definedName>
    <definedName name="wrn.FULL_ACQ." localSheetId="47" hidden="1">{#N/A,#N/A,FALSE,"Summary";#N/A,#N/A,FALSE,"Proforma";#N/A,#N/A,FALSE,"Tx"}</definedName>
    <definedName name="wrn.FULL_ACQ." localSheetId="44" hidden="1">{#N/A,#N/A,FALSE,"Summary";#N/A,#N/A,FALSE,"Proforma";#N/A,#N/A,FALSE,"Tx"}</definedName>
    <definedName name="wrn.FULL_ACQ." localSheetId="42" hidden="1">{#N/A,#N/A,FALSE,"Summary";#N/A,#N/A,FALSE,"Proforma";#N/A,#N/A,FALSE,"Tx"}</definedName>
    <definedName name="wrn.FULL_ACQ." localSheetId="18" hidden="1">{#N/A,#N/A,FALSE,"Summary";#N/A,#N/A,FALSE,"Proforma";#N/A,#N/A,FALSE,"Tx"}</definedName>
    <definedName name="wrn.FULL_ACQ." localSheetId="9" hidden="1">{#N/A,#N/A,FALSE,"Summary";#N/A,#N/A,FALSE,"Proforma";#N/A,#N/A,FALSE,"Tx"}</definedName>
    <definedName name="wrn.FULL_ACQ." hidden="1">{#N/A,#N/A,FALSE,"Summary";#N/A,#N/A,FALSE,"Proforma";#N/A,#N/A,FALSE,"Tx"}</definedName>
    <definedName name="wrn.LBO." localSheetId="59" hidden="1">{#N/A,#N/A,FALSE,"Cov";#N/A,#N/A,FALSE,"sum";#N/A,#N/A,FALSE,"baladj";#N/A,#N/A,FALSE,"bs";#N/A,#N/A,FALSE,"is";#N/A,#N/A,FALSE,"pis";#N/A,#N/A,FALSE,"cf";#N/A,#N/A,FALSE,"balhist";#N/A,#N/A,FALSE,"wc";#N/A,#N/A,FALSE,"ltd";#N/A,#N/A,FALSE,"cover";#N/A,#N/A,FALSE,"fa";#N/A,#N/A,FALSE,"tax";#N/A,#N/A,FALSE,"irr";#N/A,#N/A,FALSE,"in"}</definedName>
    <definedName name="wrn.LBO." localSheetId="52" hidden="1">{#N/A,#N/A,FALSE,"Cov";#N/A,#N/A,FALSE,"sum";#N/A,#N/A,FALSE,"baladj";#N/A,#N/A,FALSE,"bs";#N/A,#N/A,FALSE,"is";#N/A,#N/A,FALSE,"pis";#N/A,#N/A,FALSE,"cf";#N/A,#N/A,FALSE,"balhist";#N/A,#N/A,FALSE,"wc";#N/A,#N/A,FALSE,"ltd";#N/A,#N/A,FALSE,"cover";#N/A,#N/A,FALSE,"fa";#N/A,#N/A,FALSE,"tax";#N/A,#N/A,FALSE,"irr";#N/A,#N/A,FALSE,"in"}</definedName>
    <definedName name="wrn.LBO." localSheetId="58" hidden="1">{#N/A,#N/A,FALSE,"Cov";#N/A,#N/A,FALSE,"sum";#N/A,#N/A,FALSE,"baladj";#N/A,#N/A,FALSE,"bs";#N/A,#N/A,FALSE,"is";#N/A,#N/A,FALSE,"pis";#N/A,#N/A,FALSE,"cf";#N/A,#N/A,FALSE,"balhist";#N/A,#N/A,FALSE,"wc";#N/A,#N/A,FALSE,"ltd";#N/A,#N/A,FALSE,"cover";#N/A,#N/A,FALSE,"fa";#N/A,#N/A,FALSE,"tax";#N/A,#N/A,FALSE,"irr";#N/A,#N/A,FALSE,"in"}</definedName>
    <definedName name="wrn.LBO." localSheetId="43" hidden="1">{#N/A,#N/A,FALSE,"Cov";#N/A,#N/A,FALSE,"sum";#N/A,#N/A,FALSE,"baladj";#N/A,#N/A,FALSE,"bs";#N/A,#N/A,FALSE,"is";#N/A,#N/A,FALSE,"pis";#N/A,#N/A,FALSE,"cf";#N/A,#N/A,FALSE,"balhist";#N/A,#N/A,FALSE,"wc";#N/A,#N/A,FALSE,"ltd";#N/A,#N/A,FALSE,"cover";#N/A,#N/A,FALSE,"fa";#N/A,#N/A,FALSE,"tax";#N/A,#N/A,FALSE,"irr";#N/A,#N/A,FALSE,"in"}</definedName>
    <definedName name="wrn.LBO." localSheetId="47" hidden="1">{#N/A,#N/A,FALSE,"Cov";#N/A,#N/A,FALSE,"sum";#N/A,#N/A,FALSE,"baladj";#N/A,#N/A,FALSE,"bs";#N/A,#N/A,FALSE,"is";#N/A,#N/A,FALSE,"pis";#N/A,#N/A,FALSE,"cf";#N/A,#N/A,FALSE,"balhist";#N/A,#N/A,FALSE,"wc";#N/A,#N/A,FALSE,"ltd";#N/A,#N/A,FALSE,"cover";#N/A,#N/A,FALSE,"fa";#N/A,#N/A,FALSE,"tax";#N/A,#N/A,FALSE,"irr";#N/A,#N/A,FALSE,"in"}</definedName>
    <definedName name="wrn.LBO." localSheetId="44" hidden="1">{#N/A,#N/A,FALSE,"Cov";#N/A,#N/A,FALSE,"sum";#N/A,#N/A,FALSE,"baladj";#N/A,#N/A,FALSE,"bs";#N/A,#N/A,FALSE,"is";#N/A,#N/A,FALSE,"pis";#N/A,#N/A,FALSE,"cf";#N/A,#N/A,FALSE,"balhist";#N/A,#N/A,FALSE,"wc";#N/A,#N/A,FALSE,"ltd";#N/A,#N/A,FALSE,"cover";#N/A,#N/A,FALSE,"fa";#N/A,#N/A,FALSE,"tax";#N/A,#N/A,FALSE,"irr";#N/A,#N/A,FALSE,"in"}</definedName>
    <definedName name="wrn.LBO." localSheetId="42" hidden="1">{#N/A,#N/A,FALSE,"Cov";#N/A,#N/A,FALSE,"sum";#N/A,#N/A,FALSE,"baladj";#N/A,#N/A,FALSE,"bs";#N/A,#N/A,FALSE,"is";#N/A,#N/A,FALSE,"pis";#N/A,#N/A,FALSE,"cf";#N/A,#N/A,FALSE,"balhist";#N/A,#N/A,FALSE,"wc";#N/A,#N/A,FALSE,"ltd";#N/A,#N/A,FALSE,"cover";#N/A,#N/A,FALSE,"fa";#N/A,#N/A,FALSE,"tax";#N/A,#N/A,FALSE,"irr";#N/A,#N/A,FALSE,"in"}</definedName>
    <definedName name="wrn.LBO." localSheetId="18" hidden="1">{#N/A,#N/A,FALSE,"Cov";#N/A,#N/A,FALSE,"sum";#N/A,#N/A,FALSE,"baladj";#N/A,#N/A,FALSE,"bs";#N/A,#N/A,FALSE,"is";#N/A,#N/A,FALSE,"pis";#N/A,#N/A,FALSE,"cf";#N/A,#N/A,FALSE,"balhist";#N/A,#N/A,FALSE,"wc";#N/A,#N/A,FALSE,"ltd";#N/A,#N/A,FALSE,"cover";#N/A,#N/A,FALSE,"fa";#N/A,#N/A,FALSE,"tax";#N/A,#N/A,FALSE,"irr";#N/A,#N/A,FALSE,"in"}</definedName>
    <definedName name="wrn.LBO." localSheetId="9"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northpoint." localSheetId="59" hidden="1">{#N/A,#N/A,FALSE,"softdraw";#N/A,#N/A,FALSE,"linereclass";"northpint loan",#N/A,FALSE,"LOAN"}</definedName>
    <definedName name="wrn.northpoint." localSheetId="61" hidden="1">{#N/A,#N/A,FALSE,"softdraw";#N/A,#N/A,FALSE,"linereclass";"northpint loan",#N/A,FALSE,"LOAN"}</definedName>
    <definedName name="wrn.northpoint." localSheetId="52" hidden="1">{#N/A,#N/A,FALSE,"softdraw";#N/A,#N/A,FALSE,"linereclass";"northpint loan",#N/A,FALSE,"LOAN"}</definedName>
    <definedName name="wrn.northpoint." localSheetId="58" hidden="1">{#N/A,#N/A,FALSE,"softdraw";#N/A,#N/A,FALSE,"linereclass";"northpint loan",#N/A,FALSE,"LOAN"}</definedName>
    <definedName name="wrn.northpoint." localSheetId="43" hidden="1">{#N/A,#N/A,FALSE,"softdraw";#N/A,#N/A,FALSE,"linereclass";"northpint loan",#N/A,FALSE,"LOAN"}</definedName>
    <definedName name="wrn.northpoint." localSheetId="47" hidden="1">{#N/A,#N/A,FALSE,"softdraw";#N/A,#N/A,FALSE,"linereclass";"northpint loan",#N/A,FALSE,"LOAN"}</definedName>
    <definedName name="wrn.northpoint." localSheetId="44" hidden="1">{#N/A,#N/A,FALSE,"softdraw";#N/A,#N/A,FALSE,"linereclass";"northpint loan",#N/A,FALSE,"LOAN"}</definedName>
    <definedName name="wrn.northpoint." localSheetId="42" hidden="1">{#N/A,#N/A,FALSE,"softdraw";#N/A,#N/A,FALSE,"linereclass";"northpint loan",#N/A,FALSE,"LOAN"}</definedName>
    <definedName name="wrn.northpoint." localSheetId="18" hidden="1">{#N/A,#N/A,FALSE,"softdraw";#N/A,#N/A,FALSE,"linereclass";"northpint loan",#N/A,FALSE,"LOAN"}</definedName>
    <definedName name="wrn.northpoint." localSheetId="9" hidden="1">{#N/A,#N/A,FALSE,"softdraw";#N/A,#N/A,FALSE,"linereclass";"northpint loan",#N/A,FALSE,"LOAN"}</definedName>
    <definedName name="wrn.northpoint." hidden="1">{#N/A,#N/A,FALSE,"softdraw";#N/A,#N/A,FALSE,"linereclass";"northpint loan",#N/A,FALSE,"LOAN"}</definedName>
    <definedName name="wrn.Olk._.by._.Qtr." localSheetId="59" hidden="1">{"Olk by Qtr Full",#N/A,FALSE,"Tot PalmPalm";"Olk by Qtr Full",#N/A,FALSE,"Tot Device";"Olk by Qtr Full",#N/A,FALSE,"Platform";"Olk by Qtr Full",#N/A,FALSE,"Palm.Net";"Olk by Qtr Full",#N/A,FALSE,"Elim"}</definedName>
    <definedName name="wrn.Olk._.by._.Qtr." localSheetId="52" hidden="1">{"Olk by Qtr Full",#N/A,FALSE,"Tot PalmPalm";"Olk by Qtr Full",#N/A,FALSE,"Tot Device";"Olk by Qtr Full",#N/A,FALSE,"Platform";"Olk by Qtr Full",#N/A,FALSE,"Palm.Net";"Olk by Qtr Full",#N/A,FALSE,"Elim"}</definedName>
    <definedName name="wrn.Olk._.by._.Qtr." localSheetId="58" hidden="1">{"Olk by Qtr Full",#N/A,FALSE,"Tot PalmPalm";"Olk by Qtr Full",#N/A,FALSE,"Tot Device";"Olk by Qtr Full",#N/A,FALSE,"Platform";"Olk by Qtr Full",#N/A,FALSE,"Palm.Net";"Olk by Qtr Full",#N/A,FALSE,"Elim"}</definedName>
    <definedName name="wrn.Olk._.by._.Qtr." localSheetId="43" hidden="1">{"Olk by Qtr Full",#N/A,FALSE,"Tot PalmPalm";"Olk by Qtr Full",#N/A,FALSE,"Tot Device";"Olk by Qtr Full",#N/A,FALSE,"Platform";"Olk by Qtr Full",#N/A,FALSE,"Palm.Net";"Olk by Qtr Full",#N/A,FALSE,"Elim"}</definedName>
    <definedName name="wrn.Olk._.by._.Qtr." localSheetId="47" hidden="1">{"Olk by Qtr Full",#N/A,FALSE,"Tot PalmPalm";"Olk by Qtr Full",#N/A,FALSE,"Tot Device";"Olk by Qtr Full",#N/A,FALSE,"Platform";"Olk by Qtr Full",#N/A,FALSE,"Palm.Net";"Olk by Qtr Full",#N/A,FALSE,"Elim"}</definedName>
    <definedName name="wrn.Olk._.by._.Qtr." localSheetId="44" hidden="1">{"Olk by Qtr Full",#N/A,FALSE,"Tot PalmPalm";"Olk by Qtr Full",#N/A,FALSE,"Tot Device";"Olk by Qtr Full",#N/A,FALSE,"Platform";"Olk by Qtr Full",#N/A,FALSE,"Palm.Net";"Olk by Qtr Full",#N/A,FALSE,"Elim"}</definedName>
    <definedName name="wrn.Olk._.by._.Qtr." localSheetId="42" hidden="1">{"Olk by Qtr Full",#N/A,FALSE,"Tot PalmPalm";"Olk by Qtr Full",#N/A,FALSE,"Tot Device";"Olk by Qtr Full",#N/A,FALSE,"Platform";"Olk by Qtr Full",#N/A,FALSE,"Palm.Net";"Olk by Qtr Full",#N/A,FALSE,"Elim"}</definedName>
    <definedName name="wrn.Olk._.by._.Qtr." localSheetId="18" hidden="1">{"Olk by Qtr Full",#N/A,FALSE,"Tot PalmPalm";"Olk by Qtr Full",#N/A,FALSE,"Tot Device";"Olk by Qtr Full",#N/A,FALSE,"Platform";"Olk by Qtr Full",#N/A,FALSE,"Palm.Net";"Olk by Qtr Full",#N/A,FALSE,"Elim"}</definedName>
    <definedName name="wrn.Olk._.by._.Qtr." localSheetId="9"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59" hidden="1">{"DCF","UPSIDE CASE",FALSE,"Sheet1";"DCF","BASE CASE",FALSE,"Sheet1";"DCF","DOWNSIDE CASE",FALSE,"Sheet1"}</definedName>
    <definedName name="wrn.OUTPUT." localSheetId="52" hidden="1">{"DCF","UPSIDE CASE",FALSE,"Sheet1";"DCF","BASE CASE",FALSE,"Sheet1";"DCF","DOWNSIDE CASE",FALSE,"Sheet1"}</definedName>
    <definedName name="wrn.OUTPUT." localSheetId="58" hidden="1">{"DCF","UPSIDE CASE",FALSE,"Sheet1";"DCF","BASE CASE",FALSE,"Sheet1";"DCF","DOWNSIDE CASE",FALSE,"Sheet1"}</definedName>
    <definedName name="wrn.OUTPUT." localSheetId="43" hidden="1">{"DCF","UPSIDE CASE",FALSE,"Sheet1";"DCF","BASE CASE",FALSE,"Sheet1";"DCF","DOWNSIDE CASE",FALSE,"Sheet1"}</definedName>
    <definedName name="wrn.OUTPUT." localSheetId="47" hidden="1">{"DCF","UPSIDE CASE",FALSE,"Sheet1";"DCF","BASE CASE",FALSE,"Sheet1";"DCF","DOWNSIDE CASE",FALSE,"Sheet1"}</definedName>
    <definedName name="wrn.OUTPUT." localSheetId="44" hidden="1">{"DCF","UPSIDE CASE",FALSE,"Sheet1";"DCF","BASE CASE",FALSE,"Sheet1";"DCF","DOWNSIDE CASE",FALSE,"Sheet1"}</definedName>
    <definedName name="wrn.OUTPUT." localSheetId="42" hidden="1">{"DCF","UPSIDE CASE",FALSE,"Sheet1";"DCF","BASE CASE",FALSE,"Sheet1";"DCF","DOWNSIDE CASE",FALSE,"Sheet1"}</definedName>
    <definedName name="wrn.OUTPUT." localSheetId="18" hidden="1">{"DCF","UPSIDE CASE",FALSE,"Sheet1";"DCF","BASE CASE",FALSE,"Sheet1";"DCF","DOWNSIDE CASE",FALSE,"Sheet1"}</definedName>
    <definedName name="wrn.OUTPUT." localSheetId="9" hidden="1">{"DCF","UPSIDE CASE",FALSE,"Sheet1";"DCF","BASE CASE",FALSE,"Sheet1";"DCF","DOWNSIDE CASE",FALSE,"Sheet1"}</definedName>
    <definedName name="wrn.OUTPUT." hidden="1">{"DCF","UPSIDE CASE",FALSE,"Sheet1";"DCF","BASE CASE",FALSE,"Sheet1";"DCF","DOWNSIDE CASE",FALSE,"Sheet1"}</definedName>
    <definedName name="wrn.PaperPanel." localSheetId="59" hidden="1">{#N/A,#N/A,FALSE,"Control"}</definedName>
    <definedName name="wrn.PaperPanel." localSheetId="52" hidden="1">{#N/A,#N/A,FALSE,"Control"}</definedName>
    <definedName name="wrn.PaperPanel." localSheetId="58" hidden="1">{#N/A,#N/A,FALSE,"Control"}</definedName>
    <definedName name="wrn.PaperPanel." localSheetId="43" hidden="1">{#N/A,#N/A,FALSE,"Control"}</definedName>
    <definedName name="wrn.PaperPanel." localSheetId="47" hidden="1">{#N/A,#N/A,FALSE,"Control"}</definedName>
    <definedName name="wrn.PaperPanel." localSheetId="44" hidden="1">{#N/A,#N/A,FALSE,"Control"}</definedName>
    <definedName name="wrn.PaperPanel." localSheetId="42" hidden="1">{#N/A,#N/A,FALSE,"Control"}</definedName>
    <definedName name="wrn.PaperPanel." localSheetId="18" hidden="1">{#N/A,#N/A,FALSE,"Control"}</definedName>
    <definedName name="wrn.PaperPanel." localSheetId="9" hidden="1">{#N/A,#N/A,FALSE,"Control"}</definedName>
    <definedName name="wrn.PaperPanel." hidden="1">{#N/A,#N/A,FALSE,"Control"}</definedName>
    <definedName name="wrn.partial._.Print." localSheetId="59"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52"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58"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4"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2"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8"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9"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59" hidden="1">{#N/A,#N/A,FALSE,"Ptnr Cash Flow";#N/A,#N/A,FALSE,"Pship Summary";#N/A,#N/A,FALSE,"Pship Proforma";#N/A,#N/A,FALSE,"Tx"}</definedName>
    <definedName name="wrn.PARTNERSHIP." localSheetId="52" hidden="1">{#N/A,#N/A,FALSE,"Ptnr Cash Flow";#N/A,#N/A,FALSE,"Pship Summary";#N/A,#N/A,FALSE,"Pship Proforma";#N/A,#N/A,FALSE,"Tx"}</definedName>
    <definedName name="wrn.PARTNERSHIP." localSheetId="58" hidden="1">{#N/A,#N/A,FALSE,"Ptnr Cash Flow";#N/A,#N/A,FALSE,"Pship Summary";#N/A,#N/A,FALSE,"Pship Proforma";#N/A,#N/A,FALSE,"Tx"}</definedName>
    <definedName name="wrn.PARTNERSHIP." localSheetId="43" hidden="1">{#N/A,#N/A,FALSE,"Ptnr Cash Flow";#N/A,#N/A,FALSE,"Pship Summary";#N/A,#N/A,FALSE,"Pship Proforma";#N/A,#N/A,FALSE,"Tx"}</definedName>
    <definedName name="wrn.PARTNERSHIP." localSheetId="47" hidden="1">{#N/A,#N/A,FALSE,"Ptnr Cash Flow";#N/A,#N/A,FALSE,"Pship Summary";#N/A,#N/A,FALSE,"Pship Proforma";#N/A,#N/A,FALSE,"Tx"}</definedName>
    <definedName name="wrn.PARTNERSHIP." localSheetId="44" hidden="1">{#N/A,#N/A,FALSE,"Ptnr Cash Flow";#N/A,#N/A,FALSE,"Pship Summary";#N/A,#N/A,FALSE,"Pship Proforma";#N/A,#N/A,FALSE,"Tx"}</definedName>
    <definedName name="wrn.PARTNERSHIP." localSheetId="42" hidden="1">{#N/A,#N/A,FALSE,"Ptnr Cash Flow";#N/A,#N/A,FALSE,"Pship Summary";#N/A,#N/A,FALSE,"Pship Proforma";#N/A,#N/A,FALSE,"Tx"}</definedName>
    <definedName name="wrn.PARTNERSHIP." localSheetId="18" hidden="1">{#N/A,#N/A,FALSE,"Ptnr Cash Flow";#N/A,#N/A,FALSE,"Pship Summary";#N/A,#N/A,FALSE,"Pship Proforma";#N/A,#N/A,FALSE,"Tx"}</definedName>
    <definedName name="wrn.PARTNERSHIP." localSheetId="9" hidden="1">{#N/A,#N/A,FALSE,"Ptnr Cash Flow";#N/A,#N/A,FALSE,"Pship Summary";#N/A,#N/A,FALSE,"Pship Proforma";#N/A,#N/A,FALSE,"Tx"}</definedName>
    <definedName name="wrn.PARTNERSHIP." hidden="1">{#N/A,#N/A,FALSE,"Ptnr Cash Flow";#N/A,#N/A,FALSE,"Pship Summary";#N/A,#N/A,FALSE,"Pship Proforma";#N/A,#N/A,FALSE,"Tx"}</definedName>
    <definedName name="wrn.print." localSheetId="59" hidden="1">{#N/A,#N/A,FALSE,"Japan 2003";#N/A,#N/A,FALSE,"Sheet2"}</definedName>
    <definedName name="wrn.print." localSheetId="52" hidden="1">{#N/A,#N/A,FALSE,"Japan 2003";#N/A,#N/A,FALSE,"Sheet2"}</definedName>
    <definedName name="wrn.print." localSheetId="58" hidden="1">{#N/A,#N/A,FALSE,"Japan 2003";#N/A,#N/A,FALSE,"Sheet2"}</definedName>
    <definedName name="wrn.print." localSheetId="43" hidden="1">{#N/A,#N/A,FALSE,"Japan 2003";#N/A,#N/A,FALSE,"Sheet2"}</definedName>
    <definedName name="wrn.print." localSheetId="47" hidden="1">{#N/A,#N/A,FALSE,"Japan 2003";#N/A,#N/A,FALSE,"Sheet2"}</definedName>
    <definedName name="wrn.print." localSheetId="44" hidden="1">{#N/A,#N/A,FALSE,"Japan 2003";#N/A,#N/A,FALSE,"Sheet2"}</definedName>
    <definedName name="wrn.print." localSheetId="42" hidden="1">{#N/A,#N/A,FALSE,"Japan 2003";#N/A,#N/A,FALSE,"Sheet2"}</definedName>
    <definedName name="wrn.print." localSheetId="18" hidden="1">{#N/A,#N/A,FALSE,"Japan 2003";#N/A,#N/A,FALSE,"Sheet2"}</definedName>
    <definedName name="wrn.print." localSheetId="9" hidden="1">{#N/A,#N/A,FALSE,"Japan 2003";#N/A,#N/A,FALSE,"Sheet2"}</definedName>
    <definedName name="wrn.print." localSheetId="74" hidden="1">{#N/A,#N/A,FALSE,"Japan 2003";#N/A,#N/A,FALSE,"Sheet2"}</definedName>
    <definedName name="wrn.print." hidden="1">{#N/A,#N/A,FALSE,"Japan 2003";#N/A,#N/A,FALSE,"Sheet2"}</definedName>
    <definedName name="wrn.print._.all._.sheets." localSheetId="5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59"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8"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7"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4"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8"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9"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59" hidden="1">{"cap_structure",#N/A,FALSE,"Graph-Mkt Cap";"price",#N/A,FALSE,"Graph-Price";"ebit",#N/A,FALSE,"Graph-EBITDA";"ebitda",#N/A,FALSE,"Graph-EBITDA"}</definedName>
    <definedName name="wrn.print._.graphs." localSheetId="52" hidden="1">{"cap_structure",#N/A,FALSE,"Graph-Mkt Cap";"price",#N/A,FALSE,"Graph-Price";"ebit",#N/A,FALSE,"Graph-EBITDA";"ebitda",#N/A,FALSE,"Graph-EBITDA"}</definedName>
    <definedName name="wrn.print._.graphs." localSheetId="58" hidden="1">{"cap_structure",#N/A,FALSE,"Graph-Mkt Cap";"price",#N/A,FALSE,"Graph-Price";"ebit",#N/A,FALSE,"Graph-EBITDA";"ebitda",#N/A,FALSE,"Graph-EBITDA"}</definedName>
    <definedName name="wrn.print._.graphs." localSheetId="43" hidden="1">{"cap_structure",#N/A,FALSE,"Graph-Mkt Cap";"price",#N/A,FALSE,"Graph-Price";"ebit",#N/A,FALSE,"Graph-EBITDA";"ebitda",#N/A,FALSE,"Graph-EBITDA"}</definedName>
    <definedName name="wrn.print._.graphs." localSheetId="47" hidden="1">{"cap_structure",#N/A,FALSE,"Graph-Mkt Cap";"price",#N/A,FALSE,"Graph-Price";"ebit",#N/A,FALSE,"Graph-EBITDA";"ebitda",#N/A,FALSE,"Graph-EBITDA"}</definedName>
    <definedName name="wrn.print._.graphs." localSheetId="44" hidden="1">{"cap_structure",#N/A,FALSE,"Graph-Mkt Cap";"price",#N/A,FALSE,"Graph-Price";"ebit",#N/A,FALSE,"Graph-EBITDA";"ebitda",#N/A,FALSE,"Graph-EBITDA"}</definedName>
    <definedName name="wrn.print._.graphs." localSheetId="4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59" hidden="1">{"inputs raw data",#N/A,TRUE,"INPUT"}</definedName>
    <definedName name="wrn.print._.raw._.data._.entry." localSheetId="52" hidden="1">{"inputs raw data",#N/A,TRUE,"INPUT"}</definedName>
    <definedName name="wrn.print._.raw._.data._.entry." localSheetId="58" hidden="1">{"inputs raw data",#N/A,TRUE,"INPUT"}</definedName>
    <definedName name="wrn.print._.raw._.data._.entry." localSheetId="43" hidden="1">{"inputs raw data",#N/A,TRUE,"INPUT"}</definedName>
    <definedName name="wrn.print._.raw._.data._.entry." localSheetId="47" hidden="1">{"inputs raw data",#N/A,TRUE,"INPUT"}</definedName>
    <definedName name="wrn.print._.raw._.data._.entry." localSheetId="44" hidden="1">{"inputs raw data",#N/A,TRUE,"INPUT"}</definedName>
    <definedName name="wrn.print._.raw._.data._.entry." localSheetId="42" hidden="1">{"inputs raw data",#N/A,TRUE,"INPUT"}</definedName>
    <definedName name="wrn.print._.raw._.data._.entry." localSheetId="18" hidden="1">{"inputs raw data",#N/A,TRUE,"INPUT"}</definedName>
    <definedName name="wrn.print._.raw._.data._.entry." localSheetId="9" hidden="1">{"inputs raw data",#N/A,TRUE,"INPUT"}</definedName>
    <definedName name="wrn.print._.raw._.data._.entry." hidden="1">{"inputs raw data",#N/A,TRUE,"INPUT"}</definedName>
    <definedName name="wrn.print._.summary._.sheets." localSheetId="59" hidden="1">{"summary1",#N/A,TRUE,"Comps";"summary2",#N/A,TRUE,"Comps";"summary3",#N/A,TRUE,"Comps"}</definedName>
    <definedName name="wrn.print._.summary._.sheets." localSheetId="52" hidden="1">{"summary1",#N/A,TRUE,"Comps";"summary2",#N/A,TRUE,"Comps";"summary3",#N/A,TRUE,"Comps"}</definedName>
    <definedName name="wrn.print._.summary._.sheets." localSheetId="58" hidden="1">{"summary1",#N/A,TRUE,"Comps";"summary2",#N/A,TRUE,"Comps";"summary3",#N/A,TRUE,"Comps"}</definedName>
    <definedName name="wrn.print._.summary._.sheets." localSheetId="43" hidden="1">{"summary1",#N/A,TRUE,"Comps";"summary2",#N/A,TRUE,"Comps";"summary3",#N/A,TRUE,"Comps"}</definedName>
    <definedName name="wrn.print._.summary._.sheets." localSheetId="47" hidden="1">{"summary1",#N/A,TRUE,"Comps";"summary2",#N/A,TRUE,"Comps";"summary3",#N/A,TRUE,"Comps"}</definedName>
    <definedName name="wrn.print._.summary._.sheets." localSheetId="44" hidden="1">{"summary1",#N/A,TRUE,"Comps";"summary2",#N/A,TRUE,"Comps";"summary3",#N/A,TRUE,"Comps"}</definedName>
    <definedName name="wrn.print._.summary._.sheets." localSheetId="42" hidden="1">{"summary1",#N/A,TRUE,"Comps";"summary2",#N/A,TRUE,"Comps";"summary3",#N/A,TRUE,"Comps"}</definedName>
    <definedName name="wrn.print._.summary._.sheets." localSheetId="18" hidden="1">{"summary1",#N/A,TRUE,"Comps";"summary2",#N/A,TRUE,"Comps";"summary3",#N/A,TRUE,"Comps"}</definedName>
    <definedName name="wrn.print._.summary._.sheets." localSheetId="9" hidden="1">{"summary1",#N/A,TRUE,"Comps";"summary2",#N/A,TRUE,"Comps";"summary3",#N/A,TRUE,"Comps"}</definedName>
    <definedName name="wrn.print._.summary._.sheets." hidden="1">{"summary1",#N/A,TRUE,"Comps";"summary2",#N/A,TRUE,"Comps";"summary3",#N/A,TRUE,"Comps"}</definedName>
    <definedName name="wrn.PrintSelected." localSheetId="59" hidden="1">{"ModelPage1",#N/A,TRUE,"Model";"ModelSum_Debt",#N/A,TRUE,"Model"}</definedName>
    <definedName name="wrn.PrintSelected." localSheetId="52" hidden="1">{"ModelPage1",#N/A,TRUE,"Model";"ModelSum_Debt",#N/A,TRUE,"Model"}</definedName>
    <definedName name="wrn.PrintSelected." localSheetId="58" hidden="1">{"ModelPage1",#N/A,TRUE,"Model";"ModelSum_Debt",#N/A,TRUE,"Model"}</definedName>
    <definedName name="wrn.PrintSelected." localSheetId="43" hidden="1">{"ModelPage1",#N/A,TRUE,"Model";"ModelSum_Debt",#N/A,TRUE,"Model"}</definedName>
    <definedName name="wrn.PrintSelected." localSheetId="47" hidden="1">{"ModelPage1",#N/A,TRUE,"Model";"ModelSum_Debt",#N/A,TRUE,"Model"}</definedName>
    <definedName name="wrn.PrintSelected." localSheetId="44" hidden="1">{"ModelPage1",#N/A,TRUE,"Model";"ModelSum_Debt",#N/A,TRUE,"Model"}</definedName>
    <definedName name="wrn.PrintSelected." localSheetId="42" hidden="1">{"ModelPage1",#N/A,TRUE,"Model";"ModelSum_Debt",#N/A,TRUE,"Model"}</definedName>
    <definedName name="wrn.PrintSelected." localSheetId="18" hidden="1">{"ModelPage1",#N/A,TRUE,"Model";"ModelSum_Debt",#N/A,TRUE,"Model"}</definedName>
    <definedName name="wrn.PrintSelected." localSheetId="9" hidden="1">{"ModelPage1",#N/A,TRUE,"Model";"ModelSum_Debt",#N/A,TRUE,"Model"}</definedName>
    <definedName name="wrn.PrintSelected." hidden="1">{"ModelPage1",#N/A,TRUE,"Model";"ModelSum_Debt",#N/A,TRUE,"Model"}</definedName>
    <definedName name="wrn.Relevant." localSheetId="59" hidden="1">{#N/A,#N/A,FALSE,"Title Page";#N/A,#N/A,FALSE,"Conclusions";#N/A,#N/A,FALSE,"Assum.";#N/A,#N/A,FALSE,"Sun  DCF-WC-Dep";#N/A,#N/A,FALSE,"MarketValue";#N/A,#N/A,FALSE,"BalSheet";#N/A,#N/A,FALSE,"WACC";#N/A,#N/A,FALSE,"PC+ Info.";#N/A,#N/A,FALSE,"PC+Info_2"}</definedName>
    <definedName name="wrn.Relevant." localSheetId="52" hidden="1">{#N/A,#N/A,FALSE,"Title Page";#N/A,#N/A,FALSE,"Conclusions";#N/A,#N/A,FALSE,"Assum.";#N/A,#N/A,FALSE,"Sun  DCF-WC-Dep";#N/A,#N/A,FALSE,"MarketValue";#N/A,#N/A,FALSE,"BalSheet";#N/A,#N/A,FALSE,"WACC";#N/A,#N/A,FALSE,"PC+ Info.";#N/A,#N/A,FALSE,"PC+Info_2"}</definedName>
    <definedName name="wrn.Relevant." localSheetId="58" hidden="1">{#N/A,#N/A,FALSE,"Title Page";#N/A,#N/A,FALSE,"Conclusions";#N/A,#N/A,FALSE,"Assum.";#N/A,#N/A,FALSE,"Sun  DCF-WC-Dep";#N/A,#N/A,FALSE,"MarketValue";#N/A,#N/A,FALSE,"BalSheet";#N/A,#N/A,FALSE,"WACC";#N/A,#N/A,FALSE,"PC+ Info.";#N/A,#N/A,FALSE,"PC+Info_2"}</definedName>
    <definedName name="wrn.Relevant." localSheetId="43" hidden="1">{#N/A,#N/A,FALSE,"Title Page";#N/A,#N/A,FALSE,"Conclusions";#N/A,#N/A,FALSE,"Assum.";#N/A,#N/A,FALSE,"Sun  DCF-WC-Dep";#N/A,#N/A,FALSE,"MarketValue";#N/A,#N/A,FALSE,"BalSheet";#N/A,#N/A,FALSE,"WACC";#N/A,#N/A,FALSE,"PC+ Info.";#N/A,#N/A,FALSE,"PC+Info_2"}</definedName>
    <definedName name="wrn.Relevant." localSheetId="47" hidden="1">{#N/A,#N/A,FALSE,"Title Page";#N/A,#N/A,FALSE,"Conclusions";#N/A,#N/A,FALSE,"Assum.";#N/A,#N/A,FALSE,"Sun  DCF-WC-Dep";#N/A,#N/A,FALSE,"MarketValue";#N/A,#N/A,FALSE,"BalSheet";#N/A,#N/A,FALSE,"WACC";#N/A,#N/A,FALSE,"PC+ Info.";#N/A,#N/A,FALSE,"PC+Info_2"}</definedName>
    <definedName name="wrn.Relevant." localSheetId="44" hidden="1">{#N/A,#N/A,FALSE,"Title Page";#N/A,#N/A,FALSE,"Conclusions";#N/A,#N/A,FALSE,"Assum.";#N/A,#N/A,FALSE,"Sun  DCF-WC-Dep";#N/A,#N/A,FALSE,"MarketValue";#N/A,#N/A,FALSE,"BalSheet";#N/A,#N/A,FALSE,"WACC";#N/A,#N/A,FALSE,"PC+ Info.";#N/A,#N/A,FALSE,"PC+Info_2"}</definedName>
    <definedName name="wrn.Relevant." localSheetId="42" hidden="1">{#N/A,#N/A,FALSE,"Title Page";#N/A,#N/A,FALSE,"Conclusions";#N/A,#N/A,FALSE,"Assum.";#N/A,#N/A,FALSE,"Sun  DCF-WC-Dep";#N/A,#N/A,FALSE,"MarketValue";#N/A,#N/A,FALSE,"BalSheet";#N/A,#N/A,FALSE,"WACC";#N/A,#N/A,FALSE,"PC+ Info.";#N/A,#N/A,FALSE,"PC+Info_2"}</definedName>
    <definedName name="wrn.Relevant." localSheetId="18" hidden="1">{#N/A,#N/A,FALSE,"Title Page";#N/A,#N/A,FALSE,"Conclusions";#N/A,#N/A,FALSE,"Assum.";#N/A,#N/A,FALSE,"Sun  DCF-WC-Dep";#N/A,#N/A,FALSE,"MarketValue";#N/A,#N/A,FALSE,"BalSheet";#N/A,#N/A,FALSE,"WACC";#N/A,#N/A,FALSE,"PC+ Info.";#N/A,#N/A,FALSE,"PC+Info_2"}</definedName>
    <definedName name="wrn.Relevant." localSheetId="9"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59" hidden="1">{#N/A,#N/A,FALSE,"Title Page";#N/A,#N/A,FALSE,"Conclusions";#N/A,#N/A,FALSE,"Assum.";#N/A,#N/A,FALSE,"Sun  DCF-WC-Dep";#N/A,#N/A,FALSE,"MarketValue";#N/A,#N/A,FALSE,"BalSheet";#N/A,#N/A,FALSE,"WACC";#N/A,#N/A,FALSE,"PC+ Info.";#N/A,#N/A,FALSE,"PC+Info_2"}</definedName>
    <definedName name="wrn.Relevant1." localSheetId="52" hidden="1">{#N/A,#N/A,FALSE,"Title Page";#N/A,#N/A,FALSE,"Conclusions";#N/A,#N/A,FALSE,"Assum.";#N/A,#N/A,FALSE,"Sun  DCF-WC-Dep";#N/A,#N/A,FALSE,"MarketValue";#N/A,#N/A,FALSE,"BalSheet";#N/A,#N/A,FALSE,"WACC";#N/A,#N/A,FALSE,"PC+ Info.";#N/A,#N/A,FALSE,"PC+Info_2"}</definedName>
    <definedName name="wrn.Relevant1." localSheetId="58" hidden="1">{#N/A,#N/A,FALSE,"Title Page";#N/A,#N/A,FALSE,"Conclusions";#N/A,#N/A,FALSE,"Assum.";#N/A,#N/A,FALSE,"Sun  DCF-WC-Dep";#N/A,#N/A,FALSE,"MarketValue";#N/A,#N/A,FALSE,"BalSheet";#N/A,#N/A,FALSE,"WACC";#N/A,#N/A,FALSE,"PC+ Info.";#N/A,#N/A,FALSE,"PC+Info_2"}</definedName>
    <definedName name="wrn.Relevant1." localSheetId="43" hidden="1">{#N/A,#N/A,FALSE,"Title Page";#N/A,#N/A,FALSE,"Conclusions";#N/A,#N/A,FALSE,"Assum.";#N/A,#N/A,FALSE,"Sun  DCF-WC-Dep";#N/A,#N/A,FALSE,"MarketValue";#N/A,#N/A,FALSE,"BalSheet";#N/A,#N/A,FALSE,"WACC";#N/A,#N/A,FALSE,"PC+ Info.";#N/A,#N/A,FALSE,"PC+Info_2"}</definedName>
    <definedName name="wrn.Relevant1." localSheetId="47" hidden="1">{#N/A,#N/A,FALSE,"Title Page";#N/A,#N/A,FALSE,"Conclusions";#N/A,#N/A,FALSE,"Assum.";#N/A,#N/A,FALSE,"Sun  DCF-WC-Dep";#N/A,#N/A,FALSE,"MarketValue";#N/A,#N/A,FALSE,"BalSheet";#N/A,#N/A,FALSE,"WACC";#N/A,#N/A,FALSE,"PC+ Info.";#N/A,#N/A,FALSE,"PC+Info_2"}</definedName>
    <definedName name="wrn.Relevant1." localSheetId="44" hidden="1">{#N/A,#N/A,FALSE,"Title Page";#N/A,#N/A,FALSE,"Conclusions";#N/A,#N/A,FALSE,"Assum.";#N/A,#N/A,FALSE,"Sun  DCF-WC-Dep";#N/A,#N/A,FALSE,"MarketValue";#N/A,#N/A,FALSE,"BalSheet";#N/A,#N/A,FALSE,"WACC";#N/A,#N/A,FALSE,"PC+ Info.";#N/A,#N/A,FALSE,"PC+Info_2"}</definedName>
    <definedName name="wrn.Relevant1." localSheetId="42" hidden="1">{#N/A,#N/A,FALSE,"Title Page";#N/A,#N/A,FALSE,"Conclusions";#N/A,#N/A,FALSE,"Assum.";#N/A,#N/A,FALSE,"Sun  DCF-WC-Dep";#N/A,#N/A,FALSE,"MarketValue";#N/A,#N/A,FALSE,"BalSheet";#N/A,#N/A,FALSE,"WACC";#N/A,#N/A,FALSE,"PC+ Info.";#N/A,#N/A,FALSE,"PC+Info_2"}</definedName>
    <definedName name="wrn.Relevant1." localSheetId="18" hidden="1">{#N/A,#N/A,FALSE,"Title Page";#N/A,#N/A,FALSE,"Conclusions";#N/A,#N/A,FALSE,"Assum.";#N/A,#N/A,FALSE,"Sun  DCF-WC-Dep";#N/A,#N/A,FALSE,"MarketValue";#N/A,#N/A,FALSE,"BalSheet";#N/A,#N/A,FALSE,"WACC";#N/A,#N/A,FALSE,"PC+ Info.";#N/A,#N/A,FALSE,"PC+Info_2"}</definedName>
    <definedName name="wrn.Relevant1." localSheetId="9"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localSheetId="59" hidden="1">{#N/A,#N/A,FALSE,"Exh. 5A";#N/A,#N/A,FALSE,"Exh. 6"}</definedName>
    <definedName name="wrn.rep." localSheetId="52" hidden="1">{#N/A,#N/A,FALSE,"Exh. 5A";#N/A,#N/A,FALSE,"Exh. 6"}</definedName>
    <definedName name="wrn.rep." localSheetId="58" hidden="1">{#N/A,#N/A,FALSE,"Exh. 5A";#N/A,#N/A,FALSE,"Exh. 6"}</definedName>
    <definedName name="wrn.rep." localSheetId="43" hidden="1">{#N/A,#N/A,FALSE,"Exh. 5A";#N/A,#N/A,FALSE,"Exh. 6"}</definedName>
    <definedName name="wrn.rep." localSheetId="47" hidden="1">{#N/A,#N/A,FALSE,"Exh. 5A";#N/A,#N/A,FALSE,"Exh. 6"}</definedName>
    <definedName name="wrn.rep." localSheetId="44" hidden="1">{#N/A,#N/A,FALSE,"Exh. 5A";#N/A,#N/A,FALSE,"Exh. 6"}</definedName>
    <definedName name="wrn.rep." localSheetId="42" hidden="1">{#N/A,#N/A,FALSE,"Exh. 5A";#N/A,#N/A,FALSE,"Exh. 6"}</definedName>
    <definedName name="wrn.rep." localSheetId="18" hidden="1">{#N/A,#N/A,FALSE,"Exh. 5A";#N/A,#N/A,FALSE,"Exh. 6"}</definedName>
    <definedName name="wrn.rep." localSheetId="9" hidden="1">{#N/A,#N/A,FALSE,"Exh. 5A";#N/A,#N/A,FALSE,"Exh. 6"}</definedName>
    <definedName name="wrn.rep." hidden="1">{#N/A,#N/A,FALSE,"Exh. 5A";#N/A,#N/A,FALSE,"Exh. 6"}</definedName>
    <definedName name="wrn.REPORT." localSheetId="59"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8"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7"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4"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8"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9"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59" hidden="1">{"revenue detail 1",#N/A,FALSE,"Revenue Detail";"revenue detail 2",#N/A,FALSE,"Revenue Detail";"revenue detail 3",#N/A,FALSE,"Revenue Detail";"revenue detail 4",#N/A,FALSE,"Revenue Detail"}</definedName>
    <definedName name="wrn.revenue._.detail." localSheetId="52" hidden="1">{"revenue detail 1",#N/A,FALSE,"Revenue Detail";"revenue detail 2",#N/A,FALSE,"Revenue Detail";"revenue detail 3",#N/A,FALSE,"Revenue Detail";"revenue detail 4",#N/A,FALSE,"Revenue Detail"}</definedName>
    <definedName name="wrn.revenue._.detail." localSheetId="58" hidden="1">{"revenue detail 1",#N/A,FALSE,"Revenue Detail";"revenue detail 2",#N/A,FALSE,"Revenue Detail";"revenue detail 3",#N/A,FALSE,"Revenue Detail";"revenue detail 4",#N/A,FALSE,"Revenue Detail"}</definedName>
    <definedName name="wrn.revenue._.detail." localSheetId="43" hidden="1">{"revenue detail 1",#N/A,FALSE,"Revenue Detail";"revenue detail 2",#N/A,FALSE,"Revenue Detail";"revenue detail 3",#N/A,FALSE,"Revenue Detail";"revenue detail 4",#N/A,FALSE,"Revenue Detail"}</definedName>
    <definedName name="wrn.revenue._.detail." localSheetId="47" hidden="1">{"revenue detail 1",#N/A,FALSE,"Revenue Detail";"revenue detail 2",#N/A,FALSE,"Revenue Detail";"revenue detail 3",#N/A,FALSE,"Revenue Detail";"revenue detail 4",#N/A,FALSE,"Revenue Detail"}</definedName>
    <definedName name="wrn.revenue._.detail." localSheetId="44" hidden="1">{"revenue detail 1",#N/A,FALSE,"Revenue Detail";"revenue detail 2",#N/A,FALSE,"Revenue Detail";"revenue detail 3",#N/A,FALSE,"Revenue Detail";"revenue detail 4",#N/A,FALSE,"Revenue Detail"}</definedName>
    <definedName name="wrn.revenue._.detail." localSheetId="42" hidden="1">{"revenue detail 1",#N/A,FALSE,"Revenue Detail";"revenue detail 2",#N/A,FALSE,"Revenue Detail";"revenue detail 3",#N/A,FALSE,"Revenue Detail";"revenue detail 4",#N/A,FALSE,"Revenue Detail"}</definedName>
    <definedName name="wrn.revenue._.detail." localSheetId="18" hidden="1">{"revenue detail 1",#N/A,FALSE,"Revenue Detail";"revenue detail 2",#N/A,FALSE,"Revenue Detail";"revenue detail 3",#N/A,FALSE,"Revenue Detail";"revenue detail 4",#N/A,FALSE,"Revenue Detail"}</definedName>
    <definedName name="wrn.revenue._.detail." localSheetId="9"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59" hidden="1">{"Base_rev",#N/A,FALSE,"Proj_IS_Base";"Projrev",#N/A,FALSE,"Proj_IS_wOTLC";"Delta",#N/A,FALSE,"Delta Rev_PV"}</definedName>
    <definedName name="wrn.Revs." localSheetId="52" hidden="1">{"Base_rev",#N/A,FALSE,"Proj_IS_Base";"Projrev",#N/A,FALSE,"Proj_IS_wOTLC";"Delta",#N/A,FALSE,"Delta Rev_PV"}</definedName>
    <definedName name="wrn.Revs." localSheetId="58" hidden="1">{"Base_rev",#N/A,FALSE,"Proj_IS_Base";"Projrev",#N/A,FALSE,"Proj_IS_wOTLC";"Delta",#N/A,FALSE,"Delta Rev_PV"}</definedName>
    <definedName name="wrn.Revs." localSheetId="43" hidden="1">{"Base_rev",#N/A,FALSE,"Proj_IS_Base";"Projrev",#N/A,FALSE,"Proj_IS_wOTLC";"Delta",#N/A,FALSE,"Delta Rev_PV"}</definedName>
    <definedName name="wrn.Revs." localSheetId="47" hidden="1">{"Base_rev",#N/A,FALSE,"Proj_IS_Base";"Projrev",#N/A,FALSE,"Proj_IS_wOTLC";"Delta",#N/A,FALSE,"Delta Rev_PV"}</definedName>
    <definedName name="wrn.Revs." localSheetId="44" hidden="1">{"Base_rev",#N/A,FALSE,"Proj_IS_Base";"Projrev",#N/A,FALSE,"Proj_IS_wOTLC";"Delta",#N/A,FALSE,"Delta Rev_PV"}</definedName>
    <definedName name="wrn.Revs." localSheetId="42" hidden="1">{"Base_rev",#N/A,FALSE,"Proj_IS_Base";"Projrev",#N/A,FALSE,"Proj_IS_wOTLC";"Delta",#N/A,FALSE,"Delta Rev_PV"}</definedName>
    <definedName name="wrn.Revs." localSheetId="18" hidden="1">{"Base_rev",#N/A,FALSE,"Proj_IS_Base";"Projrev",#N/A,FALSE,"Proj_IS_wOTLC";"Delta",#N/A,FALSE,"Delta Rev_PV"}</definedName>
    <definedName name="wrn.Revs." localSheetId="9" hidden="1">{"Base_rev",#N/A,FALSE,"Proj_IS_Base";"Projrev",#N/A,FALSE,"Proj_IS_wOTLC";"Delta",#N/A,FALSE,"Delta Rev_PV"}</definedName>
    <definedName name="wrn.Revs." hidden="1">{"Base_rev",#N/A,FALSE,"Proj_IS_Base";"Projrev",#N/A,FALSE,"Proj_IS_wOTLC";"Delta",#N/A,FALSE,"Delta Rev_PV"}</definedName>
    <definedName name="wrn.Riverwood_comp_model." localSheetId="59" hidden="1">{#N/A,#N/A,FALSE,"Che-Ga";#N/A,#N/A,FALSE,"Iv-Sm";#N/A,#N/A,FALSE,"So-We";#N/A,#N/A,FALSE,"Me-Po";#N/A,#N/A,FALSE,"Be-Bo";#N/A,#N/A,FALSE,"Cha-Ki";#N/A,#N/A,FALSE,"In";#N/A,#N/A,FALSE,"Schedule 23";#N/A,#N/A,FALSE,"Schedule 22";#N/A,#N/A,FALSE,"WACC"}</definedName>
    <definedName name="wrn.Riverwood_comp_model." localSheetId="52" hidden="1">{#N/A,#N/A,FALSE,"Che-Ga";#N/A,#N/A,FALSE,"Iv-Sm";#N/A,#N/A,FALSE,"So-We";#N/A,#N/A,FALSE,"Me-Po";#N/A,#N/A,FALSE,"Be-Bo";#N/A,#N/A,FALSE,"Cha-Ki";#N/A,#N/A,FALSE,"In";#N/A,#N/A,FALSE,"Schedule 23";#N/A,#N/A,FALSE,"Schedule 22";#N/A,#N/A,FALSE,"WACC"}</definedName>
    <definedName name="wrn.Riverwood_comp_model." localSheetId="58" hidden="1">{#N/A,#N/A,FALSE,"Che-Ga";#N/A,#N/A,FALSE,"Iv-Sm";#N/A,#N/A,FALSE,"So-We";#N/A,#N/A,FALSE,"Me-Po";#N/A,#N/A,FALSE,"Be-Bo";#N/A,#N/A,FALSE,"Cha-Ki";#N/A,#N/A,FALSE,"In";#N/A,#N/A,FALSE,"Schedule 23";#N/A,#N/A,FALSE,"Schedule 22";#N/A,#N/A,FALSE,"WACC"}</definedName>
    <definedName name="wrn.Riverwood_comp_model." localSheetId="43" hidden="1">{#N/A,#N/A,FALSE,"Che-Ga";#N/A,#N/A,FALSE,"Iv-Sm";#N/A,#N/A,FALSE,"So-We";#N/A,#N/A,FALSE,"Me-Po";#N/A,#N/A,FALSE,"Be-Bo";#N/A,#N/A,FALSE,"Cha-Ki";#N/A,#N/A,FALSE,"In";#N/A,#N/A,FALSE,"Schedule 23";#N/A,#N/A,FALSE,"Schedule 22";#N/A,#N/A,FALSE,"WACC"}</definedName>
    <definedName name="wrn.Riverwood_comp_model." localSheetId="47" hidden="1">{#N/A,#N/A,FALSE,"Che-Ga";#N/A,#N/A,FALSE,"Iv-Sm";#N/A,#N/A,FALSE,"So-We";#N/A,#N/A,FALSE,"Me-Po";#N/A,#N/A,FALSE,"Be-Bo";#N/A,#N/A,FALSE,"Cha-Ki";#N/A,#N/A,FALSE,"In";#N/A,#N/A,FALSE,"Schedule 23";#N/A,#N/A,FALSE,"Schedule 22";#N/A,#N/A,FALSE,"WACC"}</definedName>
    <definedName name="wrn.Riverwood_comp_model." localSheetId="44" hidden="1">{#N/A,#N/A,FALSE,"Che-Ga";#N/A,#N/A,FALSE,"Iv-Sm";#N/A,#N/A,FALSE,"So-We";#N/A,#N/A,FALSE,"Me-Po";#N/A,#N/A,FALSE,"Be-Bo";#N/A,#N/A,FALSE,"Cha-Ki";#N/A,#N/A,FALSE,"In";#N/A,#N/A,FALSE,"Schedule 23";#N/A,#N/A,FALSE,"Schedule 22";#N/A,#N/A,FALSE,"WACC"}</definedName>
    <definedName name="wrn.Riverwood_comp_model." localSheetId="42" hidden="1">{#N/A,#N/A,FALSE,"Che-Ga";#N/A,#N/A,FALSE,"Iv-Sm";#N/A,#N/A,FALSE,"So-We";#N/A,#N/A,FALSE,"Me-Po";#N/A,#N/A,FALSE,"Be-Bo";#N/A,#N/A,FALSE,"Cha-Ki";#N/A,#N/A,FALSE,"In";#N/A,#N/A,FALSE,"Schedule 23";#N/A,#N/A,FALSE,"Schedule 22";#N/A,#N/A,FALSE,"WACC"}</definedName>
    <definedName name="wrn.Riverwood_comp_model." localSheetId="18" hidden="1">{#N/A,#N/A,FALSE,"Che-Ga";#N/A,#N/A,FALSE,"Iv-Sm";#N/A,#N/A,FALSE,"So-We";#N/A,#N/A,FALSE,"Me-Po";#N/A,#N/A,FALSE,"Be-Bo";#N/A,#N/A,FALSE,"Cha-Ki";#N/A,#N/A,FALSE,"In";#N/A,#N/A,FALSE,"Schedule 23";#N/A,#N/A,FALSE,"Schedule 22";#N/A,#N/A,FALSE,"WACC"}</definedName>
    <definedName name="wrn.Riverwood_comp_model." localSheetId="9"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59" hidden="1">{#N/A,#N/A,FALSE,"ROA";#N/A,#N/A,FALSE,"ROI";#N/A,#N/A,FALSE,"EBIT";#N/A,#N/A,FALSE,"MULT X"}</definedName>
    <definedName name="wrn.ROUGH." localSheetId="52" hidden="1">{#N/A,#N/A,FALSE,"ROA";#N/A,#N/A,FALSE,"ROI";#N/A,#N/A,FALSE,"EBIT";#N/A,#N/A,FALSE,"MULT X"}</definedName>
    <definedName name="wrn.ROUGH." localSheetId="58" hidden="1">{#N/A,#N/A,FALSE,"ROA";#N/A,#N/A,FALSE,"ROI";#N/A,#N/A,FALSE,"EBIT";#N/A,#N/A,FALSE,"MULT X"}</definedName>
    <definedName name="wrn.ROUGH." localSheetId="43" hidden="1">{#N/A,#N/A,FALSE,"ROA";#N/A,#N/A,FALSE,"ROI";#N/A,#N/A,FALSE,"EBIT";#N/A,#N/A,FALSE,"MULT X"}</definedName>
    <definedName name="wrn.ROUGH." localSheetId="47" hidden="1">{#N/A,#N/A,FALSE,"ROA";#N/A,#N/A,FALSE,"ROI";#N/A,#N/A,FALSE,"EBIT";#N/A,#N/A,FALSE,"MULT X"}</definedName>
    <definedName name="wrn.ROUGH." localSheetId="44" hidden="1">{#N/A,#N/A,FALSE,"ROA";#N/A,#N/A,FALSE,"ROI";#N/A,#N/A,FALSE,"EBIT";#N/A,#N/A,FALSE,"MULT X"}</definedName>
    <definedName name="wrn.ROUGH." localSheetId="42" hidden="1">{#N/A,#N/A,FALSE,"ROA";#N/A,#N/A,FALSE,"ROI";#N/A,#N/A,FALSE,"EBIT";#N/A,#N/A,FALSE,"MULT X"}</definedName>
    <definedName name="wrn.ROUGH." localSheetId="18" hidden="1">{#N/A,#N/A,FALSE,"ROA";#N/A,#N/A,FALSE,"ROI";#N/A,#N/A,FALSE,"EBIT";#N/A,#N/A,FALSE,"MULT X"}</definedName>
    <definedName name="wrn.ROUGH." localSheetId="9" hidden="1">{#N/A,#N/A,FALSE,"ROA";#N/A,#N/A,FALSE,"ROI";#N/A,#N/A,FALSE,"EBIT";#N/A,#N/A,FALSE,"MULT X"}</definedName>
    <definedName name="wrn.ROUGH." hidden="1">{#N/A,#N/A,FALSE,"ROA";#N/A,#N/A,FALSE,"ROI";#N/A,#N/A,FALSE,"EBIT";#N/A,#N/A,FALSE,"MULT X"}</definedName>
    <definedName name="wrn.rptexhibits." localSheetId="59" hidden="1">{#N/A,#N/A,FALSE,"BS";#N/A,#N/A,FALSE,"IS";#N/A,#N/A,FALSE,"RMA ";#N/A,#N/A,FALSE,"ADJ IS";#N/A,#N/A,FALSE,"DCF"}</definedName>
    <definedName name="wrn.rptexhibits." localSheetId="52" hidden="1">{#N/A,#N/A,FALSE,"BS";#N/A,#N/A,FALSE,"IS";#N/A,#N/A,FALSE,"RMA ";#N/A,#N/A,FALSE,"ADJ IS";#N/A,#N/A,FALSE,"DCF"}</definedName>
    <definedName name="wrn.rptexhibits." localSheetId="58" hidden="1">{#N/A,#N/A,FALSE,"BS";#N/A,#N/A,FALSE,"IS";#N/A,#N/A,FALSE,"RMA ";#N/A,#N/A,FALSE,"ADJ IS";#N/A,#N/A,FALSE,"DCF"}</definedName>
    <definedName name="wrn.rptexhibits." localSheetId="43" hidden="1">{#N/A,#N/A,FALSE,"BS";#N/A,#N/A,FALSE,"IS";#N/A,#N/A,FALSE,"RMA ";#N/A,#N/A,FALSE,"ADJ IS";#N/A,#N/A,FALSE,"DCF"}</definedName>
    <definedName name="wrn.rptexhibits." localSheetId="47" hidden="1">{#N/A,#N/A,FALSE,"BS";#N/A,#N/A,FALSE,"IS";#N/A,#N/A,FALSE,"RMA ";#N/A,#N/A,FALSE,"ADJ IS";#N/A,#N/A,FALSE,"DCF"}</definedName>
    <definedName name="wrn.rptexhibits." localSheetId="44" hidden="1">{#N/A,#N/A,FALSE,"BS";#N/A,#N/A,FALSE,"IS";#N/A,#N/A,FALSE,"RMA ";#N/A,#N/A,FALSE,"ADJ IS";#N/A,#N/A,FALSE,"DCF"}</definedName>
    <definedName name="wrn.rptexhibits." localSheetId="42" hidden="1">{#N/A,#N/A,FALSE,"BS";#N/A,#N/A,FALSE,"IS";#N/A,#N/A,FALSE,"RMA ";#N/A,#N/A,FALSE,"ADJ IS";#N/A,#N/A,FALSE,"DCF"}</definedName>
    <definedName name="wrn.rptexhibits." localSheetId="18" hidden="1">{#N/A,#N/A,FALSE,"BS";#N/A,#N/A,FALSE,"IS";#N/A,#N/A,FALSE,"RMA ";#N/A,#N/A,FALSE,"ADJ IS";#N/A,#N/A,FALSE,"DCF"}</definedName>
    <definedName name="wrn.rptexhibits." localSheetId="9" hidden="1">{#N/A,#N/A,FALSE,"BS";#N/A,#N/A,FALSE,"IS";#N/A,#N/A,FALSE,"RMA ";#N/A,#N/A,FALSE,"ADJ IS";#N/A,#N/A,FALSE,"DCF"}</definedName>
    <definedName name="wrn.rptexhibits." hidden="1">{#N/A,#N/A,FALSE,"BS";#N/A,#N/A,FALSE,"IS";#N/A,#N/A,FALSE,"RMA ";#N/A,#N/A,FALSE,"ADJ IS";#N/A,#N/A,FALSE,"DCF"}</definedName>
    <definedName name="wrn.subs." localSheetId="59" hidden="1">{#N/A,#N/A,FALSE,"Comp - War";#N/A,#N/A,FALSE,"Comp - War"}</definedName>
    <definedName name="wrn.subs." localSheetId="52" hidden="1">{#N/A,#N/A,FALSE,"Comp - War";#N/A,#N/A,FALSE,"Comp - War"}</definedName>
    <definedName name="wrn.subs." localSheetId="58" hidden="1">{#N/A,#N/A,FALSE,"Comp - War";#N/A,#N/A,FALSE,"Comp - War"}</definedName>
    <definedName name="wrn.subs." localSheetId="43" hidden="1">{#N/A,#N/A,FALSE,"Comp - War";#N/A,#N/A,FALSE,"Comp - War"}</definedName>
    <definedName name="wrn.subs." localSheetId="47" hidden="1">{#N/A,#N/A,FALSE,"Comp - War";#N/A,#N/A,FALSE,"Comp - War"}</definedName>
    <definedName name="wrn.subs." localSheetId="44" hidden="1">{#N/A,#N/A,FALSE,"Comp - War";#N/A,#N/A,FALSE,"Comp - War"}</definedName>
    <definedName name="wrn.subs." localSheetId="42" hidden="1">{#N/A,#N/A,FALSE,"Comp - War";#N/A,#N/A,FALSE,"Comp - War"}</definedName>
    <definedName name="wrn.subs." localSheetId="18" hidden="1">{#N/A,#N/A,FALSE,"Comp - War";#N/A,#N/A,FALSE,"Comp - War"}</definedName>
    <definedName name="wrn.subs." localSheetId="9" hidden="1">{#N/A,#N/A,FALSE,"Comp - War";#N/A,#N/A,FALSE,"Comp - War"}</definedName>
    <definedName name="wrn.subs." hidden="1">{#N/A,#N/A,FALSE,"Comp - War";#N/A,#N/A,FALSE,"Comp - War"}</definedName>
    <definedName name="wrn.sum." localSheetId="59" hidden="1">{"Opsys",#N/A,FALSE,"NPV_OPsys";"NT",#N/A,FALSE,"NPV_NT";"DevP",#N/A,FALSE,"NPV_DevPdt";"Office",#N/A,FALSE,"NPV_Office"}</definedName>
    <definedName name="wrn.sum." localSheetId="52" hidden="1">{"Opsys",#N/A,FALSE,"NPV_OPsys";"NT",#N/A,FALSE,"NPV_NT";"DevP",#N/A,FALSE,"NPV_DevPdt";"Office",#N/A,FALSE,"NPV_Office"}</definedName>
    <definedName name="wrn.sum." localSheetId="58" hidden="1">{"Opsys",#N/A,FALSE,"NPV_OPsys";"NT",#N/A,FALSE,"NPV_NT";"DevP",#N/A,FALSE,"NPV_DevPdt";"Office",#N/A,FALSE,"NPV_Office"}</definedName>
    <definedName name="wrn.sum." localSheetId="43" hidden="1">{"Opsys",#N/A,FALSE,"NPV_OPsys";"NT",#N/A,FALSE,"NPV_NT";"DevP",#N/A,FALSE,"NPV_DevPdt";"Office",#N/A,FALSE,"NPV_Office"}</definedName>
    <definedName name="wrn.sum." localSheetId="47" hidden="1">{"Opsys",#N/A,FALSE,"NPV_OPsys";"NT",#N/A,FALSE,"NPV_NT";"DevP",#N/A,FALSE,"NPV_DevPdt";"Office",#N/A,FALSE,"NPV_Office"}</definedName>
    <definedName name="wrn.sum." localSheetId="44" hidden="1">{"Opsys",#N/A,FALSE,"NPV_OPsys";"NT",#N/A,FALSE,"NPV_NT";"DevP",#N/A,FALSE,"NPV_DevPdt";"Office",#N/A,FALSE,"NPV_Office"}</definedName>
    <definedName name="wrn.sum." localSheetId="42" hidden="1">{"Opsys",#N/A,FALSE,"NPV_OPsys";"NT",#N/A,FALSE,"NPV_NT";"DevP",#N/A,FALSE,"NPV_DevPdt";"Office",#N/A,FALSE,"NPV_Office"}</definedName>
    <definedName name="wrn.sum." localSheetId="18" hidden="1">{"Opsys",#N/A,FALSE,"NPV_OPsys";"NT",#N/A,FALSE,"NPV_NT";"DevP",#N/A,FALSE,"NPV_DevPdt";"Office",#N/A,FALSE,"NPV_Office"}</definedName>
    <definedName name="wrn.sum." localSheetId="9" hidden="1">{"Opsys",#N/A,FALSE,"NPV_OPsys";"NT",#N/A,FALSE,"NPV_NT";"DevP",#N/A,FALSE,"NPV_DevPdt";"Office",#N/A,FALSE,"NPV_Office"}</definedName>
    <definedName name="wrn.sum." hidden="1">{"Opsys",#N/A,FALSE,"NPV_OPsys";"NT",#N/A,FALSE,"NPV_NT";"DevP",#N/A,FALSE,"NPV_DevPdt";"Office",#N/A,FALSE,"NPV_Office"}</definedName>
    <definedName name="wrn.summary._.schedules." localSheetId="59" hidden="1">{"summary1",#N/A,FALSE,"Summary of Values";"summary2",#N/A,FALSE,"Summary of Values"}</definedName>
    <definedName name="wrn.summary._.schedules." localSheetId="52" hidden="1">{"summary1",#N/A,FALSE,"Summary of Values";"summary2",#N/A,FALSE,"Summary of Values"}</definedName>
    <definedName name="wrn.summary._.schedules." localSheetId="58" hidden="1">{"summary1",#N/A,FALSE,"Summary of Values";"summary2",#N/A,FALSE,"Summary of Values"}</definedName>
    <definedName name="wrn.summary._.schedules." localSheetId="43" hidden="1">{"summary1",#N/A,FALSE,"Summary of Values";"summary2",#N/A,FALSE,"Summary of Values"}</definedName>
    <definedName name="wrn.summary._.schedules." localSheetId="47" hidden="1">{"summary1",#N/A,FALSE,"Summary of Values";"summary2",#N/A,FALSE,"Summary of Values"}</definedName>
    <definedName name="wrn.summary._.schedules." localSheetId="44" hidden="1">{"summary1",#N/A,FALSE,"Summary of Values";"summary2",#N/A,FALSE,"Summary of Values"}</definedName>
    <definedName name="wrn.summary._.schedules." localSheetId="42" hidden="1">{"summary1",#N/A,FALSE,"Summary of Values";"summary2",#N/A,FALSE,"Summary of Values"}</definedName>
    <definedName name="wrn.summary._.schedules." localSheetId="18" hidden="1">{"summary1",#N/A,FALSE,"Summary of Values";"summary2",#N/A,FALSE,"Summary of Values"}</definedName>
    <definedName name="wrn.summary._.schedules." localSheetId="9" hidden="1">{"summary1",#N/A,FALSE,"Summary of Values";"summary2",#N/A,FALSE,"Summary of Values"}</definedName>
    <definedName name="wrn.summary._.schedules." hidden="1">{"summary1",#N/A,FALSE,"Summary of Values";"summary2",#N/A,FALSE,"Summary of Values"}</definedName>
    <definedName name="wrn.technology." localSheetId="59" hidden="1">{"developed valuation",#N/A,FALSE,"Valuation Analysis";"developed income statement",#N/A,FALSE,"Abbreviated Income Statement";"inprocess valuation",#N/A,FALSE,"Valuation Analysis";"inprocess income statement",#N/A,FALSE,"Abbreviated Income Statement"}</definedName>
    <definedName name="wrn.technology." localSheetId="52" hidden="1">{"developed valuation",#N/A,FALSE,"Valuation Analysis";"developed income statement",#N/A,FALSE,"Abbreviated Income Statement";"inprocess valuation",#N/A,FALSE,"Valuation Analysis";"inprocess income statement",#N/A,FALSE,"Abbreviated Income Statement"}</definedName>
    <definedName name="wrn.technology." localSheetId="58" hidden="1">{"developed valuation",#N/A,FALSE,"Valuation Analysis";"developed income statement",#N/A,FALSE,"Abbreviated Income Statement";"inprocess valuation",#N/A,FALSE,"Valuation Analysis";"inprocess income statement",#N/A,FALSE,"Abbreviated Income Statement"}</definedName>
    <definedName name="wrn.technology." localSheetId="43" hidden="1">{"developed valuation",#N/A,FALSE,"Valuation Analysis";"developed income statement",#N/A,FALSE,"Abbreviated Income Statement";"inprocess valuation",#N/A,FALSE,"Valuation Analysis";"inprocess income statement",#N/A,FALSE,"Abbreviated Income Statement"}</definedName>
    <definedName name="wrn.technology." localSheetId="47" hidden="1">{"developed valuation",#N/A,FALSE,"Valuation Analysis";"developed income statement",#N/A,FALSE,"Abbreviated Income Statement";"inprocess valuation",#N/A,FALSE,"Valuation Analysis";"inprocess income statement",#N/A,FALSE,"Abbreviated Income Statement"}</definedName>
    <definedName name="wrn.technology." localSheetId="44" hidden="1">{"developed valuation",#N/A,FALSE,"Valuation Analysis";"developed income statement",#N/A,FALSE,"Abbreviated Income Statement";"inprocess valuation",#N/A,FALSE,"Valuation Analysis";"inprocess income statement",#N/A,FALSE,"Abbreviated Income Statement"}</definedName>
    <definedName name="wrn.technology." localSheetId="42" hidden="1">{"developed valuation",#N/A,FALSE,"Valuation Analysis";"developed income statement",#N/A,FALSE,"Abbreviated Income Statement";"inprocess valuation",#N/A,FALSE,"Valuation Analysis";"inprocess income statement",#N/A,FALSE,"Abbreviated Income Statement"}</definedName>
    <definedName name="wrn.technology." localSheetId="18" hidden="1">{"developed valuation",#N/A,FALSE,"Valuation Analysis";"developed income statement",#N/A,FALSE,"Abbreviated Income Statement";"inprocess valuation",#N/A,FALSE,"Valuation Analysis";"inprocess income statement",#N/A,FALSE,"Abbreviated Income Statement"}</definedName>
    <definedName name="wrn.technology." localSheetId="9"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localSheetId="59" hidden="1">{"Landscape Detail IS",#N/A,FALSE,"Three Months Ended 8.31.96";"Portrait Summary IS",#N/A,FALSE,"Three Months Ended 8.31.96"}</definedName>
    <definedName name="wrn.Three._.Month._.I.S." localSheetId="52" hidden="1">{"Landscape Detail IS",#N/A,FALSE,"Three Months Ended 8.31.96";"Portrait Summary IS",#N/A,FALSE,"Three Months Ended 8.31.96"}</definedName>
    <definedName name="wrn.Three._.Month._.I.S." localSheetId="58" hidden="1">{"Landscape Detail IS",#N/A,FALSE,"Three Months Ended 8.31.96";"Portrait Summary IS",#N/A,FALSE,"Three Months Ended 8.31.96"}</definedName>
    <definedName name="wrn.Three._.Month._.I.S." localSheetId="43" hidden="1">{"Landscape Detail IS",#N/A,FALSE,"Three Months Ended 8.31.96";"Portrait Summary IS",#N/A,FALSE,"Three Months Ended 8.31.96"}</definedName>
    <definedName name="wrn.Three._.Month._.I.S." localSheetId="47" hidden="1">{"Landscape Detail IS",#N/A,FALSE,"Three Months Ended 8.31.96";"Portrait Summary IS",#N/A,FALSE,"Three Months Ended 8.31.96"}</definedName>
    <definedName name="wrn.Three._.Month._.I.S." localSheetId="44" hidden="1">{"Landscape Detail IS",#N/A,FALSE,"Three Months Ended 8.31.96";"Portrait Summary IS",#N/A,FALSE,"Three Months Ended 8.31.96"}</definedName>
    <definedName name="wrn.Three._.Month._.I.S." localSheetId="42" hidden="1">{"Landscape Detail IS",#N/A,FALSE,"Three Months Ended 8.31.96";"Portrait Summary IS",#N/A,FALSE,"Three Months Ended 8.31.96"}</definedName>
    <definedName name="wrn.Three._.Month._.I.S." localSheetId="18" hidden="1">{"Landscape Detail IS",#N/A,FALSE,"Three Months Ended 8.31.96";"Portrait Summary IS",#N/A,FALSE,"Three Months Ended 8.31.96"}</definedName>
    <definedName name="wrn.Three._.Month._.I.S." localSheetId="9"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rademark._.and._.trade._.name." localSheetId="59" hidden="1">{"trademark1",#N/A,FALSE,"Trademark(s) and Trade Name(s)"}</definedName>
    <definedName name="wrn.trademark._.and._.trade._.name." localSheetId="52" hidden="1">{"trademark1",#N/A,FALSE,"Trademark(s) and Trade Name(s)"}</definedName>
    <definedName name="wrn.trademark._.and._.trade._.name." localSheetId="58" hidden="1">{"trademark1",#N/A,FALSE,"Trademark(s) and Trade Name(s)"}</definedName>
    <definedName name="wrn.trademark._.and._.trade._.name." localSheetId="43" hidden="1">{"trademark1",#N/A,FALSE,"Trademark(s) and Trade Name(s)"}</definedName>
    <definedName name="wrn.trademark._.and._.trade._.name." localSheetId="47" hidden="1">{"trademark1",#N/A,FALSE,"Trademark(s) and Trade Name(s)"}</definedName>
    <definedName name="wrn.trademark._.and._.trade._.name." localSheetId="44" hidden="1">{"trademark1",#N/A,FALSE,"Trademark(s) and Trade Name(s)"}</definedName>
    <definedName name="wrn.trademark._.and._.trade._.name." localSheetId="42" hidden="1">{"trademark1",#N/A,FALSE,"Trademark(s) and Trade Name(s)"}</definedName>
    <definedName name="wrn.trademark._.and._.trade._.name." localSheetId="18" hidden="1">{"trademark1",#N/A,FALSE,"Trademark(s) and Trade Name(s)"}</definedName>
    <definedName name="wrn.trademark._.and._.trade._.name." localSheetId="9" hidden="1">{"trademark1",#N/A,FALSE,"Trademark(s) and Trade Name(s)"}</definedName>
    <definedName name="wrn.trademark._.and._.trade._.name." hidden="1">{"trademark1",#N/A,FALSE,"Trademark(s) and Trade Name(s)"}</definedName>
    <definedName name="wrn.wara." localSheetId="59" hidden="1">{"weighted average returns",#N/A,FALSE,"WACC and WARA"}</definedName>
    <definedName name="wrn.wara." localSheetId="52" hidden="1">{"weighted average returns",#N/A,FALSE,"WACC and WARA"}</definedName>
    <definedName name="wrn.wara." localSheetId="58" hidden="1">{"weighted average returns",#N/A,FALSE,"WACC and WARA"}</definedName>
    <definedName name="wrn.wara." localSheetId="43" hidden="1">{"weighted average returns",#N/A,FALSE,"WACC and WARA"}</definedName>
    <definedName name="wrn.wara." localSheetId="47" hidden="1">{"weighted average returns",#N/A,FALSE,"WACC and WARA"}</definedName>
    <definedName name="wrn.wara." localSheetId="44" hidden="1">{"weighted average returns",#N/A,FALSE,"WACC and WARA"}</definedName>
    <definedName name="wrn.wara." localSheetId="42" hidden="1">{"weighted average returns",#N/A,FALSE,"WACC and WARA"}</definedName>
    <definedName name="wrn.wara." localSheetId="18" hidden="1">{"weighted average returns",#N/A,FALSE,"WACC and WARA"}</definedName>
    <definedName name="wrn.wara." localSheetId="9" hidden="1">{"weighted average returns",#N/A,FALSE,"WACC and WARA"}</definedName>
    <definedName name="wrn.wara." hidden="1">{"weighted average returns",#N/A,FALSE,"WACC and WARA"}</definedName>
    <definedName name="wrn.Whole._.Model." localSheetId="59" hidden="1">{#N/A,#N/A,FALSE,"Model";#N/A,#N/A,FALSE,"Gen Pts &amp; Rts 2000";#N/A,#N/A,FALSE,"AcqsAss";#N/A,#N/A,FALSE,"Acqs &amp; De Novos"}</definedName>
    <definedName name="wrn.Whole._.Model." localSheetId="52" hidden="1">{#N/A,#N/A,FALSE,"Model";#N/A,#N/A,FALSE,"Gen Pts &amp; Rts 2000";#N/A,#N/A,FALSE,"AcqsAss";#N/A,#N/A,FALSE,"Acqs &amp; De Novos"}</definedName>
    <definedName name="wrn.Whole._.Model." localSheetId="58" hidden="1">{#N/A,#N/A,FALSE,"Model";#N/A,#N/A,FALSE,"Gen Pts &amp; Rts 2000";#N/A,#N/A,FALSE,"AcqsAss";#N/A,#N/A,FALSE,"Acqs &amp; De Novos"}</definedName>
    <definedName name="wrn.Whole._.Model." localSheetId="43" hidden="1">{#N/A,#N/A,FALSE,"Model";#N/A,#N/A,FALSE,"Gen Pts &amp; Rts 2000";#N/A,#N/A,FALSE,"AcqsAss";#N/A,#N/A,FALSE,"Acqs &amp; De Novos"}</definedName>
    <definedName name="wrn.Whole._.Model." localSheetId="47" hidden="1">{#N/A,#N/A,FALSE,"Model";#N/A,#N/A,FALSE,"Gen Pts &amp; Rts 2000";#N/A,#N/A,FALSE,"AcqsAss";#N/A,#N/A,FALSE,"Acqs &amp; De Novos"}</definedName>
    <definedName name="wrn.Whole._.Model." localSheetId="44" hidden="1">{#N/A,#N/A,FALSE,"Model";#N/A,#N/A,FALSE,"Gen Pts &amp; Rts 2000";#N/A,#N/A,FALSE,"AcqsAss";#N/A,#N/A,FALSE,"Acqs &amp; De Novos"}</definedName>
    <definedName name="wrn.Whole._.Model." localSheetId="42" hidden="1">{#N/A,#N/A,FALSE,"Model";#N/A,#N/A,FALSE,"Gen Pts &amp; Rts 2000";#N/A,#N/A,FALSE,"AcqsAss";#N/A,#N/A,FALSE,"Acqs &amp; De Novos"}</definedName>
    <definedName name="wrn.Whole._.Model." localSheetId="18" hidden="1">{#N/A,#N/A,FALSE,"Model";#N/A,#N/A,FALSE,"Gen Pts &amp; Rts 2000";#N/A,#N/A,FALSE,"AcqsAss";#N/A,#N/A,FALSE,"Acqs &amp; De Novos"}</definedName>
    <definedName name="wrn.Whole._.Model." localSheetId="9" hidden="1">{#N/A,#N/A,FALSE,"Model";#N/A,#N/A,FALSE,"Gen Pts &amp; Rts 2000";#N/A,#N/A,FALSE,"AcqsAss";#N/A,#N/A,FALSE,"Acqs &amp; De Novos"}</definedName>
    <definedName name="wrn.Whole._.Model." hidden="1">{#N/A,#N/A,FALSE,"Model";#N/A,#N/A,FALSE,"Gen Pts &amp; Rts 2000";#N/A,#N/A,FALSE,"AcqsAss";#N/A,#N/A,FALSE,"Acqs &amp; De Novos"}</definedName>
    <definedName name="wrn.work._.paper._.shcedules." localSheetId="59" hidden="1">{"summary1",#N/A,FALSE,"Summary of Values";"summary2",#N/A,FALSE,"Summary of Values";"weighted average returns",#N/A,FALSE,"WACC and WARA";"fixed asset detail",#N/A,FALSE,"Fixed Asset Detail"}</definedName>
    <definedName name="wrn.work._.paper._.shcedules." localSheetId="52" hidden="1">{"summary1",#N/A,FALSE,"Summary of Values";"summary2",#N/A,FALSE,"Summary of Values";"weighted average returns",#N/A,FALSE,"WACC and WARA";"fixed asset detail",#N/A,FALSE,"Fixed Asset Detail"}</definedName>
    <definedName name="wrn.work._.paper._.shcedules." localSheetId="58" hidden="1">{"summary1",#N/A,FALSE,"Summary of Values";"summary2",#N/A,FALSE,"Summary of Values";"weighted average returns",#N/A,FALSE,"WACC and WARA";"fixed asset detail",#N/A,FALSE,"Fixed Asset Detail"}</definedName>
    <definedName name="wrn.work._.paper._.shcedules." localSheetId="43" hidden="1">{"summary1",#N/A,FALSE,"Summary of Values";"summary2",#N/A,FALSE,"Summary of Values";"weighted average returns",#N/A,FALSE,"WACC and WARA";"fixed asset detail",#N/A,FALSE,"Fixed Asset Detail"}</definedName>
    <definedName name="wrn.work._.paper._.shcedules." localSheetId="47" hidden="1">{"summary1",#N/A,FALSE,"Summary of Values";"summary2",#N/A,FALSE,"Summary of Values";"weighted average returns",#N/A,FALSE,"WACC and WARA";"fixed asset detail",#N/A,FALSE,"Fixed Asset Detail"}</definedName>
    <definedName name="wrn.work._.paper._.shcedules." localSheetId="44" hidden="1">{"summary1",#N/A,FALSE,"Summary of Values";"summary2",#N/A,FALSE,"Summary of Values";"weighted average returns",#N/A,FALSE,"WACC and WARA";"fixed asset detail",#N/A,FALSE,"Fixed Asset Detail"}</definedName>
    <definedName name="wrn.work._.paper._.shcedules." localSheetId="42" hidden="1">{"summary1",#N/A,FALSE,"Summary of Values";"summary2",#N/A,FALSE,"Summary of Values";"weighted average returns",#N/A,FALSE,"WACC and WARA";"fixed asset detail",#N/A,FALSE,"Fixed Asset Detail"}</definedName>
    <definedName name="wrn.work._.paper._.shcedules." localSheetId="18" hidden="1">{"summary1",#N/A,FALSE,"Summary of Values";"summary2",#N/A,FALSE,"Summary of Values";"weighted average returns",#N/A,FALSE,"WACC and WARA";"fixed asset detail",#N/A,FALSE,"Fixed Asset Detail"}</definedName>
    <definedName name="wrn.work._.paper._.shcedules." localSheetId="9"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vu.inputs._.raw._.data." localSheetId="5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5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59" hidden="1">{#N/A,#N/A,FALSE,"Bakersfield PCs";#N/A,#N/A,FALSE,"Bremer PCs";#N/A,#N/A,FALSE,"Bakersfield Notebooks"}</definedName>
    <definedName name="ww" localSheetId="52" hidden="1">{#N/A,#N/A,FALSE,"Bakersfield PCs";#N/A,#N/A,FALSE,"Bremer PCs";#N/A,#N/A,FALSE,"Bakersfield Notebooks"}</definedName>
    <definedName name="ww" localSheetId="58" hidden="1">{#N/A,#N/A,FALSE,"Bakersfield PCs";#N/A,#N/A,FALSE,"Bremer PCs";#N/A,#N/A,FALSE,"Bakersfield Notebooks"}</definedName>
    <definedName name="ww" localSheetId="43" hidden="1">{#N/A,#N/A,FALSE,"Bakersfield PCs";#N/A,#N/A,FALSE,"Bremer PCs";#N/A,#N/A,FALSE,"Bakersfield Notebooks"}</definedName>
    <definedName name="ww" localSheetId="47" hidden="1">{#N/A,#N/A,FALSE,"Bakersfield PCs";#N/A,#N/A,FALSE,"Bremer PCs";#N/A,#N/A,FALSE,"Bakersfield Notebooks"}</definedName>
    <definedName name="ww" localSheetId="44" hidden="1">{#N/A,#N/A,FALSE,"Bakersfield PCs";#N/A,#N/A,FALSE,"Bremer PCs";#N/A,#N/A,FALSE,"Bakersfield Notebooks"}</definedName>
    <definedName name="ww" localSheetId="42" hidden="1">{#N/A,#N/A,FALSE,"Bakersfield PCs";#N/A,#N/A,FALSE,"Bremer PCs";#N/A,#N/A,FALSE,"Bakersfield Notebooks"}</definedName>
    <definedName name="ww" localSheetId="18" hidden="1">{#N/A,#N/A,FALSE,"Bakersfield PCs";#N/A,#N/A,FALSE,"Bremer PCs";#N/A,#N/A,FALSE,"Bakersfield Notebooks"}</definedName>
    <definedName name="ww" localSheetId="9" hidden="1">{#N/A,#N/A,FALSE,"Bakersfield PCs";#N/A,#N/A,FALSE,"Bremer PCs";#N/A,#N/A,FALSE,"Bakersfield Notebooks"}</definedName>
    <definedName name="ww" hidden="1">{#N/A,#N/A,FALSE,"Bakersfield PCs";#N/A,#N/A,FALSE,"Bremer PCs";#N/A,#N/A,FALSE,"Bakersfield Notebooks"}</definedName>
    <definedName name="ww.Rele" localSheetId="59" hidden="1">{#N/A,#N/A,FALSE,"Title Page";#N/A,#N/A,FALSE,"Conclusions";#N/A,#N/A,FALSE,"Assum.";#N/A,#N/A,FALSE,"Sun  DCF-WC-Dep";#N/A,#N/A,FALSE,"MarketValue";#N/A,#N/A,FALSE,"BalSheet";#N/A,#N/A,FALSE,"WACC";#N/A,#N/A,FALSE,"PC+ Info.";#N/A,#N/A,FALSE,"PC+Info_2"}</definedName>
    <definedName name="ww.Rele" localSheetId="52" hidden="1">{#N/A,#N/A,FALSE,"Title Page";#N/A,#N/A,FALSE,"Conclusions";#N/A,#N/A,FALSE,"Assum.";#N/A,#N/A,FALSE,"Sun  DCF-WC-Dep";#N/A,#N/A,FALSE,"MarketValue";#N/A,#N/A,FALSE,"BalSheet";#N/A,#N/A,FALSE,"WACC";#N/A,#N/A,FALSE,"PC+ Info.";#N/A,#N/A,FALSE,"PC+Info_2"}</definedName>
    <definedName name="ww.Rele" localSheetId="58" hidden="1">{#N/A,#N/A,FALSE,"Title Page";#N/A,#N/A,FALSE,"Conclusions";#N/A,#N/A,FALSE,"Assum.";#N/A,#N/A,FALSE,"Sun  DCF-WC-Dep";#N/A,#N/A,FALSE,"MarketValue";#N/A,#N/A,FALSE,"BalSheet";#N/A,#N/A,FALSE,"WACC";#N/A,#N/A,FALSE,"PC+ Info.";#N/A,#N/A,FALSE,"PC+Info_2"}</definedName>
    <definedName name="ww.Rele" localSheetId="43" hidden="1">{#N/A,#N/A,FALSE,"Title Page";#N/A,#N/A,FALSE,"Conclusions";#N/A,#N/A,FALSE,"Assum.";#N/A,#N/A,FALSE,"Sun  DCF-WC-Dep";#N/A,#N/A,FALSE,"MarketValue";#N/A,#N/A,FALSE,"BalSheet";#N/A,#N/A,FALSE,"WACC";#N/A,#N/A,FALSE,"PC+ Info.";#N/A,#N/A,FALSE,"PC+Info_2"}</definedName>
    <definedName name="ww.Rele" localSheetId="47" hidden="1">{#N/A,#N/A,FALSE,"Title Page";#N/A,#N/A,FALSE,"Conclusions";#N/A,#N/A,FALSE,"Assum.";#N/A,#N/A,FALSE,"Sun  DCF-WC-Dep";#N/A,#N/A,FALSE,"MarketValue";#N/A,#N/A,FALSE,"BalSheet";#N/A,#N/A,FALSE,"WACC";#N/A,#N/A,FALSE,"PC+ Info.";#N/A,#N/A,FALSE,"PC+Info_2"}</definedName>
    <definedName name="ww.Rele" localSheetId="44" hidden="1">{#N/A,#N/A,FALSE,"Title Page";#N/A,#N/A,FALSE,"Conclusions";#N/A,#N/A,FALSE,"Assum.";#N/A,#N/A,FALSE,"Sun  DCF-WC-Dep";#N/A,#N/A,FALSE,"MarketValue";#N/A,#N/A,FALSE,"BalSheet";#N/A,#N/A,FALSE,"WACC";#N/A,#N/A,FALSE,"PC+ Info.";#N/A,#N/A,FALSE,"PC+Info_2"}</definedName>
    <definedName name="ww.Rele" localSheetId="42" hidden="1">{#N/A,#N/A,FALSE,"Title Page";#N/A,#N/A,FALSE,"Conclusions";#N/A,#N/A,FALSE,"Assum.";#N/A,#N/A,FALSE,"Sun  DCF-WC-Dep";#N/A,#N/A,FALSE,"MarketValue";#N/A,#N/A,FALSE,"BalSheet";#N/A,#N/A,FALSE,"WACC";#N/A,#N/A,FALSE,"PC+ Info.";#N/A,#N/A,FALSE,"PC+Info_2"}</definedName>
    <definedName name="ww.Rele" localSheetId="18" hidden="1">{#N/A,#N/A,FALSE,"Title Page";#N/A,#N/A,FALSE,"Conclusions";#N/A,#N/A,FALSE,"Assum.";#N/A,#N/A,FALSE,"Sun  DCF-WC-Dep";#N/A,#N/A,FALSE,"MarketValue";#N/A,#N/A,FALSE,"BalSheet";#N/A,#N/A,FALSE,"WACC";#N/A,#N/A,FALSE,"PC+ Info.";#N/A,#N/A,FALSE,"PC+Info_2"}</definedName>
    <definedName name="ww.Rele" localSheetId="9"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59" hidden="1">{#N/A,#N/A,FALSE,"Bakersfield PCs";#N/A,#N/A,FALSE,"Bremer PCs";#N/A,#N/A,FALSE,"Bakersfield Notebooks"}</definedName>
    <definedName name="www" localSheetId="52" hidden="1">{#N/A,#N/A,FALSE,"Bakersfield PCs";#N/A,#N/A,FALSE,"Bremer PCs";#N/A,#N/A,FALSE,"Bakersfield Notebooks"}</definedName>
    <definedName name="www" localSheetId="58" hidden="1">{#N/A,#N/A,FALSE,"Bakersfield PCs";#N/A,#N/A,FALSE,"Bremer PCs";#N/A,#N/A,FALSE,"Bakersfield Notebooks"}</definedName>
    <definedName name="www" localSheetId="43" hidden="1">{#N/A,#N/A,FALSE,"Bakersfield PCs";#N/A,#N/A,FALSE,"Bremer PCs";#N/A,#N/A,FALSE,"Bakersfield Notebooks"}</definedName>
    <definedName name="www" localSheetId="47" hidden="1">{#N/A,#N/A,FALSE,"Bakersfield PCs";#N/A,#N/A,FALSE,"Bremer PCs";#N/A,#N/A,FALSE,"Bakersfield Notebooks"}</definedName>
    <definedName name="www" localSheetId="44" hidden="1">{#N/A,#N/A,FALSE,"Bakersfield PCs";#N/A,#N/A,FALSE,"Bremer PCs";#N/A,#N/A,FALSE,"Bakersfield Notebooks"}</definedName>
    <definedName name="www" localSheetId="42" hidden="1">{#N/A,#N/A,FALSE,"Bakersfield PCs";#N/A,#N/A,FALSE,"Bremer PCs";#N/A,#N/A,FALSE,"Bakersfield Notebooks"}</definedName>
    <definedName name="www" localSheetId="18" hidden="1">{#N/A,#N/A,FALSE,"Bakersfield PCs";#N/A,#N/A,FALSE,"Bremer PCs";#N/A,#N/A,FALSE,"Bakersfield Notebooks"}</definedName>
    <definedName name="www" localSheetId="9" hidden="1">{#N/A,#N/A,FALSE,"Bakersfield PCs";#N/A,#N/A,FALSE,"Bremer PCs";#N/A,#N/A,FALSE,"Bakersfield Notebooks"}</definedName>
    <definedName name="www" hidden="1">{#N/A,#N/A,FALSE,"Bakersfield PCs";#N/A,#N/A,FALSE,"Bremer PCs";#N/A,#N/A,FALSE,"Bakersfield Notebooks"}</definedName>
    <definedName name="x" localSheetId="59" hidden="1">{"contributory1",#N/A,FALSE,"Contributory Assets Detail";"contributory2",#N/A,FALSE,"Contributory Assets Detail"}</definedName>
    <definedName name="x" localSheetId="52" hidden="1">{"contributory1",#N/A,FALSE,"Contributory Assets Detail";"contributory2",#N/A,FALSE,"Contributory Assets Detail"}</definedName>
    <definedName name="x" localSheetId="58" hidden="1">{"contributory1",#N/A,FALSE,"Contributory Assets Detail";"contributory2",#N/A,FALSE,"Contributory Assets Detail"}</definedName>
    <definedName name="x" localSheetId="43" hidden="1">{"contributory1",#N/A,FALSE,"Contributory Assets Detail";"contributory2",#N/A,FALSE,"Contributory Assets Detail"}</definedName>
    <definedName name="x" localSheetId="47" hidden="1">{"contributory1",#N/A,FALSE,"Contributory Assets Detail";"contributory2",#N/A,FALSE,"Contributory Assets Detail"}</definedName>
    <definedName name="x" localSheetId="44" hidden="1">{"contributory1",#N/A,FALSE,"Contributory Assets Detail";"contributory2",#N/A,FALSE,"Contributory Assets Detail"}</definedName>
    <definedName name="x" localSheetId="42" hidden="1">{"contributory1",#N/A,FALSE,"Contributory Assets Detail";"contributory2",#N/A,FALSE,"Contributory Assets Detail"}</definedName>
    <definedName name="x" localSheetId="18" hidden="1">{"contributory1",#N/A,FALSE,"Contributory Assets Detail";"contributory2",#N/A,FALSE,"Contributory Assets Detail"}</definedName>
    <definedName name="x" localSheetId="9" hidden="1">{"contributory1",#N/A,FALSE,"Contributory Assets Detail";"contributory2",#N/A,FALSE,"Contributory Assets Detail"}</definedName>
    <definedName name="x" hidden="1">{"contributory1",#N/A,FALSE,"Contributory Assets Detail";"contributory2",#N/A,FALSE,"Contributory Assets Detail"}</definedName>
    <definedName name="XRefColumnsCount" localSheetId="61" hidden="1">5</definedName>
    <definedName name="XRefColumnsCount" hidden="1">4</definedName>
    <definedName name="XRefCopy2" localSheetId="80" hidden="1">'[18]FAS 123'!#REF!</definedName>
    <definedName name="XRefCopy2" localSheetId="39" hidden="1">'[18]FAS 123'!#REF!</definedName>
    <definedName name="XRefCopy2" localSheetId="8" hidden="1">'[18]FAS 123'!#REF!</definedName>
    <definedName name="XRefCopy2" localSheetId="52" hidden="1">'[18]FAS 123'!#REF!</definedName>
    <definedName name="XRefCopy2" localSheetId="58" hidden="1">'[18]FAS 123'!#REF!</definedName>
    <definedName name="XRefCopy2" localSheetId="49" hidden="1">'[18]FAS 123'!#REF!</definedName>
    <definedName name="XRefCopy2" localSheetId="55" hidden="1">'[18]FAS 123'!#REF!</definedName>
    <definedName name="XRefCopy2" localSheetId="6" hidden="1">'[18]FAS 123'!#REF!</definedName>
    <definedName name="XRefCopy2" localSheetId="5" hidden="1">'[18]FAS 123'!#REF!</definedName>
    <definedName name="XRefCopy2" localSheetId="48" hidden="1">'[18]FAS 123'!#REF!</definedName>
    <definedName name="XRefCopy2" hidden="1">'[18]FAS 123'!#REF!</definedName>
    <definedName name="XRefCopyRangeCount" localSheetId="61" hidden="1">3</definedName>
    <definedName name="XRefCopyRangeCount" hidden="1">2</definedName>
    <definedName name="XRefPasteRangeCount" localSheetId="61" hidden="1">2</definedName>
    <definedName name="XRefPasteRangeCount" hidden="1">11</definedName>
    <definedName name="xxs" localSheetId="59" hidden="1">{#N/A,#N/A,TRUE,"Tax";#N/A,#N/A,TRUE,"Structure";#N/A,#N/A,TRUE,"Accounting";#N/A,#N/A,TRUE,"Equipment"}</definedName>
    <definedName name="xxs" localSheetId="52" hidden="1">{#N/A,#N/A,TRUE,"Tax";#N/A,#N/A,TRUE,"Structure";#N/A,#N/A,TRUE,"Accounting";#N/A,#N/A,TRUE,"Equipment"}</definedName>
    <definedName name="xxs" localSheetId="58" hidden="1">{#N/A,#N/A,TRUE,"Tax";#N/A,#N/A,TRUE,"Structure";#N/A,#N/A,TRUE,"Accounting";#N/A,#N/A,TRUE,"Equipment"}</definedName>
    <definedName name="xxs" localSheetId="43" hidden="1">{#N/A,#N/A,TRUE,"Tax";#N/A,#N/A,TRUE,"Structure";#N/A,#N/A,TRUE,"Accounting";#N/A,#N/A,TRUE,"Equipment"}</definedName>
    <definedName name="xxs" localSheetId="47" hidden="1">{#N/A,#N/A,TRUE,"Tax";#N/A,#N/A,TRUE,"Structure";#N/A,#N/A,TRUE,"Accounting";#N/A,#N/A,TRUE,"Equipment"}</definedName>
    <definedName name="xxs" localSheetId="44" hidden="1">{#N/A,#N/A,TRUE,"Tax";#N/A,#N/A,TRUE,"Structure";#N/A,#N/A,TRUE,"Accounting";#N/A,#N/A,TRUE,"Equipment"}</definedName>
    <definedName name="xxs" localSheetId="42" hidden="1">{#N/A,#N/A,TRUE,"Tax";#N/A,#N/A,TRUE,"Structure";#N/A,#N/A,TRUE,"Accounting";#N/A,#N/A,TRUE,"Equipment"}</definedName>
    <definedName name="xxs" localSheetId="18" hidden="1">{#N/A,#N/A,TRUE,"Tax";#N/A,#N/A,TRUE,"Structure";#N/A,#N/A,TRUE,"Accounting";#N/A,#N/A,TRUE,"Equipment"}</definedName>
    <definedName name="xxs" localSheetId="9" hidden="1">{#N/A,#N/A,TRUE,"Tax";#N/A,#N/A,TRUE,"Structure";#N/A,#N/A,TRUE,"Accounting";#N/A,#N/A,TRUE,"Equipment"}</definedName>
    <definedName name="xxs" hidden="1">{#N/A,#N/A,TRUE,"Tax";#N/A,#N/A,TRUE,"Structure";#N/A,#N/A,TRUE,"Accounting";#N/A,#N/A,TRUE,"Equipment"}</definedName>
    <definedName name="xxx" localSheetId="5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61" hidden="1">#REF!</definedName>
    <definedName name="xxx" localSheetId="5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59" hidden="1">#REF!</definedName>
    <definedName name="xxxx" localSheetId="37" hidden="1">#REF!</definedName>
    <definedName name="xxxx" localSheetId="80" hidden="1">#REF!</definedName>
    <definedName name="xxxx" localSheetId="39" hidden="1">#REF!</definedName>
    <definedName name="xxxx" localSheetId="4" hidden="1">#REF!</definedName>
    <definedName name="xxxx" localSheetId="8" hidden="1">#REF!</definedName>
    <definedName name="xxxx" localSheetId="52" hidden="1">#REF!</definedName>
    <definedName name="xxxx" localSheetId="58" hidden="1">#REF!</definedName>
    <definedName name="xxxx" localSheetId="43" hidden="1">#REF!</definedName>
    <definedName name="xxxx" localSheetId="20" hidden="1">#REF!</definedName>
    <definedName name="xxxx" localSheetId="49" hidden="1">#REF!</definedName>
    <definedName name="xxxx" localSheetId="44" hidden="1">#REF!</definedName>
    <definedName name="xxxx" localSheetId="55" hidden="1">#REF!</definedName>
    <definedName name="xxxx" localSheetId="6" hidden="1">#REF!</definedName>
    <definedName name="xxxx" localSheetId="46" hidden="1">#REF!</definedName>
    <definedName name="xxxx" localSheetId="5" hidden="1">#REF!</definedName>
    <definedName name="xxxx" localSheetId="48" hidden="1">#REF!</definedName>
    <definedName name="xxxx" hidden="1">#REF!</definedName>
    <definedName name="yale" localSheetId="59" hidden="1">{"Opsys",#N/A,FALSE,"NPV_OPsys";"NT",#N/A,FALSE,"NPV_NT";"DevP",#N/A,FALSE,"NPV_DevPdt";"Office",#N/A,FALSE,"NPV_Office"}</definedName>
    <definedName name="yale" localSheetId="52" hidden="1">{"Opsys",#N/A,FALSE,"NPV_OPsys";"NT",#N/A,FALSE,"NPV_NT";"DevP",#N/A,FALSE,"NPV_DevPdt";"Office",#N/A,FALSE,"NPV_Office"}</definedName>
    <definedName name="yale" localSheetId="58" hidden="1">{"Opsys",#N/A,FALSE,"NPV_OPsys";"NT",#N/A,FALSE,"NPV_NT";"DevP",#N/A,FALSE,"NPV_DevPdt";"Office",#N/A,FALSE,"NPV_Office"}</definedName>
    <definedName name="yale" localSheetId="43" hidden="1">{"Opsys",#N/A,FALSE,"NPV_OPsys";"NT",#N/A,FALSE,"NPV_NT";"DevP",#N/A,FALSE,"NPV_DevPdt";"Office",#N/A,FALSE,"NPV_Office"}</definedName>
    <definedName name="yale" localSheetId="47" hidden="1">{"Opsys",#N/A,FALSE,"NPV_OPsys";"NT",#N/A,FALSE,"NPV_NT";"DevP",#N/A,FALSE,"NPV_DevPdt";"Office",#N/A,FALSE,"NPV_Office"}</definedName>
    <definedName name="yale" localSheetId="44" hidden="1">{"Opsys",#N/A,FALSE,"NPV_OPsys";"NT",#N/A,FALSE,"NPV_NT";"DevP",#N/A,FALSE,"NPV_DevPdt";"Office",#N/A,FALSE,"NPV_Office"}</definedName>
    <definedName name="yale" localSheetId="42" hidden="1">{"Opsys",#N/A,FALSE,"NPV_OPsys";"NT",#N/A,FALSE,"NPV_NT";"DevP",#N/A,FALSE,"NPV_DevPdt";"Office",#N/A,FALSE,"NPV_Office"}</definedName>
    <definedName name="yale" localSheetId="18" hidden="1">{"Opsys",#N/A,FALSE,"NPV_OPsys";"NT",#N/A,FALSE,"NPV_NT";"DevP",#N/A,FALSE,"NPV_DevPdt";"Office",#N/A,FALSE,"NPV_Office"}</definedName>
    <definedName name="yale" localSheetId="9"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yy" localSheetId="59" hidden="1">{#N/A,#N/A,FALSE,"Bakersfield PCs";#N/A,#N/A,FALSE,"Bremer PCs";#N/A,#N/A,FALSE,"Bakersfield Notebooks"}</definedName>
    <definedName name="yyy" localSheetId="52" hidden="1">{#N/A,#N/A,FALSE,"Bakersfield PCs";#N/A,#N/A,FALSE,"Bremer PCs";#N/A,#N/A,FALSE,"Bakersfield Notebooks"}</definedName>
    <definedName name="yyy" localSheetId="58" hidden="1">{#N/A,#N/A,FALSE,"Bakersfield PCs";#N/A,#N/A,FALSE,"Bremer PCs";#N/A,#N/A,FALSE,"Bakersfield Notebooks"}</definedName>
    <definedName name="yyy" localSheetId="43" hidden="1">{#N/A,#N/A,FALSE,"Bakersfield PCs";#N/A,#N/A,FALSE,"Bremer PCs";#N/A,#N/A,FALSE,"Bakersfield Notebooks"}</definedName>
    <definedName name="yyy" localSheetId="47" hidden="1">{#N/A,#N/A,FALSE,"Bakersfield PCs";#N/A,#N/A,FALSE,"Bremer PCs";#N/A,#N/A,FALSE,"Bakersfield Notebooks"}</definedName>
    <definedName name="yyy" localSheetId="44" hidden="1">{#N/A,#N/A,FALSE,"Bakersfield PCs";#N/A,#N/A,FALSE,"Bremer PCs";#N/A,#N/A,FALSE,"Bakersfield Notebooks"}</definedName>
    <definedName name="yyy" localSheetId="42" hidden="1">{#N/A,#N/A,FALSE,"Bakersfield PCs";#N/A,#N/A,FALSE,"Bremer PCs";#N/A,#N/A,FALSE,"Bakersfield Notebooks"}</definedName>
    <definedName name="yyy" localSheetId="18" hidden="1">{#N/A,#N/A,FALSE,"Bakersfield PCs";#N/A,#N/A,FALSE,"Bremer PCs";#N/A,#N/A,FALSE,"Bakersfield Notebooks"}</definedName>
    <definedName name="yyy" localSheetId="9" hidden="1">{#N/A,#N/A,FALSE,"Bakersfield PCs";#N/A,#N/A,FALSE,"Bremer PCs";#N/A,#N/A,FALSE,"Bakersfield Notebooks"}</definedName>
    <definedName name="yyy" hidden="1">{#N/A,#N/A,FALSE,"Bakersfield PCs";#N/A,#N/A,FALSE,"Bremer PCs";#N/A,#N/A,FALSE,"Bakersfield Notebooks"}</definedName>
    <definedName name="yyyy" localSheetId="59" hidden="1">{#N/A,#N/A,FALSE,"Bakersfield PCs";#N/A,#N/A,FALSE,"Bremer PCs";#N/A,#N/A,FALSE,"Bakersfield Notebooks"}</definedName>
    <definedName name="yyyy" localSheetId="52" hidden="1">{#N/A,#N/A,FALSE,"Bakersfield PCs";#N/A,#N/A,FALSE,"Bremer PCs";#N/A,#N/A,FALSE,"Bakersfield Notebooks"}</definedName>
    <definedName name="yyyy" localSheetId="58" hidden="1">{#N/A,#N/A,FALSE,"Bakersfield PCs";#N/A,#N/A,FALSE,"Bremer PCs";#N/A,#N/A,FALSE,"Bakersfield Notebooks"}</definedName>
    <definedName name="yyyy" localSheetId="43" hidden="1">{#N/A,#N/A,FALSE,"Bakersfield PCs";#N/A,#N/A,FALSE,"Bremer PCs";#N/A,#N/A,FALSE,"Bakersfield Notebooks"}</definedName>
    <definedName name="yyyy" localSheetId="47" hidden="1">{#N/A,#N/A,FALSE,"Bakersfield PCs";#N/A,#N/A,FALSE,"Bremer PCs";#N/A,#N/A,FALSE,"Bakersfield Notebooks"}</definedName>
    <definedName name="yyyy" localSheetId="44" hidden="1">{#N/A,#N/A,FALSE,"Bakersfield PCs";#N/A,#N/A,FALSE,"Bremer PCs";#N/A,#N/A,FALSE,"Bakersfield Notebooks"}</definedName>
    <definedName name="yyyy" localSheetId="42" hidden="1">{#N/A,#N/A,FALSE,"Bakersfield PCs";#N/A,#N/A,FALSE,"Bremer PCs";#N/A,#N/A,FALSE,"Bakersfield Notebooks"}</definedName>
    <definedName name="yyyy" localSheetId="18" hidden="1">{#N/A,#N/A,FALSE,"Bakersfield PCs";#N/A,#N/A,FALSE,"Bremer PCs";#N/A,#N/A,FALSE,"Bakersfield Notebooks"}</definedName>
    <definedName name="yyyy" localSheetId="9" hidden="1">{#N/A,#N/A,FALSE,"Bakersfield PCs";#N/A,#N/A,FALSE,"Bremer PCs";#N/A,#N/A,FALSE,"Bakersfield Notebooks"}</definedName>
    <definedName name="yyyy" hidden="1">{#N/A,#N/A,FALSE,"Bakersfield PCs";#N/A,#N/A,FALSE,"Bremer PCs";#N/A,#N/A,FALSE,"Bakersfield Notebooks"}</definedName>
    <definedName name="yyyyw" localSheetId="59" hidden="1">{#N/A,#N/A,FALSE,"Bakersfield PCs";#N/A,#N/A,FALSE,"Bremer PCs";#N/A,#N/A,FALSE,"Bakersfield Notebooks"}</definedName>
    <definedName name="yyyyw" localSheetId="52" hidden="1">{#N/A,#N/A,FALSE,"Bakersfield PCs";#N/A,#N/A,FALSE,"Bremer PCs";#N/A,#N/A,FALSE,"Bakersfield Notebooks"}</definedName>
    <definedName name="yyyyw" localSheetId="58" hidden="1">{#N/A,#N/A,FALSE,"Bakersfield PCs";#N/A,#N/A,FALSE,"Bremer PCs";#N/A,#N/A,FALSE,"Bakersfield Notebooks"}</definedName>
    <definedName name="yyyyw" localSheetId="43" hidden="1">{#N/A,#N/A,FALSE,"Bakersfield PCs";#N/A,#N/A,FALSE,"Bremer PCs";#N/A,#N/A,FALSE,"Bakersfield Notebooks"}</definedName>
    <definedName name="yyyyw" localSheetId="47" hidden="1">{#N/A,#N/A,FALSE,"Bakersfield PCs";#N/A,#N/A,FALSE,"Bremer PCs";#N/A,#N/A,FALSE,"Bakersfield Notebooks"}</definedName>
    <definedName name="yyyyw" localSheetId="44" hidden="1">{#N/A,#N/A,FALSE,"Bakersfield PCs";#N/A,#N/A,FALSE,"Bremer PCs";#N/A,#N/A,FALSE,"Bakersfield Notebooks"}</definedName>
    <definedName name="yyyyw" localSheetId="42" hidden="1">{#N/A,#N/A,FALSE,"Bakersfield PCs";#N/A,#N/A,FALSE,"Bremer PCs";#N/A,#N/A,FALSE,"Bakersfield Notebooks"}</definedName>
    <definedName name="yyyyw" localSheetId="18" hidden="1">{#N/A,#N/A,FALSE,"Bakersfield PCs";#N/A,#N/A,FALSE,"Bremer PCs";#N/A,#N/A,FALSE,"Bakersfield Notebooks"}</definedName>
    <definedName name="yyyyw" localSheetId="9" hidden="1">{#N/A,#N/A,FALSE,"Bakersfield PCs";#N/A,#N/A,FALSE,"Bremer PCs";#N/A,#N/A,FALSE,"Bakersfield Notebooks"}</definedName>
    <definedName name="yyyyw" hidden="1">{#N/A,#N/A,FALSE,"Bakersfield PCs";#N/A,#N/A,FALSE,"Bremer PCs";#N/A,#N/A,FALSE,"Bakersfield Notebooks"}</definedName>
    <definedName name="zzz.com" localSheetId="59" hidden="1">{#N/A,#N/A,FALSE,"Title Page";#N/A,#N/A,FALSE,"Conclusions";#N/A,#N/A,FALSE,"Assum.";#N/A,#N/A,FALSE,"Sun  DCF-WC-Dep";#N/A,#N/A,FALSE,"MarketValue";#N/A,#N/A,FALSE,"BalSheet";#N/A,#N/A,FALSE,"WACC";#N/A,#N/A,FALSE,"PC+ Info.";#N/A,#N/A,FALSE,"PC+Info_2"}</definedName>
    <definedName name="zzz.com" localSheetId="52" hidden="1">{#N/A,#N/A,FALSE,"Title Page";#N/A,#N/A,FALSE,"Conclusions";#N/A,#N/A,FALSE,"Assum.";#N/A,#N/A,FALSE,"Sun  DCF-WC-Dep";#N/A,#N/A,FALSE,"MarketValue";#N/A,#N/A,FALSE,"BalSheet";#N/A,#N/A,FALSE,"WACC";#N/A,#N/A,FALSE,"PC+ Info.";#N/A,#N/A,FALSE,"PC+Info_2"}</definedName>
    <definedName name="zzz.com" localSheetId="58" hidden="1">{#N/A,#N/A,FALSE,"Title Page";#N/A,#N/A,FALSE,"Conclusions";#N/A,#N/A,FALSE,"Assum.";#N/A,#N/A,FALSE,"Sun  DCF-WC-Dep";#N/A,#N/A,FALSE,"MarketValue";#N/A,#N/A,FALSE,"BalSheet";#N/A,#N/A,FALSE,"WACC";#N/A,#N/A,FALSE,"PC+ Info.";#N/A,#N/A,FALSE,"PC+Info_2"}</definedName>
    <definedName name="zzz.com" localSheetId="43" hidden="1">{#N/A,#N/A,FALSE,"Title Page";#N/A,#N/A,FALSE,"Conclusions";#N/A,#N/A,FALSE,"Assum.";#N/A,#N/A,FALSE,"Sun  DCF-WC-Dep";#N/A,#N/A,FALSE,"MarketValue";#N/A,#N/A,FALSE,"BalSheet";#N/A,#N/A,FALSE,"WACC";#N/A,#N/A,FALSE,"PC+ Info.";#N/A,#N/A,FALSE,"PC+Info_2"}</definedName>
    <definedName name="zzz.com" localSheetId="47" hidden="1">{#N/A,#N/A,FALSE,"Title Page";#N/A,#N/A,FALSE,"Conclusions";#N/A,#N/A,FALSE,"Assum.";#N/A,#N/A,FALSE,"Sun  DCF-WC-Dep";#N/A,#N/A,FALSE,"MarketValue";#N/A,#N/A,FALSE,"BalSheet";#N/A,#N/A,FALSE,"WACC";#N/A,#N/A,FALSE,"PC+ Info.";#N/A,#N/A,FALSE,"PC+Info_2"}</definedName>
    <definedName name="zzz.com" localSheetId="44" hidden="1">{#N/A,#N/A,FALSE,"Title Page";#N/A,#N/A,FALSE,"Conclusions";#N/A,#N/A,FALSE,"Assum.";#N/A,#N/A,FALSE,"Sun  DCF-WC-Dep";#N/A,#N/A,FALSE,"MarketValue";#N/A,#N/A,FALSE,"BalSheet";#N/A,#N/A,FALSE,"WACC";#N/A,#N/A,FALSE,"PC+ Info.";#N/A,#N/A,FALSE,"PC+Info_2"}</definedName>
    <definedName name="zzz.com" localSheetId="42" hidden="1">{#N/A,#N/A,FALSE,"Title Page";#N/A,#N/A,FALSE,"Conclusions";#N/A,#N/A,FALSE,"Assum.";#N/A,#N/A,FALSE,"Sun  DCF-WC-Dep";#N/A,#N/A,FALSE,"MarketValue";#N/A,#N/A,FALSE,"BalSheet";#N/A,#N/A,FALSE,"WACC";#N/A,#N/A,FALSE,"PC+ Info.";#N/A,#N/A,FALSE,"PC+Info_2"}</definedName>
    <definedName name="zzz.com" localSheetId="18" hidden="1">{#N/A,#N/A,FALSE,"Title Page";#N/A,#N/A,FALSE,"Conclusions";#N/A,#N/A,FALSE,"Assum.";#N/A,#N/A,FALSE,"Sun  DCF-WC-Dep";#N/A,#N/A,FALSE,"MarketValue";#N/A,#N/A,FALSE,"BalSheet";#N/A,#N/A,FALSE,"WACC";#N/A,#N/A,FALSE,"PC+ Info.";#N/A,#N/A,FALSE,"PC+Info_2"}</definedName>
    <definedName name="zzz.com" localSheetId="9"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52511" iterate="1"/>
</workbook>
</file>

<file path=xl/calcChain.xml><?xml version="1.0" encoding="utf-8"?>
<calcChain xmlns="http://schemas.openxmlformats.org/spreadsheetml/2006/main">
  <c r="E10" i="325" l="1"/>
  <c r="E11" i="325"/>
  <c r="E9" i="325"/>
  <c r="E8" i="325"/>
  <c r="L11" i="325"/>
  <c r="J11" i="325"/>
  <c r="K11" i="325" s="1"/>
  <c r="G11" i="325" s="1"/>
  <c r="G10" i="325"/>
  <c r="G9" i="325"/>
  <c r="K8" i="325"/>
  <c r="G8" i="325"/>
  <c r="B2" i="325"/>
  <c r="H9" i="320"/>
  <c r="H8" i="320"/>
  <c r="F8" i="320"/>
  <c r="D9" i="320"/>
  <c r="D8" i="320"/>
  <c r="A210" i="324"/>
  <c r="A211" i="324" s="1"/>
  <c r="A209" i="324"/>
  <c r="C200" i="324"/>
  <c r="C174" i="324"/>
  <c r="C148" i="324"/>
  <c r="C163" i="324"/>
  <c r="B86" i="324"/>
  <c r="B71" i="324"/>
  <c r="D69" i="324"/>
  <c r="B84" i="324"/>
  <c r="D68" i="324"/>
  <c r="B83" i="324"/>
  <c r="D67" i="324"/>
  <c r="B82" i="324"/>
  <c r="D66" i="324"/>
  <c r="B81" i="324"/>
  <c r="D65" i="324"/>
  <c r="D73" i="324" s="1"/>
  <c r="B80" i="324"/>
  <c r="D63" i="324"/>
  <c r="E57" i="324"/>
  <c r="D57" i="324"/>
  <c r="B57" i="324"/>
  <c r="B64" i="324"/>
  <c r="B79" i="324" s="1"/>
  <c r="B219" i="324" s="1"/>
  <c r="B63" i="324"/>
  <c r="B78" i="324" s="1"/>
  <c r="B218" i="324" s="1"/>
  <c r="B62" i="324"/>
  <c r="B77" i="324" s="1"/>
  <c r="B217" i="324" s="1"/>
  <c r="F43" i="324"/>
  <c r="E43" i="324"/>
  <c r="D43" i="324"/>
  <c r="B25" i="324"/>
  <c r="B21" i="324"/>
  <c r="D33" i="324"/>
  <c r="G33" i="324"/>
  <c r="L52" i="324"/>
  <c r="L61" i="324" s="1"/>
  <c r="R61" i="324" s="1"/>
  <c r="O52" i="324"/>
  <c r="O61" i="324" s="1"/>
  <c r="U61" i="324" s="1"/>
  <c r="E156" i="73"/>
  <c r="H148" i="73"/>
  <c r="G148" i="73"/>
  <c r="F148" i="73"/>
  <c r="E148" i="73"/>
  <c r="D148" i="73"/>
  <c r="C148" i="73"/>
  <c r="H146" i="73"/>
  <c r="G146" i="73"/>
  <c r="F146" i="73"/>
  <c r="E146" i="73"/>
  <c r="P52" i="324" l="1"/>
  <c r="P61" i="324" s="1"/>
  <c r="V61" i="324" s="1"/>
  <c r="G13" i="324"/>
  <c r="H33" i="324"/>
  <c r="M57" i="324"/>
  <c r="M69" i="324" s="1"/>
  <c r="D64" i="324"/>
  <c r="B95" i="324"/>
  <c r="U64" i="324"/>
  <c r="D13" i="324"/>
  <c r="D95" i="324" s="1"/>
  <c r="H13" i="324"/>
  <c r="H189" i="324" s="1"/>
  <c r="H200" i="324" s="1"/>
  <c r="U63" i="324"/>
  <c r="S64" i="324"/>
  <c r="J57" i="324"/>
  <c r="T64" i="324"/>
  <c r="C138" i="324"/>
  <c r="D35" i="324"/>
  <c r="D34" i="324"/>
  <c r="H35" i="324"/>
  <c r="H34" i="324"/>
  <c r="H115" i="324"/>
  <c r="G34" i="324"/>
  <c r="G35" i="324"/>
  <c r="M52" i="324"/>
  <c r="M61" i="324" s="1"/>
  <c r="S61" i="324" s="1"/>
  <c r="T63" i="324"/>
  <c r="S63" i="324"/>
  <c r="V63" i="324"/>
  <c r="R63" i="324"/>
  <c r="L57" i="324"/>
  <c r="L69" i="324" s="1"/>
  <c r="D105" i="324"/>
  <c r="E105" i="324"/>
  <c r="G105" i="324"/>
  <c r="F105" i="324"/>
  <c r="N52" i="324"/>
  <c r="N61" i="324" s="1"/>
  <c r="T61" i="324" s="1"/>
  <c r="N57" i="324"/>
  <c r="N69" i="324" s="1"/>
  <c r="B99" i="324"/>
  <c r="A212" i="324"/>
  <c r="B104" i="324" s="1"/>
  <c r="D91" i="324"/>
  <c r="R62" i="324"/>
  <c r="G126" i="324"/>
  <c r="G95" i="324"/>
  <c r="G115" i="324"/>
  <c r="D126" i="324"/>
  <c r="H126" i="324"/>
  <c r="G189" i="324"/>
  <c r="G200" i="324" s="1"/>
  <c r="B115" i="324"/>
  <c r="B126" i="324" s="1"/>
  <c r="D115" i="324" l="1"/>
  <c r="D189" i="324"/>
  <c r="D200" i="324" s="1"/>
  <c r="B189" i="324"/>
  <c r="B138" i="324"/>
  <c r="B148" i="324" s="1"/>
  <c r="B163" i="324"/>
  <c r="B174" i="324" s="1"/>
  <c r="V62" i="324"/>
  <c r="H95" i="324"/>
  <c r="V64" i="324"/>
  <c r="R64" i="324"/>
  <c r="M67" i="324"/>
  <c r="M68" i="324" s="1"/>
  <c r="M63" i="324"/>
  <c r="M64" i="324" s="1"/>
  <c r="M66" i="324"/>
  <c r="M65" i="324"/>
  <c r="N67" i="324"/>
  <c r="N68" i="324" s="1"/>
  <c r="N63" i="324"/>
  <c r="N64" i="324" s="1"/>
  <c r="N66" i="324"/>
  <c r="N65" i="324"/>
  <c r="E13" i="324"/>
  <c r="E33" i="324"/>
  <c r="H105" i="324"/>
  <c r="H138" i="324"/>
  <c r="H163" i="324"/>
  <c r="D37" i="324"/>
  <c r="D39" i="324" s="1"/>
  <c r="D44" i="324" s="1"/>
  <c r="D46" i="324" s="1"/>
  <c r="D21" i="324"/>
  <c r="G163" i="324"/>
  <c r="G138" i="324"/>
  <c r="H174" i="324"/>
  <c r="H148" i="324"/>
  <c r="G148" i="324"/>
  <c r="G174" i="324"/>
  <c r="E156" i="324"/>
  <c r="D62" i="324"/>
  <c r="T62" i="324"/>
  <c r="N62" i="324" s="1"/>
  <c r="P57" i="324"/>
  <c r="P69" i="324" s="1"/>
  <c r="D138" i="324"/>
  <c r="D163" i="324"/>
  <c r="D174" i="324"/>
  <c r="D148" i="324"/>
  <c r="O57" i="324"/>
  <c r="O69" i="324" s="1"/>
  <c r="U62" i="324"/>
  <c r="F33" i="324"/>
  <c r="F13" i="324"/>
  <c r="L65" i="324"/>
  <c r="L67" i="324"/>
  <c r="L68" i="324" s="1"/>
  <c r="L63" i="324"/>
  <c r="L64" i="324" s="1"/>
  <c r="L62" i="324"/>
  <c r="L66" i="324"/>
  <c r="S62" i="324"/>
  <c r="M62" i="324" s="1"/>
  <c r="G37" i="324"/>
  <c r="G39" i="324" s="1"/>
  <c r="G44" i="324" s="1"/>
  <c r="G23" i="324"/>
  <c r="G43" i="324" s="1"/>
  <c r="H37" i="324"/>
  <c r="H39" i="324" s="1"/>
  <c r="H23" i="324"/>
  <c r="H43" i="324" s="1"/>
  <c r="H44" i="324" l="1"/>
  <c r="O66" i="324"/>
  <c r="O65" i="324"/>
  <c r="O67" i="324"/>
  <c r="O68" i="324" s="1"/>
  <c r="O63" i="324"/>
  <c r="O64" i="324" s="1"/>
  <c r="O62" i="324"/>
  <c r="E35" i="324"/>
  <c r="E34" i="324"/>
  <c r="G46" i="324"/>
  <c r="F126" i="324"/>
  <c r="F115" i="324"/>
  <c r="F95" i="324"/>
  <c r="F189" i="324"/>
  <c r="F200" i="324" s="1"/>
  <c r="P65" i="324"/>
  <c r="P67" i="324"/>
  <c r="P68" i="324" s="1"/>
  <c r="P63" i="324"/>
  <c r="P64" i="324" s="1"/>
  <c r="P62" i="324"/>
  <c r="P66" i="324"/>
  <c r="E126" i="324"/>
  <c r="E115" i="324"/>
  <c r="E189" i="324"/>
  <c r="E200" i="324" s="1"/>
  <c r="E95" i="324"/>
  <c r="F35" i="324"/>
  <c r="F34" i="324"/>
  <c r="D187" i="324"/>
  <c r="D50" i="324"/>
  <c r="D59" i="324" s="1"/>
  <c r="H46" i="324"/>
  <c r="D71" i="324"/>
  <c r="D77" i="324" l="1"/>
  <c r="D136" i="324"/>
  <c r="D140" i="324" s="1"/>
  <c r="D142" i="324" s="1"/>
  <c r="F21" i="324"/>
  <c r="F37" i="324"/>
  <c r="F39" i="324" s="1"/>
  <c r="F44" i="324" s="1"/>
  <c r="F46" i="324" s="1"/>
  <c r="E138" i="324"/>
  <c r="E163" i="324"/>
  <c r="E21" i="324"/>
  <c r="E37" i="324"/>
  <c r="E39" i="324" s="1"/>
  <c r="E44" i="324" s="1"/>
  <c r="E46" i="324" s="1"/>
  <c r="H187" i="324"/>
  <c r="H50" i="324"/>
  <c r="E148" i="324"/>
  <c r="E174" i="324"/>
  <c r="F138" i="324"/>
  <c r="F163" i="324"/>
  <c r="D191" i="324"/>
  <c r="D193" i="324" s="1"/>
  <c r="G50" i="324"/>
  <c r="G187" i="324"/>
  <c r="D81" i="324"/>
  <c r="D79" i="324"/>
  <c r="D78" i="324"/>
  <c r="D80" i="324"/>
  <c r="D82" i="324"/>
  <c r="D83" i="324"/>
  <c r="D84" i="324"/>
  <c r="D90" i="324" s="1"/>
  <c r="D93" i="324" s="1"/>
  <c r="D97" i="324" s="1"/>
  <c r="F148" i="324"/>
  <c r="F174" i="324"/>
  <c r="G68" i="324" l="1"/>
  <c r="G83" i="324" s="1"/>
  <c r="G69" i="324"/>
  <c r="G65" i="324"/>
  <c r="G64" i="324"/>
  <c r="G55" i="324" s="1"/>
  <c r="G79" i="324" s="1"/>
  <c r="G63" i="324"/>
  <c r="G54" i="324" s="1"/>
  <c r="G78" i="324" s="1"/>
  <c r="G62" i="324"/>
  <c r="G67" i="324"/>
  <c r="G82" i="324" s="1"/>
  <c r="G66" i="324"/>
  <c r="G81" i="324" s="1"/>
  <c r="H191" i="324"/>
  <c r="H193" i="324" s="1"/>
  <c r="F187" i="324"/>
  <c r="F50" i="324"/>
  <c r="D161" i="324"/>
  <c r="D165" i="324" s="1"/>
  <c r="D167" i="324" s="1"/>
  <c r="D86" i="324"/>
  <c r="D87" i="324" s="1"/>
  <c r="D198" i="324"/>
  <c r="D202" i="324" s="1"/>
  <c r="D204" i="324" s="1"/>
  <c r="E187" i="324"/>
  <c r="E50" i="324"/>
  <c r="G191" i="324"/>
  <c r="G193" i="324" s="1"/>
  <c r="H68" i="324"/>
  <c r="H83" i="324" s="1"/>
  <c r="H67" i="324"/>
  <c r="H82" i="324" s="1"/>
  <c r="H66" i="324"/>
  <c r="H81" i="324" s="1"/>
  <c r="H69" i="324"/>
  <c r="H65" i="324"/>
  <c r="H64" i="324"/>
  <c r="H55" i="324" s="1"/>
  <c r="H79" i="324" s="1"/>
  <c r="H63" i="324"/>
  <c r="H54" i="324" s="1"/>
  <c r="H78" i="324" s="1"/>
  <c r="H62" i="324"/>
  <c r="D113" i="324"/>
  <c r="D146" i="324"/>
  <c r="D150" i="324" s="1"/>
  <c r="D152" i="324" s="1"/>
  <c r="G198" i="324" l="1"/>
  <c r="G202" i="324" s="1"/>
  <c r="G204" i="324" s="1"/>
  <c r="H161" i="324"/>
  <c r="H165" i="324" s="1"/>
  <c r="H167" i="324" s="1"/>
  <c r="D124" i="324"/>
  <c r="D128" i="324" s="1"/>
  <c r="D130" i="324" s="1"/>
  <c r="D117" i="324"/>
  <c r="D119" i="324" s="1"/>
  <c r="E67" i="324"/>
  <c r="E69" i="324"/>
  <c r="E66" i="324"/>
  <c r="E65" i="324"/>
  <c r="E64" i="324"/>
  <c r="E63" i="324"/>
  <c r="E62" i="324"/>
  <c r="E59" i="324"/>
  <c r="E68" i="324"/>
  <c r="F69" i="324"/>
  <c r="F66" i="324"/>
  <c r="F65" i="324"/>
  <c r="F64" i="324"/>
  <c r="F55" i="324" s="1"/>
  <c r="F63" i="324"/>
  <c r="F54" i="324" s="1"/>
  <c r="F62" i="324"/>
  <c r="F68" i="324"/>
  <c r="F67" i="324"/>
  <c r="H198" i="324"/>
  <c r="H202" i="324" s="1"/>
  <c r="H204" i="324" s="1"/>
  <c r="G53" i="324"/>
  <c r="G71" i="324"/>
  <c r="G91" i="324"/>
  <c r="G84" i="324"/>
  <c r="G90" i="324" s="1"/>
  <c r="E191" i="324"/>
  <c r="E193" i="324" s="1"/>
  <c r="F191" i="324"/>
  <c r="F193" i="324" s="1"/>
  <c r="G161" i="324"/>
  <c r="G165" i="324" s="1"/>
  <c r="G167" i="324" s="1"/>
  <c r="G80" i="324"/>
  <c r="G223" i="324" s="1"/>
  <c r="G73" i="324"/>
  <c r="H80" i="324"/>
  <c r="H223" i="324" s="1"/>
  <c r="H73" i="324"/>
  <c r="H71" i="324"/>
  <c r="H53" i="324"/>
  <c r="H91" i="324"/>
  <c r="H84" i="324"/>
  <c r="H90" i="324" s="1"/>
  <c r="D172" i="324"/>
  <c r="D176" i="324" s="1"/>
  <c r="D178" i="324" s="1"/>
  <c r="B194" i="324" l="1"/>
  <c r="H93" i="324"/>
  <c r="H97" i="324" s="1"/>
  <c r="H102" i="324" s="1"/>
  <c r="G172" i="324"/>
  <c r="G176" i="324" s="1"/>
  <c r="G178" i="324" s="1"/>
  <c r="E91" i="324"/>
  <c r="F91" i="324"/>
  <c r="G77" i="324"/>
  <c r="G57" i="324"/>
  <c r="G59" i="324" s="1"/>
  <c r="F73" i="324"/>
  <c r="H77" i="324"/>
  <c r="H57" i="324"/>
  <c r="H59" i="324" s="1"/>
  <c r="E71" i="324"/>
  <c r="G93" i="324"/>
  <c r="G97" i="324" s="1"/>
  <c r="G102" i="324" s="1"/>
  <c r="F71" i="324"/>
  <c r="F53" i="324"/>
  <c r="E73" i="324"/>
  <c r="E80" i="324" s="1"/>
  <c r="H172" i="324"/>
  <c r="H176" i="324" s="1"/>
  <c r="H178" i="324" s="1"/>
  <c r="E84" i="324" l="1"/>
  <c r="E90" i="324" s="1"/>
  <c r="E93" i="324" s="1"/>
  <c r="E97" i="324" s="1"/>
  <c r="E82" i="324"/>
  <c r="F57" i="324"/>
  <c r="F59" i="324" s="1"/>
  <c r="F77" i="324"/>
  <c r="E77" i="324"/>
  <c r="E79" i="324"/>
  <c r="E78" i="324"/>
  <c r="E83" i="324"/>
  <c r="G136" i="324"/>
  <c r="G140" i="324" s="1"/>
  <c r="G142" i="324" s="1"/>
  <c r="G86" i="324"/>
  <c r="G87" i="324" s="1"/>
  <c r="G113" i="324"/>
  <c r="E81" i="324"/>
  <c r="H136" i="324"/>
  <c r="H140" i="324" s="1"/>
  <c r="H142" i="324" s="1"/>
  <c r="H86" i="324"/>
  <c r="H87" i="324" s="1"/>
  <c r="H113" i="324"/>
  <c r="H146" i="324" l="1"/>
  <c r="H150" i="324" s="1"/>
  <c r="H152" i="324" s="1"/>
  <c r="H117" i="324"/>
  <c r="H119" i="324" s="1"/>
  <c r="H124" i="324"/>
  <c r="H128" i="324" s="1"/>
  <c r="H130" i="324" s="1"/>
  <c r="F78" i="324"/>
  <c r="F83" i="324"/>
  <c r="F84" i="324"/>
  <c r="F90" i="324" s="1"/>
  <c r="F93" i="324" s="1"/>
  <c r="F97" i="324" s="1"/>
  <c r="F80" i="324"/>
  <c r="F79" i="324"/>
  <c r="F82" i="324"/>
  <c r="F81" i="324"/>
  <c r="E198" i="324"/>
  <c r="E202" i="324" s="1"/>
  <c r="E204" i="324" s="1"/>
  <c r="G124" i="324"/>
  <c r="G128" i="324" s="1"/>
  <c r="G130" i="324" s="1"/>
  <c r="G117" i="324"/>
  <c r="G119" i="324" s="1"/>
  <c r="F136" i="324"/>
  <c r="F140" i="324" s="1"/>
  <c r="F142" i="324" s="1"/>
  <c r="E161" i="324"/>
  <c r="E165" i="324" s="1"/>
  <c r="E167" i="324" s="1"/>
  <c r="G146" i="324"/>
  <c r="G150" i="324" s="1"/>
  <c r="G152" i="324" s="1"/>
  <c r="E113" i="324"/>
  <c r="E136" i="324"/>
  <c r="E140" i="324" s="1"/>
  <c r="E142" i="324" s="1"/>
  <c r="B143" i="324" s="1"/>
  <c r="E86" i="324"/>
  <c r="E87" i="324" s="1"/>
  <c r="F146" i="324" l="1"/>
  <c r="F150" i="324" s="1"/>
  <c r="F152" i="324" s="1"/>
  <c r="E146" i="324"/>
  <c r="E150" i="324" s="1"/>
  <c r="E152" i="324" s="1"/>
  <c r="B153" i="324" s="1"/>
  <c r="D156" i="324" s="1"/>
  <c r="F156" i="324" s="1"/>
  <c r="E172" i="324"/>
  <c r="E176" i="324" s="1"/>
  <c r="E178" i="324" s="1"/>
  <c r="E117" i="324"/>
  <c r="E119" i="324" s="1"/>
  <c r="E124" i="324"/>
  <c r="E128" i="324" s="1"/>
  <c r="E130" i="324" s="1"/>
  <c r="F198" i="324"/>
  <c r="F202" i="324" s="1"/>
  <c r="F204" i="324" s="1"/>
  <c r="B205" i="324" s="1"/>
  <c r="F161" i="324"/>
  <c r="F165" i="324" s="1"/>
  <c r="F167" i="324" s="1"/>
  <c r="B168" i="324" s="1"/>
  <c r="J87" i="324"/>
  <c r="F113" i="324"/>
  <c r="F86" i="324"/>
  <c r="F87" i="324" s="1"/>
  <c r="F172" i="324" l="1"/>
  <c r="F176" i="324" s="1"/>
  <c r="F178" i="324" s="1"/>
  <c r="B179" i="324" s="1"/>
  <c r="D182" i="324" s="1"/>
  <c r="F182" i="324" s="1"/>
  <c r="L20" i="324" s="1"/>
  <c r="L25" i="324" s="1"/>
  <c r="B213" i="324" s="1"/>
  <c r="F124" i="324"/>
  <c r="F128" i="324" s="1"/>
  <c r="F130" i="324" s="1"/>
  <c r="B131" i="324" s="1"/>
  <c r="F117" i="324"/>
  <c r="F119" i="324" s="1"/>
  <c r="B120" i="324" s="1"/>
  <c r="O44" i="64" l="1"/>
  <c r="N44" i="64"/>
  <c r="M44" i="64"/>
  <c r="L44" i="64"/>
  <c r="K44" i="64"/>
  <c r="J44" i="64"/>
  <c r="O51" i="64"/>
  <c r="N51" i="64"/>
  <c r="M51" i="64"/>
  <c r="L51" i="64"/>
  <c r="K51" i="64"/>
  <c r="J51" i="64"/>
  <c r="G23" i="236"/>
  <c r="C130" i="273"/>
  <c r="C138" i="273"/>
  <c r="D21" i="273"/>
  <c r="D50" i="273" s="1"/>
  <c r="H26" i="273"/>
  <c r="C164" i="273"/>
  <c r="D9" i="273"/>
  <c r="F11" i="64"/>
  <c r="F12" i="64"/>
  <c r="J55" i="73"/>
  <c r="E12" i="64"/>
  <c r="E15" i="64"/>
  <c r="J54" i="73"/>
  <c r="D12" i="64"/>
  <c r="D15" i="64"/>
  <c r="J53" i="73"/>
  <c r="J57" i="73" s="1"/>
  <c r="J45" i="64"/>
  <c r="K45" i="64"/>
  <c r="L45" i="64"/>
  <c r="M45" i="64"/>
  <c r="N45" i="64"/>
  <c r="O45" i="64"/>
  <c r="J24" i="322"/>
  <c r="I24" i="322"/>
  <c r="H24" i="322"/>
  <c r="G24" i="322"/>
  <c r="F24" i="322"/>
  <c r="E24" i="322"/>
  <c r="D24" i="322"/>
  <c r="I25" i="322"/>
  <c r="H25" i="322"/>
  <c r="G25" i="322"/>
  <c r="F25" i="322"/>
  <c r="E25" i="322"/>
  <c r="D25" i="322"/>
  <c r="A41" i="322"/>
  <c r="E11" i="322"/>
  <c r="F11" i="322"/>
  <c r="G11" i="322"/>
  <c r="H11" i="322"/>
  <c r="I11" i="322"/>
  <c r="I12" i="322"/>
  <c r="I15" i="322"/>
  <c r="H12" i="322"/>
  <c r="H15" i="322"/>
  <c r="G12" i="322"/>
  <c r="G15" i="322"/>
  <c r="F12" i="322"/>
  <c r="F15" i="322"/>
  <c r="E12" i="322"/>
  <c r="E15" i="322"/>
  <c r="J20" i="323"/>
  <c r="D20" i="323" s="1"/>
  <c r="D15" i="323"/>
  <c r="D13" i="323"/>
  <c r="D9" i="323"/>
  <c r="D49" i="322"/>
  <c r="D55" i="322"/>
  <c r="E49" i="322"/>
  <c r="E55" i="322"/>
  <c r="F49" i="322"/>
  <c r="F55" i="322"/>
  <c r="G49" i="322"/>
  <c r="G55" i="322"/>
  <c r="H49" i="322"/>
  <c r="H55" i="322"/>
  <c r="I49" i="322"/>
  <c r="I55" i="322"/>
  <c r="B74" i="322"/>
  <c r="B73" i="322"/>
  <c r="B71" i="322"/>
  <c r="D70" i="322"/>
  <c r="B70" i="322"/>
  <c r="D64" i="322"/>
  <c r="I51" i="322"/>
  <c r="H51" i="322"/>
  <c r="G51" i="322"/>
  <c r="F51" i="322"/>
  <c r="E51" i="322"/>
  <c r="D51" i="322"/>
  <c r="B59" i="322"/>
  <c r="B58" i="322"/>
  <c r="B57" i="322"/>
  <c r="D56" i="322"/>
  <c r="E56" i="322"/>
  <c r="F56" i="322"/>
  <c r="G56" i="322"/>
  <c r="H56" i="322"/>
  <c r="I56" i="322"/>
  <c r="J56" i="322"/>
  <c r="B56" i="322"/>
  <c r="B55" i="322"/>
  <c r="J51" i="322"/>
  <c r="A42" i="322"/>
  <c r="J10" i="322"/>
  <c r="K10" i="322"/>
  <c r="J11" i="322"/>
  <c r="K11" i="322"/>
  <c r="K12" i="322"/>
  <c r="B41" i="322"/>
  <c r="O26" i="322" a="1"/>
  <c r="S26" i="322"/>
  <c r="S34" i="322"/>
  <c r="S38" i="322"/>
  <c r="R26" i="322"/>
  <c r="R34" i="322"/>
  <c r="R38" i="322"/>
  <c r="Q26" i="322"/>
  <c r="Q34" i="322"/>
  <c r="Q38" i="322"/>
  <c r="P26" i="322"/>
  <c r="P34" i="322"/>
  <c r="P38" i="322"/>
  <c r="O26" i="322"/>
  <c r="O34" i="322"/>
  <c r="O38" i="322"/>
  <c r="J12" i="322"/>
  <c r="J15" i="322"/>
  <c r="K15" i="322"/>
  <c r="D12" i="322"/>
  <c r="D15" i="322"/>
  <c r="O25" i="322" a="1"/>
  <c r="O25" i="322"/>
  <c r="P25" i="322"/>
  <c r="Q25" i="322"/>
  <c r="R25" i="322"/>
  <c r="S25" i="322"/>
  <c r="K24" i="322"/>
  <c r="K25" i="322"/>
  <c r="J25" i="322"/>
  <c r="O19" i="322"/>
  <c r="O8" i="322"/>
  <c r="N8" i="322"/>
  <c r="N19" i="322"/>
  <c r="O7" i="322"/>
  <c r="O18" i="322"/>
  <c r="N18" i="322"/>
  <c r="O6" i="322"/>
  <c r="O17" i="322"/>
  <c r="N17" i="322"/>
  <c r="K8" i="322"/>
  <c r="B8" i="322"/>
  <c r="N7" i="322"/>
  <c r="N6" i="322"/>
  <c r="K4" i="322"/>
  <c r="B2" i="322"/>
  <c r="H3" i="320"/>
  <c r="I70" i="64"/>
  <c r="I69" i="64"/>
  <c r="J66" i="64"/>
  <c r="I67" i="64"/>
  <c r="I66" i="64"/>
  <c r="J60" i="64"/>
  <c r="D24" i="64"/>
  <c r="I52" i="64"/>
  <c r="I53" i="64"/>
  <c r="I54" i="64"/>
  <c r="I55" i="64"/>
  <c r="I51" i="64"/>
  <c r="J52" i="64"/>
  <c r="K47" i="64"/>
  <c r="J47" i="64"/>
  <c r="K52" i="64"/>
  <c r="L52" i="64"/>
  <c r="L47" i="64"/>
  <c r="M52" i="64"/>
  <c r="M47" i="64"/>
  <c r="N52" i="64"/>
  <c r="N47" i="64"/>
  <c r="O47" i="64"/>
  <c r="P47" i="64"/>
  <c r="O52" i="64"/>
  <c r="P52" i="64"/>
  <c r="B2" i="173"/>
  <c r="AP2" i="173"/>
  <c r="Q4" i="173"/>
  <c r="J9" i="173"/>
  <c r="I9" i="173"/>
  <c r="L9" i="173"/>
  <c r="Z12" i="173"/>
  <c r="M9" i="173"/>
  <c r="AA12" i="173"/>
  <c r="N9" i="173"/>
  <c r="Q9" i="173"/>
  <c r="AE12" i="173"/>
  <c r="S12" i="173"/>
  <c r="T12" i="173"/>
  <c r="U12" i="173"/>
  <c r="X12" i="173"/>
  <c r="AB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S26" i="173"/>
  <c r="T26" i="173"/>
  <c r="U26" i="173"/>
  <c r="W26" i="173"/>
  <c r="X26" i="173"/>
  <c r="Z26" i="173"/>
  <c r="AA26" i="173"/>
  <c r="AB26" i="173"/>
  <c r="AD26" i="173"/>
  <c r="AE26" i="173"/>
  <c r="S27" i="173"/>
  <c r="T27" i="173"/>
  <c r="U27" i="173"/>
  <c r="W27" i="173"/>
  <c r="X27" i="173"/>
  <c r="Z27" i="173"/>
  <c r="AA27" i="173"/>
  <c r="AB27" i="173"/>
  <c r="AD27" i="173"/>
  <c r="AE27" i="173"/>
  <c r="S28" i="173"/>
  <c r="T28" i="173"/>
  <c r="U28" i="173"/>
  <c r="W28" i="173"/>
  <c r="X28" i="173"/>
  <c r="Z28" i="173"/>
  <c r="AA28" i="173"/>
  <c r="AB28" i="173"/>
  <c r="AD28" i="173"/>
  <c r="AE28" i="173"/>
  <c r="S29" i="173"/>
  <c r="T29" i="173"/>
  <c r="U29" i="173"/>
  <c r="W29" i="173"/>
  <c r="X29" i="173"/>
  <c r="Z29" i="173"/>
  <c r="AA29" i="173"/>
  <c r="AB29" i="173"/>
  <c r="AD29" i="173"/>
  <c r="AE29" i="173"/>
  <c r="S30" i="173"/>
  <c r="T30" i="173"/>
  <c r="U30" i="173"/>
  <c r="W30" i="173"/>
  <c r="X30" i="173"/>
  <c r="Z30" i="173"/>
  <c r="AA30" i="173"/>
  <c r="AB30" i="173"/>
  <c r="AD30" i="173"/>
  <c r="AE30" i="173"/>
  <c r="S31" i="173"/>
  <c r="T31" i="173"/>
  <c r="U31" i="173"/>
  <c r="W31" i="173"/>
  <c r="X31" i="173"/>
  <c r="Z31" i="173"/>
  <c r="AA31" i="173"/>
  <c r="AB31" i="173"/>
  <c r="AD31" i="173"/>
  <c r="AE31" i="173"/>
  <c r="S32" i="173"/>
  <c r="T32" i="173"/>
  <c r="U32" i="173"/>
  <c r="W32" i="173"/>
  <c r="X32" i="173"/>
  <c r="Z32" i="173"/>
  <c r="AA32" i="173"/>
  <c r="AB32" i="173"/>
  <c r="AD32" i="173"/>
  <c r="AE32" i="173"/>
  <c r="B33" i="173"/>
  <c r="S33" i="173"/>
  <c r="T33" i="173"/>
  <c r="U33" i="173"/>
  <c r="W33" i="173"/>
  <c r="X33" i="173"/>
  <c r="Z33" i="173"/>
  <c r="AA33" i="173"/>
  <c r="AB33" i="173"/>
  <c r="AD33" i="173"/>
  <c r="AE33" i="173"/>
  <c r="AQ33" i="173"/>
  <c r="B34" i="173"/>
  <c r="S34" i="173"/>
  <c r="T34" i="173"/>
  <c r="U34" i="173"/>
  <c r="W34" i="173"/>
  <c r="X34" i="173"/>
  <c r="Z34" i="173"/>
  <c r="AA34" i="173"/>
  <c r="AB34" i="173"/>
  <c r="AD34" i="173"/>
  <c r="AE34" i="173"/>
  <c r="AQ34" i="173"/>
  <c r="B35" i="173"/>
  <c r="S35" i="173"/>
  <c r="T35" i="173"/>
  <c r="U35" i="173"/>
  <c r="W35" i="173"/>
  <c r="X35" i="173"/>
  <c r="Z35" i="173"/>
  <c r="AA35" i="173"/>
  <c r="AB35" i="173"/>
  <c r="AD35" i="173"/>
  <c r="AE35" i="173"/>
  <c r="AG35" i="173"/>
  <c r="C35" i="173"/>
  <c r="AH35" i="173"/>
  <c r="AI35" i="173"/>
  <c r="AJ35" i="173"/>
  <c r="AM35" i="173"/>
  <c r="AP35" i="173"/>
  <c r="AQ35" i="173"/>
  <c r="B36" i="173"/>
  <c r="S36" i="173"/>
  <c r="T36" i="173"/>
  <c r="U36" i="173"/>
  <c r="W36" i="173"/>
  <c r="X36" i="173"/>
  <c r="Z36" i="173"/>
  <c r="AA36" i="173"/>
  <c r="AB36" i="173"/>
  <c r="AD36" i="173"/>
  <c r="AE36" i="173"/>
  <c r="AG36" i="173"/>
  <c r="C36" i="173"/>
  <c r="AH36" i="173"/>
  <c r="AK36" i="173"/>
  <c r="AI36" i="173"/>
  <c r="AJ36" i="173"/>
  <c r="AM36" i="173"/>
  <c r="AP36" i="173"/>
  <c r="AQ36" i="173"/>
  <c r="B37" i="173"/>
  <c r="S37" i="173"/>
  <c r="T37" i="173"/>
  <c r="U37" i="173"/>
  <c r="W37" i="173"/>
  <c r="X37" i="173"/>
  <c r="Z37" i="173"/>
  <c r="AA37" i="173"/>
  <c r="AB37" i="173"/>
  <c r="AD37" i="173"/>
  <c r="AE37" i="173"/>
  <c r="AG37" i="173"/>
  <c r="C37" i="173"/>
  <c r="AH37" i="173"/>
  <c r="AI37" i="173"/>
  <c r="AJ37" i="173"/>
  <c r="AM37" i="173"/>
  <c r="AP37" i="173"/>
  <c r="AQ37" i="173"/>
  <c r="B38" i="173"/>
  <c r="S38" i="173"/>
  <c r="T38" i="173"/>
  <c r="U38" i="173"/>
  <c r="W38" i="173"/>
  <c r="X38" i="173"/>
  <c r="Z38" i="173"/>
  <c r="AA38" i="173"/>
  <c r="AB38" i="173"/>
  <c r="AD38" i="173"/>
  <c r="AE38" i="173"/>
  <c r="AG38" i="173"/>
  <c r="C38" i="173"/>
  <c r="AH38" i="173"/>
  <c r="AK38" i="173"/>
  <c r="AI38" i="173"/>
  <c r="AJ38" i="173"/>
  <c r="AM38" i="173"/>
  <c r="AP38" i="173"/>
  <c r="AQ38" i="173"/>
  <c r="B39" i="173"/>
  <c r="S39" i="173"/>
  <c r="T39" i="173"/>
  <c r="U39" i="173"/>
  <c r="W39" i="173"/>
  <c r="X39" i="173"/>
  <c r="Z39" i="173"/>
  <c r="AA39" i="173"/>
  <c r="AB39" i="173"/>
  <c r="AD39" i="173"/>
  <c r="AE39" i="173"/>
  <c r="AG39" i="173"/>
  <c r="C39" i="173"/>
  <c r="AH39" i="173"/>
  <c r="AI39" i="173"/>
  <c r="AJ39" i="173"/>
  <c r="AM39" i="173"/>
  <c r="AP39" i="173"/>
  <c r="B40" i="173"/>
  <c r="S40" i="173"/>
  <c r="T40" i="173"/>
  <c r="U40" i="173"/>
  <c r="W40" i="173"/>
  <c r="X40" i="173"/>
  <c r="Z40" i="173"/>
  <c r="AA40" i="173"/>
  <c r="AB40" i="173"/>
  <c r="AD40" i="173"/>
  <c r="AE40" i="173"/>
  <c r="AG40" i="173"/>
  <c r="C40" i="173"/>
  <c r="AH40" i="173"/>
  <c r="AK40" i="173"/>
  <c r="AI40" i="173"/>
  <c r="AJ40" i="173"/>
  <c r="AM40" i="173"/>
  <c r="AP40" i="173"/>
  <c r="B41" i="173"/>
  <c r="S41" i="173"/>
  <c r="T41" i="173"/>
  <c r="U41" i="173"/>
  <c r="W41" i="173"/>
  <c r="X41" i="173"/>
  <c r="Z41" i="173"/>
  <c r="AA41" i="173"/>
  <c r="AB41" i="173"/>
  <c r="AD41" i="173"/>
  <c r="AE41" i="173"/>
  <c r="AG41" i="173"/>
  <c r="C41" i="173"/>
  <c r="AH41" i="173"/>
  <c r="AK41" i="173"/>
  <c r="AI41" i="173"/>
  <c r="AJ41" i="173"/>
  <c r="AM41" i="173"/>
  <c r="AP41" i="173"/>
  <c r="B42" i="173"/>
  <c r="S42" i="173"/>
  <c r="T42" i="173"/>
  <c r="U42" i="173"/>
  <c r="W42" i="173"/>
  <c r="X42" i="173"/>
  <c r="Z42" i="173"/>
  <c r="AA42" i="173"/>
  <c r="AB42" i="173"/>
  <c r="AD42" i="173"/>
  <c r="AE42" i="173"/>
  <c r="AG42" i="173"/>
  <c r="C42" i="173"/>
  <c r="AH42" i="173"/>
  <c r="AI42" i="173"/>
  <c r="AJ42" i="173"/>
  <c r="AM42" i="173"/>
  <c r="AP42" i="173"/>
  <c r="B2" i="53"/>
  <c r="AA3" i="53"/>
  <c r="K4" i="53"/>
  <c r="W4" i="53"/>
  <c r="AA4" i="53"/>
  <c r="AA5" i="53"/>
  <c r="D10" i="53"/>
  <c r="E10" i="53"/>
  <c r="F10" i="53"/>
  <c r="G10" i="53"/>
  <c r="I10" i="53"/>
  <c r="J10" i="53"/>
  <c r="K10" i="53"/>
  <c r="Q10" i="53"/>
  <c r="R10" i="53"/>
  <c r="S10" i="53"/>
  <c r="D11" i="53"/>
  <c r="E11" i="53"/>
  <c r="F11" i="53"/>
  <c r="G11" i="53"/>
  <c r="I11" i="53"/>
  <c r="J11" i="53"/>
  <c r="K11" i="53"/>
  <c r="Q11" i="53"/>
  <c r="R11" i="53"/>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E22" i="53"/>
  <c r="F22" i="53"/>
  <c r="G22" i="53"/>
  <c r="I22" i="53"/>
  <c r="J22" i="53"/>
  <c r="K22" i="53"/>
  <c r="Q22" i="53"/>
  <c r="R22" i="53"/>
  <c r="S22" i="53"/>
  <c r="D23" i="53"/>
  <c r="E23" i="53"/>
  <c r="F23" i="53"/>
  <c r="G23" i="53"/>
  <c r="I23" i="53"/>
  <c r="J23" i="53"/>
  <c r="K23" i="53"/>
  <c r="Q23" i="53"/>
  <c r="R23" i="53"/>
  <c r="S23" i="53"/>
  <c r="D24" i="53"/>
  <c r="E24" i="53"/>
  <c r="F24" i="53"/>
  <c r="G24" i="53"/>
  <c r="I24" i="53"/>
  <c r="J24" i="53"/>
  <c r="K24" i="53"/>
  <c r="Q24" i="53"/>
  <c r="R24" i="53"/>
  <c r="S24" i="53"/>
  <c r="D25" i="53"/>
  <c r="E25" i="53"/>
  <c r="F25" i="53"/>
  <c r="G25" i="53"/>
  <c r="I25" i="53"/>
  <c r="J25" i="53"/>
  <c r="K25" i="53"/>
  <c r="Q25" i="53"/>
  <c r="R25" i="53"/>
  <c r="S25" i="53"/>
  <c r="D26" i="53"/>
  <c r="E26" i="53"/>
  <c r="F26" i="53"/>
  <c r="G26" i="53"/>
  <c r="I26" i="53"/>
  <c r="J26" i="53"/>
  <c r="K26" i="53"/>
  <c r="Q26" i="53"/>
  <c r="R26" i="53"/>
  <c r="S26" i="53"/>
  <c r="D27" i="53"/>
  <c r="E27" i="53"/>
  <c r="F27" i="53"/>
  <c r="G27" i="53"/>
  <c r="I27" i="53"/>
  <c r="J27" i="53"/>
  <c r="K27" i="53"/>
  <c r="Q27" i="53"/>
  <c r="R27" i="53"/>
  <c r="S27" i="53"/>
  <c r="D28" i="53"/>
  <c r="E28" i="53"/>
  <c r="F28" i="53"/>
  <c r="G28" i="53"/>
  <c r="I28" i="53"/>
  <c r="J28" i="53"/>
  <c r="K28" i="53"/>
  <c r="Q28" i="53"/>
  <c r="R28" i="53"/>
  <c r="S28" i="53"/>
  <c r="D29" i="53"/>
  <c r="E29" i="53"/>
  <c r="F29" i="53"/>
  <c r="G29" i="53"/>
  <c r="I29" i="53"/>
  <c r="J29" i="53"/>
  <c r="K29" i="53"/>
  <c r="Q29" i="53"/>
  <c r="R29" i="53"/>
  <c r="S29" i="53"/>
  <c r="B30" i="53"/>
  <c r="D30" i="53"/>
  <c r="E30" i="53"/>
  <c r="F30" i="53"/>
  <c r="G30" i="53"/>
  <c r="I30" i="53"/>
  <c r="J30" i="53"/>
  <c r="N30" i="53"/>
  <c r="K30" i="53"/>
  <c r="K46" i="53"/>
  <c r="M30" i="53"/>
  <c r="Q30" i="53"/>
  <c r="U30" i="53"/>
  <c r="R30" i="53"/>
  <c r="S30" i="53"/>
  <c r="W30" i="53"/>
  <c r="B31" i="53"/>
  <c r="D31" i="53"/>
  <c r="E31" i="53"/>
  <c r="F31" i="53"/>
  <c r="G31" i="53"/>
  <c r="I31" i="53"/>
  <c r="M31" i="53"/>
  <c r="J31" i="53"/>
  <c r="K31" i="53"/>
  <c r="O31" i="53"/>
  <c r="N31" i="53"/>
  <c r="Q31" i="53"/>
  <c r="U31" i="53"/>
  <c r="R31" i="53"/>
  <c r="S31" i="53"/>
  <c r="W31" i="53"/>
  <c r="V31" i="53"/>
  <c r="B32" i="53"/>
  <c r="D32" i="53"/>
  <c r="E32" i="53"/>
  <c r="F32" i="53"/>
  <c r="G32" i="53"/>
  <c r="I32" i="53"/>
  <c r="J32" i="53"/>
  <c r="N32" i="53"/>
  <c r="K32" i="53"/>
  <c r="O32" i="53"/>
  <c r="M32" i="53"/>
  <c r="Q32" i="53"/>
  <c r="U32" i="53"/>
  <c r="R32" i="53"/>
  <c r="V32" i="53"/>
  <c r="S32" i="53"/>
  <c r="W32" i="53"/>
  <c r="Z32" i="53"/>
  <c r="B33" i="53"/>
  <c r="D33" i="53"/>
  <c r="E33" i="53"/>
  <c r="F33" i="53"/>
  <c r="G33" i="53"/>
  <c r="I33" i="53"/>
  <c r="M33" i="53"/>
  <c r="J33" i="53"/>
  <c r="K33" i="53"/>
  <c r="O33" i="53"/>
  <c r="N33" i="53"/>
  <c r="Q33" i="53"/>
  <c r="U33" i="53"/>
  <c r="R33" i="53"/>
  <c r="S33" i="53"/>
  <c r="W33" i="53"/>
  <c r="V33" i="53"/>
  <c r="Z33" i="53"/>
  <c r="B34" i="53"/>
  <c r="D34" i="53"/>
  <c r="E34" i="53"/>
  <c r="F34" i="53"/>
  <c r="G34" i="53"/>
  <c r="I34" i="53"/>
  <c r="J34" i="53"/>
  <c r="N34" i="53"/>
  <c r="K34" i="53"/>
  <c r="O34" i="53"/>
  <c r="Q34" i="53"/>
  <c r="R34" i="53"/>
  <c r="V34" i="53"/>
  <c r="S34" i="53"/>
  <c r="U34" i="53"/>
  <c r="W34" i="53"/>
  <c r="Z34" i="53"/>
  <c r="B35" i="53"/>
  <c r="D35" i="53"/>
  <c r="E35" i="53"/>
  <c r="F35" i="53"/>
  <c r="G35" i="53"/>
  <c r="I35" i="53"/>
  <c r="M35" i="53"/>
  <c r="J35" i="53"/>
  <c r="N35" i="53"/>
  <c r="K35" i="53"/>
  <c r="O35" i="53"/>
  <c r="Q35" i="53"/>
  <c r="U35" i="53"/>
  <c r="R35" i="53"/>
  <c r="V35" i="53"/>
  <c r="S35" i="53"/>
  <c r="W35" i="53"/>
  <c r="Z35" i="53"/>
  <c r="B36" i="53"/>
  <c r="D36" i="53"/>
  <c r="E36" i="53"/>
  <c r="F36" i="53"/>
  <c r="G36" i="53"/>
  <c r="I36" i="53"/>
  <c r="J36" i="53"/>
  <c r="N36" i="53"/>
  <c r="K36" i="53"/>
  <c r="O36" i="53"/>
  <c r="M36" i="53"/>
  <c r="Q36" i="53"/>
  <c r="U36" i="53"/>
  <c r="R36" i="53"/>
  <c r="V36" i="53"/>
  <c r="S36" i="53"/>
  <c r="W36" i="53"/>
  <c r="Z36" i="53"/>
  <c r="B37" i="53"/>
  <c r="D37" i="53"/>
  <c r="E37" i="53"/>
  <c r="F37" i="53"/>
  <c r="G37" i="53"/>
  <c r="I37" i="53"/>
  <c r="M37" i="53"/>
  <c r="J37" i="53"/>
  <c r="K37" i="53"/>
  <c r="O37" i="53"/>
  <c r="N37" i="53"/>
  <c r="Q37" i="53"/>
  <c r="U37" i="53"/>
  <c r="R37" i="53"/>
  <c r="S37" i="53"/>
  <c r="W37" i="53"/>
  <c r="V37" i="53"/>
  <c r="Z37" i="53"/>
  <c r="B38" i="53"/>
  <c r="D38" i="53"/>
  <c r="E38" i="53"/>
  <c r="F38" i="53"/>
  <c r="G38" i="53"/>
  <c r="I38" i="53"/>
  <c r="M38" i="53"/>
  <c r="J38" i="53"/>
  <c r="N38" i="53"/>
  <c r="K38" i="53"/>
  <c r="O38" i="53"/>
  <c r="Q38" i="53"/>
  <c r="R38" i="53"/>
  <c r="S38" i="53"/>
  <c r="U38" i="53"/>
  <c r="W38" i="53"/>
  <c r="Z38" i="53"/>
  <c r="B39" i="53"/>
  <c r="D39" i="53"/>
  <c r="E39" i="53"/>
  <c r="F39" i="53"/>
  <c r="G39" i="53"/>
  <c r="I39" i="53"/>
  <c r="M39" i="53"/>
  <c r="J39" i="53"/>
  <c r="N39" i="53"/>
  <c r="K39" i="53"/>
  <c r="O39" i="53"/>
  <c r="Q39" i="53"/>
  <c r="U39" i="53"/>
  <c r="R39" i="53"/>
  <c r="V39" i="53"/>
  <c r="S39" i="53"/>
  <c r="W39" i="53"/>
  <c r="Z39" i="53"/>
  <c r="D42" i="53"/>
  <c r="Q44" i="53"/>
  <c r="B2" i="172"/>
  <c r="Y2" i="172"/>
  <c r="AA2" i="172"/>
  <c r="AI2" i="172"/>
  <c r="Y3" i="172"/>
  <c r="AA3" i="172"/>
  <c r="W4" i="172"/>
  <c r="AA4" i="172"/>
  <c r="K8" i="172"/>
  <c r="Y4" i="172"/>
  <c r="O8" i="172"/>
  <c r="P8" i="172"/>
  <c r="Q8" i="172"/>
  <c r="U8" i="172"/>
  <c r="E12" i="172"/>
  <c r="F12" i="172"/>
  <c r="G12" i="172"/>
  <c r="I12" i="172"/>
  <c r="J12" i="172"/>
  <c r="K12" i="172"/>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M43" i="172"/>
  <c r="E18" i="172"/>
  <c r="F18" i="172"/>
  <c r="G18" i="172"/>
  <c r="I18" i="172"/>
  <c r="I45"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E25" i="172"/>
  <c r="F25" i="172"/>
  <c r="G25" i="172"/>
  <c r="I25" i="172"/>
  <c r="J25" i="172"/>
  <c r="K25" i="172"/>
  <c r="L25" i="172"/>
  <c r="M25" i="172"/>
  <c r="E26" i="172"/>
  <c r="F26" i="172"/>
  <c r="G26" i="172"/>
  <c r="I26" i="172"/>
  <c r="J26" i="172"/>
  <c r="K26" i="172"/>
  <c r="L26" i="172"/>
  <c r="M26" i="172"/>
  <c r="E27" i="172"/>
  <c r="F27" i="172"/>
  <c r="G27" i="172"/>
  <c r="I27" i="172"/>
  <c r="J27" i="172"/>
  <c r="K27" i="172"/>
  <c r="L27" i="172"/>
  <c r="M27" i="172"/>
  <c r="E28" i="172"/>
  <c r="F28" i="172"/>
  <c r="G28" i="172"/>
  <c r="I28" i="172"/>
  <c r="J28" i="172"/>
  <c r="K28" i="172"/>
  <c r="L28" i="172"/>
  <c r="M28" i="172"/>
  <c r="E29" i="172"/>
  <c r="F29" i="172"/>
  <c r="G29" i="172"/>
  <c r="I29" i="172"/>
  <c r="J29" i="172"/>
  <c r="K29" i="172"/>
  <c r="L29" i="172"/>
  <c r="M29" i="172"/>
  <c r="E30" i="172"/>
  <c r="F30" i="172"/>
  <c r="G30" i="172"/>
  <c r="I30" i="172"/>
  <c r="J30" i="172"/>
  <c r="K30" i="172"/>
  <c r="L30" i="172"/>
  <c r="M30" i="172"/>
  <c r="E31" i="172"/>
  <c r="F31" i="172"/>
  <c r="G31" i="172"/>
  <c r="I31" i="172"/>
  <c r="J31" i="172"/>
  <c r="K31" i="172"/>
  <c r="L31" i="172"/>
  <c r="M31" i="172"/>
  <c r="B32" i="172"/>
  <c r="C32" i="172"/>
  <c r="E32" i="172"/>
  <c r="F32" i="172"/>
  <c r="F46" i="172"/>
  <c r="G32" i="172"/>
  <c r="I32" i="172"/>
  <c r="J32" i="172"/>
  <c r="K32" i="172"/>
  <c r="K46" i="172"/>
  <c r="L32" i="172"/>
  <c r="M32" i="172"/>
  <c r="O32" i="172"/>
  <c r="Q32" i="172"/>
  <c r="S32" i="172"/>
  <c r="T32" i="172"/>
  <c r="U32" i="172"/>
  <c r="V32" i="172"/>
  <c r="W32" i="172"/>
  <c r="Y32" i="172"/>
  <c r="Z32" i="172"/>
  <c r="AC32" i="172"/>
  <c r="AA32" i="172"/>
  <c r="AB32" i="172"/>
  <c r="AE32" i="172"/>
  <c r="AI32" i="172"/>
  <c r="AA30" i="53"/>
  <c r="B33" i="172"/>
  <c r="C33" i="172"/>
  <c r="Q33" i="172"/>
  <c r="E33" i="172"/>
  <c r="E43" i="172"/>
  <c r="F33" i="172"/>
  <c r="G33" i="172"/>
  <c r="I33" i="172"/>
  <c r="J33" i="172"/>
  <c r="J46" i="172"/>
  <c r="K33" i="172"/>
  <c r="L33" i="172"/>
  <c r="M33" i="172"/>
  <c r="O33" i="172"/>
  <c r="S33" i="172"/>
  <c r="U33" i="172"/>
  <c r="W33" i="172"/>
  <c r="Y33" i="172"/>
  <c r="Z33" i="172"/>
  <c r="AC33" i="172"/>
  <c r="AA33" i="172"/>
  <c r="AB33" i="172"/>
  <c r="AE33" i="172"/>
  <c r="AI33" i="172"/>
  <c r="AA31" i="53"/>
  <c r="B34" i="172"/>
  <c r="C34" i="172"/>
  <c r="P34" i="172"/>
  <c r="E34" i="172"/>
  <c r="F34" i="172"/>
  <c r="G34" i="172"/>
  <c r="G44" i="172"/>
  <c r="I34" i="172"/>
  <c r="J34" i="172"/>
  <c r="T34" i="172"/>
  <c r="K34" i="172"/>
  <c r="L34" i="172"/>
  <c r="L43" i="172"/>
  <c r="M34" i="172"/>
  <c r="O34" i="172"/>
  <c r="Q34" i="172"/>
  <c r="S34" i="172"/>
  <c r="V34" i="172"/>
  <c r="W34" i="172"/>
  <c r="Y34" i="172"/>
  <c r="Z34" i="172"/>
  <c r="AA34" i="172"/>
  <c r="AB34" i="172"/>
  <c r="AD34" i="172"/>
  <c r="AF34" i="172"/>
  <c r="AE34" i="172"/>
  <c r="AH34" i="172"/>
  <c r="AI34" i="172"/>
  <c r="AA32" i="53"/>
  <c r="B35" i="172"/>
  <c r="C35" i="172"/>
  <c r="E35" i="172"/>
  <c r="F35" i="172"/>
  <c r="G35" i="172"/>
  <c r="G43" i="172"/>
  <c r="I35" i="172"/>
  <c r="J35" i="172"/>
  <c r="K35" i="172"/>
  <c r="L35" i="172"/>
  <c r="L48" i="172"/>
  <c r="M35" i="172"/>
  <c r="O35" i="172"/>
  <c r="P35" i="172"/>
  <c r="Q35" i="172"/>
  <c r="S35" i="172"/>
  <c r="T35" i="172"/>
  <c r="U35" i="172"/>
  <c r="V35" i="172"/>
  <c r="W35" i="172"/>
  <c r="Y35" i="172"/>
  <c r="Z35" i="172"/>
  <c r="AA35" i="172"/>
  <c r="AD35" i="172"/>
  <c r="AF35" i="172"/>
  <c r="AB35" i="172"/>
  <c r="AE35" i="172"/>
  <c r="AH35" i="172"/>
  <c r="AI35" i="172"/>
  <c r="AA33" i="53"/>
  <c r="B36" i="172"/>
  <c r="C36" i="172"/>
  <c r="P36" i="172"/>
  <c r="E36" i="172"/>
  <c r="O36" i="172"/>
  <c r="F36" i="172"/>
  <c r="G36" i="172"/>
  <c r="I36" i="172"/>
  <c r="J36" i="172"/>
  <c r="T36" i="172"/>
  <c r="K36" i="172"/>
  <c r="L36" i="172"/>
  <c r="M36" i="172"/>
  <c r="Q36" i="172"/>
  <c r="S36" i="172"/>
  <c r="V36" i="172"/>
  <c r="W36" i="172"/>
  <c r="Y36" i="172"/>
  <c r="Z36" i="172"/>
  <c r="AA36" i="172"/>
  <c r="AB36" i="172"/>
  <c r="AE36" i="172"/>
  <c r="AH36" i="172"/>
  <c r="AI36" i="172"/>
  <c r="AA34" i="53"/>
  <c r="B37" i="172"/>
  <c r="C37" i="172"/>
  <c r="O37" i="172"/>
  <c r="E37" i="172"/>
  <c r="F37" i="172"/>
  <c r="G37" i="172"/>
  <c r="I37" i="172"/>
  <c r="S37" i="172"/>
  <c r="J37" i="172"/>
  <c r="K37" i="172"/>
  <c r="L37" i="172"/>
  <c r="M37" i="172"/>
  <c r="W37" i="172"/>
  <c r="Y37" i="172"/>
  <c r="Z37" i="172"/>
  <c r="AA37" i="172"/>
  <c r="AB37" i="172"/>
  <c r="AE37" i="172"/>
  <c r="AH37" i="172"/>
  <c r="AI37" i="172"/>
  <c r="AA35" i="53"/>
  <c r="B38" i="172"/>
  <c r="C38" i="172"/>
  <c r="Q38" i="172"/>
  <c r="E38" i="172"/>
  <c r="F38" i="172"/>
  <c r="F43" i="172"/>
  <c r="G38" i="172"/>
  <c r="I38" i="172"/>
  <c r="J38" i="172"/>
  <c r="K38" i="172"/>
  <c r="K43" i="172"/>
  <c r="L38" i="172"/>
  <c r="M38" i="172"/>
  <c r="P38" i="172"/>
  <c r="S38" i="172"/>
  <c r="U38" i="172"/>
  <c r="W38" i="172"/>
  <c r="AH38" i="172"/>
  <c r="B39" i="172"/>
  <c r="C39" i="172"/>
  <c r="E39" i="172"/>
  <c r="F39" i="172"/>
  <c r="G39" i="172"/>
  <c r="I39" i="172"/>
  <c r="J39" i="172"/>
  <c r="K39" i="172"/>
  <c r="L39" i="172"/>
  <c r="M39" i="172"/>
  <c r="O39" i="172"/>
  <c r="P39" i="172"/>
  <c r="Q39" i="172"/>
  <c r="S39" i="172"/>
  <c r="T39" i="172"/>
  <c r="U39" i="172"/>
  <c r="V39" i="172"/>
  <c r="W39" i="172"/>
  <c r="AH39" i="172"/>
  <c r="B40" i="172"/>
  <c r="C40" i="172"/>
  <c r="O40" i="172"/>
  <c r="E40" i="172"/>
  <c r="F40" i="172"/>
  <c r="G40" i="172"/>
  <c r="I40" i="172"/>
  <c r="J40" i="172"/>
  <c r="K40" i="172"/>
  <c r="L40" i="172"/>
  <c r="M40" i="172"/>
  <c r="S40" i="172"/>
  <c r="W40" i="172"/>
  <c r="AH40" i="172"/>
  <c r="B41" i="172"/>
  <c r="C41" i="172"/>
  <c r="P41" i="172"/>
  <c r="E41" i="172"/>
  <c r="F41" i="172"/>
  <c r="G41" i="172"/>
  <c r="I41" i="172"/>
  <c r="J41" i="172"/>
  <c r="K41" i="172"/>
  <c r="L41" i="172"/>
  <c r="M41" i="172"/>
  <c r="O41" i="172"/>
  <c r="Q41" i="172"/>
  <c r="S41" i="172"/>
  <c r="T41" i="172"/>
  <c r="V41" i="172"/>
  <c r="W41" i="172"/>
  <c r="AH41" i="172"/>
  <c r="J43" i="172"/>
  <c r="F44" i="172"/>
  <c r="K44" i="172"/>
  <c r="F45" i="172"/>
  <c r="M45" i="172"/>
  <c r="I46" i="172"/>
  <c r="M46" i="172"/>
  <c r="I47" i="172"/>
  <c r="M47" i="172"/>
  <c r="I48" i="172"/>
  <c r="M48" i="172"/>
  <c r="B2" i="41"/>
  <c r="Z3" i="41"/>
  <c r="R4" i="41"/>
  <c r="Z4" i="41"/>
  <c r="Z5" i="41"/>
  <c r="W7" i="41"/>
  <c r="W12" i="41"/>
  <c r="H10" i="41"/>
  <c r="K10" i="41"/>
  <c r="AG13" i="173"/>
  <c r="L10" i="41"/>
  <c r="AH13" i="173"/>
  <c r="M10" i="41"/>
  <c r="AI13" i="173"/>
  <c r="N10" i="41"/>
  <c r="AJ13" i="173"/>
  <c r="P10" i="41"/>
  <c r="R10" i="41"/>
  <c r="Q10" i="41"/>
  <c r="AM13" i="173"/>
  <c r="Z10" i="41"/>
  <c r="AB10" i="285"/>
  <c r="H11" i="41"/>
  <c r="K11" i="41"/>
  <c r="AG14" i="173"/>
  <c r="L11" i="41"/>
  <c r="AH14" i="173"/>
  <c r="M11" i="41"/>
  <c r="AI14" i="173"/>
  <c r="N11" i="41"/>
  <c r="AJ14" i="173"/>
  <c r="Q11" i="41"/>
  <c r="AM14" i="173"/>
  <c r="Z11" i="41"/>
  <c r="AB11" i="285"/>
  <c r="H12" i="41"/>
  <c r="K12" i="41"/>
  <c r="AG15" i="173"/>
  <c r="L12" i="41"/>
  <c r="AH15" i="173"/>
  <c r="M12" i="41"/>
  <c r="AI15" i="173"/>
  <c r="N12" i="41"/>
  <c r="AJ15" i="173"/>
  <c r="Q12" i="41"/>
  <c r="AM15" i="173"/>
  <c r="Z12" i="41"/>
  <c r="H13" i="41"/>
  <c r="K13" i="41"/>
  <c r="AG16" i="173"/>
  <c r="L13" i="41"/>
  <c r="AH16" i="173"/>
  <c r="M13" i="41"/>
  <c r="AI16" i="173"/>
  <c r="N13" i="41"/>
  <c r="AJ16" i="173"/>
  <c r="Q13" i="41"/>
  <c r="AM16" i="173"/>
  <c r="Z13" i="41"/>
  <c r="AB13" i="285"/>
  <c r="H14" i="41"/>
  <c r="K14" i="41"/>
  <c r="AG17" i="173"/>
  <c r="L14" i="41"/>
  <c r="AH17" i="173"/>
  <c r="M14" i="41"/>
  <c r="AI17" i="173"/>
  <c r="N14" i="41"/>
  <c r="AJ17" i="173"/>
  <c r="O14" i="41"/>
  <c r="Q14" i="41"/>
  <c r="AM17" i="173"/>
  <c r="W14" i="41"/>
  <c r="Z14" i="41"/>
  <c r="H15" i="41"/>
  <c r="H42" i="41"/>
  <c r="K15" i="41"/>
  <c r="AG18" i="173"/>
  <c r="L15" i="41"/>
  <c r="AH18" i="173"/>
  <c r="M15" i="41"/>
  <c r="AI18" i="173"/>
  <c r="N15" i="41"/>
  <c r="AJ18" i="173"/>
  <c r="Q15" i="41"/>
  <c r="AM18" i="173"/>
  <c r="W15" i="41"/>
  <c r="Z15" i="41"/>
  <c r="H16" i="41"/>
  <c r="K16" i="41"/>
  <c r="AG19" i="173"/>
  <c r="L16" i="41"/>
  <c r="AH19" i="173"/>
  <c r="AK19" i="173"/>
  <c r="M16" i="41"/>
  <c r="AI19" i="173"/>
  <c r="N16" i="41"/>
  <c r="AJ19" i="173"/>
  <c r="Q16" i="41"/>
  <c r="AM19" i="173"/>
  <c r="Z16" i="41"/>
  <c r="AB16" i="285"/>
  <c r="H17" i="41"/>
  <c r="K17" i="41"/>
  <c r="AG20" i="173"/>
  <c r="L17" i="41"/>
  <c r="AH20" i="173"/>
  <c r="M17" i="41"/>
  <c r="AI20" i="173"/>
  <c r="N17" i="41"/>
  <c r="AJ20" i="173"/>
  <c r="Q17" i="41"/>
  <c r="AM20" i="173"/>
  <c r="Z17" i="41"/>
  <c r="H18" i="41"/>
  <c r="K18" i="41"/>
  <c r="AG21" i="173"/>
  <c r="L18" i="41"/>
  <c r="AH21" i="173"/>
  <c r="M18" i="41"/>
  <c r="AI21" i="173"/>
  <c r="N18" i="41"/>
  <c r="AJ21" i="173"/>
  <c r="O18" i="41"/>
  <c r="Q18" i="41"/>
  <c r="AM21" i="173"/>
  <c r="W18" i="41"/>
  <c r="Z18" i="41"/>
  <c r="H19" i="41"/>
  <c r="K19" i="41"/>
  <c r="AG22" i="173"/>
  <c r="L19" i="41"/>
  <c r="AH22" i="173"/>
  <c r="M19" i="41"/>
  <c r="AI22" i="173"/>
  <c r="N19" i="41"/>
  <c r="AJ22" i="173"/>
  <c r="Q19" i="41"/>
  <c r="AM22" i="173"/>
  <c r="W19" i="41"/>
  <c r="Z19" i="41"/>
  <c r="H20" i="41"/>
  <c r="K20" i="41"/>
  <c r="AG23" i="173"/>
  <c r="L20" i="41"/>
  <c r="AH23" i="173"/>
  <c r="AK23" i="173"/>
  <c r="M20" i="41"/>
  <c r="AI23" i="173"/>
  <c r="N20" i="41"/>
  <c r="AJ23" i="173"/>
  <c r="Q20" i="41"/>
  <c r="AM23" i="173"/>
  <c r="Z20" i="41"/>
  <c r="H21" i="41"/>
  <c r="K21" i="41"/>
  <c r="AG24" i="173"/>
  <c r="L21" i="41"/>
  <c r="AH24" i="173"/>
  <c r="M21" i="41"/>
  <c r="AI24" i="173"/>
  <c r="N21" i="41"/>
  <c r="AJ24" i="173"/>
  <c r="Q21" i="41"/>
  <c r="AM24" i="173"/>
  <c r="Z21" i="41"/>
  <c r="AB21" i="285"/>
  <c r="H22" i="41"/>
  <c r="K22" i="41"/>
  <c r="AG25" i="173"/>
  <c r="L22" i="41"/>
  <c r="AH25" i="173"/>
  <c r="M22" i="41"/>
  <c r="AI25" i="173"/>
  <c r="N22" i="41"/>
  <c r="AJ25" i="173"/>
  <c r="O22" i="41"/>
  <c r="Q22" i="41"/>
  <c r="AM25" i="173"/>
  <c r="W22" i="41"/>
  <c r="Z22" i="41"/>
  <c r="H23" i="41"/>
  <c r="K23" i="41"/>
  <c r="AG26" i="173"/>
  <c r="L23" i="41"/>
  <c r="AH26" i="173"/>
  <c r="M23" i="41"/>
  <c r="AI26" i="173"/>
  <c r="N23" i="41"/>
  <c r="AJ26" i="173"/>
  <c r="Q23" i="41"/>
  <c r="AM26" i="173"/>
  <c r="W23" i="41"/>
  <c r="Z23" i="41"/>
  <c r="H24" i="41"/>
  <c r="K24" i="41"/>
  <c r="AG27" i="173"/>
  <c r="L24" i="41"/>
  <c r="AH27" i="173"/>
  <c r="M24" i="41"/>
  <c r="AI27" i="173"/>
  <c r="N24" i="41"/>
  <c r="AJ27" i="173"/>
  <c r="Q24" i="41"/>
  <c r="AM27" i="173"/>
  <c r="Z24" i="41"/>
  <c r="AB24" i="285"/>
  <c r="H25" i="41"/>
  <c r="K25" i="41"/>
  <c r="AG28" i="173"/>
  <c r="L25" i="41"/>
  <c r="AH28" i="173"/>
  <c r="M25" i="41"/>
  <c r="AI28" i="173"/>
  <c r="N25" i="41"/>
  <c r="AJ28" i="173"/>
  <c r="Q25" i="41"/>
  <c r="AM28" i="173"/>
  <c r="Z25" i="41"/>
  <c r="AB25" i="285"/>
  <c r="H26" i="41"/>
  <c r="K26" i="41"/>
  <c r="AG29" i="173"/>
  <c r="L26" i="41"/>
  <c r="AH29" i="173"/>
  <c r="M26" i="41"/>
  <c r="AI29" i="173"/>
  <c r="N26" i="41"/>
  <c r="AJ29" i="173"/>
  <c r="Q26" i="41"/>
  <c r="AM29" i="173"/>
  <c r="W26" i="41"/>
  <c r="Z26" i="41"/>
  <c r="H27" i="41"/>
  <c r="K27" i="41"/>
  <c r="AG30" i="173"/>
  <c r="L27" i="41"/>
  <c r="AH30" i="173"/>
  <c r="M27" i="41"/>
  <c r="AI30" i="173"/>
  <c r="N27" i="41"/>
  <c r="AJ30" i="173"/>
  <c r="Q27" i="41"/>
  <c r="AM30" i="173"/>
  <c r="W27" i="41"/>
  <c r="Z27" i="41"/>
  <c r="H28" i="41"/>
  <c r="K28" i="41"/>
  <c r="AG31" i="173"/>
  <c r="L28" i="41"/>
  <c r="AH31" i="173"/>
  <c r="AK31" i="173"/>
  <c r="M28" i="41"/>
  <c r="AI31" i="173"/>
  <c r="N28" i="41"/>
  <c r="AJ31" i="173"/>
  <c r="Q28" i="41"/>
  <c r="AM31" i="173"/>
  <c r="Z28" i="41"/>
  <c r="H29" i="41"/>
  <c r="K29" i="41"/>
  <c r="AG32" i="173"/>
  <c r="L29" i="41"/>
  <c r="AH32" i="173"/>
  <c r="M29" i="41"/>
  <c r="AI32" i="173"/>
  <c r="N29" i="41"/>
  <c r="AJ32" i="173"/>
  <c r="Q29" i="41"/>
  <c r="AM32" i="173"/>
  <c r="Z29" i="41"/>
  <c r="B30" i="41"/>
  <c r="H30" i="41"/>
  <c r="K30" i="41"/>
  <c r="AG33" i="173"/>
  <c r="L30" i="41"/>
  <c r="AH33" i="173"/>
  <c r="M30" i="41"/>
  <c r="AI33" i="173"/>
  <c r="N30" i="41"/>
  <c r="AJ33" i="173"/>
  <c r="Q30" i="41"/>
  <c r="AM33" i="173"/>
  <c r="Z30" i="41"/>
  <c r="B31" i="41"/>
  <c r="H31" i="41"/>
  <c r="K31" i="41"/>
  <c r="AG34" i="173"/>
  <c r="L31" i="41"/>
  <c r="AH34" i="173"/>
  <c r="M31" i="41"/>
  <c r="AI34" i="173"/>
  <c r="N31" i="41"/>
  <c r="AJ34" i="173"/>
  <c r="Q31" i="41"/>
  <c r="AM34" i="173"/>
  <c r="W31" i="41"/>
  <c r="Z31" i="41"/>
  <c r="L42" i="41"/>
  <c r="L43" i="41"/>
  <c r="L44" i="41"/>
  <c r="L45" i="41"/>
  <c r="L46" i="41"/>
  <c r="E58" i="41"/>
  <c r="B2" i="285"/>
  <c r="B48" i="285"/>
  <c r="AB3" i="285"/>
  <c r="Y4" i="285"/>
  <c r="AB4" i="285"/>
  <c r="AB5" i="285"/>
  <c r="E10" i="285"/>
  <c r="G10" i="285"/>
  <c r="J10" i="285"/>
  <c r="M10" i="285"/>
  <c r="M46" i="285"/>
  <c r="D11" i="285"/>
  <c r="E11" i="285"/>
  <c r="G11" i="285"/>
  <c r="M11" i="285"/>
  <c r="D12" i="285"/>
  <c r="E12" i="285"/>
  <c r="G12" i="285"/>
  <c r="J12" i="285"/>
  <c r="M12" i="285"/>
  <c r="AB12" i="285"/>
  <c r="E13" i="285"/>
  <c r="G13" i="285"/>
  <c r="M13" i="285"/>
  <c r="E14" i="285"/>
  <c r="F14" i="285"/>
  <c r="G14" i="285"/>
  <c r="J14" i="285"/>
  <c r="M14" i="285"/>
  <c r="AB14" i="285"/>
  <c r="D15" i="285"/>
  <c r="F15" i="285"/>
  <c r="G15" i="285"/>
  <c r="J15" i="285"/>
  <c r="M15" i="285"/>
  <c r="AB15" i="285"/>
  <c r="D16" i="285"/>
  <c r="F16" i="285"/>
  <c r="G16" i="285"/>
  <c r="M16" i="285"/>
  <c r="D17" i="285"/>
  <c r="E17" i="285"/>
  <c r="F17" i="285"/>
  <c r="G17" i="285"/>
  <c r="J17" i="285"/>
  <c r="M17" i="285"/>
  <c r="AB17" i="285"/>
  <c r="E18" i="285"/>
  <c r="G18" i="285"/>
  <c r="M18" i="285"/>
  <c r="AB18" i="285"/>
  <c r="D19" i="285"/>
  <c r="F19" i="285"/>
  <c r="J19" i="285"/>
  <c r="M19" i="285"/>
  <c r="AB19" i="285"/>
  <c r="D20" i="285"/>
  <c r="F20" i="285"/>
  <c r="M20" i="285"/>
  <c r="AB20" i="285"/>
  <c r="E21" i="285"/>
  <c r="G21" i="285"/>
  <c r="M21" i="285"/>
  <c r="D22" i="285"/>
  <c r="E22" i="285"/>
  <c r="F22" i="285"/>
  <c r="G22" i="285"/>
  <c r="J22" i="285"/>
  <c r="M22" i="285"/>
  <c r="AB22" i="285"/>
  <c r="D23" i="285"/>
  <c r="E23" i="285"/>
  <c r="F23" i="285"/>
  <c r="J23" i="285"/>
  <c r="M23" i="285"/>
  <c r="AB23" i="285"/>
  <c r="D24" i="285"/>
  <c r="E24" i="285"/>
  <c r="F24" i="285"/>
  <c r="J24" i="285"/>
  <c r="M24" i="285"/>
  <c r="E25" i="285"/>
  <c r="G25" i="285"/>
  <c r="J25" i="285"/>
  <c r="M25" i="285"/>
  <c r="E26" i="285"/>
  <c r="G26" i="285"/>
  <c r="J26" i="285"/>
  <c r="M26" i="285"/>
  <c r="AB26" i="285"/>
  <c r="D27" i="285"/>
  <c r="F27" i="285"/>
  <c r="J27" i="285"/>
  <c r="M27" i="285"/>
  <c r="AB27" i="285"/>
  <c r="D28" i="285"/>
  <c r="F28" i="285"/>
  <c r="G28" i="285"/>
  <c r="M28" i="285"/>
  <c r="AB28" i="285"/>
  <c r="E29" i="285"/>
  <c r="G29" i="285"/>
  <c r="M29" i="285"/>
  <c r="AB29" i="285"/>
  <c r="B30" i="285"/>
  <c r="D30" i="285"/>
  <c r="F30" i="285"/>
  <c r="J30" i="285"/>
  <c r="M30" i="285"/>
  <c r="AB30" i="285"/>
  <c r="B31" i="285"/>
  <c r="D31" i="285"/>
  <c r="F31" i="285"/>
  <c r="J31" i="285"/>
  <c r="M31" i="285"/>
  <c r="AB31" i="285"/>
  <c r="AA36" i="285"/>
  <c r="AB36" i="285"/>
  <c r="AC36" i="285"/>
  <c r="AA37" i="285"/>
  <c r="AB37" i="285"/>
  <c r="AC37" i="285"/>
  <c r="AA38" i="285"/>
  <c r="AB38" i="285"/>
  <c r="AC38" i="285"/>
  <c r="AA39" i="285"/>
  <c r="AB39" i="285"/>
  <c r="AC39" i="285"/>
  <c r="M45" i="285"/>
  <c r="E48" i="285"/>
  <c r="H48" i="285"/>
  <c r="M48" i="285"/>
  <c r="S48" i="285"/>
  <c r="M50" i="285"/>
  <c r="S50" i="285"/>
  <c r="A54" i="285"/>
  <c r="B2" i="66"/>
  <c r="O3" i="66"/>
  <c r="L4" i="66"/>
  <c r="B16" i="66"/>
  <c r="B2" i="52"/>
  <c r="K4" i="52"/>
  <c r="D9" i="52"/>
  <c r="D11" i="52"/>
  <c r="E15" i="52"/>
  <c r="F15" i="52"/>
  <c r="G15" i="52"/>
  <c r="O18" i="52"/>
  <c r="B19" i="52"/>
  <c r="B26" i="52"/>
  <c r="B66" i="52"/>
  <c r="B79" i="52"/>
  <c r="R19" i="52"/>
  <c r="O25" i="52"/>
  <c r="B27" i="52"/>
  <c r="B67" i="52"/>
  <c r="B28" i="52"/>
  <c r="P29" i="52"/>
  <c r="P30" i="52"/>
  <c r="B31" i="52"/>
  <c r="B71" i="52"/>
  <c r="B32" i="52"/>
  <c r="B33" i="52"/>
  <c r="B73" i="52"/>
  <c r="D46" i="52"/>
  <c r="E46" i="52"/>
  <c r="K49" i="52"/>
  <c r="K55" i="52" s="1"/>
  <c r="D62" i="52"/>
  <c r="E62" i="52"/>
  <c r="B68" i="52"/>
  <c r="B94" i="52"/>
  <c r="B72" i="52"/>
  <c r="B85" i="52"/>
  <c r="D77" i="52"/>
  <c r="E77" i="52"/>
  <c r="D90" i="52"/>
  <c r="E90" i="52"/>
  <c r="E107" i="52"/>
  <c r="B98" i="52"/>
  <c r="B13" i="66"/>
  <c r="D107" i="52"/>
  <c r="D118" i="52"/>
  <c r="E118" i="52"/>
  <c r="B8" i="88"/>
  <c r="B9" i="88"/>
  <c r="B10" i="88"/>
  <c r="B11" i="88"/>
  <c r="B12" i="88"/>
  <c r="B13" i="88"/>
  <c r="B14" i="88"/>
  <c r="B15" i="88"/>
  <c r="B16" i="88"/>
  <c r="B17" i="88"/>
  <c r="B18" i="88"/>
  <c r="B19" i="88"/>
  <c r="B20" i="88"/>
  <c r="B21" i="88"/>
  <c r="B22" i="88"/>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1" i="213"/>
  <c r="B2" i="213"/>
  <c r="R11" i="213"/>
  <c r="B3" i="213"/>
  <c r="L3" i="213"/>
  <c r="B4" i="213"/>
  <c r="L4" i="213"/>
  <c r="B5" i="213"/>
  <c r="L5" i="213"/>
  <c r="B6" i="213"/>
  <c r="L6" i="213"/>
  <c r="B7" i="213"/>
  <c r="B8" i="213"/>
  <c r="A10" i="213"/>
  <c r="AX10" i="213"/>
  <c r="BC10" i="213"/>
  <c r="AY10" i="213"/>
  <c r="BD10" i="213"/>
  <c r="S11" i="213"/>
  <c r="T11" i="213"/>
  <c r="U11" i="213"/>
  <c r="V11" i="213"/>
  <c r="W11" i="213"/>
  <c r="BS11" i="213"/>
  <c r="BT11" i="213"/>
  <c r="BU11" i="213"/>
  <c r="BV11" i="213"/>
  <c r="BW11" i="213"/>
  <c r="BX11" i="213"/>
  <c r="BY11" i="213"/>
  <c r="BZ11" i="213"/>
  <c r="B13" i="213"/>
  <c r="B93" i="52"/>
  <c r="B80" i="52"/>
  <c r="B97" i="52"/>
  <c r="B114" i="52"/>
  <c r="B125" i="52"/>
  <c r="B84" i="52"/>
  <c r="G46" i="52"/>
  <c r="H15" i="52"/>
  <c r="G62" i="52"/>
  <c r="G77" i="52"/>
  <c r="G90" i="52"/>
  <c r="G107" i="52"/>
  <c r="G118" i="52"/>
  <c r="B50" i="285"/>
  <c r="Y48" i="285"/>
  <c r="AB41" i="285" s="1"/>
  <c r="B99" i="52"/>
  <c r="B86" i="52"/>
  <c r="H24" i="285"/>
  <c r="D41" i="53"/>
  <c r="D43" i="53"/>
  <c r="D45" i="53"/>
  <c r="F90" i="52"/>
  <c r="F107" i="52"/>
  <c r="F118" i="52"/>
  <c r="E31" i="285"/>
  <c r="E30" i="285"/>
  <c r="F29" i="285"/>
  <c r="M44" i="285"/>
  <c r="E27" i="285"/>
  <c r="D26" i="285"/>
  <c r="D25" i="285"/>
  <c r="I24" i="285"/>
  <c r="K24" i="285"/>
  <c r="H22" i="285"/>
  <c r="F21" i="285"/>
  <c r="E20" i="285"/>
  <c r="E19" i="285"/>
  <c r="J18" i="285"/>
  <c r="D18" i="285"/>
  <c r="J13" i="285"/>
  <c r="D13" i="285"/>
  <c r="F10" i="285"/>
  <c r="H10" i="285"/>
  <c r="H46" i="41"/>
  <c r="H45" i="41"/>
  <c r="H44" i="41"/>
  <c r="H43" i="41"/>
  <c r="W30" i="41"/>
  <c r="O28" i="41"/>
  <c r="AK29" i="173"/>
  <c r="W25" i="41"/>
  <c r="W24" i="41"/>
  <c r="O20" i="41"/>
  <c r="O16" i="41"/>
  <c r="AK15" i="173"/>
  <c r="W11" i="41"/>
  <c r="W10" i="41"/>
  <c r="G48" i="172"/>
  <c r="L47" i="172"/>
  <c r="G47" i="172"/>
  <c r="L46" i="172"/>
  <c r="G46" i="172"/>
  <c r="K45" i="172"/>
  <c r="E45" i="172"/>
  <c r="J44" i="172"/>
  <c r="E44" i="172"/>
  <c r="I43" i="172"/>
  <c r="V40" i="172"/>
  <c r="Q40" i="172"/>
  <c r="T38" i="172"/>
  <c r="O38" i="172"/>
  <c r="V37" i="172"/>
  <c r="Q37" i="172"/>
  <c r="AC35" i="172"/>
  <c r="AD33" i="172"/>
  <c r="AF33" i="172"/>
  <c r="T33" i="172"/>
  <c r="AD32" i="172"/>
  <c r="AF32" i="172"/>
  <c r="D44" i="53"/>
  <c r="P32" i="172"/>
  <c r="I41" i="53"/>
  <c r="I42" i="53"/>
  <c r="I44" i="53"/>
  <c r="M34" i="53"/>
  <c r="I46" i="53"/>
  <c r="F62" i="52"/>
  <c r="H29" i="285"/>
  <c r="E28" i="285"/>
  <c r="H28" i="285"/>
  <c r="G24" i="285"/>
  <c r="G23" i="285"/>
  <c r="I23" i="285"/>
  <c r="K23" i="285"/>
  <c r="AC23" i="285"/>
  <c r="E16" i="285"/>
  <c r="E15" i="285"/>
  <c r="F12" i="285"/>
  <c r="Q46" i="41"/>
  <c r="Q45" i="41"/>
  <c r="Q43" i="41"/>
  <c r="Q42" i="41"/>
  <c r="L41" i="41"/>
  <c r="AK33" i="173"/>
  <c r="O26" i="41"/>
  <c r="AK27" i="173"/>
  <c r="P12" i="41"/>
  <c r="U10" i="41"/>
  <c r="V10" i="41"/>
  <c r="K48" i="172"/>
  <c r="F48" i="172"/>
  <c r="K47" i="172"/>
  <c r="F47" i="172"/>
  <c r="J45" i="172"/>
  <c r="M44" i="172"/>
  <c r="I44" i="172"/>
  <c r="L45" i="172"/>
  <c r="G45" i="172"/>
  <c r="U40" i="172"/>
  <c r="P40" i="172"/>
  <c r="AC37" i="172"/>
  <c r="U37" i="172"/>
  <c r="P37" i="172"/>
  <c r="AD36" i="172"/>
  <c r="AF36" i="172"/>
  <c r="D46" i="53"/>
  <c r="I43" i="53"/>
  <c r="K43" i="53"/>
  <c r="K45" i="53"/>
  <c r="O30" i="53"/>
  <c r="K42" i="53"/>
  <c r="K44" i="53"/>
  <c r="F42" i="53"/>
  <c r="F44" i="53"/>
  <c r="F46" i="53"/>
  <c r="F43" i="53"/>
  <c r="F45" i="53"/>
  <c r="S42" i="53"/>
  <c r="S44" i="53"/>
  <c r="S41" i="53"/>
  <c r="S43" i="53"/>
  <c r="S45" i="53"/>
  <c r="S46" i="53"/>
  <c r="Q46" i="53"/>
  <c r="Q43" i="53"/>
  <c r="Q45" i="53"/>
  <c r="G46" i="53"/>
  <c r="H25" i="285"/>
  <c r="M41" i="285"/>
  <c r="F77" i="52"/>
  <c r="J29" i="285"/>
  <c r="J41" i="285"/>
  <c r="J28" i="285"/>
  <c r="I27" i="285"/>
  <c r="K27" i="285"/>
  <c r="J20" i="285"/>
  <c r="D14" i="285"/>
  <c r="D45" i="285"/>
  <c r="F11" i="285"/>
  <c r="I11" i="285"/>
  <c r="Q44" i="41"/>
  <c r="B115" i="52"/>
  <c r="B126" i="52"/>
  <c r="F46" i="52"/>
  <c r="G31" i="285"/>
  <c r="H31" i="285"/>
  <c r="G30" i="285"/>
  <c r="D29" i="285"/>
  <c r="I29" i="285"/>
  <c r="I28" i="285"/>
  <c r="K28" i="285"/>
  <c r="G27" i="285"/>
  <c r="H27" i="285"/>
  <c r="F26" i="285"/>
  <c r="I26" i="285"/>
  <c r="K26" i="285"/>
  <c r="F25" i="285"/>
  <c r="M42" i="285"/>
  <c r="J21" i="285"/>
  <c r="D21" i="285"/>
  <c r="G20" i="285"/>
  <c r="G19" i="285"/>
  <c r="G46" i="285"/>
  <c r="F18" i="285"/>
  <c r="H18" i="285"/>
  <c r="J16" i="285"/>
  <c r="H14" i="285"/>
  <c r="F13" i="285"/>
  <c r="I13" i="285"/>
  <c r="K13" i="285"/>
  <c r="J11" i="285"/>
  <c r="H11" i="285"/>
  <c r="D10" i="285"/>
  <c r="M46" i="41"/>
  <c r="M45" i="41"/>
  <c r="M44" i="41"/>
  <c r="M43" i="41"/>
  <c r="M42" i="41"/>
  <c r="O30" i="41"/>
  <c r="W29" i="41"/>
  <c r="W28" i="41"/>
  <c r="O24" i="41"/>
  <c r="AK25" i="173"/>
  <c r="W21" i="41"/>
  <c r="W20" i="41"/>
  <c r="P18" i="41"/>
  <c r="AK21" i="173"/>
  <c r="W17" i="41"/>
  <c r="W16" i="41"/>
  <c r="P14" i="41"/>
  <c r="AK17" i="173"/>
  <c r="W13" i="41"/>
  <c r="AK13" i="173"/>
  <c r="J48" i="172"/>
  <c r="E48" i="172"/>
  <c r="J47" i="172"/>
  <c r="E47" i="172"/>
  <c r="E46" i="172"/>
  <c r="L44" i="172"/>
  <c r="U41" i="172"/>
  <c r="T40" i="172"/>
  <c r="V38" i="172"/>
  <c r="AD37" i="172"/>
  <c r="AF37" i="172"/>
  <c r="T37" i="172"/>
  <c r="AC36" i="172"/>
  <c r="U36" i="172"/>
  <c r="AC34" i="172"/>
  <c r="U34" i="172"/>
  <c r="V33" i="172"/>
  <c r="P33" i="172"/>
  <c r="I45" i="53"/>
  <c r="Q42" i="53"/>
  <c r="V30" i="53"/>
  <c r="R46" i="53"/>
  <c r="G45" i="53"/>
  <c r="AK39" i="173"/>
  <c r="AK37" i="173"/>
  <c r="AK35" i="173"/>
  <c r="F41" i="53"/>
  <c r="R45" i="53"/>
  <c r="AK42" i="173"/>
  <c r="E43" i="53"/>
  <c r="G41" i="53"/>
  <c r="E41" i="53"/>
  <c r="B14" i="66"/>
  <c r="B116" i="52"/>
  <c r="B127" i="52"/>
  <c r="B10" i="66"/>
  <c r="B110" i="52"/>
  <c r="B121" i="52"/>
  <c r="L2" i="213"/>
  <c r="B11" i="66"/>
  <c r="B111" i="52"/>
  <c r="B122" i="52"/>
  <c r="B81" i="52"/>
  <c r="AC27" i="285"/>
  <c r="AC28" i="285"/>
  <c r="AC26" i="285"/>
  <c r="AC13" i="285"/>
  <c r="B92" i="52"/>
  <c r="H90" i="52"/>
  <c r="H107" i="52"/>
  <c r="H118" i="52"/>
  <c r="H77" i="52"/>
  <c r="D48" i="285"/>
  <c r="AC24" i="285"/>
  <c r="D44" i="285"/>
  <c r="M43" i="285"/>
  <c r="D43" i="285"/>
  <c r="D41" i="285"/>
  <c r="I30" i="285"/>
  <c r="K30" i="285"/>
  <c r="H21" i="285"/>
  <c r="H20" i="285"/>
  <c r="H16" i="285"/>
  <c r="H12" i="285"/>
  <c r="G45" i="285"/>
  <c r="G43" i="285"/>
  <c r="G41" i="285"/>
  <c r="H30" i="285"/>
  <c r="I20" i="285"/>
  <c r="K20" i="285"/>
  <c r="I16" i="285"/>
  <c r="K16" i="285"/>
  <c r="I12" i="285"/>
  <c r="K12" i="285"/>
  <c r="I22" i="285"/>
  <c r="K22" i="285"/>
  <c r="I18" i="285"/>
  <c r="K18" i="285"/>
  <c r="I10" i="285"/>
  <c r="AA10" i="41"/>
  <c r="H17" i="285"/>
  <c r="I17" i="285"/>
  <c r="K17" i="285"/>
  <c r="K46" i="41"/>
  <c r="K45" i="41"/>
  <c r="K44" i="41"/>
  <c r="K43" i="41"/>
  <c r="K42" i="41"/>
  <c r="K41" i="41"/>
  <c r="P31" i="41"/>
  <c r="R31" i="41"/>
  <c r="AA31" i="41"/>
  <c r="AK34" i="173"/>
  <c r="U29" i="41"/>
  <c r="V29" i="41"/>
  <c r="P29" i="41"/>
  <c r="R29" i="41"/>
  <c r="AA29" i="41"/>
  <c r="AK32" i="173"/>
  <c r="P27" i="41"/>
  <c r="R27" i="41"/>
  <c r="AA27" i="41"/>
  <c r="AK30" i="173"/>
  <c r="P25" i="41"/>
  <c r="R25" i="41"/>
  <c r="AA25" i="41"/>
  <c r="AK28" i="173"/>
  <c r="P23" i="41"/>
  <c r="R23" i="41"/>
  <c r="AA23" i="41"/>
  <c r="AK26" i="173"/>
  <c r="U21" i="41"/>
  <c r="V21" i="41"/>
  <c r="P21" i="41"/>
  <c r="R21" i="41"/>
  <c r="AA21" i="41"/>
  <c r="AK24" i="173"/>
  <c r="P19" i="41"/>
  <c r="R19" i="41"/>
  <c r="AA19" i="41"/>
  <c r="AK22" i="173"/>
  <c r="P17" i="41"/>
  <c r="R17" i="41"/>
  <c r="AA17" i="41"/>
  <c r="AK20" i="173"/>
  <c r="P15" i="41"/>
  <c r="R15" i="41"/>
  <c r="AA15" i="41"/>
  <c r="AK18" i="173"/>
  <c r="U13" i="41"/>
  <c r="V13" i="41"/>
  <c r="P13" i="41"/>
  <c r="R13" i="41"/>
  <c r="AA13" i="41"/>
  <c r="AK16" i="173"/>
  <c r="P11" i="41"/>
  <c r="U11" i="41"/>
  <c r="AK14" i="173"/>
  <c r="N46" i="41"/>
  <c r="N45" i="41"/>
  <c r="N44" i="41"/>
  <c r="N43" i="41"/>
  <c r="N42" i="41"/>
  <c r="N41" i="41"/>
  <c r="O31" i="41"/>
  <c r="F34" i="173"/>
  <c r="L34" i="173"/>
  <c r="Q34" i="173"/>
  <c r="AL34" i="173"/>
  <c r="AN34" i="173"/>
  <c r="G34" i="173"/>
  <c r="M34" i="173"/>
  <c r="C34" i="173"/>
  <c r="I34" i="173"/>
  <c r="N34" i="173"/>
  <c r="E34" i="173"/>
  <c r="J34" i="173"/>
  <c r="P34" i="173"/>
  <c r="O29" i="41"/>
  <c r="F32" i="173"/>
  <c r="L32" i="173"/>
  <c r="Q32" i="173"/>
  <c r="AL32" i="173"/>
  <c r="AN32" i="173"/>
  <c r="G32" i="173"/>
  <c r="M32" i="173"/>
  <c r="C32" i="173"/>
  <c r="I32" i="173"/>
  <c r="N32" i="173"/>
  <c r="E32" i="173"/>
  <c r="J32" i="173"/>
  <c r="P32" i="173"/>
  <c r="O27" i="41"/>
  <c r="F30" i="173"/>
  <c r="L30" i="173"/>
  <c r="Q30" i="173"/>
  <c r="AL30" i="173"/>
  <c r="AN30" i="173"/>
  <c r="G30" i="173"/>
  <c r="M30" i="173"/>
  <c r="C30" i="173"/>
  <c r="I30" i="173"/>
  <c r="N30" i="173"/>
  <c r="E30" i="173"/>
  <c r="J30" i="173"/>
  <c r="P30" i="173"/>
  <c r="O25" i="41"/>
  <c r="F28" i="173"/>
  <c r="L28" i="173"/>
  <c r="Q28" i="173"/>
  <c r="AL28" i="173"/>
  <c r="AN28" i="173"/>
  <c r="G28" i="173"/>
  <c r="M28" i="173"/>
  <c r="C28" i="173"/>
  <c r="I28" i="173"/>
  <c r="N28" i="173"/>
  <c r="E28" i="173"/>
  <c r="J28" i="173"/>
  <c r="P28" i="173"/>
  <c r="O23" i="41"/>
  <c r="C26" i="173"/>
  <c r="I26" i="173"/>
  <c r="N26" i="173"/>
  <c r="E26" i="173"/>
  <c r="J26" i="173"/>
  <c r="P26" i="173"/>
  <c r="F26" i="173"/>
  <c r="L26" i="173"/>
  <c r="Q26" i="173"/>
  <c r="G26" i="173"/>
  <c r="M26" i="173"/>
  <c r="AL26" i="173"/>
  <c r="AN26" i="173"/>
  <c r="O21" i="41"/>
  <c r="C24" i="173"/>
  <c r="I24" i="173"/>
  <c r="N24" i="173"/>
  <c r="E24" i="173"/>
  <c r="J24" i="173"/>
  <c r="P24" i="173"/>
  <c r="F24" i="173"/>
  <c r="L24" i="173"/>
  <c r="Q24" i="173"/>
  <c r="AL24" i="173"/>
  <c r="AN24" i="173"/>
  <c r="G24" i="173"/>
  <c r="M24" i="173"/>
  <c r="O19" i="41"/>
  <c r="C22" i="173"/>
  <c r="I22" i="173"/>
  <c r="N22" i="173"/>
  <c r="E22" i="173"/>
  <c r="J22" i="173"/>
  <c r="P22" i="173"/>
  <c r="F22" i="173"/>
  <c r="L22" i="173"/>
  <c r="Q22" i="173"/>
  <c r="AL22" i="173"/>
  <c r="AN22" i="173"/>
  <c r="G22" i="173"/>
  <c r="M22" i="173"/>
  <c r="O17" i="41"/>
  <c r="C20" i="173"/>
  <c r="I20" i="173"/>
  <c r="N20" i="173"/>
  <c r="E20" i="173"/>
  <c r="J20" i="173"/>
  <c r="P20" i="173"/>
  <c r="F20" i="173"/>
  <c r="L20" i="173"/>
  <c r="Q20" i="173"/>
  <c r="AL20" i="173"/>
  <c r="AN20" i="173"/>
  <c r="G20" i="173"/>
  <c r="M20" i="173"/>
  <c r="O15" i="41"/>
  <c r="C18" i="173"/>
  <c r="I18" i="173"/>
  <c r="N18" i="173"/>
  <c r="E18" i="173"/>
  <c r="J18" i="173"/>
  <c r="P18" i="173"/>
  <c r="F18" i="173"/>
  <c r="L18" i="173"/>
  <c r="Q18" i="173"/>
  <c r="AL18" i="173"/>
  <c r="AN18" i="173"/>
  <c r="G18" i="173"/>
  <c r="M18" i="173"/>
  <c r="O13" i="41"/>
  <c r="C16" i="173"/>
  <c r="I16" i="173"/>
  <c r="N16" i="173"/>
  <c r="E16" i="173"/>
  <c r="J16" i="173"/>
  <c r="P16" i="173"/>
  <c r="F16" i="173"/>
  <c r="L16" i="173"/>
  <c r="Q16" i="173"/>
  <c r="AL16" i="173"/>
  <c r="AN16" i="173"/>
  <c r="G16" i="173"/>
  <c r="M16" i="173"/>
  <c r="O11" i="41"/>
  <c r="C14" i="173"/>
  <c r="I14" i="173"/>
  <c r="N14" i="173"/>
  <c r="E14" i="173"/>
  <c r="J14" i="173"/>
  <c r="P14" i="173"/>
  <c r="F14" i="173"/>
  <c r="L14" i="173"/>
  <c r="Q14" i="173"/>
  <c r="AL14" i="173"/>
  <c r="AN14" i="173"/>
  <c r="G14" i="173"/>
  <c r="M14" i="173"/>
  <c r="Q41" i="41"/>
  <c r="M41" i="41"/>
  <c r="H41" i="41"/>
  <c r="P30" i="41"/>
  <c r="P28" i="41"/>
  <c r="P26" i="41"/>
  <c r="P24" i="41"/>
  <c r="P22" i="41"/>
  <c r="P20" i="41"/>
  <c r="P16" i="41"/>
  <c r="F33" i="173"/>
  <c r="L33" i="173"/>
  <c r="Q33" i="173"/>
  <c r="AL33" i="173"/>
  <c r="AN33" i="173"/>
  <c r="G33" i="173"/>
  <c r="M33" i="173"/>
  <c r="C33" i="173"/>
  <c r="I33" i="173"/>
  <c r="N33" i="173"/>
  <c r="E33" i="173"/>
  <c r="J33" i="173"/>
  <c r="P33" i="173"/>
  <c r="F31" i="173"/>
  <c r="L31" i="173"/>
  <c r="Q31" i="173"/>
  <c r="AL31" i="173"/>
  <c r="AN31" i="173"/>
  <c r="G31" i="173"/>
  <c r="M31" i="173"/>
  <c r="C31" i="173"/>
  <c r="I31" i="173"/>
  <c r="N31" i="173"/>
  <c r="E31" i="173"/>
  <c r="J31" i="173"/>
  <c r="P31" i="173"/>
  <c r="F29" i="173"/>
  <c r="L29" i="173"/>
  <c r="Q29" i="173"/>
  <c r="AL29" i="173"/>
  <c r="AN29" i="173"/>
  <c r="G29" i="173"/>
  <c r="M29" i="173"/>
  <c r="C29" i="173"/>
  <c r="I29" i="173"/>
  <c r="N29" i="173"/>
  <c r="E29" i="173"/>
  <c r="J29" i="173"/>
  <c r="P29" i="173"/>
  <c r="F27" i="173"/>
  <c r="L27" i="173"/>
  <c r="Q27" i="173"/>
  <c r="AL27" i="173"/>
  <c r="AN27" i="173"/>
  <c r="G27" i="173"/>
  <c r="M27" i="173"/>
  <c r="C27" i="173"/>
  <c r="I27" i="173"/>
  <c r="N27" i="173"/>
  <c r="E27" i="173"/>
  <c r="J27" i="173"/>
  <c r="P27" i="173"/>
  <c r="C25" i="173"/>
  <c r="I25" i="173"/>
  <c r="N25" i="173"/>
  <c r="E25" i="173"/>
  <c r="J25" i="173"/>
  <c r="P25" i="173"/>
  <c r="F25" i="173"/>
  <c r="L25" i="173"/>
  <c r="Q25" i="173"/>
  <c r="AL25" i="173"/>
  <c r="AN25" i="173"/>
  <c r="G25" i="173"/>
  <c r="M25" i="173"/>
  <c r="C23" i="173"/>
  <c r="I23" i="173"/>
  <c r="N23" i="173"/>
  <c r="E23" i="173"/>
  <c r="J23" i="173"/>
  <c r="P23" i="173"/>
  <c r="F23" i="173"/>
  <c r="L23" i="173"/>
  <c r="Q23" i="173"/>
  <c r="AL23" i="173"/>
  <c r="AN23" i="173"/>
  <c r="G23" i="173"/>
  <c r="M23" i="173"/>
  <c r="C21" i="173"/>
  <c r="I21" i="173"/>
  <c r="N21" i="173"/>
  <c r="E21" i="173"/>
  <c r="J21" i="173"/>
  <c r="P21" i="173"/>
  <c r="F21" i="173"/>
  <c r="L21" i="173"/>
  <c r="Q21" i="173"/>
  <c r="AL21" i="173"/>
  <c r="AN21" i="173"/>
  <c r="G21" i="173"/>
  <c r="M21" i="173"/>
  <c r="C19" i="173"/>
  <c r="I19" i="173"/>
  <c r="N19" i="173"/>
  <c r="E19" i="173"/>
  <c r="J19" i="173"/>
  <c r="P19" i="173"/>
  <c r="F19" i="173"/>
  <c r="L19" i="173"/>
  <c r="Q19" i="173"/>
  <c r="AL19" i="173"/>
  <c r="AN19" i="173"/>
  <c r="G19" i="173"/>
  <c r="M19" i="173"/>
  <c r="C17" i="173"/>
  <c r="I17" i="173"/>
  <c r="N17" i="173"/>
  <c r="E17" i="173"/>
  <c r="J17" i="173"/>
  <c r="P17" i="173"/>
  <c r="F17" i="173"/>
  <c r="L17" i="173"/>
  <c r="Q17" i="173"/>
  <c r="AL17" i="173"/>
  <c r="AN17" i="173"/>
  <c r="G17" i="173"/>
  <c r="M17" i="173"/>
  <c r="O12" i="41"/>
  <c r="C15" i="173"/>
  <c r="I15" i="173"/>
  <c r="N15" i="173"/>
  <c r="E15" i="173"/>
  <c r="J15" i="173"/>
  <c r="P15" i="173"/>
  <c r="F15" i="173"/>
  <c r="L15" i="173"/>
  <c r="Q15" i="173"/>
  <c r="AL15" i="173"/>
  <c r="AN15" i="173"/>
  <c r="G15" i="173"/>
  <c r="M15" i="173"/>
  <c r="O10" i="41"/>
  <c r="C13" i="173"/>
  <c r="I13" i="173"/>
  <c r="N13" i="173"/>
  <c r="E13" i="173"/>
  <c r="J13" i="173"/>
  <c r="P13" i="173"/>
  <c r="F13" i="173"/>
  <c r="L13" i="173"/>
  <c r="Q13" i="173"/>
  <c r="AL13" i="173"/>
  <c r="AN13" i="173"/>
  <c r="G13" i="173"/>
  <c r="M13" i="173"/>
  <c r="F35" i="173"/>
  <c r="G35" i="173"/>
  <c r="M35" i="173"/>
  <c r="M36" i="173"/>
  <c r="M37" i="173"/>
  <c r="M38" i="173"/>
  <c r="M39" i="173"/>
  <c r="M40" i="173"/>
  <c r="M41" i="173"/>
  <c r="M42" i="173"/>
  <c r="Q35" i="173"/>
  <c r="F36" i="173"/>
  <c r="Q36" i="173"/>
  <c r="F37" i="173"/>
  <c r="Q37" i="173"/>
  <c r="F38" i="173"/>
  <c r="Q38" i="173"/>
  <c r="F39" i="173"/>
  <c r="Q39" i="173"/>
  <c r="F40" i="173"/>
  <c r="Q40" i="173"/>
  <c r="F41" i="173"/>
  <c r="Q41" i="173"/>
  <c r="F42" i="173"/>
  <c r="Q42" i="173"/>
  <c r="G36" i="173"/>
  <c r="G37" i="173"/>
  <c r="G38" i="173"/>
  <c r="G39" i="173"/>
  <c r="G40" i="173"/>
  <c r="G41" i="173"/>
  <c r="G42" i="173"/>
  <c r="L35" i="173"/>
  <c r="L36" i="173"/>
  <c r="L37" i="173"/>
  <c r="L38" i="173"/>
  <c r="L39" i="173"/>
  <c r="L40" i="173"/>
  <c r="L41" i="173"/>
  <c r="L42" i="173"/>
  <c r="L8" i="172"/>
  <c r="J8" i="172"/>
  <c r="Q41" i="53"/>
  <c r="K41" i="53"/>
  <c r="J46" i="53"/>
  <c r="E46" i="53"/>
  <c r="J45" i="53"/>
  <c r="E45" i="53"/>
  <c r="J44" i="53"/>
  <c r="E44" i="53"/>
  <c r="J43" i="53"/>
  <c r="J42" i="53"/>
  <c r="E42" i="53"/>
  <c r="J41" i="53"/>
  <c r="V38" i="53"/>
  <c r="R44" i="53"/>
  <c r="G44" i="53"/>
  <c r="R43" i="53"/>
  <c r="G43" i="53"/>
  <c r="R42" i="53"/>
  <c r="G42" i="53"/>
  <c r="R41" i="53"/>
  <c r="AL42" i="173"/>
  <c r="AN42" i="173"/>
  <c r="AL41" i="173"/>
  <c r="AN41" i="173"/>
  <c r="AL40" i="173"/>
  <c r="AN40" i="173"/>
  <c r="AL39" i="173"/>
  <c r="AN39" i="173"/>
  <c r="AL38" i="173"/>
  <c r="AN38" i="173"/>
  <c r="AL37" i="173"/>
  <c r="AN37" i="173"/>
  <c r="AL36" i="173"/>
  <c r="AN36" i="173"/>
  <c r="AL35" i="173"/>
  <c r="AN35" i="173"/>
  <c r="P42" i="173"/>
  <c r="J42" i="173"/>
  <c r="E42" i="173"/>
  <c r="P41" i="173"/>
  <c r="J41" i="173"/>
  <c r="E41" i="173"/>
  <c r="P40" i="173"/>
  <c r="J40" i="173"/>
  <c r="E40" i="173"/>
  <c r="P39" i="173"/>
  <c r="J39" i="173"/>
  <c r="E39" i="173"/>
  <c r="P38" i="173"/>
  <c r="J38" i="173"/>
  <c r="E38" i="173"/>
  <c r="P37" i="173"/>
  <c r="J37" i="173"/>
  <c r="E37" i="173"/>
  <c r="P36" i="173"/>
  <c r="J36" i="173"/>
  <c r="E36" i="173"/>
  <c r="P35" i="173"/>
  <c r="J35" i="173"/>
  <c r="E35" i="173"/>
  <c r="W12" i="173"/>
  <c r="P9" i="173"/>
  <c r="AD12" i="173"/>
  <c r="N42" i="173"/>
  <c r="I42" i="173"/>
  <c r="N41" i="173"/>
  <c r="I41" i="173"/>
  <c r="N40" i="173"/>
  <c r="I40" i="173"/>
  <c r="N39" i="173"/>
  <c r="I39" i="173"/>
  <c r="N38" i="173"/>
  <c r="I38" i="173"/>
  <c r="N37" i="173"/>
  <c r="I37" i="173"/>
  <c r="N36" i="173"/>
  <c r="I36" i="173"/>
  <c r="N35" i="173"/>
  <c r="I35" i="173"/>
  <c r="R14" i="41"/>
  <c r="AA14" i="41"/>
  <c r="U14" i="41"/>
  <c r="R18" i="41"/>
  <c r="AA18" i="41"/>
  <c r="U18" i="41"/>
  <c r="H19" i="285"/>
  <c r="I19" i="285"/>
  <c r="K19" i="285"/>
  <c r="AC19" i="285"/>
  <c r="E41" i="285"/>
  <c r="I15" i="52"/>
  <c r="H46" i="52"/>
  <c r="H62" i="52"/>
  <c r="U25" i="41"/>
  <c r="V25" i="41"/>
  <c r="U31" i="41"/>
  <c r="V31" i="41"/>
  <c r="G44" i="285"/>
  <c r="H13" i="285"/>
  <c r="H43" i="285"/>
  <c r="D46" i="285"/>
  <c r="K29" i="285"/>
  <c r="AC29" i="285"/>
  <c r="I31" i="285"/>
  <c r="K31" i="285"/>
  <c r="AC31" i="285"/>
  <c r="H15" i="285"/>
  <c r="I15" i="285"/>
  <c r="K15" i="285"/>
  <c r="AC15" i="285"/>
  <c r="E42" i="285"/>
  <c r="E46" i="285"/>
  <c r="H23" i="285"/>
  <c r="I10" i="41"/>
  <c r="I25" i="285"/>
  <c r="K25" i="285"/>
  <c r="AC25" i="285"/>
  <c r="E43" i="285"/>
  <c r="H26" i="285"/>
  <c r="I21" i="285"/>
  <c r="K21" i="285"/>
  <c r="AC21" i="285"/>
  <c r="E45" i="285"/>
  <c r="U17" i="41"/>
  <c r="V17" i="41"/>
  <c r="I14" i="285"/>
  <c r="K14" i="285"/>
  <c r="G42" i="285"/>
  <c r="D42" i="285"/>
  <c r="J43" i="285"/>
  <c r="J42" i="285"/>
  <c r="J46" i="285"/>
  <c r="J45" i="285"/>
  <c r="J44" i="285"/>
  <c r="K11" i="285"/>
  <c r="AC11" i="285"/>
  <c r="R12" i="41"/>
  <c r="AA12" i="41"/>
  <c r="U12" i="41"/>
  <c r="F41" i="285"/>
  <c r="F42" i="285"/>
  <c r="F45" i="285"/>
  <c r="F44" i="285"/>
  <c r="F46" i="285"/>
  <c r="F43" i="285"/>
  <c r="E44" i="285"/>
  <c r="V11" i="41"/>
  <c r="Q44" i="173"/>
  <c r="Q47" i="173"/>
  <c r="Q46" i="173"/>
  <c r="Q45" i="173"/>
  <c r="Q49" i="173"/>
  <c r="Q48" i="173"/>
  <c r="J44" i="173"/>
  <c r="J46" i="173"/>
  <c r="J45" i="173"/>
  <c r="J49" i="173"/>
  <c r="J48" i="173"/>
  <c r="J47" i="173"/>
  <c r="C44" i="173"/>
  <c r="C49" i="173"/>
  <c r="C45" i="173"/>
  <c r="C48" i="173"/>
  <c r="C47" i="173"/>
  <c r="C46" i="173"/>
  <c r="U20" i="41"/>
  <c r="R20" i="41"/>
  <c r="AA20" i="41"/>
  <c r="U28" i="41"/>
  <c r="R28" i="41"/>
  <c r="AA28" i="41"/>
  <c r="U19" i="41"/>
  <c r="U27" i="41"/>
  <c r="I17" i="41"/>
  <c r="AC20" i="285"/>
  <c r="AC30" i="285"/>
  <c r="H46" i="285"/>
  <c r="H42" i="285"/>
  <c r="B9" i="66"/>
  <c r="B109" i="52"/>
  <c r="B120" i="52"/>
  <c r="T8" i="172"/>
  <c r="I8" i="172"/>
  <c r="S8" i="172"/>
  <c r="M48" i="173"/>
  <c r="M47" i="173"/>
  <c r="M46" i="173"/>
  <c r="M44" i="173"/>
  <c r="M45" i="173"/>
  <c r="M49" i="173"/>
  <c r="L44" i="173"/>
  <c r="L47" i="173"/>
  <c r="L46" i="173"/>
  <c r="L45" i="173"/>
  <c r="L49" i="173"/>
  <c r="L48" i="173"/>
  <c r="E44" i="173"/>
  <c r="E46" i="173"/>
  <c r="E49" i="173"/>
  <c r="E45" i="173"/>
  <c r="E48" i="173"/>
  <c r="E47" i="173"/>
  <c r="O41" i="41"/>
  <c r="O42" i="41"/>
  <c r="O43" i="41"/>
  <c r="O44" i="41"/>
  <c r="O45" i="41"/>
  <c r="O46" i="41"/>
  <c r="U22" i="41"/>
  <c r="R22" i="41"/>
  <c r="AA22" i="41"/>
  <c r="U30" i="41"/>
  <c r="R30" i="41"/>
  <c r="AA30" i="41"/>
  <c r="I21" i="41"/>
  <c r="I42" i="285"/>
  <c r="I46" i="285"/>
  <c r="K10" i="285"/>
  <c r="AC18" i="285"/>
  <c r="I13" i="41"/>
  <c r="H45" i="285"/>
  <c r="H41" i="285"/>
  <c r="V8" i="172"/>
  <c r="M8" i="172"/>
  <c r="W8" i="172"/>
  <c r="G48" i="173"/>
  <c r="G44" i="173"/>
  <c r="G47" i="173"/>
  <c r="G46" i="173"/>
  <c r="G45" i="173"/>
  <c r="G49" i="173"/>
  <c r="F45" i="173"/>
  <c r="F44" i="173"/>
  <c r="F47" i="173"/>
  <c r="F46" i="173"/>
  <c r="F49" i="173"/>
  <c r="F48" i="173"/>
  <c r="N44" i="173"/>
  <c r="N45" i="173"/>
  <c r="N49" i="173"/>
  <c r="N48" i="173"/>
  <c r="N47" i="173"/>
  <c r="N46" i="173"/>
  <c r="U24" i="41"/>
  <c r="R24" i="41"/>
  <c r="AA24" i="41"/>
  <c r="U15" i="41"/>
  <c r="U23" i="41"/>
  <c r="I29" i="41"/>
  <c r="AC12" i="285"/>
  <c r="H44" i="285"/>
  <c r="P44" i="173"/>
  <c r="P46" i="173"/>
  <c r="P45" i="173"/>
  <c r="P49" i="173"/>
  <c r="P48" i="173"/>
  <c r="P47" i="173"/>
  <c r="I45" i="173"/>
  <c r="I49" i="173"/>
  <c r="I48" i="173"/>
  <c r="I44" i="173"/>
  <c r="I47" i="173"/>
  <c r="I46" i="173"/>
  <c r="U16" i="41"/>
  <c r="R16" i="41"/>
  <c r="AA16" i="41"/>
  <c r="U26" i="41"/>
  <c r="R26" i="41"/>
  <c r="AA26" i="41"/>
  <c r="P41" i="41"/>
  <c r="P42" i="41"/>
  <c r="P43" i="41"/>
  <c r="P44" i="41"/>
  <c r="R11" i="41"/>
  <c r="P46" i="41"/>
  <c r="P45" i="41"/>
  <c r="AC17" i="285"/>
  <c r="AC14" i="285"/>
  <c r="AC22" i="285"/>
  <c r="AC16" i="285"/>
  <c r="I31" i="41"/>
  <c r="I48" i="285"/>
  <c r="D50" i="285"/>
  <c r="I45" i="285"/>
  <c r="I41" i="285"/>
  <c r="I25" i="41"/>
  <c r="V14" i="41"/>
  <c r="I14" i="41"/>
  <c r="I44" i="285"/>
  <c r="I43" i="285"/>
  <c r="V12" i="41"/>
  <c r="I12" i="41"/>
  <c r="J15" i="52"/>
  <c r="I90" i="52"/>
  <c r="I107" i="52"/>
  <c r="I118" i="52"/>
  <c r="I77" i="52"/>
  <c r="I62" i="52"/>
  <c r="I46" i="52"/>
  <c r="V18" i="41"/>
  <c r="I18" i="41"/>
  <c r="I50" i="285"/>
  <c r="V15" i="41"/>
  <c r="I15" i="41"/>
  <c r="V30" i="41"/>
  <c r="I30" i="41"/>
  <c r="V19" i="41"/>
  <c r="I19" i="41"/>
  <c r="V20" i="41"/>
  <c r="I20" i="41"/>
  <c r="U46" i="41"/>
  <c r="U42" i="41"/>
  <c r="V26" i="41"/>
  <c r="I26" i="41"/>
  <c r="U45" i="41"/>
  <c r="U41" i="41"/>
  <c r="V24" i="41"/>
  <c r="I24" i="41"/>
  <c r="V22" i="41"/>
  <c r="I22" i="41"/>
  <c r="V28" i="41"/>
  <c r="I28" i="41"/>
  <c r="U44" i="41"/>
  <c r="AA11" i="41"/>
  <c r="AA8" i="41" a="1"/>
  <c r="AA8" i="41"/>
  <c r="R44" i="41"/>
  <c r="R41" i="41"/>
  <c r="R45" i="41"/>
  <c r="R42" i="41"/>
  <c r="R46" i="41"/>
  <c r="R43" i="41"/>
  <c r="V16" i="41"/>
  <c r="I16" i="41"/>
  <c r="V23" i="41"/>
  <c r="AC10" i="285"/>
  <c r="K41" i="285"/>
  <c r="K42" i="285"/>
  <c r="K43" i="285"/>
  <c r="K44" i="285"/>
  <c r="K45" i="285"/>
  <c r="K46" i="285"/>
  <c r="V27" i="41"/>
  <c r="I27" i="41"/>
  <c r="I11" i="41"/>
  <c r="U43" i="41"/>
  <c r="V44" i="41"/>
  <c r="J46" i="52"/>
  <c r="J62" i="52"/>
  <c r="J90" i="52"/>
  <c r="J107" i="52"/>
  <c r="J118" i="52"/>
  <c r="K15" i="52"/>
  <c r="J77" i="52"/>
  <c r="V46" i="41"/>
  <c r="I41" i="41"/>
  <c r="I42" i="41"/>
  <c r="I23" i="41"/>
  <c r="I44" i="41"/>
  <c r="V41" i="41"/>
  <c r="V45" i="41"/>
  <c r="V43" i="41"/>
  <c r="V42" i="41"/>
  <c r="I43" i="41"/>
  <c r="K90" i="52"/>
  <c r="K62" i="52"/>
  <c r="K46" i="52"/>
  <c r="K77" i="52"/>
  <c r="I45" i="41"/>
  <c r="I46" i="41"/>
  <c r="BS13" i="213"/>
  <c r="BT13" i="213"/>
  <c r="BU13" i="213"/>
  <c r="BV13" i="213"/>
  <c r="BW13" i="213"/>
  <c r="BX13" i="213"/>
  <c r="BY13" i="213"/>
  <c r="BZ13" i="213"/>
  <c r="CE13" i="213"/>
  <c r="B14" i="213"/>
  <c r="BS14" i="213"/>
  <c r="BT14" i="213"/>
  <c r="BU14" i="213"/>
  <c r="BV14" i="213"/>
  <c r="BW14" i="213"/>
  <c r="BX14" i="213"/>
  <c r="BY14" i="213"/>
  <c r="BZ14" i="213"/>
  <c r="CE14" i="213"/>
  <c r="B15" i="213"/>
  <c r="BS15" i="213"/>
  <c r="BT15" i="213"/>
  <c r="BU15" i="213"/>
  <c r="BV15" i="213"/>
  <c r="BW15" i="213"/>
  <c r="BX15" i="213"/>
  <c r="BY15" i="213"/>
  <c r="BZ15" i="213"/>
  <c r="CE15" i="213"/>
  <c r="B16" i="213"/>
  <c r="BS16" i="213"/>
  <c r="BT16" i="213"/>
  <c r="BU16" i="213"/>
  <c r="BV16" i="213"/>
  <c r="BW16" i="213"/>
  <c r="BX16" i="213"/>
  <c r="BY16" i="213"/>
  <c r="BZ16" i="213"/>
  <c r="CE16" i="213"/>
  <c r="B17" i="213"/>
  <c r="BS17" i="213"/>
  <c r="BT17" i="213"/>
  <c r="BU17" i="213"/>
  <c r="BV17" i="213"/>
  <c r="BW17" i="213"/>
  <c r="BX17" i="213"/>
  <c r="BY17" i="213"/>
  <c r="BZ17" i="213"/>
  <c r="CE17" i="213"/>
  <c r="B18" i="213"/>
  <c r="BS18" i="213"/>
  <c r="BT18" i="213"/>
  <c r="BU18" i="213"/>
  <c r="BV18" i="213"/>
  <c r="BW18" i="213"/>
  <c r="BX18" i="213"/>
  <c r="BY18" i="213"/>
  <c r="BZ18" i="213"/>
  <c r="CE18" i="213"/>
  <c r="B19" i="213"/>
  <c r="BS19" i="213"/>
  <c r="BT19" i="213"/>
  <c r="BU19" i="213"/>
  <c r="BV19" i="213"/>
  <c r="BW19" i="213"/>
  <c r="BX19" i="213"/>
  <c r="BY19" i="213"/>
  <c r="BZ19" i="213"/>
  <c r="CE19" i="213"/>
  <c r="B20" i="213"/>
  <c r="BS20" i="213"/>
  <c r="BT20" i="213"/>
  <c r="BU20" i="213"/>
  <c r="BV20" i="213"/>
  <c r="BW20" i="213"/>
  <c r="BX20" i="213"/>
  <c r="BY20" i="213"/>
  <c r="BZ20" i="213"/>
  <c r="CE20" i="213"/>
  <c r="B21" i="213"/>
  <c r="BS21" i="213"/>
  <c r="BT21" i="213"/>
  <c r="BU21" i="213"/>
  <c r="BV21" i="213"/>
  <c r="BW21" i="213"/>
  <c r="BX21" i="213"/>
  <c r="BY21" i="213"/>
  <c r="BZ21" i="213"/>
  <c r="CE21" i="213"/>
  <c r="B22" i="213"/>
  <c r="BS22" i="213"/>
  <c r="BT22" i="213"/>
  <c r="BU22" i="213"/>
  <c r="BV22" i="213"/>
  <c r="BW22" i="213"/>
  <c r="BX22" i="213"/>
  <c r="BY22" i="213"/>
  <c r="BZ22" i="213"/>
  <c r="CE22" i="213"/>
  <c r="B23" i="213"/>
  <c r="BS23" i="213"/>
  <c r="BT23" i="213"/>
  <c r="BU23" i="213"/>
  <c r="BV23" i="213"/>
  <c r="BW23" i="213"/>
  <c r="BX23" i="213"/>
  <c r="BY23" i="213"/>
  <c r="BZ23" i="213"/>
  <c r="CE23" i="213"/>
  <c r="B24" i="213"/>
  <c r="BS24" i="213"/>
  <c r="BT24" i="213"/>
  <c r="BU24" i="213"/>
  <c r="BV24" i="213"/>
  <c r="BW24" i="213"/>
  <c r="BX24" i="213"/>
  <c r="BY24" i="213"/>
  <c r="BZ24" i="213"/>
  <c r="CE24" i="213"/>
  <c r="B25" i="213"/>
  <c r="BS25" i="213"/>
  <c r="BT25" i="213"/>
  <c r="BU25" i="213"/>
  <c r="BV25" i="213"/>
  <c r="BW25" i="213"/>
  <c r="BX25" i="213"/>
  <c r="BY25" i="213"/>
  <c r="BZ25" i="213"/>
  <c r="CE25" i="213"/>
  <c r="B26" i="213"/>
  <c r="BS26" i="213"/>
  <c r="BT26" i="213"/>
  <c r="BU26" i="213"/>
  <c r="BV26" i="213"/>
  <c r="BW26" i="213"/>
  <c r="BX26" i="213"/>
  <c r="BY26" i="213"/>
  <c r="BZ26" i="213"/>
  <c r="CE26" i="213"/>
  <c r="B27" i="213"/>
  <c r="BS27" i="213"/>
  <c r="BT27" i="213"/>
  <c r="BU27" i="213"/>
  <c r="BV27" i="213"/>
  <c r="BW27" i="213"/>
  <c r="BX27" i="213"/>
  <c r="BY27" i="213"/>
  <c r="BZ27" i="213"/>
  <c r="CE27" i="213"/>
  <c r="B28" i="213"/>
  <c r="BS28" i="213"/>
  <c r="BT28" i="213"/>
  <c r="BU28" i="213"/>
  <c r="BV28" i="213"/>
  <c r="BW28" i="213"/>
  <c r="BX28" i="213"/>
  <c r="BY28" i="213"/>
  <c r="BZ28" i="213"/>
  <c r="CE28" i="213"/>
  <c r="B29" i="213"/>
  <c r="BS29" i="213"/>
  <c r="BT29" i="213"/>
  <c r="BU29" i="213"/>
  <c r="BV29" i="213"/>
  <c r="BW29" i="213"/>
  <c r="BX29" i="213"/>
  <c r="BY29" i="213"/>
  <c r="BZ29" i="213"/>
  <c r="CE29" i="213"/>
  <c r="B30" i="213"/>
  <c r="BS30" i="213"/>
  <c r="BT30" i="213"/>
  <c r="BU30" i="213"/>
  <c r="BV30" i="213"/>
  <c r="BW30" i="213"/>
  <c r="BX30" i="213"/>
  <c r="BY30" i="213"/>
  <c r="BZ30" i="213"/>
  <c r="CE30" i="213"/>
  <c r="B31" i="213"/>
  <c r="BS31" i="213"/>
  <c r="BT31" i="213"/>
  <c r="BU31" i="213"/>
  <c r="BV31" i="213"/>
  <c r="BW31" i="213"/>
  <c r="BX31" i="213"/>
  <c r="BY31" i="213"/>
  <c r="BZ31" i="213"/>
  <c r="CE31" i="213"/>
  <c r="B32" i="213"/>
  <c r="BS32" i="213"/>
  <c r="BT32" i="213"/>
  <c r="BU32" i="213"/>
  <c r="BV32" i="213"/>
  <c r="BW32" i="213"/>
  <c r="BX32" i="213"/>
  <c r="BY32" i="213"/>
  <c r="BZ32" i="213"/>
  <c r="CE32" i="213"/>
  <c r="B33" i="213"/>
  <c r="BS33" i="213"/>
  <c r="BT33" i="213"/>
  <c r="BU33" i="213"/>
  <c r="BV33" i="213"/>
  <c r="BW33" i="213"/>
  <c r="BX33" i="213"/>
  <c r="BY33" i="213"/>
  <c r="BZ33" i="213"/>
  <c r="CE33" i="213"/>
  <c r="B34" i="213"/>
  <c r="BS34" i="213"/>
  <c r="BT34" i="213"/>
  <c r="BU34" i="213"/>
  <c r="BV34" i="213"/>
  <c r="BW34" i="213"/>
  <c r="BX34" i="213"/>
  <c r="BY34" i="213"/>
  <c r="BZ34" i="213"/>
  <c r="CE34" i="213"/>
  <c r="B35" i="213"/>
  <c r="BS35" i="213"/>
  <c r="BT35" i="213"/>
  <c r="BU35" i="213"/>
  <c r="BV35" i="213"/>
  <c r="BW35" i="213"/>
  <c r="BX35" i="213"/>
  <c r="BY35" i="213"/>
  <c r="BZ35" i="213"/>
  <c r="CE35" i="213"/>
  <c r="B36" i="213"/>
  <c r="BS36" i="213"/>
  <c r="BT36" i="213"/>
  <c r="BU36" i="213"/>
  <c r="BV36" i="213"/>
  <c r="BW36" i="213"/>
  <c r="BX36" i="213"/>
  <c r="BY36" i="213"/>
  <c r="BZ36" i="213"/>
  <c r="CE36" i="213"/>
  <c r="B37" i="213"/>
  <c r="BS37" i="213"/>
  <c r="BT37" i="213"/>
  <c r="BU37" i="213"/>
  <c r="BV37" i="213"/>
  <c r="BW37" i="213"/>
  <c r="BX37" i="213"/>
  <c r="BY37" i="213"/>
  <c r="BZ37" i="213"/>
  <c r="CE37" i="213"/>
  <c r="B38" i="213"/>
  <c r="BS38" i="213"/>
  <c r="BT38" i="213"/>
  <c r="BU38" i="213"/>
  <c r="BV38" i="213"/>
  <c r="BW38" i="213"/>
  <c r="BX38" i="213"/>
  <c r="BY38" i="213"/>
  <c r="BZ38" i="213"/>
  <c r="CE38" i="213"/>
  <c r="B39" i="213"/>
  <c r="BS39" i="213"/>
  <c r="BT39" i="213"/>
  <c r="BU39" i="213"/>
  <c r="BV39" i="213"/>
  <c r="BW39" i="213"/>
  <c r="BX39" i="213"/>
  <c r="BY39" i="213"/>
  <c r="BZ39" i="213"/>
  <c r="CE39" i="213"/>
  <c r="B40" i="213"/>
  <c r="BS40" i="213"/>
  <c r="BT40" i="213"/>
  <c r="BU40" i="213"/>
  <c r="BV40" i="213"/>
  <c r="BW40" i="213"/>
  <c r="BX40" i="213"/>
  <c r="BY40" i="213"/>
  <c r="BZ40" i="213"/>
  <c r="CE40" i="213"/>
  <c r="B41" i="213"/>
  <c r="BS41" i="213"/>
  <c r="BT41" i="213"/>
  <c r="BU41" i="213"/>
  <c r="BV41" i="213"/>
  <c r="BW41" i="213"/>
  <c r="BX41" i="213"/>
  <c r="BY41" i="213"/>
  <c r="BZ41" i="213"/>
  <c r="CE41" i="213"/>
  <c r="B42" i="213"/>
  <c r="BS42" i="213"/>
  <c r="BT42" i="213"/>
  <c r="BU42" i="213"/>
  <c r="BV42" i="213"/>
  <c r="BW42" i="213"/>
  <c r="BX42" i="213"/>
  <c r="BY42" i="213"/>
  <c r="BZ42" i="213"/>
  <c r="CE42" i="213"/>
  <c r="A43" i="213"/>
  <c r="B44" i="213"/>
  <c r="BS44" i="213"/>
  <c r="BT44" i="213"/>
  <c r="BU44" i="213"/>
  <c r="BV44" i="213"/>
  <c r="BW44" i="213"/>
  <c r="BX44" i="213"/>
  <c r="BY44" i="213"/>
  <c r="BZ44" i="213"/>
  <c r="B45" i="213"/>
  <c r="BS45" i="213"/>
  <c r="BT45" i="213"/>
  <c r="BU45" i="213"/>
  <c r="BV45" i="213"/>
  <c r="BW45" i="213"/>
  <c r="BX45" i="213"/>
  <c r="BY45" i="213"/>
  <c r="BZ45" i="213"/>
  <c r="B46" i="213"/>
  <c r="BS46" i="213"/>
  <c r="BT46" i="213"/>
  <c r="BU46" i="213"/>
  <c r="BV46" i="213"/>
  <c r="BW46" i="213"/>
  <c r="BX46" i="213"/>
  <c r="BY46" i="213"/>
  <c r="BZ46" i="213"/>
  <c r="B47" i="213"/>
  <c r="BS47" i="213"/>
  <c r="BT47" i="213"/>
  <c r="BU47" i="213"/>
  <c r="BV47" i="213"/>
  <c r="BW47" i="213"/>
  <c r="BX47" i="213"/>
  <c r="BY47" i="213"/>
  <c r="BZ47" i="213"/>
  <c r="B48" i="213"/>
  <c r="BS48" i="213"/>
  <c r="BT48" i="213"/>
  <c r="BU48" i="213"/>
  <c r="BV48" i="213"/>
  <c r="BW48" i="213"/>
  <c r="BX48" i="213"/>
  <c r="BY48" i="213"/>
  <c r="BZ48" i="213"/>
  <c r="B49" i="213"/>
  <c r="BS49" i="213"/>
  <c r="BT49" i="213"/>
  <c r="BU49" i="213"/>
  <c r="BV49" i="213"/>
  <c r="BW49" i="213"/>
  <c r="BX49" i="213"/>
  <c r="BY49" i="213"/>
  <c r="BZ49" i="213"/>
  <c r="B50" i="213"/>
  <c r="BS50" i="213"/>
  <c r="BT50" i="213"/>
  <c r="BU50" i="213"/>
  <c r="BV50" i="213"/>
  <c r="BW50" i="213"/>
  <c r="BX50" i="213"/>
  <c r="BY50" i="213"/>
  <c r="BZ50" i="213"/>
  <c r="B51" i="213"/>
  <c r="BS51" i="213"/>
  <c r="BT51" i="213"/>
  <c r="BU51" i="213"/>
  <c r="BV51" i="213"/>
  <c r="BW51" i="213"/>
  <c r="BX51" i="213"/>
  <c r="BY51" i="213"/>
  <c r="BZ51" i="213"/>
  <c r="B52" i="213"/>
  <c r="BS52" i="213"/>
  <c r="BT52" i="213"/>
  <c r="BU52" i="213"/>
  <c r="BV52" i="213"/>
  <c r="BW52" i="213"/>
  <c r="BX52" i="213"/>
  <c r="BY52" i="213"/>
  <c r="BZ52" i="213"/>
  <c r="B53" i="213"/>
  <c r="BS53" i="213"/>
  <c r="BT53" i="213"/>
  <c r="BU53" i="213"/>
  <c r="BV53" i="213"/>
  <c r="BW53" i="213"/>
  <c r="BX53" i="213"/>
  <c r="BY53" i="213"/>
  <c r="BZ53" i="213"/>
  <c r="C57" i="213"/>
  <c r="C58" i="213"/>
  <c r="C59" i="213"/>
  <c r="L34" i="293"/>
  <c r="L35" i="293"/>
  <c r="L37" i="293"/>
  <c r="L36" i="293"/>
  <c r="O5" i="272"/>
  <c r="P5" i="272"/>
  <c r="H34" i="272"/>
  <c r="H45" i="272"/>
  <c r="O37" i="272"/>
  <c r="P37" i="272"/>
  <c r="O39" i="272"/>
  <c r="P39" i="272"/>
  <c r="O40" i="272"/>
  <c r="P40" i="272"/>
  <c r="O41" i="272"/>
  <c r="P41" i="272"/>
  <c r="O43" i="272"/>
  <c r="P43" i="272"/>
  <c r="C45" i="272"/>
  <c r="C48" i="272"/>
  <c r="I8" i="272"/>
  <c r="E45" i="272"/>
  <c r="F45" i="272"/>
  <c r="G45" i="272"/>
  <c r="J45" i="272"/>
  <c r="K45" i="272"/>
  <c r="L45" i="272"/>
  <c r="M45" i="272"/>
  <c r="N45" i="272"/>
  <c r="M47" i="272"/>
  <c r="J8" i="269"/>
  <c r="K8" i="269"/>
  <c r="K70" i="269"/>
  <c r="L8" i="269"/>
  <c r="M8" i="269"/>
  <c r="N8" i="269"/>
  <c r="O8" i="269"/>
  <c r="O70" i="269"/>
  <c r="O102" i="269"/>
  <c r="AN28" i="265"/>
  <c r="P8" i="269"/>
  <c r="Q8" i="269"/>
  <c r="R8" i="269"/>
  <c r="S8" i="269"/>
  <c r="T8" i="269"/>
  <c r="U8" i="269"/>
  <c r="V8" i="269"/>
  <c r="W8" i="269"/>
  <c r="W70" i="269"/>
  <c r="W102" i="269"/>
  <c r="AV28" i="265"/>
  <c r="X8" i="269"/>
  <c r="Y8" i="269"/>
  <c r="Z8" i="269"/>
  <c r="AA8" i="269"/>
  <c r="AA70" i="269"/>
  <c r="AA102" i="269"/>
  <c r="AZ28" i="265"/>
  <c r="AB8" i="269"/>
  <c r="AC8" i="269"/>
  <c r="AD8" i="269"/>
  <c r="AE8" i="269"/>
  <c r="AE70" i="269"/>
  <c r="AE102" i="269"/>
  <c r="BD28" i="265"/>
  <c r="AF8" i="269"/>
  <c r="AG8" i="269"/>
  <c r="AH8" i="269"/>
  <c r="AI8" i="269"/>
  <c r="AI70" i="269"/>
  <c r="AJ8" i="269"/>
  <c r="AK8" i="269"/>
  <c r="AL8" i="269"/>
  <c r="AM8" i="269"/>
  <c r="AM70" i="269"/>
  <c r="AN8" i="269"/>
  <c r="AO8" i="269"/>
  <c r="AQ8" i="269"/>
  <c r="AR8" i="269"/>
  <c r="AT8" i="269"/>
  <c r="AU8" i="269"/>
  <c r="AV8" i="269"/>
  <c r="AW8" i="269"/>
  <c r="AX8" i="269"/>
  <c r="AY8" i="269"/>
  <c r="AZ8" i="269"/>
  <c r="B10" i="269"/>
  <c r="C10" i="269"/>
  <c r="D10" i="269"/>
  <c r="E10" i="269"/>
  <c r="B11" i="269"/>
  <c r="C11" i="269"/>
  <c r="D11" i="269"/>
  <c r="E11" i="269"/>
  <c r="B12" i="269"/>
  <c r="C12" i="269"/>
  <c r="D12" i="269"/>
  <c r="E12" i="269"/>
  <c r="B13" i="269"/>
  <c r="C13" i="269"/>
  <c r="D13" i="269"/>
  <c r="E13" i="269"/>
  <c r="B14" i="269"/>
  <c r="C14" i="269"/>
  <c r="D14" i="269"/>
  <c r="E14" i="269"/>
  <c r="B15" i="269"/>
  <c r="C15" i="269"/>
  <c r="D15" i="269"/>
  <c r="E15" i="269"/>
  <c r="B16" i="269"/>
  <c r="C16" i="269"/>
  <c r="D16" i="269"/>
  <c r="E16" i="269"/>
  <c r="B17" i="269"/>
  <c r="C17" i="269"/>
  <c r="D17" i="269"/>
  <c r="E17" i="269"/>
  <c r="B18" i="269"/>
  <c r="C18" i="269"/>
  <c r="D18" i="269"/>
  <c r="E18" i="269"/>
  <c r="B19" i="269"/>
  <c r="C19" i="269"/>
  <c r="D19" i="269"/>
  <c r="E19" i="269"/>
  <c r="B20" i="269"/>
  <c r="C20" i="269"/>
  <c r="D20" i="269"/>
  <c r="E20" i="269"/>
  <c r="B21" i="269"/>
  <c r="C21" i="269"/>
  <c r="D21" i="269"/>
  <c r="E21" i="269"/>
  <c r="B22" i="269"/>
  <c r="C22" i="269"/>
  <c r="D22" i="269"/>
  <c r="E22" i="269"/>
  <c r="B23" i="269"/>
  <c r="C23" i="269"/>
  <c r="D23" i="269"/>
  <c r="E23" i="269"/>
  <c r="B24" i="269"/>
  <c r="C24" i="269"/>
  <c r="D24" i="269"/>
  <c r="E24" i="269"/>
  <c r="B25" i="269"/>
  <c r="C25" i="269"/>
  <c r="D25" i="269"/>
  <c r="E25" i="269"/>
  <c r="B26" i="269"/>
  <c r="C26" i="269"/>
  <c r="D26" i="269"/>
  <c r="E26" i="269"/>
  <c r="B27" i="269"/>
  <c r="C27" i="269"/>
  <c r="D27" i="269"/>
  <c r="E27" i="269"/>
  <c r="B28" i="269"/>
  <c r="C28" i="269"/>
  <c r="D28" i="269"/>
  <c r="E28" i="269"/>
  <c r="B29" i="269"/>
  <c r="C29" i="269"/>
  <c r="D29" i="269"/>
  <c r="E29" i="269"/>
  <c r="B30" i="269"/>
  <c r="C30" i="269"/>
  <c r="D30" i="269"/>
  <c r="E30" i="269"/>
  <c r="B31" i="269"/>
  <c r="C31" i="269"/>
  <c r="D31" i="269"/>
  <c r="E31" i="269"/>
  <c r="B32" i="269"/>
  <c r="C32" i="269"/>
  <c r="D32" i="269"/>
  <c r="E32" i="269"/>
  <c r="B33" i="269"/>
  <c r="C33" i="269"/>
  <c r="D33" i="269"/>
  <c r="E33" i="269"/>
  <c r="B34" i="269"/>
  <c r="C34" i="269"/>
  <c r="D34" i="269"/>
  <c r="E34" i="269"/>
  <c r="B35" i="269"/>
  <c r="C35" i="269"/>
  <c r="D35" i="269"/>
  <c r="E35" i="269"/>
  <c r="B36" i="269"/>
  <c r="C36" i="269"/>
  <c r="D36" i="269"/>
  <c r="E36" i="269"/>
  <c r="B37" i="269"/>
  <c r="C37" i="269"/>
  <c r="D37" i="269"/>
  <c r="E37" i="269"/>
  <c r="B38" i="269"/>
  <c r="C38" i="269"/>
  <c r="D38" i="269"/>
  <c r="E38" i="269"/>
  <c r="B39" i="269"/>
  <c r="C39" i="269"/>
  <c r="D39" i="269"/>
  <c r="E39" i="269"/>
  <c r="B40" i="269"/>
  <c r="C40" i="269"/>
  <c r="D40" i="269"/>
  <c r="E40" i="269"/>
  <c r="B41" i="269"/>
  <c r="C41" i="269"/>
  <c r="D41" i="269"/>
  <c r="E41" i="269"/>
  <c r="B42" i="269"/>
  <c r="C42" i="269"/>
  <c r="D42" i="269"/>
  <c r="E42" i="269"/>
  <c r="B43" i="269"/>
  <c r="C43" i="269"/>
  <c r="D43" i="269"/>
  <c r="E43" i="269"/>
  <c r="B44" i="269"/>
  <c r="C44" i="269"/>
  <c r="D44" i="269"/>
  <c r="E44" i="269"/>
  <c r="B45" i="269"/>
  <c r="C45" i="269"/>
  <c r="D45" i="269"/>
  <c r="E45" i="269"/>
  <c r="B46" i="269"/>
  <c r="C46" i="269"/>
  <c r="D46" i="269"/>
  <c r="E46" i="269"/>
  <c r="B47" i="269"/>
  <c r="C47" i="269"/>
  <c r="D47" i="269"/>
  <c r="E47" i="269"/>
  <c r="B48" i="269"/>
  <c r="C48" i="269"/>
  <c r="D48" i="269"/>
  <c r="E48" i="269"/>
  <c r="B49" i="269"/>
  <c r="C49" i="269"/>
  <c r="D49" i="269"/>
  <c r="E49" i="269"/>
  <c r="B50" i="269"/>
  <c r="C50" i="269"/>
  <c r="D50" i="269"/>
  <c r="E50" i="269"/>
  <c r="B51" i="269"/>
  <c r="C51" i="269"/>
  <c r="D51" i="269"/>
  <c r="E51" i="269"/>
  <c r="B52" i="269"/>
  <c r="C52" i="269"/>
  <c r="D52" i="269"/>
  <c r="E52" i="269"/>
  <c r="B53" i="269"/>
  <c r="C53" i="269"/>
  <c r="D53" i="269"/>
  <c r="E53" i="269"/>
  <c r="B54" i="269"/>
  <c r="C54" i="269"/>
  <c r="D54" i="269"/>
  <c r="E54" i="269"/>
  <c r="B55" i="269"/>
  <c r="C55" i="269"/>
  <c r="D55" i="269"/>
  <c r="E55" i="269"/>
  <c r="B56" i="269"/>
  <c r="C56" i="269"/>
  <c r="D56" i="269"/>
  <c r="E56" i="269"/>
  <c r="B57" i="269"/>
  <c r="C57" i="269"/>
  <c r="D57" i="269"/>
  <c r="E57" i="269"/>
  <c r="B58" i="269"/>
  <c r="C58" i="269"/>
  <c r="D58" i="269"/>
  <c r="E58" i="269"/>
  <c r="B59" i="269"/>
  <c r="C59" i="269"/>
  <c r="D59" i="269"/>
  <c r="E59" i="269"/>
  <c r="B60" i="269"/>
  <c r="C60" i="269"/>
  <c r="D60" i="269"/>
  <c r="E60" i="269"/>
  <c r="B61" i="269"/>
  <c r="C61" i="269"/>
  <c r="D61" i="269"/>
  <c r="E61" i="269"/>
  <c r="B62" i="269"/>
  <c r="C62" i="269"/>
  <c r="D62" i="269"/>
  <c r="E62" i="269"/>
  <c r="B63" i="269"/>
  <c r="C63" i="269"/>
  <c r="D63" i="269"/>
  <c r="E63" i="269"/>
  <c r="B64" i="269"/>
  <c r="C64" i="269"/>
  <c r="D64" i="269"/>
  <c r="E64" i="269"/>
  <c r="B65" i="269"/>
  <c r="C65" i="269"/>
  <c r="D65" i="269"/>
  <c r="E65" i="269"/>
  <c r="B66" i="269"/>
  <c r="C66" i="269"/>
  <c r="D66" i="269"/>
  <c r="E66" i="269"/>
  <c r="B67" i="269"/>
  <c r="C67" i="269"/>
  <c r="D67" i="269"/>
  <c r="E67" i="269"/>
  <c r="B68" i="269"/>
  <c r="C68" i="269"/>
  <c r="D68" i="269"/>
  <c r="E68" i="269"/>
  <c r="B69" i="269"/>
  <c r="C69" i="269"/>
  <c r="D69" i="269"/>
  <c r="E69" i="269"/>
  <c r="F69" i="269"/>
  <c r="G69" i="269"/>
  <c r="J69" i="269"/>
  <c r="K69" i="269"/>
  <c r="L69" i="269"/>
  <c r="L70" i="269"/>
  <c r="M69" i="269"/>
  <c r="N69" i="269"/>
  <c r="O69" i="269"/>
  <c r="P69" i="269"/>
  <c r="P70" i="269"/>
  <c r="Q69" i="269"/>
  <c r="R69" i="269"/>
  <c r="S69" i="269"/>
  <c r="T69" i="269"/>
  <c r="T70" i="269"/>
  <c r="U69" i="269"/>
  <c r="V69" i="269"/>
  <c r="W69" i="269"/>
  <c r="X69" i="269"/>
  <c r="X70" i="269"/>
  <c r="Y69" i="269"/>
  <c r="Z69" i="269"/>
  <c r="AA69" i="269"/>
  <c r="AB69" i="269"/>
  <c r="AB70" i="269"/>
  <c r="AC69" i="269"/>
  <c r="AC70" i="269"/>
  <c r="AD69" i="269"/>
  <c r="AE69" i="269"/>
  <c r="AF69" i="269"/>
  <c r="AF70" i="269"/>
  <c r="AG69" i="269"/>
  <c r="AH69" i="269"/>
  <c r="AH70" i="269"/>
  <c r="AI69" i="269"/>
  <c r="AJ69" i="269"/>
  <c r="AJ70" i="269"/>
  <c r="AK69" i="269"/>
  <c r="AL69" i="269"/>
  <c r="AL70" i="269"/>
  <c r="AM69" i="269"/>
  <c r="AN69" i="269"/>
  <c r="AN70" i="269"/>
  <c r="AO69" i="269"/>
  <c r="AO70" i="269"/>
  <c r="AP69" i="269"/>
  <c r="AP70" i="269"/>
  <c r="AQ69" i="269"/>
  <c r="AR69" i="269"/>
  <c r="AR70" i="269"/>
  <c r="J70" i="269"/>
  <c r="M70" i="269"/>
  <c r="N70" i="269"/>
  <c r="Q70" i="269"/>
  <c r="R70" i="269"/>
  <c r="S70" i="269"/>
  <c r="U70" i="269"/>
  <c r="V70" i="269"/>
  <c r="Y70" i="269"/>
  <c r="Z70" i="269"/>
  <c r="AD70" i="269"/>
  <c r="AG70" i="269"/>
  <c r="AK70" i="269"/>
  <c r="AQ70" i="269"/>
  <c r="B73" i="269"/>
  <c r="C73" i="269"/>
  <c r="D73" i="269"/>
  <c r="E73" i="269"/>
  <c r="B74" i="269"/>
  <c r="C74" i="269"/>
  <c r="D74" i="269"/>
  <c r="E74" i="269"/>
  <c r="B75" i="269"/>
  <c r="C75" i="269"/>
  <c r="D75" i="269"/>
  <c r="E75" i="269"/>
  <c r="B76" i="269"/>
  <c r="C76" i="269"/>
  <c r="D76" i="269"/>
  <c r="E76" i="269"/>
  <c r="J79" i="269"/>
  <c r="K79" i="269"/>
  <c r="L79" i="269"/>
  <c r="M79" i="269"/>
  <c r="N79" i="269"/>
  <c r="O79" i="269"/>
  <c r="P79" i="269"/>
  <c r="Q79" i="269"/>
  <c r="R79" i="269"/>
  <c r="R101" i="269"/>
  <c r="S79" i="269"/>
  <c r="T79" i="269"/>
  <c r="U79" i="269"/>
  <c r="V79" i="269"/>
  <c r="V101" i="269"/>
  <c r="W79" i="269"/>
  <c r="X79" i="269"/>
  <c r="Y79" i="269"/>
  <c r="Z79" i="269"/>
  <c r="AA79" i="269"/>
  <c r="AB79" i="269"/>
  <c r="AC79" i="269"/>
  <c r="AD79" i="269"/>
  <c r="AD101" i="269"/>
  <c r="AE79" i="269"/>
  <c r="AF79" i="269"/>
  <c r="AG79" i="269"/>
  <c r="AH79" i="269"/>
  <c r="AH101" i="269"/>
  <c r="BG27" i="265"/>
  <c r="AI79" i="269"/>
  <c r="AJ79" i="269"/>
  <c r="AK79" i="269"/>
  <c r="AL79" i="269"/>
  <c r="AM79" i="269"/>
  <c r="AN79" i="269"/>
  <c r="AO79" i="269"/>
  <c r="AP79" i="269"/>
  <c r="AP101" i="269"/>
  <c r="BO27" i="265"/>
  <c r="AQ79" i="269"/>
  <c r="E79" i="269"/>
  <c r="Z24" i="265"/>
  <c r="Z50" i="265" s="1"/>
  <c r="AR79" i="269"/>
  <c r="B81" i="269"/>
  <c r="C81" i="269"/>
  <c r="D81" i="269"/>
  <c r="E81" i="269"/>
  <c r="C82" i="269"/>
  <c r="D82" i="269"/>
  <c r="E82" i="269"/>
  <c r="F82" i="269"/>
  <c r="G82" i="269"/>
  <c r="N82" i="269"/>
  <c r="B82" i="269"/>
  <c r="B83" i="269"/>
  <c r="C83" i="269"/>
  <c r="D83" i="269"/>
  <c r="E83" i="269"/>
  <c r="B84" i="269"/>
  <c r="C84" i="269"/>
  <c r="D84" i="269"/>
  <c r="E84" i="269"/>
  <c r="C86" i="269"/>
  <c r="D86" i="269"/>
  <c r="E86" i="269"/>
  <c r="N86" i="269"/>
  <c r="B86" i="269"/>
  <c r="B87" i="269"/>
  <c r="C87" i="269"/>
  <c r="D87" i="269"/>
  <c r="E87" i="269"/>
  <c r="B88" i="269"/>
  <c r="C88" i="269"/>
  <c r="D88" i="269"/>
  <c r="E88" i="269"/>
  <c r="B89" i="269"/>
  <c r="C89" i="269"/>
  <c r="D89" i="269"/>
  <c r="E89" i="269"/>
  <c r="B90" i="269"/>
  <c r="C90" i="269"/>
  <c r="D90" i="269"/>
  <c r="E90" i="269"/>
  <c r="B91" i="269"/>
  <c r="C91" i="269"/>
  <c r="D91" i="269"/>
  <c r="E91" i="269"/>
  <c r="F100" i="269"/>
  <c r="G100" i="269"/>
  <c r="J100" i="269"/>
  <c r="K100" i="269"/>
  <c r="K101" i="269"/>
  <c r="AJ27" i="265"/>
  <c r="L100" i="269"/>
  <c r="L101" i="269"/>
  <c r="AK27" i="265"/>
  <c r="M100" i="269"/>
  <c r="M101" i="269"/>
  <c r="O100" i="269"/>
  <c r="P100" i="269"/>
  <c r="P101" i="269"/>
  <c r="AO27" i="265"/>
  <c r="Q100" i="269"/>
  <c r="Q101" i="269"/>
  <c r="R100" i="269"/>
  <c r="S100" i="269"/>
  <c r="T100" i="269"/>
  <c r="U100" i="269"/>
  <c r="U101" i="269"/>
  <c r="V100" i="269"/>
  <c r="W100" i="269"/>
  <c r="X100" i="269"/>
  <c r="X101" i="269"/>
  <c r="AW27" i="265"/>
  <c r="Y100" i="269"/>
  <c r="Y101" i="269"/>
  <c r="Z100" i="269"/>
  <c r="AA100" i="269"/>
  <c r="AB100" i="269"/>
  <c r="AB101" i="269"/>
  <c r="BA27" i="265"/>
  <c r="AC100" i="269"/>
  <c r="AC101" i="269"/>
  <c r="AD100" i="269"/>
  <c r="AE100" i="269"/>
  <c r="AF100" i="269"/>
  <c r="AF101" i="269"/>
  <c r="BE27" i="265"/>
  <c r="AG100" i="269"/>
  <c r="AG101" i="269"/>
  <c r="AH100" i="269"/>
  <c r="AI100" i="269"/>
  <c r="AI101" i="269"/>
  <c r="AJ100" i="269"/>
  <c r="AJ101" i="269"/>
  <c r="BI27" i="265"/>
  <c r="AK100" i="269"/>
  <c r="AK101" i="269"/>
  <c r="AL100" i="269"/>
  <c r="AM100" i="269"/>
  <c r="AM101" i="269"/>
  <c r="AN100" i="269"/>
  <c r="D100" i="269"/>
  <c r="AO100" i="269"/>
  <c r="AO101" i="269"/>
  <c r="AP100" i="269"/>
  <c r="AQ100" i="269"/>
  <c r="AR100" i="269"/>
  <c r="AR101" i="269"/>
  <c r="BQ27" i="265"/>
  <c r="O101" i="269"/>
  <c r="S101" i="269"/>
  <c r="T101" i="269"/>
  <c r="W101" i="269"/>
  <c r="Z101" i="269"/>
  <c r="Z102" i="269"/>
  <c r="AY28" i="265"/>
  <c r="AA101" i="269"/>
  <c r="AE101" i="269"/>
  <c r="AL101" i="269"/>
  <c r="F102" i="269"/>
  <c r="G102" i="269"/>
  <c r="G104" i="269"/>
  <c r="S102" i="269"/>
  <c r="F104" i="269"/>
  <c r="AH14" i="268"/>
  <c r="AI14" i="268"/>
  <c r="AI15" i="268"/>
  <c r="AI16" i="268"/>
  <c r="AJ14" i="268"/>
  <c r="AK14" i="268"/>
  <c r="AK15" i="268"/>
  <c r="AK16" i="268"/>
  <c r="AK25" i="268"/>
  <c r="AL14" i="268"/>
  <c r="AL15" i="268"/>
  <c r="AL16" i="268"/>
  <c r="AL25" i="268"/>
  <c r="AL38" i="268"/>
  <c r="R38" i="264"/>
  <c r="D15" i="268"/>
  <c r="D16" i="268"/>
  <c r="E15" i="268"/>
  <c r="F15" i="268"/>
  <c r="F16" i="268"/>
  <c r="G15" i="268"/>
  <c r="H15" i="268"/>
  <c r="H16" i="268"/>
  <c r="I15" i="268"/>
  <c r="J15" i="268"/>
  <c r="J16" i="268"/>
  <c r="K15" i="268"/>
  <c r="K16" i="268"/>
  <c r="K25" i="268"/>
  <c r="K38" i="268"/>
  <c r="L15" i="268"/>
  <c r="L16" i="268"/>
  <c r="M15" i="268"/>
  <c r="N15" i="268"/>
  <c r="N16" i="268"/>
  <c r="O15" i="268"/>
  <c r="P15" i="268"/>
  <c r="P16" i="268"/>
  <c r="Q15" i="268"/>
  <c r="R15" i="268"/>
  <c r="R16" i="268"/>
  <c r="S15" i="268"/>
  <c r="S16" i="268"/>
  <c r="S25" i="268"/>
  <c r="S38" i="268"/>
  <c r="T15" i="268"/>
  <c r="T16" i="268"/>
  <c r="U15" i="268"/>
  <c r="V15" i="268"/>
  <c r="V16" i="268"/>
  <c r="W15" i="268"/>
  <c r="X15" i="268"/>
  <c r="X16" i="268"/>
  <c r="Y15" i="268"/>
  <c r="Z15" i="268"/>
  <c r="Z16" i="268"/>
  <c r="AA15" i="268"/>
  <c r="AA16" i="268"/>
  <c r="AA25" i="268"/>
  <c r="AA38" i="268"/>
  <c r="AB15" i="268"/>
  <c r="AB16" i="268"/>
  <c r="AC15" i="268"/>
  <c r="AD15" i="268"/>
  <c r="AD16" i="268"/>
  <c r="AE15" i="268"/>
  <c r="AF15" i="268"/>
  <c r="AF16" i="268"/>
  <c r="AG15" i="268"/>
  <c r="AH15" i="268"/>
  <c r="AH16" i="268"/>
  <c r="AJ15" i="268"/>
  <c r="AJ16" i="268"/>
  <c r="AJ25" i="268"/>
  <c r="E16" i="268"/>
  <c r="G16" i="268"/>
  <c r="G25" i="268"/>
  <c r="I16" i="268"/>
  <c r="I25" i="268"/>
  <c r="I38" i="268"/>
  <c r="M16" i="268"/>
  <c r="O16" i="268"/>
  <c r="O25" i="268"/>
  <c r="Q16" i="268"/>
  <c r="U16" i="268"/>
  <c r="W16" i="268"/>
  <c r="W25" i="268"/>
  <c r="Y16" i="268"/>
  <c r="Y25" i="268"/>
  <c r="Y38" i="268"/>
  <c r="AC16" i="268"/>
  <c r="AE16" i="268"/>
  <c r="AE25" i="268"/>
  <c r="AG16" i="268"/>
  <c r="D24" i="268"/>
  <c r="E24" i="268"/>
  <c r="F24" i="268"/>
  <c r="G24" i="268"/>
  <c r="H24" i="268"/>
  <c r="I24" i="268"/>
  <c r="J24" i="268"/>
  <c r="K24" i="268"/>
  <c r="L24" i="268"/>
  <c r="M24" i="268"/>
  <c r="N24" i="268"/>
  <c r="O24" i="268"/>
  <c r="P24" i="268"/>
  <c r="Q24" i="268"/>
  <c r="R24" i="268"/>
  <c r="S24" i="268"/>
  <c r="T24" i="268"/>
  <c r="U24" i="268"/>
  <c r="V24" i="268"/>
  <c r="W24" i="268"/>
  <c r="X24" i="268"/>
  <c r="Y24" i="268"/>
  <c r="Z24" i="268"/>
  <c r="AA24" i="268"/>
  <c r="AB24" i="268"/>
  <c r="AC24" i="268"/>
  <c r="AD24" i="268"/>
  <c r="AE24" i="268"/>
  <c r="AF24" i="268"/>
  <c r="AG24" i="268"/>
  <c r="AH24" i="268"/>
  <c r="AI24" i="268"/>
  <c r="AJ24" i="268"/>
  <c r="AK24" i="268"/>
  <c r="AL24" i="268"/>
  <c r="E25" i="268"/>
  <c r="M25" i="268"/>
  <c r="Q25" i="268"/>
  <c r="Q38" i="268"/>
  <c r="U25" i="268"/>
  <c r="AC25" i="268"/>
  <c r="AG25" i="268"/>
  <c r="AG38" i="268"/>
  <c r="D33" i="268"/>
  <c r="D34" i="268"/>
  <c r="E33" i="268"/>
  <c r="F33" i="268"/>
  <c r="F34" i="268"/>
  <c r="G33" i="268"/>
  <c r="G34" i="268"/>
  <c r="H33" i="268"/>
  <c r="H34" i="268"/>
  <c r="I33" i="268"/>
  <c r="J33" i="268"/>
  <c r="J34" i="268"/>
  <c r="K33" i="268"/>
  <c r="K34" i="268"/>
  <c r="L33" i="268"/>
  <c r="L34" i="268"/>
  <c r="M33" i="268"/>
  <c r="N33" i="268"/>
  <c r="N34" i="268"/>
  <c r="O33" i="268"/>
  <c r="O34" i="268"/>
  <c r="P33" i="268"/>
  <c r="P34" i="268"/>
  <c r="Q33" i="268"/>
  <c r="R33" i="268"/>
  <c r="R34" i="268"/>
  <c r="S33" i="268"/>
  <c r="S34" i="268"/>
  <c r="T33" i="268"/>
  <c r="T34" i="268"/>
  <c r="U33" i="268"/>
  <c r="V33" i="268"/>
  <c r="V34" i="268"/>
  <c r="W33" i="268"/>
  <c r="W34" i="268"/>
  <c r="X33" i="268"/>
  <c r="X34" i="268"/>
  <c r="Y33" i="268"/>
  <c r="Z33" i="268"/>
  <c r="Z34" i="268"/>
  <c r="AA33" i="268"/>
  <c r="AA34" i="268"/>
  <c r="AB33" i="268"/>
  <c r="AB34" i="268"/>
  <c r="AC33" i="268"/>
  <c r="AD33" i="268"/>
  <c r="AD34" i="268"/>
  <c r="AE33" i="268"/>
  <c r="AE34" i="268"/>
  <c r="AF33" i="268"/>
  <c r="AF34" i="268"/>
  <c r="AG33" i="268"/>
  <c r="AH33" i="268"/>
  <c r="AH34" i="268"/>
  <c r="AI33" i="268"/>
  <c r="AI34" i="268"/>
  <c r="AJ33" i="268"/>
  <c r="AJ34" i="268"/>
  <c r="AK33" i="268"/>
  <c r="AL33" i="268"/>
  <c r="AL34" i="268"/>
  <c r="E34" i="268"/>
  <c r="I34" i="268"/>
  <c r="M34" i="268"/>
  <c r="Q34" i="268"/>
  <c r="U34" i="268"/>
  <c r="Y34" i="268"/>
  <c r="AC34" i="268"/>
  <c r="AG34" i="268"/>
  <c r="AK34" i="268"/>
  <c r="D37" i="268"/>
  <c r="AH37" i="268"/>
  <c r="AI37" i="268"/>
  <c r="AJ37" i="268"/>
  <c r="AK37" i="268"/>
  <c r="AL37" i="268"/>
  <c r="D44" i="268"/>
  <c r="E44" i="268"/>
  <c r="E48" i="268"/>
  <c r="E49" i="268"/>
  <c r="E60" i="268"/>
  <c r="F44" i="268"/>
  <c r="G44" i="268"/>
  <c r="H44" i="268"/>
  <c r="I44" i="268"/>
  <c r="I48" i="268"/>
  <c r="I49" i="268"/>
  <c r="I60" i="268"/>
  <c r="J44" i="268"/>
  <c r="K44" i="268"/>
  <c r="L44" i="268"/>
  <c r="M44" i="268"/>
  <c r="M48" i="268"/>
  <c r="M49" i="268"/>
  <c r="M60" i="268"/>
  <c r="N44" i="268"/>
  <c r="O44" i="268"/>
  <c r="P44" i="268"/>
  <c r="Q44" i="268"/>
  <c r="R44" i="268"/>
  <c r="S44" i="268"/>
  <c r="T44" i="268"/>
  <c r="U44" i="268"/>
  <c r="U48" i="268"/>
  <c r="U49" i="268"/>
  <c r="U60" i="268"/>
  <c r="V44" i="268"/>
  <c r="W44" i="268"/>
  <c r="X44" i="268"/>
  <c r="Y44" i="268"/>
  <c r="Y48" i="268"/>
  <c r="Y49" i="268"/>
  <c r="Y60" i="268"/>
  <c r="Z44" i="268"/>
  <c r="AA44" i="268"/>
  <c r="AB44" i="268"/>
  <c r="AC44" i="268"/>
  <c r="AC48" i="268"/>
  <c r="AC49" i="268"/>
  <c r="AC60" i="268"/>
  <c r="AD44" i="268"/>
  <c r="AE44" i="268"/>
  <c r="AF44" i="268"/>
  <c r="AG44" i="268"/>
  <c r="AH44" i="268"/>
  <c r="AI44" i="268"/>
  <c r="AJ44" i="268"/>
  <c r="AK44" i="268"/>
  <c r="AK48" i="268"/>
  <c r="AK49" i="268"/>
  <c r="AK60" i="268"/>
  <c r="AL44" i="268"/>
  <c r="D47" i="268"/>
  <c r="D48" i="268"/>
  <c r="D49" i="268"/>
  <c r="E47" i="268"/>
  <c r="F47" i="268"/>
  <c r="F48" i="268"/>
  <c r="F49" i="268"/>
  <c r="F60" i="268"/>
  <c r="G47" i="268"/>
  <c r="H47" i="268"/>
  <c r="H48" i="268"/>
  <c r="H49" i="268"/>
  <c r="H60" i="268"/>
  <c r="I47" i="268"/>
  <c r="J47" i="268"/>
  <c r="J48" i="268"/>
  <c r="J49" i="268"/>
  <c r="J60" i="268"/>
  <c r="K47" i="268"/>
  <c r="L47" i="268"/>
  <c r="L48" i="268"/>
  <c r="L49" i="268"/>
  <c r="L60" i="268"/>
  <c r="M47" i="268"/>
  <c r="N47" i="268"/>
  <c r="N48" i="268"/>
  <c r="N49" i="268"/>
  <c r="N60" i="268"/>
  <c r="O47" i="268"/>
  <c r="P47" i="268"/>
  <c r="P48" i="268"/>
  <c r="P49" i="268"/>
  <c r="P60" i="268"/>
  <c r="Q47" i="268"/>
  <c r="R47" i="268"/>
  <c r="R48" i="268"/>
  <c r="R49" i="268"/>
  <c r="R60" i="268"/>
  <c r="S47" i="268"/>
  <c r="T47" i="268"/>
  <c r="T48" i="268"/>
  <c r="T49" i="268"/>
  <c r="T60" i="268"/>
  <c r="U47" i="268"/>
  <c r="V47" i="268"/>
  <c r="V48" i="268"/>
  <c r="V49" i="268"/>
  <c r="V60" i="268"/>
  <c r="W47" i="268"/>
  <c r="X47" i="268"/>
  <c r="X48" i="268"/>
  <c r="X49" i="268"/>
  <c r="X60" i="268"/>
  <c r="Y47" i="268"/>
  <c r="Z47" i="268"/>
  <c r="Z48" i="268"/>
  <c r="Z49" i="268"/>
  <c r="Z60" i="268"/>
  <c r="AA47" i="268"/>
  <c r="AB47" i="268"/>
  <c r="AB48" i="268"/>
  <c r="AB49" i="268"/>
  <c r="AB60" i="268"/>
  <c r="AC47" i="268"/>
  <c r="AD47" i="268"/>
  <c r="AD48" i="268"/>
  <c r="AD49" i="268"/>
  <c r="AD60" i="268"/>
  <c r="AE47" i="268"/>
  <c r="AF47" i="268"/>
  <c r="AF48" i="268"/>
  <c r="AF49" i="268"/>
  <c r="AF60" i="268"/>
  <c r="AG47" i="268"/>
  <c r="AH47" i="268"/>
  <c r="AH48" i="268"/>
  <c r="AH49" i="268"/>
  <c r="AH60" i="268"/>
  <c r="AI47" i="268"/>
  <c r="AJ47" i="268"/>
  <c r="AJ48" i="268"/>
  <c r="AJ49" i="268"/>
  <c r="AJ60" i="268"/>
  <c r="AK47" i="268"/>
  <c r="AL47" i="268"/>
  <c r="AL48" i="268"/>
  <c r="Q48" i="268"/>
  <c r="Q49" i="268"/>
  <c r="AG48" i="268"/>
  <c r="AG49" i="268"/>
  <c r="AM58" i="268"/>
  <c r="D59" i="268"/>
  <c r="E59" i="268"/>
  <c r="F59" i="268"/>
  <c r="G59" i="268"/>
  <c r="H59" i="268"/>
  <c r="I59" i="268"/>
  <c r="J59" i="268"/>
  <c r="K59" i="268"/>
  <c r="L59" i="268"/>
  <c r="M59" i="268"/>
  <c r="N59" i="268"/>
  <c r="O59" i="268"/>
  <c r="P59" i="268"/>
  <c r="Q59" i="268"/>
  <c r="R59" i="268"/>
  <c r="S59" i="268"/>
  <c r="T59" i="268"/>
  <c r="U59" i="268"/>
  <c r="V59" i="268"/>
  <c r="W59" i="268"/>
  <c r="X59" i="268"/>
  <c r="Y59" i="268"/>
  <c r="Z59" i="268"/>
  <c r="AA59" i="268"/>
  <c r="AB59" i="268"/>
  <c r="AC59" i="268"/>
  <c r="AD59" i="268"/>
  <c r="AE59" i="268"/>
  <c r="AF59" i="268"/>
  <c r="AG59" i="268"/>
  <c r="AH59" i="268"/>
  <c r="AI59" i="268"/>
  <c r="AJ59" i="268"/>
  <c r="AK59" i="268"/>
  <c r="AL59" i="268"/>
  <c r="AM59" i="268"/>
  <c r="C12" i="266"/>
  <c r="E12" i="266"/>
  <c r="G12" i="266"/>
  <c r="I12" i="266"/>
  <c r="E15" i="266"/>
  <c r="E16" i="266"/>
  <c r="G16" i="266"/>
  <c r="I16" i="266"/>
  <c r="E17" i="266"/>
  <c r="I18" i="266"/>
  <c r="E19" i="266"/>
  <c r="E20" i="266"/>
  <c r="I21" i="266"/>
  <c r="G22" i="266"/>
  <c r="I22" i="266"/>
  <c r="E23" i="266"/>
  <c r="E24" i="266"/>
  <c r="I25" i="266"/>
  <c r="E26" i="266"/>
  <c r="I27" i="266"/>
  <c r="E28" i="266"/>
  <c r="U28" i="266"/>
  <c r="V28" i="266"/>
  <c r="C32" i="266"/>
  <c r="E32" i="266"/>
  <c r="G32" i="266"/>
  <c r="I32" i="266"/>
  <c r="E40" i="266"/>
  <c r="V41" i="266"/>
  <c r="G42" i="266"/>
  <c r="W43" i="266"/>
  <c r="Z43" i="266"/>
  <c r="E44" i="266"/>
  <c r="W44" i="266"/>
  <c r="AG10" i="265"/>
  <c r="V11" i="265"/>
  <c r="C11" i="265"/>
  <c r="Y11" i="265"/>
  <c r="Z11" i="265"/>
  <c r="AA11" i="265"/>
  <c r="AB11" i="265"/>
  <c r="AI11" i="265"/>
  <c r="AJ11" i="265"/>
  <c r="AK11" i="265"/>
  <c r="AL11" i="265"/>
  <c r="AM11" i="265"/>
  <c r="AN11" i="265"/>
  <c r="AO11" i="265"/>
  <c r="AP11" i="265"/>
  <c r="AQ11" i="265"/>
  <c r="AR11" i="265"/>
  <c r="AS11" i="265"/>
  <c r="AT11" i="265"/>
  <c r="AU11" i="265"/>
  <c r="AV11" i="265"/>
  <c r="AW11" i="265"/>
  <c r="AX11" i="265"/>
  <c r="AY11" i="265"/>
  <c r="AZ11" i="265"/>
  <c r="BA11" i="265"/>
  <c r="BB11" i="265"/>
  <c r="BC11" i="265"/>
  <c r="BD11" i="265"/>
  <c r="BE11" i="265"/>
  <c r="BF11" i="265"/>
  <c r="BG11" i="265"/>
  <c r="BH11" i="265"/>
  <c r="BI11" i="265"/>
  <c r="BJ11" i="265"/>
  <c r="BK11" i="265"/>
  <c r="BL11" i="265"/>
  <c r="BM11" i="265"/>
  <c r="BN11" i="265"/>
  <c r="BO11" i="265"/>
  <c r="BP11" i="265"/>
  <c r="BQ11" i="265"/>
  <c r="V12" i="265"/>
  <c r="C12" i="265"/>
  <c r="Y12" i="265"/>
  <c r="Z12" i="265"/>
  <c r="AA12" i="265"/>
  <c r="AB12" i="265"/>
  <c r="AI12" i="265"/>
  <c r="AJ12" i="265"/>
  <c r="AK12" i="265"/>
  <c r="AL12" i="265"/>
  <c r="AM12" i="265"/>
  <c r="AN12" i="265"/>
  <c r="AO12" i="265"/>
  <c r="AP12" i="265"/>
  <c r="AQ12" i="265"/>
  <c r="AR12" i="265"/>
  <c r="AS12" i="265"/>
  <c r="AT12" i="265"/>
  <c r="AU12" i="265"/>
  <c r="AV12" i="265"/>
  <c r="AW12" i="265"/>
  <c r="AX12" i="265"/>
  <c r="AY12" i="265"/>
  <c r="AZ12" i="265"/>
  <c r="BA12" i="265"/>
  <c r="BB12" i="265"/>
  <c r="BC12" i="265"/>
  <c r="BD12" i="265"/>
  <c r="BE12" i="265"/>
  <c r="BF12" i="265"/>
  <c r="BG12" i="265"/>
  <c r="BH12" i="265"/>
  <c r="BI12" i="265"/>
  <c r="BJ12" i="265"/>
  <c r="BK12" i="265"/>
  <c r="BL12" i="265"/>
  <c r="BM12" i="265"/>
  <c r="BN12" i="265"/>
  <c r="BO12" i="265"/>
  <c r="BP12" i="265"/>
  <c r="BQ12" i="265"/>
  <c r="V14" i="265"/>
  <c r="C14" i="265"/>
  <c r="Y14" i="265"/>
  <c r="Z14" i="265"/>
  <c r="AA14" i="265"/>
  <c r="AB14" i="265"/>
  <c r="AG14" i="265"/>
  <c r="AI14" i="265"/>
  <c r="AL14" i="265"/>
  <c r="AN14" i="265"/>
  <c r="AR14" i="265"/>
  <c r="AS14" i="265"/>
  <c r="AW14" i="265"/>
  <c r="AX14" i="265"/>
  <c r="BB14" i="265"/>
  <c r="BD14" i="265"/>
  <c r="BH14" i="265"/>
  <c r="BI14" i="265"/>
  <c r="BM14" i="265"/>
  <c r="BN14" i="265"/>
  <c r="C15" i="265"/>
  <c r="V15" i="265"/>
  <c r="Y15" i="265"/>
  <c r="Z15" i="265"/>
  <c r="AA15" i="265"/>
  <c r="AB15" i="265"/>
  <c r="AG15" i="265"/>
  <c r="AJ15" i="265"/>
  <c r="AP15" i="265"/>
  <c r="AT15" i="265"/>
  <c r="AX15" i="265"/>
  <c r="BF15" i="265"/>
  <c r="BJ15" i="265"/>
  <c r="BN15" i="265"/>
  <c r="V17" i="265"/>
  <c r="Y17" i="265"/>
  <c r="Z17" i="265"/>
  <c r="AA17" i="265"/>
  <c r="AB17" i="265"/>
  <c r="AG17" i="265"/>
  <c r="AI17" i="265"/>
  <c r="AL17" i="265"/>
  <c r="AN17" i="265"/>
  <c r="AR17" i="265"/>
  <c r="AS17" i="265"/>
  <c r="AW17" i="265"/>
  <c r="AX17" i="265"/>
  <c r="BB17" i="265"/>
  <c r="BD17" i="265"/>
  <c r="BH17" i="265"/>
  <c r="BI17" i="265"/>
  <c r="BM17" i="265"/>
  <c r="BN17" i="265"/>
  <c r="C18" i="265"/>
  <c r="C24" i="266"/>
  <c r="V18" i="265"/>
  <c r="Y18" i="265"/>
  <c r="Z18" i="265"/>
  <c r="AA18" i="265"/>
  <c r="AA45" i="265"/>
  <c r="AB18" i="265"/>
  <c r="AG18" i="265"/>
  <c r="AJ18" i="265"/>
  <c r="AP18" i="265"/>
  <c r="AT18" i="265"/>
  <c r="AX18" i="265"/>
  <c r="BF18" i="265"/>
  <c r="BJ18" i="265"/>
  <c r="BN18" i="265"/>
  <c r="V20" i="265"/>
  <c r="C20" i="265"/>
  <c r="C46" i="265"/>
  <c r="Y20" i="265"/>
  <c r="Y46" i="265"/>
  <c r="Z20" i="265"/>
  <c r="Z46" i="265"/>
  <c r="Z48" i="265"/>
  <c r="AA20" i="265"/>
  <c r="AB20" i="265"/>
  <c r="AB46" i="265"/>
  <c r="AG20" i="265"/>
  <c r="AI20" i="265"/>
  <c r="AL20" i="265"/>
  <c r="AN20" i="265"/>
  <c r="AR20" i="265"/>
  <c r="AS20" i="265"/>
  <c r="AW20" i="265"/>
  <c r="AX20" i="265"/>
  <c r="BB20" i="265"/>
  <c r="BD20" i="265"/>
  <c r="BH20" i="265"/>
  <c r="BI20" i="265"/>
  <c r="BM20" i="265"/>
  <c r="BN20" i="265"/>
  <c r="Y22" i="265"/>
  <c r="Z22" i="265"/>
  <c r="AG22" i="265"/>
  <c r="AA24" i="265"/>
  <c r="AB24" i="265"/>
  <c r="AB50" i="265"/>
  <c r="AI24" i="265"/>
  <c r="AJ24" i="265"/>
  <c r="AK24" i="265"/>
  <c r="AL24" i="265"/>
  <c r="AM24" i="265"/>
  <c r="AN24" i="265"/>
  <c r="AO24" i="265"/>
  <c r="AP24" i="265"/>
  <c r="AQ24" i="265"/>
  <c r="AR24" i="265"/>
  <c r="AS24" i="265"/>
  <c r="AT24" i="265"/>
  <c r="AU24" i="265"/>
  <c r="AV24" i="265"/>
  <c r="AW24" i="265"/>
  <c r="AX24" i="265"/>
  <c r="AY24" i="265"/>
  <c r="AZ24" i="265"/>
  <c r="BA24" i="265"/>
  <c r="BB24" i="265"/>
  <c r="BC24" i="265"/>
  <c r="BD24" i="265"/>
  <c r="BE24" i="265"/>
  <c r="BF24" i="265"/>
  <c r="BG24" i="265"/>
  <c r="BH24" i="265"/>
  <c r="BI24" i="265"/>
  <c r="BJ24" i="265"/>
  <c r="BK24" i="265"/>
  <c r="BL24" i="265"/>
  <c r="BM24" i="265"/>
  <c r="BN24" i="265"/>
  <c r="BO24" i="265"/>
  <c r="BP24" i="265"/>
  <c r="BQ24" i="265"/>
  <c r="AI25" i="265"/>
  <c r="AJ25" i="265"/>
  <c r="AK25" i="265"/>
  <c r="AL25" i="265"/>
  <c r="AN25" i="265"/>
  <c r="AO25" i="265"/>
  <c r="AP25" i="265"/>
  <c r="AQ25" i="265"/>
  <c r="AR25" i="265"/>
  <c r="AS25" i="265"/>
  <c r="AT25" i="265"/>
  <c r="AU25" i="265"/>
  <c r="AV25" i="265"/>
  <c r="AW25" i="265"/>
  <c r="AX25" i="265"/>
  <c r="AY25" i="265"/>
  <c r="AZ25" i="265"/>
  <c r="BA25" i="265"/>
  <c r="BB25" i="265"/>
  <c r="BC25" i="265"/>
  <c r="BD25" i="265"/>
  <c r="BE25" i="265"/>
  <c r="BF25" i="265"/>
  <c r="BG25" i="265"/>
  <c r="BH25" i="265"/>
  <c r="BI25" i="265"/>
  <c r="BJ25" i="265"/>
  <c r="BK25" i="265"/>
  <c r="BL25" i="265"/>
  <c r="BM25" i="265"/>
  <c r="BN25" i="265"/>
  <c r="BO25" i="265"/>
  <c r="BP25" i="265"/>
  <c r="BQ25" i="265"/>
  <c r="AN27" i="265"/>
  <c r="AR27" i="265"/>
  <c r="AS27" i="265"/>
  <c r="AV27" i="265"/>
  <c r="AY27" i="265"/>
  <c r="AZ27" i="265"/>
  <c r="BD27" i="265"/>
  <c r="BK27" i="265"/>
  <c r="AR28" i="265"/>
  <c r="C39" i="265"/>
  <c r="Y42" i="265"/>
  <c r="Z42" i="265"/>
  <c r="AA42" i="265"/>
  <c r="AB42" i="265"/>
  <c r="Y43" i="265"/>
  <c r="Z43" i="265"/>
  <c r="AA43" i="265"/>
  <c r="AB43" i="265"/>
  <c r="Y44" i="265"/>
  <c r="Z44" i="265"/>
  <c r="AA44" i="265"/>
  <c r="C45" i="265"/>
  <c r="AC45" i="265"/>
  <c r="Y45" i="265"/>
  <c r="Z45" i="265"/>
  <c r="AB45" i="265"/>
  <c r="AA50" i="265"/>
  <c r="C55" i="265"/>
  <c r="C68" i="265"/>
  <c r="F7" i="264"/>
  <c r="H7" i="264"/>
  <c r="J7" i="264"/>
  <c r="F10" i="264"/>
  <c r="C54" i="265"/>
  <c r="H10" i="264"/>
  <c r="J10" i="264"/>
  <c r="Y10" i="264"/>
  <c r="Z10" i="264"/>
  <c r="AA10" i="264"/>
  <c r="AB10" i="264"/>
  <c r="AC10" i="264"/>
  <c r="AD10" i="264"/>
  <c r="AE10" i="264"/>
  <c r="AF10" i="264"/>
  <c r="AG10" i="264"/>
  <c r="AH10" i="264"/>
  <c r="AI10" i="264"/>
  <c r="AJ10" i="264"/>
  <c r="AK10" i="264"/>
  <c r="AL10" i="264"/>
  <c r="AM10" i="264"/>
  <c r="AN10" i="264"/>
  <c r="AO10" i="264"/>
  <c r="AP10" i="264"/>
  <c r="AQ10" i="264"/>
  <c r="AR10" i="264"/>
  <c r="AS10" i="264"/>
  <c r="AT10" i="264"/>
  <c r="AU10" i="264"/>
  <c r="AV10" i="264"/>
  <c r="AW10" i="264"/>
  <c r="AX10" i="264"/>
  <c r="AY10" i="264"/>
  <c r="AZ10" i="264"/>
  <c r="BA10" i="264"/>
  <c r="BB10" i="264"/>
  <c r="BC10" i="264"/>
  <c r="BD10" i="264"/>
  <c r="BE10" i="264"/>
  <c r="BF10" i="264"/>
  <c r="BG10" i="264"/>
  <c r="R10" i="264"/>
  <c r="F11" i="264"/>
  <c r="H11" i="264"/>
  <c r="H12" i="264"/>
  <c r="H17" i="264"/>
  <c r="J11" i="264"/>
  <c r="J12" i="264"/>
  <c r="J17" i="264"/>
  <c r="Y11" i="264"/>
  <c r="Z11" i="264"/>
  <c r="AA11" i="264"/>
  <c r="AA12" i="264"/>
  <c r="AA17" i="264"/>
  <c r="AB11" i="264"/>
  <c r="AB12" i="264"/>
  <c r="AC11" i="264"/>
  <c r="AD11" i="264"/>
  <c r="AE11" i="264"/>
  <c r="AE12" i="264"/>
  <c r="AE17" i="264"/>
  <c r="AF11" i="264"/>
  <c r="AF12" i="264"/>
  <c r="AG11" i="264"/>
  <c r="AH11" i="264"/>
  <c r="AI11" i="264"/>
  <c r="AI12" i="264"/>
  <c r="AI17" i="264"/>
  <c r="AJ11" i="264"/>
  <c r="AJ12" i="264"/>
  <c r="AJ17" i="264"/>
  <c r="AK11" i="264"/>
  <c r="AL11" i="264"/>
  <c r="AM11" i="264"/>
  <c r="AM12" i="264"/>
  <c r="AM17" i="264"/>
  <c r="AN11" i="264"/>
  <c r="AN12" i="264"/>
  <c r="AO11" i="264"/>
  <c r="AP11" i="264"/>
  <c r="AQ11" i="264"/>
  <c r="AQ12" i="264"/>
  <c r="AQ17" i="264"/>
  <c r="AR11" i="264"/>
  <c r="AR12" i="264"/>
  <c r="AS11" i="264"/>
  <c r="AT11" i="264"/>
  <c r="AU11" i="264"/>
  <c r="AU12" i="264"/>
  <c r="AU17" i="264"/>
  <c r="AV11" i="264"/>
  <c r="AV12" i="264"/>
  <c r="AW11" i="264"/>
  <c r="AX11" i="264"/>
  <c r="AY11" i="264"/>
  <c r="AY12" i="264"/>
  <c r="AY17" i="264"/>
  <c r="AZ11" i="264"/>
  <c r="AZ12" i="264"/>
  <c r="AZ17" i="264"/>
  <c r="BA11" i="264"/>
  <c r="BB11" i="264"/>
  <c r="BC11" i="264"/>
  <c r="BC12" i="264"/>
  <c r="BC17" i="264"/>
  <c r="BD11" i="264"/>
  <c r="BD12" i="264"/>
  <c r="BE11" i="264"/>
  <c r="BF11" i="264"/>
  <c r="BG11" i="264"/>
  <c r="R11" i="264"/>
  <c r="D11" i="264"/>
  <c r="F12" i="264"/>
  <c r="Y12" i="264"/>
  <c r="Y17" i="264"/>
  <c r="Z12" i="264"/>
  <c r="Z17" i="264"/>
  <c r="AC12" i="264"/>
  <c r="AD12" i="264"/>
  <c r="AG12" i="264"/>
  <c r="AG17" i="264"/>
  <c r="AH12" i="264"/>
  <c r="AH17" i="264"/>
  <c r="AK12" i="264"/>
  <c r="AK17" i="264"/>
  <c r="AL12" i="264"/>
  <c r="AL17" i="264"/>
  <c r="AO12" i="264"/>
  <c r="AO17" i="264"/>
  <c r="AP12" i="264"/>
  <c r="AS12" i="264"/>
  <c r="AS17" i="264"/>
  <c r="AT12" i="264"/>
  <c r="AT17" i="264"/>
  <c r="AW12" i="264"/>
  <c r="AW17" i="264"/>
  <c r="AX12" i="264"/>
  <c r="BA12" i="264"/>
  <c r="BA17" i="264"/>
  <c r="BB12" i="264"/>
  <c r="BB17" i="264"/>
  <c r="BE12" i="264"/>
  <c r="BF12" i="264"/>
  <c r="F14" i="264"/>
  <c r="H14" i="264"/>
  <c r="J14" i="264"/>
  <c r="Y14" i="264"/>
  <c r="Z14" i="264"/>
  <c r="AA14" i="264"/>
  <c r="AB14" i="264"/>
  <c r="AC14" i="264"/>
  <c r="AD14" i="264"/>
  <c r="AE14" i="264"/>
  <c r="AF14" i="264"/>
  <c r="AG14" i="264"/>
  <c r="AH14" i="264"/>
  <c r="AI14" i="264"/>
  <c r="AJ14" i="264"/>
  <c r="AK14" i="264"/>
  <c r="AL14" i="264"/>
  <c r="AM14" i="264"/>
  <c r="AN14" i="264"/>
  <c r="AO14" i="264"/>
  <c r="AP14" i="264"/>
  <c r="AQ14" i="264"/>
  <c r="AR14" i="264"/>
  <c r="AS14" i="264"/>
  <c r="AT14" i="264"/>
  <c r="AU14" i="264"/>
  <c r="AV14" i="264"/>
  <c r="AW14" i="264"/>
  <c r="AX14" i="264"/>
  <c r="AY14" i="264"/>
  <c r="AZ14" i="264"/>
  <c r="BA14" i="264"/>
  <c r="BB14" i="264"/>
  <c r="BC14" i="264"/>
  <c r="BD14" i="264"/>
  <c r="BE14" i="264"/>
  <c r="BF14" i="264"/>
  <c r="BG14" i="264"/>
  <c r="R14" i="264"/>
  <c r="D14" i="264"/>
  <c r="F15" i="264"/>
  <c r="H15" i="264"/>
  <c r="J15" i="264"/>
  <c r="R15" i="264"/>
  <c r="D15" i="264"/>
  <c r="Y15" i="264"/>
  <c r="Z15" i="264"/>
  <c r="AA15" i="264"/>
  <c r="AB15" i="264"/>
  <c r="AC15" i="264"/>
  <c r="AD15" i="264"/>
  <c r="AE15" i="264"/>
  <c r="AF15" i="264"/>
  <c r="AG15" i="264"/>
  <c r="AH15" i="264"/>
  <c r="AI15" i="264"/>
  <c r="AJ15" i="264"/>
  <c r="AK15" i="264"/>
  <c r="AL15" i="264"/>
  <c r="AM15" i="264"/>
  <c r="AN15" i="264"/>
  <c r="AO15" i="264"/>
  <c r="AP15" i="264"/>
  <c r="AQ15" i="264"/>
  <c r="AR15" i="264"/>
  <c r="AS15" i="264"/>
  <c r="AT15" i="264"/>
  <c r="AU15" i="264"/>
  <c r="AV15" i="264"/>
  <c r="AW15" i="264"/>
  <c r="AX15" i="264"/>
  <c r="AY15" i="264"/>
  <c r="AZ15" i="264"/>
  <c r="BA15" i="264"/>
  <c r="BB15" i="264"/>
  <c r="BC15" i="264"/>
  <c r="BD15" i="264"/>
  <c r="BE15" i="264"/>
  <c r="BF15" i="264"/>
  <c r="BG15" i="264"/>
  <c r="F17" i="264"/>
  <c r="AC17" i="264"/>
  <c r="AD17" i="264"/>
  <c r="AP17" i="264"/>
  <c r="AX17" i="264"/>
  <c r="BE17" i="264"/>
  <c r="BF17" i="264"/>
  <c r="F23" i="264"/>
  <c r="H23" i="264"/>
  <c r="J23" i="264"/>
  <c r="J27" i="264"/>
  <c r="J39" i="264"/>
  <c r="Y23" i="264"/>
  <c r="Z23" i="264"/>
  <c r="AA23" i="264"/>
  <c r="AA27" i="264"/>
  <c r="AA36" i="264"/>
  <c r="AB23" i="264"/>
  <c r="AB27" i="264"/>
  <c r="AC23" i="264"/>
  <c r="AD23" i="264"/>
  <c r="AE23" i="264"/>
  <c r="AE27" i="264"/>
  <c r="AF23" i="264"/>
  <c r="AF27" i="264"/>
  <c r="AG23" i="264"/>
  <c r="AH23" i="264"/>
  <c r="AI23" i="264"/>
  <c r="AI27" i="264"/>
  <c r="AJ23" i="264"/>
  <c r="AJ27" i="264"/>
  <c r="AK23" i="264"/>
  <c r="AL23" i="264"/>
  <c r="AM23" i="264"/>
  <c r="AM27" i="264"/>
  <c r="AN23" i="264"/>
  <c r="AN27" i="264"/>
  <c r="AO23" i="264"/>
  <c r="AP23" i="264"/>
  <c r="AQ23" i="264"/>
  <c r="AQ27" i="264"/>
  <c r="AQ36" i="264"/>
  <c r="AR23" i="264"/>
  <c r="AR27" i="264"/>
  <c r="AS23" i="264"/>
  <c r="AT23" i="264"/>
  <c r="AU23" i="264"/>
  <c r="AU27" i="264"/>
  <c r="AV23" i="264"/>
  <c r="AV27" i="264"/>
  <c r="AW23" i="264"/>
  <c r="AX23" i="264"/>
  <c r="AY23" i="264"/>
  <c r="AY27" i="264"/>
  <c r="AZ23" i="264"/>
  <c r="AZ27" i="264"/>
  <c r="BA23" i="264"/>
  <c r="BB23" i="264"/>
  <c r="BC23" i="264"/>
  <c r="BC27" i="264"/>
  <c r="BD23" i="264"/>
  <c r="BD27" i="264"/>
  <c r="BE23" i="264"/>
  <c r="BF23" i="264"/>
  <c r="BG23" i="264"/>
  <c r="R23" i="264"/>
  <c r="D23" i="264"/>
  <c r="F27" i="264"/>
  <c r="H27" i="264"/>
  <c r="Y27" i="264"/>
  <c r="Z27" i="264"/>
  <c r="AC27" i="264"/>
  <c r="AD27" i="264"/>
  <c r="AG27" i="264"/>
  <c r="AH27" i="264"/>
  <c r="AK27" i="264"/>
  <c r="AL27" i="264"/>
  <c r="AO27" i="264"/>
  <c r="AP27" i="264"/>
  <c r="AS27" i="264"/>
  <c r="AT27" i="264"/>
  <c r="AW27" i="264"/>
  <c r="AX27" i="264"/>
  <c r="BA27" i="264"/>
  <c r="BB27" i="264"/>
  <c r="BE27" i="264"/>
  <c r="BF27" i="264"/>
  <c r="D31" i="264"/>
  <c r="F31" i="264"/>
  <c r="H31" i="264"/>
  <c r="J31" i="264"/>
  <c r="Y31" i="264"/>
  <c r="Y34" i="264"/>
  <c r="Y36" i="264"/>
  <c r="Z31" i="264"/>
  <c r="AA31" i="264"/>
  <c r="AB31" i="264"/>
  <c r="AC31" i="264"/>
  <c r="AD31" i="264"/>
  <c r="AE31" i="264"/>
  <c r="AF31" i="264"/>
  <c r="AG31" i="264"/>
  <c r="AH31" i="264"/>
  <c r="AI31" i="264"/>
  <c r="AJ31" i="264"/>
  <c r="AK31" i="264"/>
  <c r="AL31" i="264"/>
  <c r="AM31" i="264"/>
  <c r="AN31" i="264"/>
  <c r="AO31" i="264"/>
  <c r="AO34" i="264"/>
  <c r="AO36" i="264"/>
  <c r="AP31" i="264"/>
  <c r="AQ31" i="264"/>
  <c r="AR31" i="264"/>
  <c r="AS31" i="264"/>
  <c r="AS34" i="264"/>
  <c r="AS36" i="264"/>
  <c r="AT31" i="264"/>
  <c r="AU31" i="264"/>
  <c r="AV31" i="264"/>
  <c r="AW31" i="264"/>
  <c r="AX31" i="264"/>
  <c r="AY31" i="264"/>
  <c r="AZ31" i="264"/>
  <c r="BA31" i="264"/>
  <c r="BB31" i="264"/>
  <c r="BC31" i="264"/>
  <c r="BD31" i="264"/>
  <c r="BE31" i="264"/>
  <c r="BE34" i="264"/>
  <c r="BE36" i="264"/>
  <c r="BF31" i="264"/>
  <c r="BG31" i="264"/>
  <c r="R31" i="264"/>
  <c r="D32" i="264"/>
  <c r="F32" i="264"/>
  <c r="H32" i="264"/>
  <c r="J32" i="264"/>
  <c r="Y32" i="264"/>
  <c r="Z32" i="264"/>
  <c r="AA32" i="264"/>
  <c r="AB32" i="264"/>
  <c r="AC32" i="264"/>
  <c r="AD32" i="264"/>
  <c r="AE32" i="264"/>
  <c r="AF32" i="264"/>
  <c r="AG32" i="264"/>
  <c r="AH32" i="264"/>
  <c r="AI32" i="264"/>
  <c r="AJ32" i="264"/>
  <c r="AK32" i="264"/>
  <c r="AL32" i="264"/>
  <c r="AM32" i="264"/>
  <c r="AN32" i="264"/>
  <c r="AO32" i="264"/>
  <c r="AP32" i="264"/>
  <c r="AQ32" i="264"/>
  <c r="AR32" i="264"/>
  <c r="AS32" i="264"/>
  <c r="AT32" i="264"/>
  <c r="AU32" i="264"/>
  <c r="AV32" i="264"/>
  <c r="AW32" i="264"/>
  <c r="AX32" i="264"/>
  <c r="AY32" i="264"/>
  <c r="AZ32" i="264"/>
  <c r="BA32" i="264"/>
  <c r="BB32" i="264"/>
  <c r="BC32" i="264"/>
  <c r="BD32" i="264"/>
  <c r="BE32" i="264"/>
  <c r="BF32" i="264"/>
  <c r="BG32" i="264"/>
  <c r="R32" i="264"/>
  <c r="D33" i="264"/>
  <c r="F33" i="264"/>
  <c r="F37" i="264"/>
  <c r="F39" i="264"/>
  <c r="H33" i="264"/>
  <c r="J33" i="264"/>
  <c r="Y33" i="264"/>
  <c r="Z33" i="264"/>
  <c r="AA33" i="264"/>
  <c r="AB33" i="264"/>
  <c r="AC33" i="264"/>
  <c r="AD33" i="264"/>
  <c r="AE33" i="264"/>
  <c r="AF33" i="264"/>
  <c r="AG33" i="264"/>
  <c r="AG34" i="264"/>
  <c r="AH33" i="264"/>
  <c r="AI33" i="264"/>
  <c r="AJ33" i="264"/>
  <c r="AK33" i="264"/>
  <c r="AL33" i="264"/>
  <c r="AM33" i="264"/>
  <c r="AN33" i="264"/>
  <c r="AO33" i="264"/>
  <c r="AP33" i="264"/>
  <c r="AQ33" i="264"/>
  <c r="AR33" i="264"/>
  <c r="AS33" i="264"/>
  <c r="AT33" i="264"/>
  <c r="AU33" i="264"/>
  <c r="AV33" i="264"/>
  <c r="AW33" i="264"/>
  <c r="AW34" i="264"/>
  <c r="AX33" i="264"/>
  <c r="AY33" i="264"/>
  <c r="AY34" i="264"/>
  <c r="AY36" i="264"/>
  <c r="AZ33" i="264"/>
  <c r="BA33" i="264"/>
  <c r="BB33" i="264"/>
  <c r="BC33" i="264"/>
  <c r="BD33" i="264"/>
  <c r="BE33" i="264"/>
  <c r="BF33" i="264"/>
  <c r="BG33" i="264"/>
  <c r="R33" i="264"/>
  <c r="D36" i="264"/>
  <c r="D34" i="264"/>
  <c r="AA34" i="264"/>
  <c r="AB34" i="264"/>
  <c r="AC34" i="264"/>
  <c r="AC36" i="264"/>
  <c r="AE34" i="264"/>
  <c r="AI34" i="264"/>
  <c r="AJ34" i="264"/>
  <c r="AM34" i="264"/>
  <c r="AN34" i="264"/>
  <c r="AQ34" i="264"/>
  <c r="AR34" i="264"/>
  <c r="AU34" i="264"/>
  <c r="AZ34" i="264"/>
  <c r="BC34" i="264"/>
  <c r="BD34" i="264"/>
  <c r="BG34" i="264"/>
  <c r="D35" i="264"/>
  <c r="F35" i="264"/>
  <c r="H35" i="264"/>
  <c r="J35" i="264"/>
  <c r="F36" i="264"/>
  <c r="H36" i="264"/>
  <c r="J36" i="264"/>
  <c r="J37" i="264"/>
  <c r="L9" i="271"/>
  <c r="M9" i="271"/>
  <c r="N9" i="271"/>
  <c r="O9" i="271"/>
  <c r="L10" i="271"/>
  <c r="M10" i="271"/>
  <c r="N10" i="271"/>
  <c r="O10" i="271"/>
  <c r="L11" i="271"/>
  <c r="M11" i="271"/>
  <c r="N11" i="271"/>
  <c r="O11" i="271"/>
  <c r="L12" i="271"/>
  <c r="M12" i="271"/>
  <c r="N12" i="271"/>
  <c r="O12" i="271"/>
  <c r="L13" i="271"/>
  <c r="M13" i="271"/>
  <c r="N13" i="271"/>
  <c r="O13" i="271"/>
  <c r="E16" i="271"/>
  <c r="L14" i="271"/>
  <c r="F16" i="271"/>
  <c r="G16" i="271"/>
  <c r="H16" i="271"/>
  <c r="E20" i="271"/>
  <c r="F20" i="271"/>
  <c r="G20" i="271"/>
  <c r="H20" i="271"/>
  <c r="B2" i="282"/>
  <c r="F8" i="282"/>
  <c r="D10" i="282"/>
  <c r="F10" i="282"/>
  <c r="B2" i="306"/>
  <c r="D20" i="306"/>
  <c r="F25" i="306"/>
  <c r="D36" i="306"/>
  <c r="D37" i="306"/>
  <c r="D38" i="306"/>
  <c r="F49" i="306"/>
  <c r="D50" i="306"/>
  <c r="B2" i="305"/>
  <c r="AB3" i="305"/>
  <c r="Y4" i="305"/>
  <c r="AB4" i="305"/>
  <c r="AB5" i="305"/>
  <c r="D10" i="305"/>
  <c r="D41" i="305"/>
  <c r="E10" i="305"/>
  <c r="F10" i="305"/>
  <c r="G10" i="305"/>
  <c r="G43" i="305"/>
  <c r="J10" i="305"/>
  <c r="J46" i="305"/>
  <c r="M10" i="305"/>
  <c r="AB10" i="305"/>
  <c r="D11" i="305"/>
  <c r="D42" i="305"/>
  <c r="E11" i="305"/>
  <c r="F11" i="305"/>
  <c r="G11" i="305"/>
  <c r="J11" i="305"/>
  <c r="J45" i="305"/>
  <c r="M11" i="305"/>
  <c r="M43" i="305"/>
  <c r="AB11" i="305"/>
  <c r="D12" i="305"/>
  <c r="E12" i="305"/>
  <c r="F12" i="305"/>
  <c r="F45" i="305"/>
  <c r="G12" i="305"/>
  <c r="J12" i="305"/>
  <c r="M12" i="305"/>
  <c r="M44" i="305"/>
  <c r="AB12" i="305"/>
  <c r="D13" i="305"/>
  <c r="E13" i="305"/>
  <c r="F13" i="305"/>
  <c r="H13" i="305"/>
  <c r="G13" i="305"/>
  <c r="J13" i="305"/>
  <c r="M13" i="305"/>
  <c r="AB13" i="305"/>
  <c r="D14" i="305"/>
  <c r="E14" i="305"/>
  <c r="F14" i="305"/>
  <c r="G14" i="305"/>
  <c r="J14" i="305"/>
  <c r="M14" i="305"/>
  <c r="AB14" i="305"/>
  <c r="D15" i="305"/>
  <c r="E15" i="305"/>
  <c r="F15" i="305"/>
  <c r="G15" i="305"/>
  <c r="H15" i="305"/>
  <c r="J15" i="305"/>
  <c r="M15" i="305"/>
  <c r="AB15" i="305"/>
  <c r="D16" i="305"/>
  <c r="E16" i="305"/>
  <c r="F16" i="305"/>
  <c r="H16" i="305"/>
  <c r="G16" i="305"/>
  <c r="J16" i="305"/>
  <c r="M16" i="305"/>
  <c r="AB16" i="305"/>
  <c r="D17" i="305"/>
  <c r="E17" i="305"/>
  <c r="F17" i="305"/>
  <c r="G17" i="305"/>
  <c r="J17" i="305"/>
  <c r="M17" i="305"/>
  <c r="AB17" i="305"/>
  <c r="D18" i="305"/>
  <c r="E18" i="305"/>
  <c r="F18" i="305"/>
  <c r="G18" i="305"/>
  <c r="J18" i="305"/>
  <c r="M18" i="305"/>
  <c r="AB18" i="305"/>
  <c r="D19" i="305"/>
  <c r="I19" i="305"/>
  <c r="K19" i="305"/>
  <c r="E19" i="305"/>
  <c r="F19" i="305"/>
  <c r="G19" i="305"/>
  <c r="H19" i="305"/>
  <c r="J19" i="305"/>
  <c r="M19" i="305"/>
  <c r="AB19" i="305"/>
  <c r="D20" i="305"/>
  <c r="E20" i="305"/>
  <c r="H20" i="305"/>
  <c r="F20" i="305"/>
  <c r="G20" i="305"/>
  <c r="I20" i="305"/>
  <c r="K20" i="305"/>
  <c r="J20" i="305"/>
  <c r="M20" i="305"/>
  <c r="AB20" i="305"/>
  <c r="AC20" i="305"/>
  <c r="D21" i="305"/>
  <c r="E21" i="305"/>
  <c r="F21" i="305"/>
  <c r="G21" i="305"/>
  <c r="J21" i="305"/>
  <c r="M21" i="305"/>
  <c r="AB21" i="305"/>
  <c r="D22" i="305"/>
  <c r="E22" i="305"/>
  <c r="F22" i="305"/>
  <c r="G22" i="305"/>
  <c r="J22" i="305"/>
  <c r="M22" i="305"/>
  <c r="AB22" i="305"/>
  <c r="D23" i="305"/>
  <c r="E23" i="305"/>
  <c r="H23" i="305"/>
  <c r="F23" i="305"/>
  <c r="G23" i="305"/>
  <c r="J23" i="305"/>
  <c r="M23" i="305"/>
  <c r="AB23" i="305"/>
  <c r="D24" i="305"/>
  <c r="E24" i="305"/>
  <c r="H24" i="305"/>
  <c r="F24" i="305"/>
  <c r="G24" i="305"/>
  <c r="J24" i="305"/>
  <c r="M24" i="305"/>
  <c r="AB24" i="305"/>
  <c r="D25" i="305"/>
  <c r="E25" i="305"/>
  <c r="F25" i="305"/>
  <c r="G25" i="305"/>
  <c r="J25" i="305"/>
  <c r="M25" i="305"/>
  <c r="AB25" i="305"/>
  <c r="D26" i="305"/>
  <c r="E26" i="305"/>
  <c r="F26" i="305"/>
  <c r="I26" i="305"/>
  <c r="K26" i="305"/>
  <c r="G26" i="305"/>
  <c r="J26" i="305"/>
  <c r="M26" i="305"/>
  <c r="AB26" i="305"/>
  <c r="D27" i="305"/>
  <c r="E27" i="305"/>
  <c r="F27" i="305"/>
  <c r="G27" i="305"/>
  <c r="H27" i="305"/>
  <c r="J27" i="305"/>
  <c r="M27" i="305"/>
  <c r="AB27" i="305"/>
  <c r="D28" i="305"/>
  <c r="E28" i="305"/>
  <c r="H28" i="305"/>
  <c r="F28" i="305"/>
  <c r="G28" i="305"/>
  <c r="I28" i="305"/>
  <c r="K28" i="305"/>
  <c r="J28" i="305"/>
  <c r="M28" i="305"/>
  <c r="AB28" i="305"/>
  <c r="D29" i="305"/>
  <c r="E29" i="305"/>
  <c r="F29" i="305"/>
  <c r="G29" i="305"/>
  <c r="J29" i="305"/>
  <c r="M29" i="305"/>
  <c r="AB29" i="305"/>
  <c r="AA36" i="305"/>
  <c r="AB36" i="305"/>
  <c r="AC36" i="305"/>
  <c r="AA37" i="305"/>
  <c r="AB37" i="305"/>
  <c r="AC37" i="305"/>
  <c r="AA38" i="305"/>
  <c r="AB38" i="305"/>
  <c r="AC38" i="305"/>
  <c r="AA39" i="305"/>
  <c r="AB39" i="305"/>
  <c r="AC39" i="305"/>
  <c r="M41" i="305"/>
  <c r="D43" i="305"/>
  <c r="G44" i="305"/>
  <c r="G45" i="305"/>
  <c r="F46" i="305"/>
  <c r="B49" i="305"/>
  <c r="B51" i="305"/>
  <c r="E49" i="305"/>
  <c r="H49" i="305"/>
  <c r="M49" i="305"/>
  <c r="M51" i="305"/>
  <c r="A56" i="305"/>
  <c r="A57" i="305"/>
  <c r="B57" i="305"/>
  <c r="B2" i="304"/>
  <c r="L4" i="304"/>
  <c r="B2" i="303"/>
  <c r="K4" i="303"/>
  <c r="D9" i="303"/>
  <c r="E15" i="303"/>
  <c r="F15" i="303"/>
  <c r="O18" i="303"/>
  <c r="B19" i="303"/>
  <c r="B26" i="303"/>
  <c r="B66" i="303"/>
  <c r="R19" i="303"/>
  <c r="O25" i="303"/>
  <c r="B27" i="303"/>
  <c r="B28" i="303"/>
  <c r="B68" i="303"/>
  <c r="P29" i="303"/>
  <c r="P30" i="303"/>
  <c r="B31" i="303"/>
  <c r="B32" i="303"/>
  <c r="B33" i="303"/>
  <c r="D35" i="303"/>
  <c r="D46" i="303"/>
  <c r="E46" i="303"/>
  <c r="K49" i="303"/>
  <c r="K54" i="303"/>
  <c r="D62" i="303"/>
  <c r="B67" i="303"/>
  <c r="B80" i="303"/>
  <c r="B71" i="303"/>
  <c r="B84" i="303"/>
  <c r="B72" i="303"/>
  <c r="B98" i="303"/>
  <c r="B115" i="303"/>
  <c r="B126" i="303"/>
  <c r="B73" i="303"/>
  <c r="B86" i="303"/>
  <c r="D77" i="303"/>
  <c r="D90" i="303"/>
  <c r="E90" i="303"/>
  <c r="E107" i="303"/>
  <c r="E118" i="303"/>
  <c r="B93" i="303"/>
  <c r="B110" i="303"/>
  <c r="B121" i="303"/>
  <c r="D107" i="303"/>
  <c r="D118" i="303"/>
  <c r="B2" i="156"/>
  <c r="E4" i="156"/>
  <c r="C7" i="156"/>
  <c r="D11" i="156"/>
  <c r="C12" i="156"/>
  <c r="E12" i="156"/>
  <c r="D20" i="156"/>
  <c r="D26" i="156"/>
  <c r="C30" i="156"/>
  <c r="E30" i="156"/>
  <c r="C31" i="156"/>
  <c r="E31" i="156"/>
  <c r="E50" i="156"/>
  <c r="E52" i="156"/>
  <c r="E53" i="156"/>
  <c r="E54" i="156"/>
  <c r="E55" i="156"/>
  <c r="E56" i="156"/>
  <c r="E59" i="156"/>
  <c r="B62" i="156"/>
  <c r="B76" i="156"/>
  <c r="B104" i="156"/>
  <c r="B63" i="156"/>
  <c r="B64" i="156"/>
  <c r="E64" i="156"/>
  <c r="B65" i="156"/>
  <c r="B79" i="156"/>
  <c r="B107" i="156"/>
  <c r="E65" i="156"/>
  <c r="B66" i="156"/>
  <c r="B67" i="156"/>
  <c r="B81" i="156"/>
  <c r="B109" i="156"/>
  <c r="E67" i="156"/>
  <c r="B68" i="156"/>
  <c r="B82" i="156"/>
  <c r="B110" i="156"/>
  <c r="E68" i="156"/>
  <c r="B69" i="156"/>
  <c r="B83" i="156"/>
  <c r="E69" i="156"/>
  <c r="B70" i="156"/>
  <c r="B84" i="156"/>
  <c r="E70" i="156"/>
  <c r="B71" i="156"/>
  <c r="B85" i="156"/>
  <c r="B72" i="156"/>
  <c r="B73" i="156"/>
  <c r="E73" i="156"/>
  <c r="B77" i="156"/>
  <c r="B105" i="156"/>
  <c r="B78" i="156"/>
  <c r="E78" i="156"/>
  <c r="E79" i="156"/>
  <c r="B80" i="156"/>
  <c r="B108" i="156"/>
  <c r="E81" i="156"/>
  <c r="E82" i="156"/>
  <c r="E83" i="156"/>
  <c r="E84" i="156"/>
  <c r="B86" i="156"/>
  <c r="B87" i="156"/>
  <c r="E87" i="156"/>
  <c r="K92" i="156"/>
  <c r="K94" i="156"/>
  <c r="E95" i="156"/>
  <c r="K95" i="156"/>
  <c r="K96" i="156"/>
  <c r="K97" i="156"/>
  <c r="E102" i="156"/>
  <c r="B106" i="156"/>
  <c r="E106" i="156"/>
  <c r="D108" i="156"/>
  <c r="E108" i="156"/>
  <c r="E109" i="156"/>
  <c r="D110" i="156"/>
  <c r="E110" i="156"/>
  <c r="C118" i="156"/>
  <c r="E118" i="156"/>
  <c r="C119" i="156"/>
  <c r="E119" i="156"/>
  <c r="C120" i="156"/>
  <c r="E120" i="156"/>
  <c r="C121" i="156"/>
  <c r="E121" i="156"/>
  <c r="C124" i="156"/>
  <c r="C125" i="156"/>
  <c r="C128" i="156"/>
  <c r="E128" i="156"/>
  <c r="C131" i="156"/>
  <c r="E131" i="156"/>
  <c r="B2" i="185"/>
  <c r="AD2" i="185"/>
  <c r="D7" i="156"/>
  <c r="AG2" i="185"/>
  <c r="N7" i="185"/>
  <c r="AD3" i="185"/>
  <c r="AG3" i="185"/>
  <c r="Z4" i="185"/>
  <c r="AD4" i="185"/>
  <c r="AG4" i="185"/>
  <c r="AD5" i="185"/>
  <c r="AG5" i="185"/>
  <c r="D7" i="185"/>
  <c r="B10" i="185"/>
  <c r="D10" i="185"/>
  <c r="E10" i="185"/>
  <c r="J10" i="185"/>
  <c r="F10" i="185"/>
  <c r="F43" i="185"/>
  <c r="G10" i="185"/>
  <c r="H10" i="185"/>
  <c r="I10" i="185"/>
  <c r="K10" i="185"/>
  <c r="K41" i="185"/>
  <c r="N10" i="185"/>
  <c r="X10" i="185"/>
  <c r="O10" i="185"/>
  <c r="P10" i="185"/>
  <c r="S10" i="185"/>
  <c r="Q10" i="185"/>
  <c r="Q43" i="185"/>
  <c r="R10" i="185"/>
  <c r="U10" i="185"/>
  <c r="AD10" i="185"/>
  <c r="B11" i="185"/>
  <c r="D11" i="185"/>
  <c r="E11" i="185"/>
  <c r="F11" i="185"/>
  <c r="F42" i="185"/>
  <c r="G11" i="185"/>
  <c r="G42" i="185"/>
  <c r="H11" i="185"/>
  <c r="K11" i="185"/>
  <c r="K42" i="185"/>
  <c r="N11" i="185"/>
  <c r="X11" i="185"/>
  <c r="O11" i="185"/>
  <c r="P11" i="185"/>
  <c r="Q11" i="185"/>
  <c r="S11" i="185"/>
  <c r="R11" i="185"/>
  <c r="R42" i="185"/>
  <c r="U11" i="185"/>
  <c r="AD11" i="185"/>
  <c r="B12" i="185"/>
  <c r="D12" i="185"/>
  <c r="D41" i="185"/>
  <c r="E12" i="185"/>
  <c r="F12" i="185"/>
  <c r="G12" i="185"/>
  <c r="G45" i="185"/>
  <c r="H12" i="185"/>
  <c r="H45" i="185"/>
  <c r="K12" i="185"/>
  <c r="N12" i="185"/>
  <c r="X12" i="185"/>
  <c r="O12" i="185"/>
  <c r="O45" i="185"/>
  <c r="P12" i="185"/>
  <c r="Q12" i="185"/>
  <c r="R12" i="185"/>
  <c r="R45" i="185"/>
  <c r="U12" i="185"/>
  <c r="U41" i="185"/>
  <c r="AD12" i="185"/>
  <c r="B13" i="185"/>
  <c r="D13" i="185"/>
  <c r="D44" i="185"/>
  <c r="E13" i="185"/>
  <c r="F13" i="185"/>
  <c r="G13" i="185"/>
  <c r="H13" i="185"/>
  <c r="I13" i="185"/>
  <c r="K13" i="185"/>
  <c r="N13" i="185"/>
  <c r="O13" i="185"/>
  <c r="O44" i="185"/>
  <c r="P13" i="185"/>
  <c r="S13" i="185"/>
  <c r="Q13" i="185"/>
  <c r="R13" i="185"/>
  <c r="U13" i="185"/>
  <c r="U44" i="185"/>
  <c r="AD13" i="185"/>
  <c r="B14" i="185"/>
  <c r="D14" i="185"/>
  <c r="E14" i="185"/>
  <c r="J14" i="185"/>
  <c r="L14" i="185"/>
  <c r="F14" i="185"/>
  <c r="G14" i="185"/>
  <c r="H14" i="185"/>
  <c r="I14" i="185"/>
  <c r="K14" i="185"/>
  <c r="N14" i="185"/>
  <c r="X14" i="185"/>
  <c r="O14" i="185"/>
  <c r="P14" i="185"/>
  <c r="Q14" i="185"/>
  <c r="R14" i="185"/>
  <c r="U14" i="185"/>
  <c r="AD14" i="185"/>
  <c r="B15" i="185"/>
  <c r="D15" i="185"/>
  <c r="E15" i="185"/>
  <c r="F15" i="185"/>
  <c r="I15" i="185"/>
  <c r="G15" i="185"/>
  <c r="H15" i="185"/>
  <c r="K15" i="185"/>
  <c r="N15" i="185"/>
  <c r="X15" i="185"/>
  <c r="O15" i="185"/>
  <c r="P15" i="185"/>
  <c r="Q15" i="185"/>
  <c r="S15" i="185"/>
  <c r="R15" i="185"/>
  <c r="U15" i="185"/>
  <c r="AD15" i="185"/>
  <c r="B16" i="185"/>
  <c r="D16" i="185"/>
  <c r="E16" i="185"/>
  <c r="F16" i="185"/>
  <c r="G16" i="185"/>
  <c r="I16" i="185"/>
  <c r="H16" i="185"/>
  <c r="K16" i="185"/>
  <c r="N16" i="185"/>
  <c r="X16" i="185"/>
  <c r="O16" i="185"/>
  <c r="P16" i="185"/>
  <c r="Q16" i="185"/>
  <c r="R16" i="185"/>
  <c r="U16" i="185"/>
  <c r="AD16" i="185"/>
  <c r="B17" i="185"/>
  <c r="D17" i="185"/>
  <c r="E17" i="185"/>
  <c r="F17" i="185"/>
  <c r="G17" i="185"/>
  <c r="H17" i="185"/>
  <c r="I17" i="185"/>
  <c r="K17" i="185"/>
  <c r="N17" i="185"/>
  <c r="O17" i="185"/>
  <c r="T17" i="185"/>
  <c r="P17" i="185"/>
  <c r="Q17" i="185"/>
  <c r="R17" i="185"/>
  <c r="U17" i="185"/>
  <c r="AD17" i="185"/>
  <c r="B18" i="185"/>
  <c r="D18" i="185"/>
  <c r="E18" i="185"/>
  <c r="J18" i="185"/>
  <c r="L18" i="185"/>
  <c r="F18" i="185"/>
  <c r="G18" i="185"/>
  <c r="H18" i="185"/>
  <c r="I18" i="185"/>
  <c r="K18" i="185"/>
  <c r="N18" i="185"/>
  <c r="X18" i="185"/>
  <c r="O18" i="185"/>
  <c r="P18" i="185"/>
  <c r="Q18" i="185"/>
  <c r="R18" i="185"/>
  <c r="U18" i="185"/>
  <c r="AD18" i="185"/>
  <c r="B19" i="185"/>
  <c r="D19" i="185"/>
  <c r="E19" i="185"/>
  <c r="F19" i="185"/>
  <c r="I19" i="185"/>
  <c r="G19" i="185"/>
  <c r="H19" i="185"/>
  <c r="K19" i="185"/>
  <c r="N19" i="185"/>
  <c r="X19" i="185"/>
  <c r="O19" i="185"/>
  <c r="P19" i="185"/>
  <c r="Q19" i="185"/>
  <c r="R19" i="185"/>
  <c r="U19" i="185"/>
  <c r="AD19" i="185"/>
  <c r="B20" i="185"/>
  <c r="D20" i="185"/>
  <c r="E20" i="185"/>
  <c r="F20" i="185"/>
  <c r="G20" i="185"/>
  <c r="I20" i="185"/>
  <c r="H20" i="185"/>
  <c r="K20" i="185"/>
  <c r="N20" i="185"/>
  <c r="X20" i="185"/>
  <c r="O20" i="185"/>
  <c r="P20" i="185"/>
  <c r="Q20" i="185"/>
  <c r="R20" i="185"/>
  <c r="S20" i="185"/>
  <c r="U20" i="185"/>
  <c r="AD20" i="185"/>
  <c r="B21" i="185"/>
  <c r="D21" i="185"/>
  <c r="E21" i="185"/>
  <c r="F21" i="185"/>
  <c r="G21" i="185"/>
  <c r="H21" i="185"/>
  <c r="I21" i="185"/>
  <c r="K21" i="185"/>
  <c r="N21" i="185"/>
  <c r="O21" i="185"/>
  <c r="T21" i="185"/>
  <c r="P21" i="185"/>
  <c r="Q21" i="185"/>
  <c r="R21" i="185"/>
  <c r="U21" i="185"/>
  <c r="AD21" i="185"/>
  <c r="B22" i="185"/>
  <c r="D22" i="185"/>
  <c r="E22" i="185"/>
  <c r="J22" i="185"/>
  <c r="L22" i="185"/>
  <c r="F22" i="185"/>
  <c r="G22" i="185"/>
  <c r="H22" i="185"/>
  <c r="I22" i="185"/>
  <c r="K22" i="185"/>
  <c r="N22" i="185"/>
  <c r="X22" i="185"/>
  <c r="O22" i="185"/>
  <c r="P22" i="185"/>
  <c r="Q22" i="185"/>
  <c r="R22" i="185"/>
  <c r="U22" i="185"/>
  <c r="AD22" i="185"/>
  <c r="B23" i="185"/>
  <c r="D23" i="185"/>
  <c r="E23" i="185"/>
  <c r="F23" i="185"/>
  <c r="I23" i="185"/>
  <c r="G23" i="185"/>
  <c r="H23" i="185"/>
  <c r="K23" i="185"/>
  <c r="N23" i="185"/>
  <c r="X23" i="185"/>
  <c r="O23" i="185"/>
  <c r="P23" i="185"/>
  <c r="Q23" i="185"/>
  <c r="R23" i="185"/>
  <c r="U23" i="185"/>
  <c r="AD23" i="185"/>
  <c r="B24" i="185"/>
  <c r="D24" i="185"/>
  <c r="E24" i="185"/>
  <c r="F24" i="185"/>
  <c r="G24" i="185"/>
  <c r="I24" i="185"/>
  <c r="H24" i="185"/>
  <c r="K24" i="185"/>
  <c r="N24" i="185"/>
  <c r="X24" i="185"/>
  <c r="O24" i="185"/>
  <c r="P24" i="185"/>
  <c r="Q24" i="185"/>
  <c r="R24" i="185"/>
  <c r="S24" i="185"/>
  <c r="U24" i="185"/>
  <c r="AD24" i="185"/>
  <c r="B25" i="185"/>
  <c r="D25" i="185"/>
  <c r="E25" i="185"/>
  <c r="F25" i="185"/>
  <c r="G25" i="185"/>
  <c r="H25" i="185"/>
  <c r="I25" i="185"/>
  <c r="K25" i="185"/>
  <c r="N25" i="185"/>
  <c r="O25" i="185"/>
  <c r="T25" i="185"/>
  <c r="P25" i="185"/>
  <c r="Q25" i="185"/>
  <c r="R25" i="185"/>
  <c r="U25" i="185"/>
  <c r="AD25" i="185"/>
  <c r="B26" i="185"/>
  <c r="D26" i="185"/>
  <c r="E26" i="185"/>
  <c r="J26" i="185"/>
  <c r="L26" i="185"/>
  <c r="F26" i="185"/>
  <c r="G26" i="185"/>
  <c r="H26" i="185"/>
  <c r="I26" i="185"/>
  <c r="K26" i="185"/>
  <c r="N26" i="185"/>
  <c r="X26" i="185"/>
  <c r="O26" i="185"/>
  <c r="P26" i="185"/>
  <c r="Q26" i="185"/>
  <c r="R26" i="185"/>
  <c r="U26" i="185"/>
  <c r="AD26" i="185"/>
  <c r="B27" i="185"/>
  <c r="D27" i="185"/>
  <c r="E27" i="185"/>
  <c r="F27" i="185"/>
  <c r="I27" i="185"/>
  <c r="G27" i="185"/>
  <c r="H27" i="185"/>
  <c r="K27" i="185"/>
  <c r="N27" i="185"/>
  <c r="X27" i="185"/>
  <c r="O27" i="185"/>
  <c r="P27" i="185"/>
  <c r="Q27" i="185"/>
  <c r="R27" i="185"/>
  <c r="U27" i="185"/>
  <c r="AD27" i="185"/>
  <c r="B28" i="185"/>
  <c r="D28" i="185"/>
  <c r="E28" i="185"/>
  <c r="F28" i="185"/>
  <c r="G28" i="185"/>
  <c r="I28" i="185"/>
  <c r="H28" i="185"/>
  <c r="K28" i="185"/>
  <c r="N28" i="185"/>
  <c r="X28" i="185"/>
  <c r="O28" i="185"/>
  <c r="P28" i="185"/>
  <c r="Q28" i="185"/>
  <c r="R28" i="185"/>
  <c r="S28" i="185"/>
  <c r="U28" i="185"/>
  <c r="AD28" i="185"/>
  <c r="B29" i="185"/>
  <c r="D29" i="185"/>
  <c r="E29" i="185"/>
  <c r="F29" i="185"/>
  <c r="G29" i="185"/>
  <c r="H29" i="185"/>
  <c r="I29" i="185"/>
  <c r="K29" i="185"/>
  <c r="N29" i="185"/>
  <c r="O29" i="185"/>
  <c r="T29" i="185"/>
  <c r="P29" i="185"/>
  <c r="Q29" i="185"/>
  <c r="R29" i="185"/>
  <c r="U29" i="185"/>
  <c r="AD29" i="185"/>
  <c r="G41" i="185"/>
  <c r="P41" i="185"/>
  <c r="E42" i="185"/>
  <c r="P42" i="185"/>
  <c r="D43" i="185"/>
  <c r="H43" i="185"/>
  <c r="O43" i="185"/>
  <c r="U43" i="185"/>
  <c r="G44" i="185"/>
  <c r="N44" i="185"/>
  <c r="R44" i="185"/>
  <c r="F45" i="185"/>
  <c r="K45" i="185"/>
  <c r="Q45" i="185"/>
  <c r="E46" i="185"/>
  <c r="P46" i="185"/>
  <c r="B2" i="294"/>
  <c r="D20" i="294"/>
  <c r="F25" i="294"/>
  <c r="D36" i="294"/>
  <c r="D37" i="294"/>
  <c r="D38" i="294"/>
  <c r="F49" i="294"/>
  <c r="D50" i="294"/>
  <c r="B2" i="12"/>
  <c r="B49" i="12"/>
  <c r="B51" i="12"/>
  <c r="AB3" i="12"/>
  <c r="Y4" i="12"/>
  <c r="AB4" i="12"/>
  <c r="AB5" i="12"/>
  <c r="Y9" i="12"/>
  <c r="D10" i="12"/>
  <c r="E10" i="12"/>
  <c r="F10" i="12"/>
  <c r="H10" i="12"/>
  <c r="G10" i="12"/>
  <c r="J10" i="12"/>
  <c r="M10" i="12"/>
  <c r="AB10" i="12"/>
  <c r="D11" i="12"/>
  <c r="E11" i="12"/>
  <c r="E45" i="12"/>
  <c r="F11" i="12"/>
  <c r="G11" i="12"/>
  <c r="H11" i="12"/>
  <c r="J11" i="12"/>
  <c r="M11" i="12"/>
  <c r="AB11" i="12"/>
  <c r="D12" i="12"/>
  <c r="E12" i="12"/>
  <c r="F12" i="12"/>
  <c r="G12" i="12"/>
  <c r="I12" i="12"/>
  <c r="K12" i="12"/>
  <c r="J12" i="12"/>
  <c r="M12" i="12"/>
  <c r="AB12" i="12"/>
  <c r="D13" i="12"/>
  <c r="E13" i="12"/>
  <c r="F13" i="12"/>
  <c r="G13" i="12"/>
  <c r="J13" i="12"/>
  <c r="J42" i="12"/>
  <c r="M13" i="12"/>
  <c r="AB13" i="12"/>
  <c r="D14" i="12"/>
  <c r="I14" i="12"/>
  <c r="E14" i="12"/>
  <c r="E46" i="12"/>
  <c r="F14" i="12"/>
  <c r="G14" i="12"/>
  <c r="J14" i="12"/>
  <c r="J45" i="12"/>
  <c r="M14" i="12"/>
  <c r="AB14" i="12"/>
  <c r="D15" i="12"/>
  <c r="E15" i="12"/>
  <c r="H15" i="12"/>
  <c r="F15" i="12"/>
  <c r="G15" i="12"/>
  <c r="J15" i="12"/>
  <c r="M15" i="12"/>
  <c r="AB15" i="12"/>
  <c r="D16" i="12"/>
  <c r="E16" i="12"/>
  <c r="H16" i="12"/>
  <c r="F16" i="12"/>
  <c r="G16" i="12"/>
  <c r="J16" i="12"/>
  <c r="M16" i="12"/>
  <c r="AB16" i="12"/>
  <c r="D17" i="12"/>
  <c r="E17" i="12"/>
  <c r="H17" i="12"/>
  <c r="F17" i="12"/>
  <c r="G17" i="12"/>
  <c r="J17" i="12"/>
  <c r="M17" i="12"/>
  <c r="AB17" i="12"/>
  <c r="D18" i="12"/>
  <c r="E18" i="12"/>
  <c r="F18" i="12"/>
  <c r="H18" i="12"/>
  <c r="G18" i="12"/>
  <c r="J18" i="12"/>
  <c r="M18" i="12"/>
  <c r="AB18" i="12"/>
  <c r="D19" i="12"/>
  <c r="E19" i="12"/>
  <c r="F19" i="12"/>
  <c r="G19" i="12"/>
  <c r="H19" i="12"/>
  <c r="J19" i="12"/>
  <c r="M19" i="12"/>
  <c r="AB19" i="12"/>
  <c r="D20" i="12"/>
  <c r="E20" i="12"/>
  <c r="F20" i="12"/>
  <c r="G20" i="12"/>
  <c r="I20" i="12"/>
  <c r="K20" i="12"/>
  <c r="J20" i="12"/>
  <c r="M20" i="12"/>
  <c r="AB20" i="12"/>
  <c r="D21" i="12"/>
  <c r="E21" i="12"/>
  <c r="F21" i="12"/>
  <c r="G21" i="12"/>
  <c r="I21" i="12"/>
  <c r="K21" i="12"/>
  <c r="J21" i="12"/>
  <c r="M21" i="12"/>
  <c r="AB21" i="12"/>
  <c r="D22" i="12"/>
  <c r="E22" i="12"/>
  <c r="F22" i="12"/>
  <c r="G22" i="12"/>
  <c r="J22" i="12"/>
  <c r="M22" i="12"/>
  <c r="AB22" i="12"/>
  <c r="D23" i="12"/>
  <c r="I23" i="12"/>
  <c r="E23" i="12"/>
  <c r="F23" i="12"/>
  <c r="G23" i="12"/>
  <c r="J23" i="12"/>
  <c r="M23" i="12"/>
  <c r="AB23" i="12"/>
  <c r="D24" i="12"/>
  <c r="E24" i="12"/>
  <c r="H24" i="12"/>
  <c r="F24" i="12"/>
  <c r="G24" i="12"/>
  <c r="J24" i="12"/>
  <c r="M24" i="12"/>
  <c r="AB24" i="12"/>
  <c r="D25" i="12"/>
  <c r="E25" i="12"/>
  <c r="F25" i="12"/>
  <c r="G25" i="12"/>
  <c r="J25" i="12"/>
  <c r="M25" i="12"/>
  <c r="AB25" i="12"/>
  <c r="D26" i="12"/>
  <c r="E26" i="12"/>
  <c r="H26" i="12"/>
  <c r="F26" i="12"/>
  <c r="G26" i="12"/>
  <c r="J26" i="12"/>
  <c r="M26" i="12"/>
  <c r="AB26" i="12"/>
  <c r="D27" i="12"/>
  <c r="E27" i="12"/>
  <c r="H27" i="12"/>
  <c r="F27" i="12"/>
  <c r="G27" i="12"/>
  <c r="J27" i="12"/>
  <c r="M27" i="12"/>
  <c r="AB27" i="12"/>
  <c r="D28" i="12"/>
  <c r="E28" i="12"/>
  <c r="F28" i="12"/>
  <c r="H28" i="12"/>
  <c r="G28" i="12"/>
  <c r="J28" i="12"/>
  <c r="M28" i="12"/>
  <c r="AB28" i="12"/>
  <c r="D29" i="12"/>
  <c r="E29" i="12"/>
  <c r="F29" i="12"/>
  <c r="G29" i="12"/>
  <c r="H29" i="12"/>
  <c r="J29" i="12"/>
  <c r="M29" i="12"/>
  <c r="AB29" i="12"/>
  <c r="AA36" i="12"/>
  <c r="AB36" i="12"/>
  <c r="AC36" i="12"/>
  <c r="AA37" i="12"/>
  <c r="AB37" i="12"/>
  <c r="AC37" i="12"/>
  <c r="AA38" i="12"/>
  <c r="AB38" i="12"/>
  <c r="AC38" i="12"/>
  <c r="AA39" i="12"/>
  <c r="AB39" i="12"/>
  <c r="AC39" i="12"/>
  <c r="J41" i="12"/>
  <c r="J43" i="12"/>
  <c r="F45" i="12"/>
  <c r="J46" i="12"/>
  <c r="E49" i="12"/>
  <c r="H49" i="12"/>
  <c r="M49" i="12"/>
  <c r="M51" i="12"/>
  <c r="A55" i="12"/>
  <c r="C49" i="12"/>
  <c r="B57" i="12"/>
  <c r="B2" i="242"/>
  <c r="H4" i="242"/>
  <c r="B2" i="274"/>
  <c r="K4" i="274"/>
  <c r="D9" i="274"/>
  <c r="D27" i="236"/>
  <c r="E15" i="274"/>
  <c r="F15" i="274"/>
  <c r="O18" i="274"/>
  <c r="B19" i="274"/>
  <c r="B26" i="274"/>
  <c r="B66" i="274"/>
  <c r="B79" i="274"/>
  <c r="R19" i="274"/>
  <c r="O25" i="274"/>
  <c r="B27" i="274"/>
  <c r="B28" i="274"/>
  <c r="P29" i="274"/>
  <c r="P30" i="274"/>
  <c r="B31" i="274"/>
  <c r="B71" i="274"/>
  <c r="B32" i="274"/>
  <c r="B72" i="274"/>
  <c r="B33" i="274"/>
  <c r="B73" i="274"/>
  <c r="B99" i="274"/>
  <c r="D35" i="274"/>
  <c r="D46" i="274"/>
  <c r="K49" i="274"/>
  <c r="K54" i="274" s="1"/>
  <c r="D62" i="274"/>
  <c r="B67" i="274"/>
  <c r="B93" i="274"/>
  <c r="B68" i="274"/>
  <c r="B94" i="274"/>
  <c r="D77" i="274"/>
  <c r="E77" i="274"/>
  <c r="D90" i="274"/>
  <c r="D107" i="274"/>
  <c r="D118" i="274"/>
  <c r="E90" i="274"/>
  <c r="E107" i="274"/>
  <c r="E118" i="274"/>
  <c r="B2" i="273"/>
  <c r="D4" i="273"/>
  <c r="H27" i="273"/>
  <c r="H28" i="273"/>
  <c r="H35" i="273"/>
  <c r="H42" i="273"/>
  <c r="D55" i="273"/>
  <c r="H59" i="273"/>
  <c r="I59" i="273"/>
  <c r="J59" i="273"/>
  <c r="B60" i="273"/>
  <c r="B64" i="273"/>
  <c r="D64" i="273"/>
  <c r="B69" i="273"/>
  <c r="B84" i="273"/>
  <c r="B183" i="273"/>
  <c r="B70" i="273"/>
  <c r="B85" i="273"/>
  <c r="B184" i="273"/>
  <c r="B71" i="273"/>
  <c r="B86" i="273"/>
  <c r="G72" i="273"/>
  <c r="H87" i="273"/>
  <c r="G73" i="273"/>
  <c r="H88" i="273"/>
  <c r="B74" i="273"/>
  <c r="B89" i="273"/>
  <c r="B75" i="273"/>
  <c r="B76" i="273"/>
  <c r="B91" i="273"/>
  <c r="B78" i="273"/>
  <c r="B90" i="273"/>
  <c r="B93" i="273"/>
  <c r="C102" i="273"/>
  <c r="C112" i="273"/>
  <c r="C147" i="273"/>
  <c r="C120" i="273"/>
  <c r="C155" i="273"/>
  <c r="C173" i="273"/>
  <c r="B2" i="236"/>
  <c r="E4" i="236"/>
  <c r="D6" i="236"/>
  <c r="A43" i="236"/>
  <c r="A44" i="236"/>
  <c r="B9" i="236"/>
  <c r="B2" i="232"/>
  <c r="D9" i="152"/>
  <c r="D13" i="152"/>
  <c r="D15" i="152"/>
  <c r="B2" i="276"/>
  <c r="P4" i="276"/>
  <c r="L11" i="276"/>
  <c r="O11" i="276"/>
  <c r="M11" i="276"/>
  <c r="S11" i="276"/>
  <c r="K12" i="276"/>
  <c r="N12" i="276"/>
  <c r="O12" i="276"/>
  <c r="S12" i="276"/>
  <c r="T12" i="276"/>
  <c r="K13" i="276"/>
  <c r="N13" i="276"/>
  <c r="O13" i="276"/>
  <c r="S13" i="276"/>
  <c r="T13" i="276"/>
  <c r="K14" i="276"/>
  <c r="N14" i="276"/>
  <c r="P14" i="276"/>
  <c r="O14" i="276"/>
  <c r="S14" i="276"/>
  <c r="T14" i="276"/>
  <c r="K15" i="276"/>
  <c r="N15" i="276"/>
  <c r="O15" i="276"/>
  <c r="S15" i="276"/>
  <c r="T15" i="276"/>
  <c r="K16" i="276"/>
  <c r="N16" i="276"/>
  <c r="O16" i="276"/>
  <c r="S16" i="276"/>
  <c r="T16" i="276"/>
  <c r="K17" i="276"/>
  <c r="N17" i="276"/>
  <c r="O17" i="276"/>
  <c r="S17" i="276"/>
  <c r="T17" i="276"/>
  <c r="K18" i="276"/>
  <c r="N18" i="276"/>
  <c r="O18" i="276"/>
  <c r="S18" i="276"/>
  <c r="T18" i="276"/>
  <c r="K19" i="276"/>
  <c r="N19" i="276"/>
  <c r="O19" i="276"/>
  <c r="S19" i="276"/>
  <c r="T19" i="276"/>
  <c r="K20" i="276"/>
  <c r="N20" i="276"/>
  <c r="O20" i="276"/>
  <c r="S20" i="276"/>
  <c r="T20" i="276"/>
  <c r="K21" i="276"/>
  <c r="N21" i="276"/>
  <c r="O21" i="276"/>
  <c r="S21" i="276"/>
  <c r="T21" i="276"/>
  <c r="K22" i="276"/>
  <c r="N22" i="276"/>
  <c r="O22" i="276"/>
  <c r="S22" i="276"/>
  <c r="T22" i="276"/>
  <c r="K23" i="276"/>
  <c r="N23" i="276"/>
  <c r="O23" i="276"/>
  <c r="S23" i="276"/>
  <c r="T23" i="276"/>
  <c r="K24" i="276"/>
  <c r="N24" i="276"/>
  <c r="O24" i="276"/>
  <c r="S24" i="276"/>
  <c r="T24" i="276"/>
  <c r="K25" i="276"/>
  <c r="N25" i="276"/>
  <c r="O25" i="276"/>
  <c r="S25" i="276"/>
  <c r="T25" i="276"/>
  <c r="K26" i="276"/>
  <c r="N26" i="276"/>
  <c r="O26" i="276"/>
  <c r="S26" i="276"/>
  <c r="T26" i="276"/>
  <c r="K27" i="276"/>
  <c r="N27" i="276"/>
  <c r="O27" i="276"/>
  <c r="S27" i="276"/>
  <c r="T27" i="276"/>
  <c r="K28" i="276"/>
  <c r="N28" i="276"/>
  <c r="O28" i="276"/>
  <c r="S28" i="276"/>
  <c r="T28" i="276"/>
  <c r="K29" i="276"/>
  <c r="N29" i="276"/>
  <c r="O29" i="276"/>
  <c r="S29" i="276"/>
  <c r="T29" i="276"/>
  <c r="K30" i="276"/>
  <c r="N30" i="276"/>
  <c r="O30" i="276"/>
  <c r="S30" i="276"/>
  <c r="T30" i="276"/>
  <c r="L41" i="276"/>
  <c r="O41" i="276"/>
  <c r="M41" i="276"/>
  <c r="S41" i="276"/>
  <c r="K42" i="276"/>
  <c r="N42" i="276"/>
  <c r="P42" i="276"/>
  <c r="L42" i="276"/>
  <c r="M42" i="276"/>
  <c r="O42" i="276"/>
  <c r="S42" i="276"/>
  <c r="T42" i="276"/>
  <c r="U42" i="276"/>
  <c r="K43" i="276"/>
  <c r="N43" i="276"/>
  <c r="O43" i="276"/>
  <c r="O9" i="283"/>
  <c r="U9" i="283"/>
  <c r="S43" i="276"/>
  <c r="T43" i="276"/>
  <c r="K44" i="276"/>
  <c r="N44" i="276"/>
  <c r="M44" i="276"/>
  <c r="O44" i="276"/>
  <c r="S44" i="276"/>
  <c r="T44" i="276"/>
  <c r="L45" i="276"/>
  <c r="O45" i="276"/>
  <c r="M45" i="276"/>
  <c r="S45" i="276"/>
  <c r="T45" i="276"/>
  <c r="L46" i="276"/>
  <c r="O46" i="276"/>
  <c r="M46" i="276"/>
  <c r="S46" i="276"/>
  <c r="T46" i="276"/>
  <c r="K47" i="276"/>
  <c r="L47" i="276"/>
  <c r="M47" i="276"/>
  <c r="N47" i="276"/>
  <c r="P47" i="276"/>
  <c r="O47" i="276"/>
  <c r="S47" i="276"/>
  <c r="T47" i="276"/>
  <c r="K48" i="276"/>
  <c r="N48" i="276"/>
  <c r="N10" i="283"/>
  <c r="L48" i="276"/>
  <c r="O48" i="276"/>
  <c r="M48" i="276"/>
  <c r="S48" i="276"/>
  <c r="T48" i="276"/>
  <c r="K49" i="276"/>
  <c r="N49" i="276"/>
  <c r="P49" i="276"/>
  <c r="O49" i="276"/>
  <c r="S49" i="276"/>
  <c r="T49" i="276"/>
  <c r="K50" i="276"/>
  <c r="N50" i="276"/>
  <c r="O50" i="276"/>
  <c r="S50" i="276"/>
  <c r="T50" i="276"/>
  <c r="K51" i="276"/>
  <c r="N51" i="276"/>
  <c r="O51" i="276"/>
  <c r="S51" i="276"/>
  <c r="T51" i="276"/>
  <c r="K52" i="276"/>
  <c r="N52" i="276"/>
  <c r="O52" i="276"/>
  <c r="S52" i="276"/>
  <c r="T52" i="276"/>
  <c r="K53" i="276"/>
  <c r="N53" i="276"/>
  <c r="P53" i="276"/>
  <c r="O53" i="276"/>
  <c r="S53" i="276"/>
  <c r="T53" i="276"/>
  <c r="K54" i="276"/>
  <c r="N54" i="276"/>
  <c r="O54" i="276"/>
  <c r="S54" i="276"/>
  <c r="T54" i="276"/>
  <c r="K55" i="276"/>
  <c r="N55" i="276"/>
  <c r="O55" i="276"/>
  <c r="X55" i="276"/>
  <c r="S55" i="276"/>
  <c r="T55" i="276"/>
  <c r="K56" i="276"/>
  <c r="N56" i="276"/>
  <c r="O56" i="276"/>
  <c r="S56" i="276"/>
  <c r="T56" i="276"/>
  <c r="K57" i="276"/>
  <c r="N57" i="276"/>
  <c r="O57" i="276"/>
  <c r="S57" i="276"/>
  <c r="T57" i="276"/>
  <c r="K58" i="276"/>
  <c r="N58" i="276"/>
  <c r="O58" i="276"/>
  <c r="S58" i="276"/>
  <c r="T58" i="276"/>
  <c r="K59" i="276"/>
  <c r="N59" i="276"/>
  <c r="O59" i="276"/>
  <c r="P59" i="276"/>
  <c r="AF59" i="276"/>
  <c r="S59" i="276"/>
  <c r="T59" i="276"/>
  <c r="X59" i="276"/>
  <c r="K60" i="276"/>
  <c r="N60" i="276"/>
  <c r="O60" i="276"/>
  <c r="S60" i="276"/>
  <c r="T60" i="276"/>
  <c r="K61" i="276"/>
  <c r="N61" i="276"/>
  <c r="O61" i="276"/>
  <c r="S61" i="276"/>
  <c r="T61" i="276"/>
  <c r="K62" i="276"/>
  <c r="N62" i="276"/>
  <c r="O62" i="276"/>
  <c r="S62" i="276"/>
  <c r="T62" i="276"/>
  <c r="K63" i="276"/>
  <c r="N63" i="276"/>
  <c r="O63" i="276"/>
  <c r="S63" i="276"/>
  <c r="T63" i="276"/>
  <c r="K64" i="276"/>
  <c r="L64" i="276"/>
  <c r="M64" i="276"/>
  <c r="N64" i="276"/>
  <c r="O64" i="276"/>
  <c r="S64" i="276"/>
  <c r="T64" i="276"/>
  <c r="L65" i="276"/>
  <c r="O65" i="276"/>
  <c r="M65" i="276"/>
  <c r="S65" i="276"/>
  <c r="K66" i="276"/>
  <c r="N66" i="276"/>
  <c r="O66" i="276"/>
  <c r="P66" i="276"/>
  <c r="S66" i="276"/>
  <c r="T66" i="276"/>
  <c r="K67" i="276"/>
  <c r="N67" i="276"/>
  <c r="N12" i="283"/>
  <c r="O67" i="276"/>
  <c r="O12" i="283"/>
  <c r="S67" i="276"/>
  <c r="T67" i="276"/>
  <c r="X67" i="276"/>
  <c r="AA67" i="276"/>
  <c r="K68" i="276"/>
  <c r="N68" i="276"/>
  <c r="P68" i="276"/>
  <c r="AF68" i="276"/>
  <c r="O68" i="276"/>
  <c r="S68" i="276"/>
  <c r="T68" i="276"/>
  <c r="X68" i="276"/>
  <c r="AA68" i="276"/>
  <c r="K69" i="276"/>
  <c r="N69" i="276"/>
  <c r="O69" i="276"/>
  <c r="P69" i="276"/>
  <c r="AF69" i="276"/>
  <c r="S69" i="276"/>
  <c r="T69" i="276"/>
  <c r="X69" i="276"/>
  <c r="AA69" i="276"/>
  <c r="K70" i="276"/>
  <c r="N70" i="276"/>
  <c r="O70" i="276"/>
  <c r="P70" i="276"/>
  <c r="S70" i="276"/>
  <c r="T70" i="276"/>
  <c r="K71" i="276"/>
  <c r="N71" i="276"/>
  <c r="P71" i="276"/>
  <c r="AF71" i="276"/>
  <c r="O71" i="276"/>
  <c r="S71" i="276"/>
  <c r="T71" i="276"/>
  <c r="X71" i="276"/>
  <c r="AA71" i="276"/>
  <c r="K72" i="276"/>
  <c r="N72" i="276"/>
  <c r="P72" i="276"/>
  <c r="AF72" i="276"/>
  <c r="O72" i="276"/>
  <c r="S72" i="276"/>
  <c r="T72" i="276"/>
  <c r="X72" i="276"/>
  <c r="AA72" i="276"/>
  <c r="K73" i="276"/>
  <c r="N73" i="276"/>
  <c r="O73" i="276"/>
  <c r="P73" i="276"/>
  <c r="AF73" i="276"/>
  <c r="S73" i="276"/>
  <c r="T73" i="276"/>
  <c r="X73" i="276"/>
  <c r="AA73" i="276"/>
  <c r="K74" i="276"/>
  <c r="N74" i="276"/>
  <c r="O74" i="276"/>
  <c r="P74" i="276"/>
  <c r="S74" i="276"/>
  <c r="T74" i="276"/>
  <c r="K75" i="276"/>
  <c r="N75" i="276"/>
  <c r="P75" i="276"/>
  <c r="AF75" i="276"/>
  <c r="O75" i="276"/>
  <c r="S75" i="276"/>
  <c r="T75" i="276"/>
  <c r="X75" i="276"/>
  <c r="AA75" i="276"/>
  <c r="K76" i="276"/>
  <c r="N76" i="276"/>
  <c r="P76" i="276"/>
  <c r="AF76" i="276"/>
  <c r="O76" i="276"/>
  <c r="S76" i="276"/>
  <c r="T76" i="276"/>
  <c r="X76" i="276"/>
  <c r="AA76" i="276"/>
  <c r="K77" i="276"/>
  <c r="N77" i="276"/>
  <c r="O77" i="276"/>
  <c r="P77" i="276"/>
  <c r="AF77" i="276"/>
  <c r="S77" i="276"/>
  <c r="T77" i="276"/>
  <c r="X77" i="276"/>
  <c r="AA77" i="276"/>
  <c r="K78" i="276"/>
  <c r="N78" i="276"/>
  <c r="O78" i="276"/>
  <c r="P78" i="276"/>
  <c r="S78" i="276"/>
  <c r="T78" i="276"/>
  <c r="K79" i="276"/>
  <c r="N79" i="276"/>
  <c r="P79" i="276"/>
  <c r="AF79" i="276"/>
  <c r="O79" i="276"/>
  <c r="S79" i="276"/>
  <c r="T79" i="276"/>
  <c r="X79" i="276"/>
  <c r="AA79" i="276"/>
  <c r="K80" i="276"/>
  <c r="N80" i="276"/>
  <c r="P80" i="276"/>
  <c r="AF80" i="276"/>
  <c r="O80" i="276"/>
  <c r="S80" i="276"/>
  <c r="T80" i="276"/>
  <c r="X80" i="276"/>
  <c r="AA80" i="276"/>
  <c r="K81" i="276"/>
  <c r="N81" i="276"/>
  <c r="O81" i="276"/>
  <c r="P81" i="276"/>
  <c r="AF81" i="276"/>
  <c r="S81" i="276"/>
  <c r="T81" i="276"/>
  <c r="X81" i="276"/>
  <c r="AA81" i="276"/>
  <c r="K82" i="276"/>
  <c r="N82" i="276"/>
  <c r="O82" i="276"/>
  <c r="P82" i="276"/>
  <c r="S82" i="276"/>
  <c r="T82" i="276"/>
  <c r="K83" i="276"/>
  <c r="N83" i="276"/>
  <c r="P83" i="276"/>
  <c r="AF83" i="276"/>
  <c r="O83" i="276"/>
  <c r="S83" i="276"/>
  <c r="T83" i="276"/>
  <c r="X83" i="276"/>
  <c r="AA83" i="276"/>
  <c r="K84" i="276"/>
  <c r="N84" i="276"/>
  <c r="P84" i="276"/>
  <c r="AF84" i="276"/>
  <c r="O84" i="276"/>
  <c r="S84" i="276"/>
  <c r="T84" i="276"/>
  <c r="X84" i="276"/>
  <c r="AA84" i="276"/>
  <c r="L95" i="276"/>
  <c r="O95" i="276"/>
  <c r="M95" i="276"/>
  <c r="S95" i="276"/>
  <c r="S144" i="276"/>
  <c r="L96" i="276"/>
  <c r="M96" i="276"/>
  <c r="O96" i="276"/>
  <c r="S96" i="276"/>
  <c r="K97" i="276"/>
  <c r="N97" i="276"/>
  <c r="P97" i="276"/>
  <c r="O97" i="276"/>
  <c r="S97" i="276"/>
  <c r="T97" i="276"/>
  <c r="X97" i="276"/>
  <c r="K98" i="276"/>
  <c r="N98" i="276"/>
  <c r="O98" i="276"/>
  <c r="S98" i="276"/>
  <c r="T98" i="276"/>
  <c r="L99" i="276"/>
  <c r="O99" i="276"/>
  <c r="M99" i="276"/>
  <c r="S99" i="276"/>
  <c r="L100" i="276"/>
  <c r="O100" i="276"/>
  <c r="M100" i="276"/>
  <c r="S100" i="276"/>
  <c r="K101" i="276"/>
  <c r="N101" i="276"/>
  <c r="L101" i="276"/>
  <c r="M101" i="276"/>
  <c r="O101" i="276"/>
  <c r="S101" i="276"/>
  <c r="T101" i="276"/>
  <c r="L102" i="276"/>
  <c r="O102" i="276"/>
  <c r="M102" i="276"/>
  <c r="K102" i="276"/>
  <c r="N102" i="276"/>
  <c r="S102" i="276"/>
  <c r="L103" i="276"/>
  <c r="O103" i="276"/>
  <c r="M103" i="276"/>
  <c r="S103" i="276"/>
  <c r="K104" i="276"/>
  <c r="N104" i="276"/>
  <c r="O104" i="276"/>
  <c r="S104" i="276"/>
  <c r="T104" i="276"/>
  <c r="K105" i="276"/>
  <c r="N105" i="276"/>
  <c r="O105" i="276"/>
  <c r="S105" i="276"/>
  <c r="T105" i="276"/>
  <c r="K106" i="276"/>
  <c r="N106" i="276"/>
  <c r="O106" i="276"/>
  <c r="S106" i="276"/>
  <c r="T106" i="276"/>
  <c r="K107" i="276"/>
  <c r="N107" i="276"/>
  <c r="O107" i="276"/>
  <c r="P107" i="276"/>
  <c r="AF107" i="276"/>
  <c r="S107" i="276"/>
  <c r="T107" i="276"/>
  <c r="X107" i="276"/>
  <c r="K108" i="276"/>
  <c r="N108" i="276"/>
  <c r="O108" i="276"/>
  <c r="S108" i="276"/>
  <c r="T108" i="276"/>
  <c r="K109" i="276"/>
  <c r="N109" i="276"/>
  <c r="O109" i="276"/>
  <c r="S109" i="276"/>
  <c r="T109" i="276"/>
  <c r="K110" i="276"/>
  <c r="N110" i="276"/>
  <c r="O110" i="276"/>
  <c r="S110" i="276"/>
  <c r="T110" i="276"/>
  <c r="K111" i="276"/>
  <c r="N111" i="276"/>
  <c r="P111" i="276"/>
  <c r="O111" i="276"/>
  <c r="S111" i="276"/>
  <c r="T111" i="276"/>
  <c r="X111" i="276"/>
  <c r="K112" i="276"/>
  <c r="N112" i="276"/>
  <c r="O112" i="276"/>
  <c r="S112" i="276"/>
  <c r="T112" i="276"/>
  <c r="K113" i="276"/>
  <c r="N113" i="276"/>
  <c r="O113" i="276"/>
  <c r="S113" i="276"/>
  <c r="T113" i="276"/>
  <c r="K114" i="276"/>
  <c r="N114" i="276"/>
  <c r="O114" i="276"/>
  <c r="S114" i="276"/>
  <c r="T114" i="276"/>
  <c r="K115" i="276"/>
  <c r="N115" i="276"/>
  <c r="P115" i="276"/>
  <c r="AF115" i="276"/>
  <c r="O115" i="276"/>
  <c r="S115" i="276"/>
  <c r="T115" i="276"/>
  <c r="X115" i="276"/>
  <c r="K116" i="276"/>
  <c r="N116" i="276"/>
  <c r="O116" i="276"/>
  <c r="S116" i="276"/>
  <c r="T116" i="276"/>
  <c r="K117" i="276"/>
  <c r="N117" i="276"/>
  <c r="O117" i="276"/>
  <c r="S117" i="276"/>
  <c r="T117" i="276"/>
  <c r="K118" i="276"/>
  <c r="N118" i="276"/>
  <c r="O118" i="276"/>
  <c r="S118" i="276"/>
  <c r="T118" i="276"/>
  <c r="K119" i="276"/>
  <c r="N119" i="276"/>
  <c r="P119" i="276"/>
  <c r="O119" i="276"/>
  <c r="S119" i="276"/>
  <c r="T119" i="276"/>
  <c r="X119" i="276"/>
  <c r="K120" i="276"/>
  <c r="N120" i="276"/>
  <c r="P120" i="276"/>
  <c r="AF120" i="276"/>
  <c r="O120" i="276"/>
  <c r="S120" i="276"/>
  <c r="T120" i="276"/>
  <c r="X120" i="276"/>
  <c r="K121" i="276"/>
  <c r="N121" i="276"/>
  <c r="O121" i="276"/>
  <c r="S121" i="276"/>
  <c r="T121" i="276"/>
  <c r="K122" i="276"/>
  <c r="N122" i="276"/>
  <c r="O122" i="276"/>
  <c r="S122" i="276"/>
  <c r="T122" i="276"/>
  <c r="L123" i="276"/>
  <c r="O123" i="276"/>
  <c r="M123" i="276"/>
  <c r="S123" i="276"/>
  <c r="AU123" i="276"/>
  <c r="AV123" i="276"/>
  <c r="AX123" i="276"/>
  <c r="AZ123" i="276"/>
  <c r="BB123" i="276"/>
  <c r="BF123" i="276"/>
  <c r="BG123" i="276"/>
  <c r="BJ123" i="276"/>
  <c r="K124" i="276"/>
  <c r="N124" i="276"/>
  <c r="O124" i="276"/>
  <c r="S124" i="276"/>
  <c r="T124" i="276"/>
  <c r="K125" i="276"/>
  <c r="N125" i="276"/>
  <c r="O125" i="276"/>
  <c r="S125" i="276"/>
  <c r="T125" i="276"/>
  <c r="K126" i="276"/>
  <c r="N126" i="276"/>
  <c r="O126" i="276"/>
  <c r="S126" i="276"/>
  <c r="T126" i="276"/>
  <c r="K127" i="276"/>
  <c r="N127" i="276"/>
  <c r="O127" i="276"/>
  <c r="S127" i="276"/>
  <c r="T127" i="276"/>
  <c r="K128" i="276"/>
  <c r="N128" i="276"/>
  <c r="O128" i="276"/>
  <c r="S128" i="276"/>
  <c r="T128" i="276"/>
  <c r="K129" i="276"/>
  <c r="N129" i="276"/>
  <c r="O129" i="276"/>
  <c r="S129" i="276"/>
  <c r="T129" i="276"/>
  <c r="K130" i="276"/>
  <c r="N130" i="276"/>
  <c r="O130" i="276"/>
  <c r="S130" i="276"/>
  <c r="T130" i="276"/>
  <c r="K131" i="276"/>
  <c r="N131" i="276"/>
  <c r="O131" i="276"/>
  <c r="S131" i="276"/>
  <c r="T131" i="276"/>
  <c r="K132" i="276"/>
  <c r="N132" i="276"/>
  <c r="O132" i="276"/>
  <c r="S132" i="276"/>
  <c r="T132" i="276"/>
  <c r="K133" i="276"/>
  <c r="N133" i="276"/>
  <c r="O133" i="276"/>
  <c r="S133" i="276"/>
  <c r="T133" i="276"/>
  <c r="K134" i="276"/>
  <c r="N134" i="276"/>
  <c r="O134" i="276"/>
  <c r="S134" i="276"/>
  <c r="T134" i="276"/>
  <c r="K135" i="276"/>
  <c r="N135" i="276"/>
  <c r="O135" i="276"/>
  <c r="S135" i="276"/>
  <c r="T135" i="276"/>
  <c r="K136" i="276"/>
  <c r="N136" i="276"/>
  <c r="O136" i="276"/>
  <c r="S136" i="276"/>
  <c r="T136" i="276"/>
  <c r="K137" i="276"/>
  <c r="N137" i="276"/>
  <c r="O137" i="276"/>
  <c r="S137" i="276"/>
  <c r="T137" i="276"/>
  <c r="K138" i="276"/>
  <c r="N138" i="276"/>
  <c r="O138" i="276"/>
  <c r="S138" i="276"/>
  <c r="T138" i="276"/>
  <c r="K139" i="276"/>
  <c r="N139" i="276"/>
  <c r="O139" i="276"/>
  <c r="S139" i="276"/>
  <c r="T139" i="276"/>
  <c r="K140" i="276"/>
  <c r="N140" i="276"/>
  <c r="O140" i="276"/>
  <c r="S140" i="276"/>
  <c r="T140" i="276"/>
  <c r="S148" i="276"/>
  <c r="K151" i="276"/>
  <c r="N151" i="276"/>
  <c r="O151" i="276"/>
  <c r="S151" i="276"/>
  <c r="T151" i="276"/>
  <c r="L152" i="276"/>
  <c r="K152" i="276"/>
  <c r="N152" i="276"/>
  <c r="M152" i="276"/>
  <c r="S152" i="276"/>
  <c r="T152" i="276"/>
  <c r="L153" i="276"/>
  <c r="O153" i="276"/>
  <c r="M153" i="276"/>
  <c r="S153" i="276"/>
  <c r="T153" i="276"/>
  <c r="L154" i="276"/>
  <c r="K154" i="276"/>
  <c r="N154" i="276"/>
  <c r="M154" i="276"/>
  <c r="S154" i="276"/>
  <c r="T154" i="276"/>
  <c r="L155" i="276"/>
  <c r="O155" i="276"/>
  <c r="M155" i="276"/>
  <c r="S155" i="276"/>
  <c r="T155" i="276"/>
  <c r="L156" i="276"/>
  <c r="K156" i="276"/>
  <c r="N156" i="276"/>
  <c r="M156" i="276"/>
  <c r="S156" i="276"/>
  <c r="T156" i="276"/>
  <c r="K157" i="276"/>
  <c r="N157" i="276"/>
  <c r="P157" i="276"/>
  <c r="O157" i="276"/>
  <c r="S157" i="276"/>
  <c r="T157" i="276"/>
  <c r="K158" i="276"/>
  <c r="N158" i="276"/>
  <c r="P158" i="276"/>
  <c r="O158" i="276"/>
  <c r="S158" i="276"/>
  <c r="K159" i="276"/>
  <c r="N159" i="276"/>
  <c r="O159" i="276"/>
  <c r="S159" i="276"/>
  <c r="T159" i="276"/>
  <c r="K160" i="276"/>
  <c r="N160" i="276"/>
  <c r="P160" i="276"/>
  <c r="O160" i="276"/>
  <c r="S160" i="276"/>
  <c r="T160" i="276"/>
  <c r="K161" i="276"/>
  <c r="N161" i="276"/>
  <c r="P161" i="276"/>
  <c r="O161" i="276"/>
  <c r="S161" i="276"/>
  <c r="T161" i="276"/>
  <c r="K162" i="276"/>
  <c r="N162" i="276"/>
  <c r="P162" i="276"/>
  <c r="O162" i="276"/>
  <c r="S162" i="276"/>
  <c r="T162" i="276"/>
  <c r="K163" i="276"/>
  <c r="N163" i="276"/>
  <c r="O163" i="276"/>
  <c r="S163" i="276"/>
  <c r="T163" i="276"/>
  <c r="K164" i="276"/>
  <c r="N164" i="276"/>
  <c r="O164" i="276"/>
  <c r="S164" i="276"/>
  <c r="T164" i="276"/>
  <c r="K165" i="276"/>
  <c r="N165" i="276"/>
  <c r="O165" i="276"/>
  <c r="S165" i="276"/>
  <c r="T165" i="276"/>
  <c r="K166" i="276"/>
  <c r="N166" i="276"/>
  <c r="O166" i="276"/>
  <c r="S166" i="276"/>
  <c r="T166" i="276"/>
  <c r="K167" i="276"/>
  <c r="N167" i="276"/>
  <c r="O167" i="276"/>
  <c r="S167" i="276"/>
  <c r="T167" i="276"/>
  <c r="K168" i="276"/>
  <c r="N168" i="276"/>
  <c r="L168" i="276"/>
  <c r="M168" i="276"/>
  <c r="O168" i="276"/>
  <c r="S168" i="276"/>
  <c r="T168" i="276"/>
  <c r="K169" i="276"/>
  <c r="N169" i="276"/>
  <c r="O169" i="276"/>
  <c r="S169" i="276"/>
  <c r="T169" i="276"/>
  <c r="K170" i="276"/>
  <c r="N170" i="276"/>
  <c r="O170" i="276"/>
  <c r="S170" i="276"/>
  <c r="T170" i="276"/>
  <c r="K171" i="276"/>
  <c r="N171" i="276"/>
  <c r="O171" i="276"/>
  <c r="S171" i="276"/>
  <c r="T171" i="276"/>
  <c r="K172" i="276"/>
  <c r="N172" i="276"/>
  <c r="O172" i="276"/>
  <c r="S172" i="276"/>
  <c r="T172" i="276"/>
  <c r="K173" i="276"/>
  <c r="N173" i="276"/>
  <c r="O173" i="276"/>
  <c r="S173" i="276"/>
  <c r="T173" i="276"/>
  <c r="K174" i="276"/>
  <c r="N174" i="276"/>
  <c r="O174" i="276"/>
  <c r="S174" i="276"/>
  <c r="T174" i="276"/>
  <c r="AD174" i="276"/>
  <c r="AE174" i="276"/>
  <c r="K175" i="276"/>
  <c r="N175" i="276"/>
  <c r="O175" i="276"/>
  <c r="S175" i="276"/>
  <c r="T175" i="276"/>
  <c r="K176" i="276"/>
  <c r="N176" i="276"/>
  <c r="P176" i="276"/>
  <c r="O176" i="276"/>
  <c r="S176" i="276"/>
  <c r="T176" i="276"/>
  <c r="K177" i="276"/>
  <c r="N177" i="276"/>
  <c r="P177" i="276"/>
  <c r="O177" i="276"/>
  <c r="S177" i="276"/>
  <c r="T177" i="276"/>
  <c r="B2" i="283"/>
  <c r="P4" i="283"/>
  <c r="S5" i="283"/>
  <c r="B9" i="283"/>
  <c r="C9" i="283"/>
  <c r="D9" i="283"/>
  <c r="F9" i="283"/>
  <c r="G9" i="283"/>
  <c r="H9" i="283"/>
  <c r="I9" i="283"/>
  <c r="J9" i="283"/>
  <c r="K9" i="283"/>
  <c r="L9" i="283"/>
  <c r="M9" i="283"/>
  <c r="N9" i="283"/>
  <c r="R9" i="283"/>
  <c r="S9" i="283"/>
  <c r="B10" i="283"/>
  <c r="C10" i="283"/>
  <c r="D10" i="283"/>
  <c r="E10" i="283"/>
  <c r="F10" i="283"/>
  <c r="G10" i="283"/>
  <c r="H10" i="283"/>
  <c r="I10" i="283"/>
  <c r="J10" i="283"/>
  <c r="K10" i="283"/>
  <c r="L10" i="283"/>
  <c r="M10" i="283"/>
  <c r="O10" i="283"/>
  <c r="R10" i="283"/>
  <c r="S10" i="283"/>
  <c r="B11" i="283"/>
  <c r="C11" i="283"/>
  <c r="D11" i="283"/>
  <c r="E11" i="283"/>
  <c r="F11" i="283"/>
  <c r="G11" i="283"/>
  <c r="H11" i="283"/>
  <c r="I11" i="283"/>
  <c r="J11" i="283"/>
  <c r="K11" i="283"/>
  <c r="L11" i="283"/>
  <c r="M11" i="283"/>
  <c r="N11" i="283"/>
  <c r="O11" i="283"/>
  <c r="R11" i="283"/>
  <c r="S11" i="283"/>
  <c r="U11" i="283"/>
  <c r="B12" i="283"/>
  <c r="C12" i="283"/>
  <c r="D12" i="283"/>
  <c r="E12" i="283"/>
  <c r="F12" i="283"/>
  <c r="G12" i="283"/>
  <c r="H12" i="283"/>
  <c r="I12" i="283"/>
  <c r="J12" i="283"/>
  <c r="L12" i="283"/>
  <c r="M12" i="283"/>
  <c r="R12" i="283"/>
  <c r="S12" i="283"/>
  <c r="L13" i="283"/>
  <c r="O13" i="283"/>
  <c r="M13" i="283"/>
  <c r="L14" i="283"/>
  <c r="O14" i="283"/>
  <c r="M14" i="283"/>
  <c r="L15" i="283"/>
  <c r="K15" i="283"/>
  <c r="N15" i="283"/>
  <c r="M15" i="283"/>
  <c r="L16" i="283"/>
  <c r="K16" i="283"/>
  <c r="N16" i="283"/>
  <c r="M16" i="283"/>
  <c r="L17" i="283"/>
  <c r="K17" i="283"/>
  <c r="N17" i="283"/>
  <c r="M17" i="283"/>
  <c r="L18" i="283"/>
  <c r="K18" i="283"/>
  <c r="N18" i="283"/>
  <c r="M18" i="283"/>
  <c r="L24" i="283"/>
  <c r="B2" i="295"/>
  <c r="D4" i="295"/>
  <c r="J4" i="295"/>
  <c r="J8" i="295"/>
  <c r="J9" i="295"/>
  <c r="J10" i="295"/>
  <c r="J11" i="295"/>
  <c r="J12" i="295"/>
  <c r="J13" i="295"/>
  <c r="J14" i="295"/>
  <c r="J15" i="295"/>
  <c r="J16" i="295"/>
  <c r="G17" i="295"/>
  <c r="J17" i="295"/>
  <c r="G18" i="295"/>
  <c r="J18" i="295"/>
  <c r="J19" i="295"/>
  <c r="J20" i="295"/>
  <c r="J21" i="295"/>
  <c r="J22" i="295"/>
  <c r="J23" i="295"/>
  <c r="J24" i="295"/>
  <c r="J25" i="295"/>
  <c r="J26" i="295"/>
  <c r="J27" i="295"/>
  <c r="J28" i="295"/>
  <c r="J29" i="295"/>
  <c r="I30" i="295"/>
  <c r="J30" i="295"/>
  <c r="I31" i="295"/>
  <c r="J31" i="295"/>
  <c r="J32" i="295"/>
  <c r="J33" i="295"/>
  <c r="I34" i="295"/>
  <c r="J34" i="295"/>
  <c r="I35" i="295"/>
  <c r="J35" i="295"/>
  <c r="I36" i="295"/>
  <c r="J36" i="295"/>
  <c r="J37" i="295"/>
  <c r="J38" i="295"/>
  <c r="J39" i="295"/>
  <c r="J40" i="295"/>
  <c r="J41" i="295"/>
  <c r="J42" i="295"/>
  <c r="J43" i="295"/>
  <c r="J44" i="295"/>
  <c r="J45" i="295"/>
  <c r="J46" i="295"/>
  <c r="J47" i="295"/>
  <c r="J48" i="295"/>
  <c r="J49" i="295"/>
  <c r="I50" i="295"/>
  <c r="J50" i="295"/>
  <c r="J51" i="295"/>
  <c r="J52" i="295"/>
  <c r="J53" i="295"/>
  <c r="I54" i="295"/>
  <c r="J54" i="295"/>
  <c r="J55" i="295"/>
  <c r="J56" i="295"/>
  <c r="J57" i="295"/>
  <c r="J58" i="295"/>
  <c r="J59" i="295"/>
  <c r="I60" i="295"/>
  <c r="J60" i="295"/>
  <c r="G62" i="295"/>
  <c r="H62" i="295"/>
  <c r="G63" i="295"/>
  <c r="H63" i="295"/>
  <c r="H64" i="295"/>
  <c r="H65" i="295"/>
  <c r="G66" i="295"/>
  <c r="H66" i="295"/>
  <c r="G67" i="295"/>
  <c r="H67" i="295"/>
  <c r="B2" i="14"/>
  <c r="I5" i="14"/>
  <c r="B8" i="14"/>
  <c r="D8" i="14"/>
  <c r="I10" i="14"/>
  <c r="E8" i="14"/>
  <c r="B9" i="14"/>
  <c r="D9" i="14"/>
  <c r="I11" i="14"/>
  <c r="E9" i="14"/>
  <c r="G9" i="14"/>
  <c r="J9" i="14"/>
  <c r="B10" i="14"/>
  <c r="D10" i="14"/>
  <c r="I12" i="14"/>
  <c r="E10" i="14"/>
  <c r="G10" i="14"/>
  <c r="J10" i="14"/>
  <c r="B11" i="14"/>
  <c r="D11" i="14"/>
  <c r="I13" i="14"/>
  <c r="E11" i="14"/>
  <c r="G11" i="14"/>
  <c r="J11" i="14"/>
  <c r="B12" i="14"/>
  <c r="D12" i="14"/>
  <c r="E12" i="14"/>
  <c r="G12" i="14"/>
  <c r="B13" i="14"/>
  <c r="D13" i="14"/>
  <c r="I15" i="14"/>
  <c r="E13" i="14"/>
  <c r="G13" i="14"/>
  <c r="J13" i="14"/>
  <c r="B14" i="14"/>
  <c r="D14" i="14"/>
  <c r="I16" i="14"/>
  <c r="E14" i="14"/>
  <c r="G14" i="14"/>
  <c r="J14" i="14"/>
  <c r="B15" i="14"/>
  <c r="D15" i="14"/>
  <c r="I17" i="14"/>
  <c r="E15" i="14"/>
  <c r="G15" i="14"/>
  <c r="J15" i="14"/>
  <c r="B16" i="14"/>
  <c r="D16" i="14"/>
  <c r="E16" i="14"/>
  <c r="G16" i="14"/>
  <c r="B17" i="14"/>
  <c r="D17" i="14"/>
  <c r="I19" i="14"/>
  <c r="E17" i="14"/>
  <c r="G17" i="14"/>
  <c r="J17" i="14"/>
  <c r="B18" i="14"/>
  <c r="D18" i="14"/>
  <c r="E18" i="14"/>
  <c r="G18" i="14"/>
  <c r="J18" i="14"/>
  <c r="G19" i="14"/>
  <c r="B2" i="13"/>
  <c r="D6" i="13"/>
  <c r="L6" i="13"/>
  <c r="E8" i="13"/>
  <c r="F8" i="13"/>
  <c r="G8" i="13"/>
  <c r="H8" i="13"/>
  <c r="I8" i="13"/>
  <c r="D10" i="13"/>
  <c r="E10" i="13"/>
  <c r="F10" i="13"/>
  <c r="G10" i="13"/>
  <c r="H10" i="13"/>
  <c r="I10" i="13"/>
  <c r="M10" i="13"/>
  <c r="D11" i="13"/>
  <c r="E11" i="13"/>
  <c r="F11" i="13"/>
  <c r="G11" i="13"/>
  <c r="H11" i="13"/>
  <c r="I11" i="13"/>
  <c r="M11" i="13"/>
  <c r="D12" i="13"/>
  <c r="E12" i="13"/>
  <c r="F12" i="13"/>
  <c r="G12" i="13"/>
  <c r="H12" i="13"/>
  <c r="I12" i="13"/>
  <c r="M12" i="13"/>
  <c r="D13" i="13"/>
  <c r="E13" i="13"/>
  <c r="F13" i="13"/>
  <c r="G13" i="13"/>
  <c r="H13" i="13"/>
  <c r="M13" i="13"/>
  <c r="D14" i="13"/>
  <c r="E14" i="13"/>
  <c r="F14" i="13"/>
  <c r="G14" i="13"/>
  <c r="H14" i="13"/>
  <c r="I14" i="13"/>
  <c r="M14" i="13"/>
  <c r="D15" i="13"/>
  <c r="E15" i="13"/>
  <c r="F15" i="13"/>
  <c r="G15" i="13"/>
  <c r="H15" i="13"/>
  <c r="I15" i="13"/>
  <c r="M15" i="13"/>
  <c r="D16" i="13"/>
  <c r="E16" i="13"/>
  <c r="F16" i="13"/>
  <c r="G16" i="13"/>
  <c r="H16" i="13"/>
  <c r="I16" i="13"/>
  <c r="M16" i="13"/>
  <c r="D17" i="13"/>
  <c r="E17" i="13"/>
  <c r="F17" i="13"/>
  <c r="G17" i="13"/>
  <c r="H17" i="13"/>
  <c r="I17" i="13"/>
  <c r="M17" i="13"/>
  <c r="D18" i="13"/>
  <c r="E18" i="13"/>
  <c r="F18" i="13"/>
  <c r="G18" i="13"/>
  <c r="H18" i="13"/>
  <c r="I18" i="13"/>
  <c r="M18" i="13"/>
  <c r="D19" i="13"/>
  <c r="E19" i="13"/>
  <c r="F19" i="13"/>
  <c r="G19" i="13"/>
  <c r="H19" i="13"/>
  <c r="I19" i="13"/>
  <c r="M19" i="13"/>
  <c r="D20" i="13"/>
  <c r="E20" i="13"/>
  <c r="F20" i="13"/>
  <c r="G20" i="13"/>
  <c r="H20" i="13"/>
  <c r="I20" i="13"/>
  <c r="M20" i="13"/>
  <c r="D21" i="13"/>
  <c r="E21" i="13"/>
  <c r="F21" i="13"/>
  <c r="G21" i="13"/>
  <c r="H21" i="13"/>
  <c r="I21" i="13"/>
  <c r="M21" i="13"/>
  <c r="D22" i="13"/>
  <c r="E22" i="13"/>
  <c r="F22" i="13"/>
  <c r="G22" i="13"/>
  <c r="H22" i="13"/>
  <c r="I22" i="13"/>
  <c r="M22" i="13"/>
  <c r="D23" i="13"/>
  <c r="E23" i="13"/>
  <c r="F23" i="13"/>
  <c r="G23" i="13"/>
  <c r="H23" i="13"/>
  <c r="I23" i="13"/>
  <c r="M23" i="13"/>
  <c r="D24" i="13"/>
  <c r="E24" i="13"/>
  <c r="F24" i="13"/>
  <c r="M24" i="13"/>
  <c r="D25" i="13"/>
  <c r="E25" i="13"/>
  <c r="F25" i="13"/>
  <c r="G25" i="13"/>
  <c r="H25" i="13"/>
  <c r="I25" i="13"/>
  <c r="M25" i="13"/>
  <c r="D26" i="13"/>
  <c r="D44" i="13"/>
  <c r="E26" i="13"/>
  <c r="F26" i="13"/>
  <c r="G26" i="13"/>
  <c r="H26" i="13"/>
  <c r="I26" i="13"/>
  <c r="M26" i="13"/>
  <c r="D27" i="13"/>
  <c r="E27" i="13"/>
  <c r="F27" i="13"/>
  <c r="G27" i="13"/>
  <c r="H27" i="13"/>
  <c r="I27" i="13"/>
  <c r="M27" i="13"/>
  <c r="D28" i="13"/>
  <c r="E28" i="13"/>
  <c r="F28" i="13"/>
  <c r="G28" i="13"/>
  <c r="H28" i="13"/>
  <c r="I28" i="13"/>
  <c r="M28" i="13"/>
  <c r="D29" i="13"/>
  <c r="E29" i="13"/>
  <c r="F29" i="13"/>
  <c r="G29" i="13"/>
  <c r="H29" i="13"/>
  <c r="I29" i="13"/>
  <c r="M29" i="13"/>
  <c r="A50" i="13"/>
  <c r="B50" i="13"/>
  <c r="A51" i="13"/>
  <c r="B2" i="310"/>
  <c r="B49" i="310"/>
  <c r="B51" i="310"/>
  <c r="AB3" i="310"/>
  <c r="Y4" i="310"/>
  <c r="AB4" i="310"/>
  <c r="AB5" i="310"/>
  <c r="Y9" i="310"/>
  <c r="D10" i="310"/>
  <c r="E10" i="310"/>
  <c r="F10" i="310"/>
  <c r="G10" i="310"/>
  <c r="J10" i="310"/>
  <c r="M10" i="310"/>
  <c r="AB10" i="310"/>
  <c r="D11" i="310"/>
  <c r="E11" i="310"/>
  <c r="F11" i="310"/>
  <c r="G11" i="310"/>
  <c r="J11" i="310"/>
  <c r="M11" i="310"/>
  <c r="AB11" i="310"/>
  <c r="D12" i="310"/>
  <c r="E12" i="310"/>
  <c r="F12" i="310"/>
  <c r="G12" i="310"/>
  <c r="J12" i="310"/>
  <c r="M12" i="310"/>
  <c r="AB12" i="310"/>
  <c r="D13" i="310"/>
  <c r="E13" i="310"/>
  <c r="F13" i="310"/>
  <c r="G13" i="310"/>
  <c r="I13" i="310"/>
  <c r="K13" i="310"/>
  <c r="J13" i="310"/>
  <c r="M13" i="310"/>
  <c r="AB13" i="310"/>
  <c r="D14" i="310"/>
  <c r="E14" i="310"/>
  <c r="F14" i="310"/>
  <c r="G14" i="310"/>
  <c r="J14" i="310"/>
  <c r="M14" i="310"/>
  <c r="AB14" i="310"/>
  <c r="D15" i="310"/>
  <c r="E15" i="310"/>
  <c r="H15" i="310"/>
  <c r="F15" i="310"/>
  <c r="G15" i="310"/>
  <c r="J15" i="310"/>
  <c r="M15" i="310"/>
  <c r="AB15" i="310"/>
  <c r="D16" i="310"/>
  <c r="E16" i="310"/>
  <c r="H16" i="310"/>
  <c r="F16" i="310"/>
  <c r="G16" i="310"/>
  <c r="J16" i="310"/>
  <c r="M16" i="310"/>
  <c r="AB16" i="310"/>
  <c r="D17" i="310"/>
  <c r="E17" i="310"/>
  <c r="F17" i="310"/>
  <c r="G17" i="310"/>
  <c r="J17" i="310"/>
  <c r="M17" i="310"/>
  <c r="AB17" i="310"/>
  <c r="D18" i="310"/>
  <c r="E18" i="310"/>
  <c r="F18" i="310"/>
  <c r="G18" i="310"/>
  <c r="J18" i="310"/>
  <c r="M18" i="310"/>
  <c r="AB18" i="310"/>
  <c r="D19" i="310"/>
  <c r="E19" i="310"/>
  <c r="F19" i="310"/>
  <c r="G19" i="310"/>
  <c r="J19" i="310"/>
  <c r="M19" i="310"/>
  <c r="AB19" i="310"/>
  <c r="D20" i="310"/>
  <c r="E20" i="310"/>
  <c r="F20" i="310"/>
  <c r="G20" i="310"/>
  <c r="H20" i="310"/>
  <c r="J20" i="310"/>
  <c r="M20" i="310"/>
  <c r="AB20" i="310"/>
  <c r="D21" i="310"/>
  <c r="E21" i="310"/>
  <c r="F21" i="310"/>
  <c r="G21" i="310"/>
  <c r="I21" i="310"/>
  <c r="K21" i="310"/>
  <c r="J21" i="310"/>
  <c r="M21" i="310"/>
  <c r="AB21" i="310"/>
  <c r="D22" i="310"/>
  <c r="E22" i="310"/>
  <c r="F22" i="310"/>
  <c r="G22" i="310"/>
  <c r="J22" i="310"/>
  <c r="M22" i="310"/>
  <c r="AB22" i="310"/>
  <c r="D23" i="310"/>
  <c r="E23" i="310"/>
  <c r="H23" i="310"/>
  <c r="F23" i="310"/>
  <c r="G23" i="310"/>
  <c r="J23" i="310"/>
  <c r="M23" i="310"/>
  <c r="AB23" i="310"/>
  <c r="D24" i="310"/>
  <c r="E24" i="310"/>
  <c r="H24" i="310"/>
  <c r="F24" i="310"/>
  <c r="G24" i="310"/>
  <c r="J24" i="310"/>
  <c r="M24" i="310"/>
  <c r="AB24" i="310"/>
  <c r="D25" i="310"/>
  <c r="E25" i="310"/>
  <c r="F25" i="310"/>
  <c r="G25" i="310"/>
  <c r="J25" i="310"/>
  <c r="M25" i="310"/>
  <c r="AB25" i="310"/>
  <c r="D26" i="310"/>
  <c r="E26" i="310"/>
  <c r="F26" i="310"/>
  <c r="G26" i="310"/>
  <c r="J26" i="310"/>
  <c r="M26" i="310"/>
  <c r="AB26" i="310"/>
  <c r="D27" i="310"/>
  <c r="E27" i="310"/>
  <c r="F27" i="310"/>
  <c r="G27" i="310"/>
  <c r="J27" i="310"/>
  <c r="M27" i="310"/>
  <c r="AB27" i="310"/>
  <c r="D28" i="310"/>
  <c r="E28" i="310"/>
  <c r="F28" i="310"/>
  <c r="G28" i="310"/>
  <c r="H28" i="310"/>
  <c r="J28" i="310"/>
  <c r="M28" i="310"/>
  <c r="AB28" i="310"/>
  <c r="D29" i="310"/>
  <c r="E29" i="310"/>
  <c r="F29" i="310"/>
  <c r="G29" i="310"/>
  <c r="I29" i="310"/>
  <c r="K29" i="310"/>
  <c r="J29" i="310"/>
  <c r="M29" i="310"/>
  <c r="AB29" i="310"/>
  <c r="E49" i="310"/>
  <c r="H49" i="310"/>
  <c r="M49" i="310"/>
  <c r="M51" i="310"/>
  <c r="A55" i="310"/>
  <c r="C51" i="310"/>
  <c r="A56" i="310"/>
  <c r="Z47" i="310"/>
  <c r="B2" i="250"/>
  <c r="B49" i="250"/>
  <c r="B51" i="250"/>
  <c r="AB3" i="250"/>
  <c r="Y4" i="250"/>
  <c r="AB4" i="250"/>
  <c r="AB5" i="250"/>
  <c r="Y9" i="250"/>
  <c r="D10" i="250"/>
  <c r="I10" i="250"/>
  <c r="K10" i="250"/>
  <c r="E10" i="250"/>
  <c r="F10" i="250"/>
  <c r="G10" i="250"/>
  <c r="H10" i="250"/>
  <c r="J10" i="250"/>
  <c r="M10" i="250"/>
  <c r="AB10" i="250"/>
  <c r="D11" i="250"/>
  <c r="E11" i="250"/>
  <c r="F11" i="250"/>
  <c r="G11" i="250"/>
  <c r="J11" i="250"/>
  <c r="M11" i="250"/>
  <c r="AB11" i="250"/>
  <c r="D12" i="250"/>
  <c r="E12" i="250"/>
  <c r="F12" i="250"/>
  <c r="G12" i="250"/>
  <c r="J12" i="250"/>
  <c r="M12" i="250"/>
  <c r="AB12" i="250"/>
  <c r="D13" i="250"/>
  <c r="E13" i="250"/>
  <c r="F13" i="250"/>
  <c r="G13" i="250"/>
  <c r="J13" i="250"/>
  <c r="M13" i="250"/>
  <c r="AB13" i="250"/>
  <c r="D14" i="250"/>
  <c r="E14" i="250"/>
  <c r="H14" i="250"/>
  <c r="F14" i="250"/>
  <c r="G14" i="250"/>
  <c r="J14" i="250"/>
  <c r="M14" i="250"/>
  <c r="AB14" i="250"/>
  <c r="D15" i="250"/>
  <c r="E15" i="250"/>
  <c r="H15" i="250"/>
  <c r="F15" i="250"/>
  <c r="G15" i="250"/>
  <c r="J15" i="250"/>
  <c r="M15" i="250"/>
  <c r="AB15" i="250"/>
  <c r="D16" i="250"/>
  <c r="E16" i="250"/>
  <c r="F16" i="250"/>
  <c r="H16" i="250"/>
  <c r="G16" i="250"/>
  <c r="J16" i="250"/>
  <c r="M16" i="250"/>
  <c r="AB16" i="250"/>
  <c r="B17" i="250"/>
  <c r="D17" i="250"/>
  <c r="E17" i="250"/>
  <c r="F17" i="250"/>
  <c r="G17" i="250"/>
  <c r="J17" i="250"/>
  <c r="M17" i="250"/>
  <c r="AB17" i="250"/>
  <c r="D18" i="250"/>
  <c r="E18" i="250"/>
  <c r="F18" i="250"/>
  <c r="G18" i="250"/>
  <c r="H18" i="250"/>
  <c r="J18" i="250"/>
  <c r="M18" i="250"/>
  <c r="AB18" i="250"/>
  <c r="D19" i="250"/>
  <c r="E19" i="250"/>
  <c r="F19" i="250"/>
  <c r="G19" i="250"/>
  <c r="J19" i="250"/>
  <c r="M19" i="250"/>
  <c r="AB19" i="250"/>
  <c r="D20" i="250"/>
  <c r="E20" i="250"/>
  <c r="F20" i="250"/>
  <c r="G20" i="250"/>
  <c r="J20" i="250"/>
  <c r="M20" i="250"/>
  <c r="AB20" i="250"/>
  <c r="D21" i="250"/>
  <c r="E21" i="250"/>
  <c r="F21" i="250"/>
  <c r="G21" i="250"/>
  <c r="J21" i="250"/>
  <c r="M21" i="250"/>
  <c r="AB21" i="250"/>
  <c r="D22" i="250"/>
  <c r="E22" i="250"/>
  <c r="F22" i="250"/>
  <c r="G22" i="250"/>
  <c r="J22" i="250"/>
  <c r="M22" i="250"/>
  <c r="AB22" i="250"/>
  <c r="D23" i="250"/>
  <c r="E23" i="250"/>
  <c r="F23" i="250"/>
  <c r="G23" i="250"/>
  <c r="J23" i="250"/>
  <c r="M23" i="250"/>
  <c r="AB23" i="250"/>
  <c r="D24" i="250"/>
  <c r="E24" i="250"/>
  <c r="F24" i="250"/>
  <c r="G24" i="250"/>
  <c r="J24" i="250"/>
  <c r="M24" i="250"/>
  <c r="AB24" i="250"/>
  <c r="D25" i="250"/>
  <c r="E25" i="250"/>
  <c r="I25" i="250"/>
  <c r="K25" i="250"/>
  <c r="F25" i="250"/>
  <c r="G25" i="250"/>
  <c r="J25" i="250"/>
  <c r="M25" i="250"/>
  <c r="AB25" i="250"/>
  <c r="D26" i="250"/>
  <c r="E26" i="250"/>
  <c r="F26" i="250"/>
  <c r="G26" i="250"/>
  <c r="J26" i="250"/>
  <c r="M26" i="250"/>
  <c r="AB26" i="250"/>
  <c r="D27" i="250"/>
  <c r="E27" i="250"/>
  <c r="F27" i="250"/>
  <c r="G27" i="250"/>
  <c r="J27" i="250"/>
  <c r="M27" i="250"/>
  <c r="AB27" i="250"/>
  <c r="D28" i="250"/>
  <c r="E28" i="250"/>
  <c r="F28" i="250"/>
  <c r="G28" i="250"/>
  <c r="J28" i="250"/>
  <c r="M28" i="250"/>
  <c r="AB28" i="250"/>
  <c r="D29" i="250"/>
  <c r="E29" i="250"/>
  <c r="F29" i="250"/>
  <c r="G29" i="250"/>
  <c r="J29" i="250"/>
  <c r="M29" i="250"/>
  <c r="AB29" i="250"/>
  <c r="G46" i="250"/>
  <c r="E49" i="250"/>
  <c r="H49" i="250"/>
  <c r="M49" i="250"/>
  <c r="M51" i="250"/>
  <c r="A55" i="250"/>
  <c r="C51" i="250"/>
  <c r="A56" i="250"/>
  <c r="Z47" i="250"/>
  <c r="B2" i="256"/>
  <c r="AB3" i="256"/>
  <c r="B4" i="256"/>
  <c r="Y4" i="256"/>
  <c r="AB4" i="256"/>
  <c r="AB5" i="256"/>
  <c r="Y9" i="256"/>
  <c r="D10" i="256"/>
  <c r="E10" i="256"/>
  <c r="F10" i="256"/>
  <c r="G10" i="256"/>
  <c r="J10" i="256"/>
  <c r="M10" i="256"/>
  <c r="AB10" i="256"/>
  <c r="D11" i="256"/>
  <c r="E11" i="256"/>
  <c r="F11" i="256"/>
  <c r="G11" i="256"/>
  <c r="J11" i="256"/>
  <c r="M11" i="256"/>
  <c r="AB11" i="256"/>
  <c r="D12" i="256"/>
  <c r="E12" i="256"/>
  <c r="F12" i="256"/>
  <c r="H12" i="256"/>
  <c r="G12" i="256"/>
  <c r="J12" i="256"/>
  <c r="M12" i="256"/>
  <c r="AB12" i="256"/>
  <c r="D13" i="256"/>
  <c r="E13" i="256"/>
  <c r="F13" i="256"/>
  <c r="G13" i="256"/>
  <c r="J13" i="256"/>
  <c r="M13" i="256"/>
  <c r="AB13" i="256"/>
  <c r="D14" i="256"/>
  <c r="E14" i="256"/>
  <c r="F14" i="256"/>
  <c r="G14" i="256"/>
  <c r="H14" i="256"/>
  <c r="J14" i="256"/>
  <c r="M14" i="256"/>
  <c r="AB14" i="256"/>
  <c r="B15" i="256"/>
  <c r="D15" i="256"/>
  <c r="E15" i="256"/>
  <c r="F15" i="256"/>
  <c r="G15" i="256"/>
  <c r="J15" i="256"/>
  <c r="M15" i="256"/>
  <c r="AB15" i="256"/>
  <c r="D16" i="256"/>
  <c r="E16" i="256"/>
  <c r="F16" i="256"/>
  <c r="G16" i="256"/>
  <c r="J16" i="256"/>
  <c r="M16" i="256"/>
  <c r="AB16" i="256"/>
  <c r="B17" i="256"/>
  <c r="D17" i="256"/>
  <c r="E17" i="256"/>
  <c r="F17" i="256"/>
  <c r="G17" i="256"/>
  <c r="J17" i="256"/>
  <c r="M17" i="256"/>
  <c r="AB17" i="256"/>
  <c r="D18" i="256"/>
  <c r="I18" i="256"/>
  <c r="E18" i="256"/>
  <c r="F18" i="256"/>
  <c r="G18" i="256"/>
  <c r="H18" i="256"/>
  <c r="J18" i="256"/>
  <c r="M18" i="256"/>
  <c r="AB18" i="256"/>
  <c r="D19" i="256"/>
  <c r="E19" i="256"/>
  <c r="F19" i="256"/>
  <c r="G19" i="256"/>
  <c r="J19" i="256"/>
  <c r="M19" i="256"/>
  <c r="AB19" i="256"/>
  <c r="D20" i="256"/>
  <c r="E20" i="256"/>
  <c r="F20" i="256"/>
  <c r="G20" i="256"/>
  <c r="J20" i="256"/>
  <c r="M20" i="256"/>
  <c r="AB20" i="256"/>
  <c r="D21" i="256"/>
  <c r="E21" i="256"/>
  <c r="F21" i="256"/>
  <c r="G21" i="256"/>
  <c r="J21" i="256"/>
  <c r="M21" i="256"/>
  <c r="AB21" i="256"/>
  <c r="D22" i="256"/>
  <c r="E22" i="256"/>
  <c r="F22" i="256"/>
  <c r="G22" i="256"/>
  <c r="H22" i="256"/>
  <c r="J22" i="256"/>
  <c r="M22" i="256"/>
  <c r="AB22" i="256"/>
  <c r="D23" i="256"/>
  <c r="E23" i="256"/>
  <c r="F23" i="256"/>
  <c r="G23" i="256"/>
  <c r="J23" i="256"/>
  <c r="M23" i="256"/>
  <c r="AB23" i="256"/>
  <c r="D24" i="256"/>
  <c r="E24" i="256"/>
  <c r="F24" i="256"/>
  <c r="G24" i="256"/>
  <c r="J24" i="256"/>
  <c r="M24" i="256"/>
  <c r="AB24" i="256"/>
  <c r="D25" i="256"/>
  <c r="E25" i="256"/>
  <c r="H25" i="256"/>
  <c r="F25" i="256"/>
  <c r="G25" i="256"/>
  <c r="J25" i="256"/>
  <c r="M25" i="256"/>
  <c r="AB25" i="256"/>
  <c r="D26" i="256"/>
  <c r="E26" i="256"/>
  <c r="F26" i="256"/>
  <c r="G26" i="256"/>
  <c r="J26" i="256"/>
  <c r="M26" i="256"/>
  <c r="AB26" i="256"/>
  <c r="D27" i="256"/>
  <c r="E27" i="256"/>
  <c r="F27" i="256"/>
  <c r="G27" i="256"/>
  <c r="J27" i="256"/>
  <c r="M27" i="256"/>
  <c r="AB27" i="256"/>
  <c r="D28" i="256"/>
  <c r="E28" i="256"/>
  <c r="F28" i="256"/>
  <c r="G28" i="256"/>
  <c r="J28" i="256"/>
  <c r="M28" i="256"/>
  <c r="AB28" i="256"/>
  <c r="D29" i="256"/>
  <c r="E29" i="256"/>
  <c r="I29" i="256"/>
  <c r="K29" i="256"/>
  <c r="F29" i="256"/>
  <c r="G29" i="256"/>
  <c r="J29" i="256"/>
  <c r="M29" i="256"/>
  <c r="AB29" i="256"/>
  <c r="AA36" i="256"/>
  <c r="AB36" i="256"/>
  <c r="AC36" i="256"/>
  <c r="AA37" i="256"/>
  <c r="AB37" i="256"/>
  <c r="AC37" i="256"/>
  <c r="AA38" i="256"/>
  <c r="AB38" i="256"/>
  <c r="AC38" i="256"/>
  <c r="AA39" i="256"/>
  <c r="AB39" i="256"/>
  <c r="AC39" i="256"/>
  <c r="G41" i="256"/>
  <c r="B49" i="256"/>
  <c r="B51" i="256"/>
  <c r="E49" i="256"/>
  <c r="H49" i="256"/>
  <c r="M49" i="256"/>
  <c r="M51" i="256"/>
  <c r="A55" i="256"/>
  <c r="C51" i="256"/>
  <c r="A56" i="256"/>
  <c r="Z47" i="256"/>
  <c r="B2" i="11"/>
  <c r="F10" i="11"/>
  <c r="D13" i="11"/>
  <c r="E13" i="11"/>
  <c r="E40" i="11"/>
  <c r="F13" i="11"/>
  <c r="B4" i="310"/>
  <c r="F27" i="11"/>
  <c r="H33" i="11"/>
  <c r="G42" i="11"/>
  <c r="D43" i="11"/>
  <c r="E43" i="11"/>
  <c r="F43" i="11"/>
  <c r="D44" i="11"/>
  <c r="E44" i="11"/>
  <c r="F44" i="11"/>
  <c r="D45" i="11"/>
  <c r="E45" i="11"/>
  <c r="D53" i="11"/>
  <c r="E53" i="11"/>
  <c r="F53" i="11"/>
  <c r="D57" i="11"/>
  <c r="E57" i="11"/>
  <c r="F57" i="11"/>
  <c r="A70" i="11"/>
  <c r="G46" i="11"/>
  <c r="B2" i="64"/>
  <c r="F4" i="64"/>
  <c r="J6" i="64"/>
  <c r="J17" i="64"/>
  <c r="J7" i="64"/>
  <c r="J18" i="64"/>
  <c r="I18" i="64"/>
  <c r="B8" i="64"/>
  <c r="E11" i="64"/>
  <c r="E24" i="64"/>
  <c r="F24" i="64"/>
  <c r="A37" i="64"/>
  <c r="A38" i="64"/>
  <c r="B2" i="63"/>
  <c r="I4" i="63"/>
  <c r="B6" i="63"/>
  <c r="D8" i="63"/>
  <c r="D25" i="64"/>
  <c r="G8" i="63"/>
  <c r="G10" i="63"/>
  <c r="G12" i="63"/>
  <c r="I12" i="63"/>
  <c r="G13" i="63"/>
  <c r="G14" i="63"/>
  <c r="B24" i="63"/>
  <c r="I6" i="64"/>
  <c r="D24" i="63"/>
  <c r="D25" i="63"/>
  <c r="B25" i="63"/>
  <c r="I7" i="64"/>
  <c r="E26" i="63"/>
  <c r="J19" i="64"/>
  <c r="E27" i="63"/>
  <c r="A33" i="63"/>
  <c r="E7" i="63"/>
  <c r="F7" i="63"/>
  <c r="B2" i="59"/>
  <c r="D8" i="59"/>
  <c r="D9" i="59"/>
  <c r="D10" i="59"/>
  <c r="D11" i="59"/>
  <c r="D12" i="59"/>
  <c r="D13" i="59"/>
  <c r="D14" i="59"/>
  <c r="D15" i="59"/>
  <c r="D16" i="59"/>
  <c r="D17" i="59"/>
  <c r="D18" i="59"/>
  <c r="D19" i="59"/>
  <c r="D20" i="59"/>
  <c r="D21" i="59"/>
  <c r="D22" i="59"/>
  <c r="D23" i="59"/>
  <c r="D24" i="59"/>
  <c r="D25" i="59"/>
  <c r="D26" i="59"/>
  <c r="B2" i="57"/>
  <c r="AM3" i="57"/>
  <c r="AQ3" i="57"/>
  <c r="AJ4" i="57"/>
  <c r="AM4" i="57"/>
  <c r="AO4" i="57"/>
  <c r="AQ4" i="57"/>
  <c r="AM5" i="57"/>
  <c r="AO5" i="57"/>
  <c r="AQ5" i="57"/>
  <c r="L7" i="57"/>
  <c r="AO3" i="57"/>
  <c r="M7" i="57"/>
  <c r="N7" i="57"/>
  <c r="O7" i="57"/>
  <c r="B9" i="57"/>
  <c r="C9" i="57"/>
  <c r="D9" i="57"/>
  <c r="B8" i="59"/>
  <c r="E9" i="57"/>
  <c r="F9" i="57"/>
  <c r="G9" i="57"/>
  <c r="L9" i="57"/>
  <c r="U9" i="57"/>
  <c r="M9" i="57"/>
  <c r="N9" i="57"/>
  <c r="O9" i="57"/>
  <c r="Q9" i="57"/>
  <c r="R9" i="57"/>
  <c r="S9" i="57"/>
  <c r="W9" i="57"/>
  <c r="X9" i="57"/>
  <c r="Y9" i="57"/>
  <c r="AA9" i="57"/>
  <c r="AB9" i="57"/>
  <c r="AC9" i="57"/>
  <c r="AE9" i="57"/>
  <c r="AG9" i="57"/>
  <c r="AI9" i="57"/>
  <c r="AJ9" i="57"/>
  <c r="AK9" i="57"/>
  <c r="B10" i="57"/>
  <c r="C10" i="57"/>
  <c r="D10" i="57"/>
  <c r="B9" i="59"/>
  <c r="E10" i="57"/>
  <c r="F10" i="57"/>
  <c r="G10" i="57"/>
  <c r="L10" i="57"/>
  <c r="M10" i="57"/>
  <c r="N10" i="57"/>
  <c r="O10" i="57"/>
  <c r="Q10" i="57"/>
  <c r="R10" i="57"/>
  <c r="S10" i="57"/>
  <c r="X10" i="57"/>
  <c r="Y10" i="57"/>
  <c r="AA10" i="57"/>
  <c r="AB10" i="57"/>
  <c r="AC10" i="57"/>
  <c r="AG10" i="57"/>
  <c r="AI10" i="57"/>
  <c r="AJ10" i="57"/>
  <c r="B11" i="57"/>
  <c r="C11" i="57"/>
  <c r="D11" i="57"/>
  <c r="B10" i="59"/>
  <c r="E11" i="57"/>
  <c r="F11" i="57"/>
  <c r="G11" i="57"/>
  <c r="L11" i="57"/>
  <c r="AF11" i="57"/>
  <c r="M11" i="57"/>
  <c r="N11" i="57"/>
  <c r="O11" i="57"/>
  <c r="Q11" i="57"/>
  <c r="Q45" i="57"/>
  <c r="R11" i="57"/>
  <c r="S11" i="57"/>
  <c r="X11" i="57"/>
  <c r="Y11" i="57"/>
  <c r="AA11" i="57"/>
  <c r="AB11" i="57"/>
  <c r="AC11" i="57"/>
  <c r="AG11" i="57"/>
  <c r="AI11" i="57"/>
  <c r="AJ11" i="57"/>
  <c r="B12" i="57"/>
  <c r="C12" i="57"/>
  <c r="D12" i="57"/>
  <c r="B11" i="59"/>
  <c r="E12" i="57"/>
  <c r="F12" i="57"/>
  <c r="G12" i="57"/>
  <c r="L12" i="57"/>
  <c r="AF12" i="57"/>
  <c r="M12" i="57"/>
  <c r="N12" i="57"/>
  <c r="O12" i="57"/>
  <c r="Q12" i="57"/>
  <c r="R12" i="57"/>
  <c r="S12" i="57"/>
  <c r="X12" i="57"/>
  <c r="Y12" i="57"/>
  <c r="AA12" i="57"/>
  <c r="AB12" i="57"/>
  <c r="AC12" i="57"/>
  <c r="AG12" i="57"/>
  <c r="AI12" i="57"/>
  <c r="AJ12" i="57"/>
  <c r="B13" i="57"/>
  <c r="C13" i="57"/>
  <c r="D13" i="57"/>
  <c r="B12" i="59"/>
  <c r="E13" i="57"/>
  <c r="F13" i="57"/>
  <c r="G13" i="57"/>
  <c r="L13" i="57"/>
  <c r="M13" i="57"/>
  <c r="N13" i="57"/>
  <c r="O13" i="57"/>
  <c r="Q13" i="57"/>
  <c r="R13" i="57"/>
  <c r="S13" i="57"/>
  <c r="V13" i="57"/>
  <c r="X13" i="57"/>
  <c r="Y13" i="57"/>
  <c r="AA13" i="57"/>
  <c r="AB13" i="57"/>
  <c r="AC13" i="57"/>
  <c r="AG13" i="57"/>
  <c r="AI13" i="57"/>
  <c r="AJ13" i="57"/>
  <c r="B14" i="57"/>
  <c r="C14" i="57"/>
  <c r="D14" i="57"/>
  <c r="B13" i="59"/>
  <c r="E14" i="57"/>
  <c r="F14" i="57"/>
  <c r="G14" i="57"/>
  <c r="L14" i="57"/>
  <c r="AF14" i="57"/>
  <c r="M14" i="57"/>
  <c r="N14" i="57"/>
  <c r="O14" i="57"/>
  <c r="Q14" i="57"/>
  <c r="R14" i="57"/>
  <c r="S14" i="57"/>
  <c r="X14" i="57"/>
  <c r="Y14" i="57"/>
  <c r="AA14" i="57"/>
  <c r="AB14" i="57"/>
  <c r="AC14" i="57"/>
  <c r="AG14" i="57"/>
  <c r="AI14" i="57"/>
  <c r="AJ14" i="57"/>
  <c r="B15" i="57"/>
  <c r="C15" i="57"/>
  <c r="D15" i="57"/>
  <c r="B14" i="59"/>
  <c r="E15" i="57"/>
  <c r="F15" i="57"/>
  <c r="G15" i="57"/>
  <c r="L15" i="57"/>
  <c r="AF15" i="57"/>
  <c r="M15" i="57"/>
  <c r="N15" i="57"/>
  <c r="O15" i="57"/>
  <c r="Q15" i="57"/>
  <c r="R15" i="57"/>
  <c r="S15" i="57"/>
  <c r="X15" i="57"/>
  <c r="Y15" i="57"/>
  <c r="AA15" i="57"/>
  <c r="AB15" i="57"/>
  <c r="AC15" i="57"/>
  <c r="AG15" i="57"/>
  <c r="AI15" i="57"/>
  <c r="AJ15" i="57"/>
  <c r="B16" i="57"/>
  <c r="C16" i="57"/>
  <c r="D16" i="57"/>
  <c r="B15" i="59"/>
  <c r="E16" i="57"/>
  <c r="F16" i="57"/>
  <c r="G16" i="57"/>
  <c r="L16" i="57"/>
  <c r="AF16" i="57"/>
  <c r="M16" i="57"/>
  <c r="N16" i="57"/>
  <c r="O16" i="57"/>
  <c r="Q16" i="57"/>
  <c r="R16" i="57"/>
  <c r="S16" i="57"/>
  <c r="X16" i="57"/>
  <c r="Y16" i="57"/>
  <c r="AA16" i="57"/>
  <c r="AB16" i="57"/>
  <c r="AC16" i="57"/>
  <c r="AG16" i="57"/>
  <c r="AI16" i="57"/>
  <c r="AJ16" i="57"/>
  <c r="B17" i="57"/>
  <c r="C17" i="57"/>
  <c r="D17" i="57"/>
  <c r="B16" i="59"/>
  <c r="E17" i="57"/>
  <c r="F17" i="57"/>
  <c r="G17" i="57"/>
  <c r="L17" i="57"/>
  <c r="M17" i="57"/>
  <c r="N17" i="57"/>
  <c r="O17" i="57"/>
  <c r="Q17" i="57"/>
  <c r="R17" i="57"/>
  <c r="S17" i="57"/>
  <c r="V17" i="57"/>
  <c r="X17" i="57"/>
  <c r="Y17" i="57"/>
  <c r="AA17" i="57"/>
  <c r="AB17" i="57"/>
  <c r="AC17" i="57"/>
  <c r="AG17" i="57"/>
  <c r="AI17" i="57"/>
  <c r="AJ17" i="57"/>
  <c r="B18" i="57"/>
  <c r="C18" i="57"/>
  <c r="D18" i="57"/>
  <c r="B17" i="59"/>
  <c r="E18" i="57"/>
  <c r="F18" i="57"/>
  <c r="G18" i="57"/>
  <c r="L18" i="57"/>
  <c r="AF18" i="57"/>
  <c r="M18" i="57"/>
  <c r="N18" i="57"/>
  <c r="O18" i="57"/>
  <c r="Q18" i="57"/>
  <c r="R18" i="57"/>
  <c r="S18" i="57"/>
  <c r="X18" i="57"/>
  <c r="Y18" i="57"/>
  <c r="AA18" i="57"/>
  <c r="AA46" i="57"/>
  <c r="AB18" i="57"/>
  <c r="AC18" i="57"/>
  <c r="AG18" i="57"/>
  <c r="AI18" i="57"/>
  <c r="AJ18" i="57"/>
  <c r="B19" i="57"/>
  <c r="C19" i="57"/>
  <c r="D19" i="57"/>
  <c r="B18" i="59"/>
  <c r="E19" i="57"/>
  <c r="F19" i="57"/>
  <c r="G19" i="57"/>
  <c r="L19" i="57"/>
  <c r="AF19" i="57"/>
  <c r="M19" i="57"/>
  <c r="N19" i="57"/>
  <c r="O19" i="57"/>
  <c r="Q19" i="57"/>
  <c r="R19" i="57"/>
  <c r="S19" i="57"/>
  <c r="X19" i="57"/>
  <c r="Y19" i="57"/>
  <c r="AA19" i="57"/>
  <c r="AB19" i="57"/>
  <c r="AC19" i="57"/>
  <c r="AG19" i="57"/>
  <c r="AI19" i="57"/>
  <c r="AJ19" i="57"/>
  <c r="B20" i="57"/>
  <c r="C20" i="57"/>
  <c r="D20" i="57"/>
  <c r="B19" i="59"/>
  <c r="E20" i="57"/>
  <c r="F20" i="57"/>
  <c r="G20" i="57"/>
  <c r="L20" i="57"/>
  <c r="AF20" i="57"/>
  <c r="M20" i="57"/>
  <c r="N20" i="57"/>
  <c r="O20" i="57"/>
  <c r="Q20" i="57"/>
  <c r="R20" i="57"/>
  <c r="S20" i="57"/>
  <c r="X20" i="57"/>
  <c r="Y20" i="57"/>
  <c r="AA20" i="57"/>
  <c r="AB20" i="57"/>
  <c r="AC20" i="57"/>
  <c r="AG20" i="57"/>
  <c r="AI20" i="57"/>
  <c r="AJ20" i="57"/>
  <c r="B21" i="57"/>
  <c r="C21" i="57"/>
  <c r="D21" i="57"/>
  <c r="B20" i="59"/>
  <c r="E21" i="57"/>
  <c r="F21" i="57"/>
  <c r="G21" i="57"/>
  <c r="L21" i="57"/>
  <c r="M21" i="57"/>
  <c r="N21" i="57"/>
  <c r="O21" i="57"/>
  <c r="Q21" i="57"/>
  <c r="R21" i="57"/>
  <c r="S21" i="57"/>
  <c r="V21" i="57"/>
  <c r="X21" i="57"/>
  <c r="Y21" i="57"/>
  <c r="AA21" i="57"/>
  <c r="AB21" i="57"/>
  <c r="AC21" i="57"/>
  <c r="AG21" i="57"/>
  <c r="AI21" i="57"/>
  <c r="AJ21" i="57"/>
  <c r="B22" i="57"/>
  <c r="C22" i="57"/>
  <c r="D22" i="57"/>
  <c r="B21" i="59"/>
  <c r="E22" i="57"/>
  <c r="F22" i="57"/>
  <c r="G22" i="57"/>
  <c r="L22" i="57"/>
  <c r="AF22" i="57"/>
  <c r="M22" i="57"/>
  <c r="N22" i="57"/>
  <c r="O22" i="57"/>
  <c r="Q22" i="57"/>
  <c r="R22" i="57"/>
  <c r="S22" i="57"/>
  <c r="X22" i="57"/>
  <c r="Y22" i="57"/>
  <c r="AA22" i="57"/>
  <c r="AB22" i="57"/>
  <c r="AC22" i="57"/>
  <c r="AG22" i="57"/>
  <c r="AI22" i="57"/>
  <c r="AJ22" i="57"/>
  <c r="B23" i="57"/>
  <c r="C23" i="57"/>
  <c r="D23" i="57"/>
  <c r="B22" i="59"/>
  <c r="E23" i="57"/>
  <c r="F23" i="57"/>
  <c r="G23" i="57"/>
  <c r="L23" i="57"/>
  <c r="AF23" i="57"/>
  <c r="M23" i="57"/>
  <c r="N23" i="57"/>
  <c r="O23" i="57"/>
  <c r="Q23" i="57"/>
  <c r="R23" i="57"/>
  <c r="S23" i="57"/>
  <c r="X23" i="57"/>
  <c r="Y23" i="57"/>
  <c r="AA23" i="57"/>
  <c r="AB23" i="57"/>
  <c r="AC23" i="57"/>
  <c r="AG23" i="57"/>
  <c r="AI23" i="57"/>
  <c r="AJ23" i="57"/>
  <c r="B24" i="57"/>
  <c r="C24" i="57"/>
  <c r="D24" i="57"/>
  <c r="B23" i="59"/>
  <c r="E24" i="57"/>
  <c r="F24" i="57"/>
  <c r="G24" i="57"/>
  <c r="L24" i="57"/>
  <c r="AF24" i="57"/>
  <c r="M24" i="57"/>
  <c r="N24" i="57"/>
  <c r="O24" i="57"/>
  <c r="Q24" i="57"/>
  <c r="R24" i="57"/>
  <c r="S24" i="57"/>
  <c r="X24" i="57"/>
  <c r="Y24" i="57"/>
  <c r="AA24" i="57"/>
  <c r="AB24" i="57"/>
  <c r="AC24" i="57"/>
  <c r="AG24" i="57"/>
  <c r="AI24" i="57"/>
  <c r="AJ24" i="57"/>
  <c r="B25" i="57"/>
  <c r="C25" i="57"/>
  <c r="D25" i="57"/>
  <c r="B24" i="59"/>
  <c r="E25" i="57"/>
  <c r="F25" i="57"/>
  <c r="G25" i="57"/>
  <c r="L25" i="57"/>
  <c r="M25" i="57"/>
  <c r="N25" i="57"/>
  <c r="O25" i="57"/>
  <c r="Q25" i="57"/>
  <c r="R25" i="57"/>
  <c r="S25" i="57"/>
  <c r="V25" i="57"/>
  <c r="X25" i="57"/>
  <c r="Y25" i="57"/>
  <c r="AA25" i="57"/>
  <c r="AB25" i="57"/>
  <c r="AC25" i="57"/>
  <c r="AG25" i="57"/>
  <c r="AI25" i="57"/>
  <c r="AJ25" i="57"/>
  <c r="B26" i="57"/>
  <c r="C26" i="57"/>
  <c r="D26" i="57"/>
  <c r="B25" i="59"/>
  <c r="E26" i="57"/>
  <c r="F26" i="57"/>
  <c r="G26" i="57"/>
  <c r="L26" i="57"/>
  <c r="AF26" i="57"/>
  <c r="M26" i="57"/>
  <c r="N26" i="57"/>
  <c r="O26" i="57"/>
  <c r="Q26" i="57"/>
  <c r="R26" i="57"/>
  <c r="S26" i="57"/>
  <c r="X26" i="57"/>
  <c r="Y26" i="57"/>
  <c r="AA26" i="57"/>
  <c r="AB26" i="57"/>
  <c r="AC26" i="57"/>
  <c r="AG26" i="57"/>
  <c r="AI26" i="57"/>
  <c r="AJ26" i="57"/>
  <c r="B27" i="57"/>
  <c r="C27" i="57"/>
  <c r="D27" i="57"/>
  <c r="B26" i="59"/>
  <c r="E27" i="57"/>
  <c r="F27" i="57"/>
  <c r="G27" i="57"/>
  <c r="L27" i="57"/>
  <c r="AF27" i="57"/>
  <c r="M27" i="57"/>
  <c r="N27" i="57"/>
  <c r="O27" i="57"/>
  <c r="Q27" i="57"/>
  <c r="R27" i="57"/>
  <c r="S27" i="57"/>
  <c r="X27" i="57"/>
  <c r="Y27" i="57"/>
  <c r="AA27" i="57"/>
  <c r="AB27" i="57"/>
  <c r="AC27" i="57"/>
  <c r="AG27" i="57"/>
  <c r="AI27" i="57"/>
  <c r="AJ27" i="57"/>
  <c r="AA43" i="57"/>
  <c r="Q46" i="57"/>
  <c r="B2" i="15"/>
  <c r="D8" i="15"/>
  <c r="D9" i="15"/>
  <c r="B10" i="15"/>
  <c r="D10" i="15"/>
  <c r="D11" i="15"/>
  <c r="B12" i="15"/>
  <c r="D12" i="15"/>
  <c r="D13" i="15"/>
  <c r="D14" i="15"/>
  <c r="D15" i="15"/>
  <c r="D16" i="15"/>
  <c r="D17" i="15"/>
  <c r="D18" i="15"/>
  <c r="D19" i="15"/>
  <c r="D20" i="15"/>
  <c r="D21" i="15"/>
  <c r="D22" i="15"/>
  <c r="D23" i="15"/>
  <c r="D24" i="15"/>
  <c r="D25" i="15"/>
  <c r="D26" i="15"/>
  <c r="D27" i="15"/>
  <c r="B34" i="15"/>
  <c r="D34" i="15"/>
  <c r="B35" i="15"/>
  <c r="D35" i="15"/>
  <c r="B36" i="15"/>
  <c r="D36" i="15"/>
  <c r="B37" i="15"/>
  <c r="D37" i="15"/>
  <c r="B2" i="47"/>
  <c r="AC2" i="47"/>
  <c r="AE2" i="47"/>
  <c r="AM2" i="47"/>
  <c r="AC3" i="47"/>
  <c r="AE3" i="47"/>
  <c r="Z4" i="47"/>
  <c r="AE4" i="47"/>
  <c r="N8" i="47"/>
  <c r="X8" i="47"/>
  <c r="R8" i="47"/>
  <c r="S8" i="47"/>
  <c r="T8" i="47"/>
  <c r="B10" i="47"/>
  <c r="B10" i="13"/>
  <c r="C10" i="47"/>
  <c r="H10" i="47"/>
  <c r="I10" i="47"/>
  <c r="J10" i="47"/>
  <c r="J41" i="47"/>
  <c r="L10" i="47"/>
  <c r="M10" i="47"/>
  <c r="N10" i="47"/>
  <c r="O10" i="47"/>
  <c r="O41" i="47"/>
  <c r="P10" i="47"/>
  <c r="AC10" i="47"/>
  <c r="Y12" i="172"/>
  <c r="AD10" i="47"/>
  <c r="AE10" i="47"/>
  <c r="AA12" i="172"/>
  <c r="AF10" i="47"/>
  <c r="AB12" i="172"/>
  <c r="AI10" i="47"/>
  <c r="AE12" i="172"/>
  <c r="AM10" i="47"/>
  <c r="B11" i="47"/>
  <c r="C11" i="47"/>
  <c r="H11" i="47"/>
  <c r="I11" i="47"/>
  <c r="J11" i="47"/>
  <c r="L11" i="47"/>
  <c r="M11" i="47"/>
  <c r="N11" i="47"/>
  <c r="O11" i="47"/>
  <c r="P11" i="47"/>
  <c r="V11" i="47"/>
  <c r="Z11" i="47"/>
  <c r="AC11" i="47"/>
  <c r="Y13" i="172"/>
  <c r="AD11" i="47"/>
  <c r="AE11" i="47"/>
  <c r="AA13" i="172"/>
  <c r="AF11" i="47"/>
  <c r="AB13" i="172"/>
  <c r="AI11" i="47"/>
  <c r="AE13" i="172"/>
  <c r="AM11" i="47"/>
  <c r="B12" i="47"/>
  <c r="B12" i="310"/>
  <c r="C12" i="47"/>
  <c r="S12" i="47"/>
  <c r="H12" i="47"/>
  <c r="H42" i="47"/>
  <c r="I12" i="47"/>
  <c r="J12" i="47"/>
  <c r="L12" i="47"/>
  <c r="M12" i="47"/>
  <c r="M42" i="47"/>
  <c r="N12" i="47"/>
  <c r="O12" i="47"/>
  <c r="P12" i="47"/>
  <c r="Z12" i="47"/>
  <c r="AC12" i="47"/>
  <c r="Y14" i="172"/>
  <c r="AD12" i="47"/>
  <c r="AE12" i="47"/>
  <c r="AA14" i="172"/>
  <c r="AF12" i="47"/>
  <c r="AB14" i="172"/>
  <c r="AI12" i="47"/>
  <c r="AE14" i="172"/>
  <c r="AM12" i="47"/>
  <c r="B13" i="47"/>
  <c r="C13" i="47"/>
  <c r="H13" i="47"/>
  <c r="I13" i="47"/>
  <c r="J13" i="47"/>
  <c r="L13" i="47"/>
  <c r="L44" i="47"/>
  <c r="M13" i="47"/>
  <c r="N13" i="47"/>
  <c r="O13" i="47"/>
  <c r="P13" i="47"/>
  <c r="P44" i="47"/>
  <c r="AC13" i="47"/>
  <c r="Y15" i="172"/>
  <c r="AD13" i="47"/>
  <c r="AE13" i="47"/>
  <c r="AA15" i="172"/>
  <c r="AF13" i="47"/>
  <c r="AB15" i="172"/>
  <c r="AI13" i="47"/>
  <c r="AE15" i="172"/>
  <c r="AM13" i="47"/>
  <c r="B14" i="47"/>
  <c r="B14" i="13"/>
  <c r="C14" i="47"/>
  <c r="H14" i="47"/>
  <c r="I14" i="47"/>
  <c r="J14" i="47"/>
  <c r="L14" i="47"/>
  <c r="M14" i="47"/>
  <c r="N14" i="47"/>
  <c r="O14" i="47"/>
  <c r="P14" i="47"/>
  <c r="Z14" i="47"/>
  <c r="AC14" i="47"/>
  <c r="Y16" i="172"/>
  <c r="AD14" i="47"/>
  <c r="AE14" i="47"/>
  <c r="AA16" i="172"/>
  <c r="AF14" i="47"/>
  <c r="AB16" i="172"/>
  <c r="AI14" i="47"/>
  <c r="AE16" i="172"/>
  <c r="AM14" i="47"/>
  <c r="B15" i="47"/>
  <c r="B15" i="250"/>
  <c r="C15" i="47"/>
  <c r="H15" i="47"/>
  <c r="I15" i="47"/>
  <c r="J15" i="47"/>
  <c r="L15" i="47"/>
  <c r="V15" i="47"/>
  <c r="M15" i="47"/>
  <c r="N15" i="47"/>
  <c r="O15" i="47"/>
  <c r="P15" i="47"/>
  <c r="AC15" i="47"/>
  <c r="Y17" i="172"/>
  <c r="AD15" i="47"/>
  <c r="AE15" i="47"/>
  <c r="AA17" i="172"/>
  <c r="AF15" i="47"/>
  <c r="AB17" i="172"/>
  <c r="AI15" i="47"/>
  <c r="AE17" i="172"/>
  <c r="AM15" i="47"/>
  <c r="B16" i="47"/>
  <c r="B16" i="310"/>
  <c r="C16" i="47"/>
  <c r="H16" i="47"/>
  <c r="I16" i="47"/>
  <c r="I42" i="47"/>
  <c r="J16" i="47"/>
  <c r="L16" i="47"/>
  <c r="M16" i="47"/>
  <c r="N16" i="47"/>
  <c r="N42" i="47"/>
  <c r="O16" i="47"/>
  <c r="P16" i="47"/>
  <c r="Z16" i="47"/>
  <c r="AC16" i="47"/>
  <c r="Y18" i="172"/>
  <c r="AD16" i="47"/>
  <c r="AE16" i="47"/>
  <c r="AA18" i="172"/>
  <c r="AF16" i="47"/>
  <c r="AB18" i="172"/>
  <c r="AI16" i="47"/>
  <c r="AE18" i="172"/>
  <c r="AM16" i="47"/>
  <c r="B17" i="47"/>
  <c r="B17" i="310"/>
  <c r="C17" i="47"/>
  <c r="H17" i="47"/>
  <c r="I17" i="47"/>
  <c r="J17" i="47"/>
  <c r="L17" i="47"/>
  <c r="M17" i="47"/>
  <c r="N17" i="47"/>
  <c r="O17" i="47"/>
  <c r="P17" i="47"/>
  <c r="V17" i="47"/>
  <c r="Z17" i="47"/>
  <c r="AC17" i="47"/>
  <c r="Y19" i="172"/>
  <c r="AD17" i="47"/>
  <c r="AE17" i="47"/>
  <c r="AA19" i="172"/>
  <c r="AF17" i="47"/>
  <c r="AB19" i="172"/>
  <c r="AI17" i="47"/>
  <c r="AE19" i="172"/>
  <c r="AM17" i="47"/>
  <c r="B18" i="47"/>
  <c r="C18" i="47"/>
  <c r="H18" i="47"/>
  <c r="I18" i="47"/>
  <c r="J18" i="47"/>
  <c r="J46" i="47"/>
  <c r="L18" i="47"/>
  <c r="M18" i="47"/>
  <c r="N18" i="47"/>
  <c r="O18" i="47"/>
  <c r="O45" i="47"/>
  <c r="P18" i="47"/>
  <c r="AC18" i="47"/>
  <c r="Y20" i="172"/>
  <c r="AD18" i="47"/>
  <c r="AE18" i="47"/>
  <c r="AA20" i="172"/>
  <c r="AF18" i="47"/>
  <c r="AB20" i="172"/>
  <c r="AI18" i="47"/>
  <c r="AE20" i="172"/>
  <c r="AM18" i="47"/>
  <c r="B19" i="47"/>
  <c r="B17" i="15"/>
  <c r="C19" i="47"/>
  <c r="H19" i="47"/>
  <c r="I19" i="47"/>
  <c r="J19" i="47"/>
  <c r="L19" i="47"/>
  <c r="M19" i="47"/>
  <c r="N19" i="47"/>
  <c r="X19" i="47"/>
  <c r="O19" i="47"/>
  <c r="P19" i="47"/>
  <c r="AC19" i="47"/>
  <c r="Y21" i="172"/>
  <c r="AD19" i="47"/>
  <c r="Z21" i="172"/>
  <c r="AC21" i="172"/>
  <c r="AE19" i="47"/>
  <c r="AA21" i="172"/>
  <c r="AF19" i="47"/>
  <c r="AB21" i="172"/>
  <c r="AI19" i="47"/>
  <c r="AE21" i="172"/>
  <c r="AM19" i="47"/>
  <c r="B20" i="47"/>
  <c r="C20" i="47"/>
  <c r="H20" i="47"/>
  <c r="I20" i="47"/>
  <c r="J20" i="47"/>
  <c r="L20" i="47"/>
  <c r="M20" i="47"/>
  <c r="N20" i="47"/>
  <c r="O20" i="47"/>
  <c r="P20" i="47"/>
  <c r="S20" i="47"/>
  <c r="Z20" i="47"/>
  <c r="AC20" i="47"/>
  <c r="Y22" i="172"/>
  <c r="AD20" i="47"/>
  <c r="Z22" i="172"/>
  <c r="AE20" i="47"/>
  <c r="AA22" i="172"/>
  <c r="AF20" i="47"/>
  <c r="AB22" i="172"/>
  <c r="AI20" i="47"/>
  <c r="AE22" i="172"/>
  <c r="AM20" i="47"/>
  <c r="B21" i="47"/>
  <c r="C21" i="47"/>
  <c r="X21" i="47"/>
  <c r="H21" i="47"/>
  <c r="I21" i="47"/>
  <c r="J21" i="47"/>
  <c r="L21" i="47"/>
  <c r="M21" i="47"/>
  <c r="N21" i="47"/>
  <c r="O21" i="47"/>
  <c r="P21" i="47"/>
  <c r="AC21" i="47"/>
  <c r="Y23" i="172"/>
  <c r="AD21" i="47"/>
  <c r="Z23" i="172"/>
  <c r="AE21" i="47"/>
  <c r="AA23" i="172"/>
  <c r="AF21" i="47"/>
  <c r="AB23" i="172"/>
  <c r="AI21" i="47"/>
  <c r="AE23" i="172"/>
  <c r="AM21" i="47"/>
  <c r="B22" i="47"/>
  <c r="C22" i="47"/>
  <c r="C24" i="172"/>
  <c r="H22" i="47"/>
  <c r="I22" i="47"/>
  <c r="S22" i="47"/>
  <c r="J22" i="47"/>
  <c r="L22" i="47"/>
  <c r="M22" i="47"/>
  <c r="N22" i="47"/>
  <c r="O22" i="47"/>
  <c r="P22" i="47"/>
  <c r="V22" i="47"/>
  <c r="X22" i="47"/>
  <c r="Z22" i="47"/>
  <c r="AC22" i="47"/>
  <c r="Y24" i="172"/>
  <c r="AD22" i="47"/>
  <c r="AE22" i="47"/>
  <c r="AA24" i="172"/>
  <c r="AF22" i="47"/>
  <c r="AB24" i="172"/>
  <c r="AI22" i="47"/>
  <c r="AE24" i="172"/>
  <c r="AM22" i="47"/>
  <c r="B23" i="47"/>
  <c r="C23" i="47"/>
  <c r="C25" i="172"/>
  <c r="H23" i="47"/>
  <c r="I23" i="47"/>
  <c r="S23" i="47"/>
  <c r="J23" i="47"/>
  <c r="L23" i="47"/>
  <c r="M23" i="47"/>
  <c r="N23" i="47"/>
  <c r="O23" i="47"/>
  <c r="P23" i="47"/>
  <c r="V23" i="47"/>
  <c r="Z23" i="47"/>
  <c r="AC23" i="47"/>
  <c r="Y25" i="172"/>
  <c r="AD23" i="47"/>
  <c r="Z25" i="172"/>
  <c r="AC25" i="172"/>
  <c r="AE23" i="47"/>
  <c r="AA25" i="172"/>
  <c r="AF23" i="47"/>
  <c r="AB25" i="172"/>
  <c r="AI23" i="47"/>
  <c r="AE25" i="172"/>
  <c r="AM23" i="47"/>
  <c r="B24" i="47"/>
  <c r="C24" i="47"/>
  <c r="H24" i="47"/>
  <c r="I24" i="47"/>
  <c r="J24" i="47"/>
  <c r="L24" i="47"/>
  <c r="M24" i="47"/>
  <c r="N24" i="47"/>
  <c r="O24" i="47"/>
  <c r="P24" i="47"/>
  <c r="S24" i="47"/>
  <c r="Z24" i="47"/>
  <c r="AC24" i="47"/>
  <c r="Y26" i="172"/>
  <c r="AD24" i="47"/>
  <c r="Z26" i="172"/>
  <c r="AE24" i="47"/>
  <c r="AA26" i="172"/>
  <c r="AF24" i="47"/>
  <c r="AB26" i="172"/>
  <c r="AI24" i="47"/>
  <c r="AE26" i="172"/>
  <c r="AM24" i="47"/>
  <c r="B25" i="47"/>
  <c r="C25" i="47"/>
  <c r="X25" i="47"/>
  <c r="H25" i="47"/>
  <c r="I25" i="47"/>
  <c r="J25" i="47"/>
  <c r="L25" i="47"/>
  <c r="M25" i="47"/>
  <c r="N25" i="47"/>
  <c r="O25" i="47"/>
  <c r="P25" i="47"/>
  <c r="AC25" i="47"/>
  <c r="Y27" i="172"/>
  <c r="AD25" i="47"/>
  <c r="Z27" i="172"/>
  <c r="AE25" i="47"/>
  <c r="AA27" i="172"/>
  <c r="AF25" i="47"/>
  <c r="AB27" i="172"/>
  <c r="AI25" i="47"/>
  <c r="AE27" i="172"/>
  <c r="AM25" i="47"/>
  <c r="B26" i="47"/>
  <c r="C26" i="47"/>
  <c r="C28" i="172"/>
  <c r="H26" i="47"/>
  <c r="I26" i="47"/>
  <c r="J26" i="47"/>
  <c r="L26" i="47"/>
  <c r="M26" i="47"/>
  <c r="N26" i="47"/>
  <c r="X26" i="47"/>
  <c r="O26" i="47"/>
  <c r="P26" i="47"/>
  <c r="S26" i="47"/>
  <c r="V26" i="47"/>
  <c r="Z26" i="47"/>
  <c r="AC26" i="47"/>
  <c r="Y28" i="172"/>
  <c r="AD26" i="47"/>
  <c r="Z28" i="172"/>
  <c r="AC28" i="172"/>
  <c r="AE26" i="47"/>
  <c r="AA28" i="172"/>
  <c r="AF26" i="47"/>
  <c r="AB28" i="172"/>
  <c r="AH26" i="47"/>
  <c r="AJ26" i="47"/>
  <c r="AI26" i="47"/>
  <c r="AE28" i="172"/>
  <c r="AM26" i="47"/>
  <c r="B27" i="47"/>
  <c r="C27" i="47"/>
  <c r="H27" i="47"/>
  <c r="I27" i="47"/>
  <c r="J27" i="47"/>
  <c r="L27" i="47"/>
  <c r="M27" i="47"/>
  <c r="N27" i="47"/>
  <c r="O27" i="47"/>
  <c r="P27" i="47"/>
  <c r="AC27" i="47"/>
  <c r="Y29" i="172"/>
  <c r="AD27" i="47"/>
  <c r="Z29" i="172"/>
  <c r="AC29" i="172"/>
  <c r="AE27" i="47"/>
  <c r="AA29" i="172"/>
  <c r="AF27" i="47"/>
  <c r="AB29" i="172"/>
  <c r="AH27" i="47"/>
  <c r="AJ27" i="47"/>
  <c r="AI27" i="47"/>
  <c r="AE29" i="172"/>
  <c r="AM27" i="47"/>
  <c r="B28" i="47"/>
  <c r="C28" i="47"/>
  <c r="H28" i="47"/>
  <c r="I28" i="47"/>
  <c r="J28" i="47"/>
  <c r="L28" i="47"/>
  <c r="M28" i="47"/>
  <c r="N28" i="47"/>
  <c r="O28" i="47"/>
  <c r="P28" i="47"/>
  <c r="AC28" i="47"/>
  <c r="Y30" i="172"/>
  <c r="AD28" i="47"/>
  <c r="Z30" i="172"/>
  <c r="AE28" i="47"/>
  <c r="AA30" i="172"/>
  <c r="AF28" i="47"/>
  <c r="AB30" i="172"/>
  <c r="AH28" i="47"/>
  <c r="AJ28" i="47"/>
  <c r="AI28" i="47"/>
  <c r="AE30" i="172"/>
  <c r="AM28" i="47"/>
  <c r="B29" i="47"/>
  <c r="C29" i="47"/>
  <c r="H29" i="47"/>
  <c r="I29" i="47"/>
  <c r="J29" i="47"/>
  <c r="L29" i="47"/>
  <c r="M29" i="47"/>
  <c r="N29" i="47"/>
  <c r="O29" i="47"/>
  <c r="P29" i="47"/>
  <c r="AC29" i="47"/>
  <c r="Y31" i="172"/>
  <c r="AD29" i="47"/>
  <c r="AE29" i="47"/>
  <c r="AA31" i="172"/>
  <c r="AF29" i="47"/>
  <c r="AB31" i="172"/>
  <c r="AI29" i="47"/>
  <c r="AE31" i="172"/>
  <c r="AM29" i="47"/>
  <c r="AC36" i="47"/>
  <c r="Y38" i="172"/>
  <c r="AD36" i="47"/>
  <c r="Z38" i="172"/>
  <c r="AE36" i="47"/>
  <c r="AA38" i="172"/>
  <c r="AF36" i="47"/>
  <c r="AB38" i="172"/>
  <c r="AI36" i="47"/>
  <c r="AE38" i="172"/>
  <c r="AL36" i="47"/>
  <c r="AM36" i="47"/>
  <c r="AC37" i="47"/>
  <c r="Y39" i="172"/>
  <c r="AD37" i="47"/>
  <c r="Z39" i="172"/>
  <c r="AE37" i="47"/>
  <c r="AA39" i="172"/>
  <c r="AF37" i="47"/>
  <c r="AB39" i="172"/>
  <c r="AI37" i="47"/>
  <c r="AE39" i="172"/>
  <c r="AL37" i="47"/>
  <c r="AM37" i="47"/>
  <c r="AC38" i="47"/>
  <c r="Y40" i="172"/>
  <c r="AD38" i="47"/>
  <c r="Z40" i="172"/>
  <c r="AE38" i="47"/>
  <c r="AA40" i="172"/>
  <c r="AF38" i="47"/>
  <c r="AB40" i="172"/>
  <c r="AI38" i="47"/>
  <c r="AE40" i="172"/>
  <c r="AL38" i="47"/>
  <c r="AM38" i="47"/>
  <c r="AC39" i="47"/>
  <c r="Y41" i="172"/>
  <c r="AD39" i="47"/>
  <c r="Z41" i="172"/>
  <c r="AC41" i="172"/>
  <c r="AE39" i="47"/>
  <c r="AA41" i="172"/>
  <c r="AF39" i="47"/>
  <c r="AB41" i="172"/>
  <c r="AH39" i="47"/>
  <c r="AJ39" i="47"/>
  <c r="AI39" i="47"/>
  <c r="AE41" i="172"/>
  <c r="AL39" i="47"/>
  <c r="AM39" i="47"/>
  <c r="H41" i="47"/>
  <c r="C42" i="47"/>
  <c r="L42" i="47"/>
  <c r="P42" i="47"/>
  <c r="O43" i="47"/>
  <c r="J44" i="47"/>
  <c r="O44" i="47"/>
  <c r="M45" i="47"/>
  <c r="I46" i="47"/>
  <c r="N46" i="47"/>
  <c r="B2" i="38"/>
  <c r="D4" i="38"/>
  <c r="D7" i="38"/>
  <c r="A19" i="38"/>
  <c r="A20" i="38"/>
  <c r="F7" i="38"/>
  <c r="B2" i="40"/>
  <c r="N4" i="40"/>
  <c r="N11" i="40"/>
  <c r="M13" i="40"/>
  <c r="D15" i="40"/>
  <c r="F15" i="40"/>
  <c r="F17" i="40"/>
  <c r="J17" i="40"/>
  <c r="A26" i="40"/>
  <c r="A27" i="40"/>
  <c r="A28" i="40"/>
  <c r="A29" i="40"/>
  <c r="A30" i="40"/>
  <c r="B2" i="8"/>
  <c r="N4" i="8"/>
  <c r="H7" i="8"/>
  <c r="N7" i="8"/>
  <c r="H8" i="8"/>
  <c r="D12" i="8"/>
  <c r="D47" i="8"/>
  <c r="E12" i="8"/>
  <c r="E47" i="8"/>
  <c r="F12" i="8"/>
  <c r="D13" i="8"/>
  <c r="E13" i="8"/>
  <c r="F13" i="8"/>
  <c r="H13" i="8"/>
  <c r="E15" i="8"/>
  <c r="E20" i="8"/>
  <c r="F15" i="8"/>
  <c r="D17" i="8"/>
  <c r="E17" i="8"/>
  <c r="F17" i="8"/>
  <c r="H17" i="8"/>
  <c r="D18" i="8"/>
  <c r="E18" i="8"/>
  <c r="F18" i="8"/>
  <c r="H18" i="8"/>
  <c r="F20" i="8"/>
  <c r="L12" i="8"/>
  <c r="D25" i="8"/>
  <c r="D27" i="8"/>
  <c r="E25" i="8"/>
  <c r="F25" i="8"/>
  <c r="H25" i="8"/>
  <c r="E27" i="8"/>
  <c r="F27" i="8"/>
  <c r="H27" i="8"/>
  <c r="D30" i="8"/>
  <c r="E30" i="8"/>
  <c r="F30" i="8"/>
  <c r="F36" i="8"/>
  <c r="H30" i="8"/>
  <c r="L30" i="8"/>
  <c r="D31" i="8"/>
  <c r="E31" i="8"/>
  <c r="F31" i="8"/>
  <c r="H31" i="8"/>
  <c r="D32" i="8"/>
  <c r="E32" i="8"/>
  <c r="F32" i="8"/>
  <c r="H32" i="8"/>
  <c r="H33" i="8"/>
  <c r="D34" i="8"/>
  <c r="E34" i="8"/>
  <c r="F34" i="8"/>
  <c r="L34" i="8"/>
  <c r="H34" i="8"/>
  <c r="D36" i="8"/>
  <c r="B41" i="8"/>
  <c r="F47" i="8"/>
  <c r="F48" i="8"/>
  <c r="F50" i="8"/>
  <c r="B2" i="10"/>
  <c r="H4" i="10"/>
  <c r="E7" i="10"/>
  <c r="D7" i="10"/>
  <c r="D7" i="8"/>
  <c r="F7" i="10"/>
  <c r="D7" i="270"/>
  <c r="H8" i="10"/>
  <c r="B28" i="10"/>
  <c r="B2" i="270"/>
  <c r="G4" i="270"/>
  <c r="D12" i="270"/>
  <c r="E12" i="270"/>
  <c r="F12" i="270"/>
  <c r="G12" i="270"/>
  <c r="D13" i="270"/>
  <c r="E13" i="270"/>
  <c r="F13" i="270"/>
  <c r="G13" i="270"/>
  <c r="D15" i="270"/>
  <c r="E15" i="270"/>
  <c r="F15" i="270"/>
  <c r="G15" i="270"/>
  <c r="D18" i="270"/>
  <c r="E18" i="270"/>
  <c r="F18" i="270"/>
  <c r="G18" i="270"/>
  <c r="D20" i="270"/>
  <c r="E20" i="270"/>
  <c r="F20" i="270"/>
  <c r="G20" i="270"/>
  <c r="E23" i="270"/>
  <c r="F23" i="270"/>
  <c r="G23" i="270"/>
  <c r="E24" i="270"/>
  <c r="B2" i="281"/>
  <c r="B8" i="281"/>
  <c r="F10" i="281"/>
  <c r="B12" i="281"/>
  <c r="F14" i="281"/>
  <c r="B16" i="281"/>
  <c r="F18" i="281"/>
  <c r="F32" i="281"/>
  <c r="E36" i="281"/>
  <c r="F40" i="281"/>
  <c r="F44" i="281"/>
  <c r="F48" i="281"/>
  <c r="A60" i="281"/>
  <c r="B20" i="281"/>
  <c r="B64" i="281"/>
  <c r="B2" i="126"/>
  <c r="N3" i="126"/>
  <c r="B10" i="126"/>
  <c r="O3" i="126"/>
  <c r="B23" i="126"/>
  <c r="J4" i="126"/>
  <c r="N4" i="126"/>
  <c r="O4" i="126"/>
  <c r="B18" i="126"/>
  <c r="D6" i="126"/>
  <c r="E6" i="126"/>
  <c r="B8" i="126"/>
  <c r="D8" i="126"/>
  <c r="D10" i="126"/>
  <c r="G10" i="126"/>
  <c r="E8" i="126"/>
  <c r="E10" i="126"/>
  <c r="B9" i="126"/>
  <c r="F10" i="126"/>
  <c r="F11" i="126"/>
  <c r="F12" i="126"/>
  <c r="H10" i="126"/>
  <c r="B11" i="126"/>
  <c r="B12" i="126"/>
  <c r="B14" i="126"/>
  <c r="B15" i="126"/>
  <c r="D15" i="126"/>
  <c r="D17" i="126"/>
  <c r="E15" i="126"/>
  <c r="E27" i="126"/>
  <c r="B16" i="126"/>
  <c r="D16" i="126"/>
  <c r="B17" i="126"/>
  <c r="D18" i="126"/>
  <c r="H18" i="126"/>
  <c r="H28" i="126"/>
  <c r="B19" i="126"/>
  <c r="D19" i="126"/>
  <c r="H19" i="126"/>
  <c r="B22" i="126"/>
  <c r="E23" i="126"/>
  <c r="H23" i="126"/>
  <c r="B24" i="126"/>
  <c r="E24" i="126"/>
  <c r="H24" i="126"/>
  <c r="B26" i="126"/>
  <c r="D28" i="126"/>
  <c r="D29" i="126"/>
  <c r="H29" i="126"/>
  <c r="B31" i="126"/>
  <c r="F35" i="126"/>
  <c r="H35" i="126"/>
  <c r="L35" i="126"/>
  <c r="N35" i="126"/>
  <c r="F36" i="126"/>
  <c r="L36" i="126"/>
  <c r="N36" i="126"/>
  <c r="F37" i="126"/>
  <c r="H37" i="126"/>
  <c r="L37" i="126"/>
  <c r="F38" i="126"/>
  <c r="L38" i="126"/>
  <c r="C41" i="126"/>
  <c r="D41" i="126"/>
  <c r="E41" i="126"/>
  <c r="D33" i="126"/>
  <c r="F41" i="126"/>
  <c r="E33" i="126"/>
  <c r="H43" i="126"/>
  <c r="C48" i="156"/>
  <c r="E48" i="156"/>
  <c r="J43" i="126"/>
  <c r="C62" i="156" s="1"/>
  <c r="E62" i="156" s="1"/>
  <c r="L43" i="126"/>
  <c r="H44" i="126"/>
  <c r="C49" i="156"/>
  <c r="E49" i="156"/>
  <c r="J44" i="126"/>
  <c r="C63" i="156" s="1"/>
  <c r="E63" i="156" s="1"/>
  <c r="L44" i="126"/>
  <c r="C45" i="126"/>
  <c r="C47" i="126"/>
  <c r="D45" i="126"/>
  <c r="H45" i="126"/>
  <c r="C51" i="156"/>
  <c r="E51" i="156"/>
  <c r="J45" i="126"/>
  <c r="C65" i="156" s="1"/>
  <c r="E66" i="156" s="1"/>
  <c r="L45" i="126"/>
  <c r="C46" i="126"/>
  <c r="D46" i="126"/>
  <c r="G46" i="126"/>
  <c r="H46" i="126"/>
  <c r="C57" i="156"/>
  <c r="E57" i="156"/>
  <c r="L46" i="126"/>
  <c r="D47" i="126"/>
  <c r="G47" i="126"/>
  <c r="H47" i="126"/>
  <c r="C58" i="156"/>
  <c r="E58" i="156"/>
  <c r="L47" i="126"/>
  <c r="N134" i="126"/>
  <c r="B2" i="73"/>
  <c r="H4" i="73"/>
  <c r="D6" i="73" a="1"/>
  <c r="G6" i="73" s="1"/>
  <c r="D11" i="73"/>
  <c r="E11" i="73"/>
  <c r="F11" i="73"/>
  <c r="G11" i="73"/>
  <c r="H11" i="73"/>
  <c r="B21" i="73"/>
  <c r="L35" i="73"/>
  <c r="D43" i="73"/>
  <c r="E43" i="73"/>
  <c r="F43" i="73"/>
  <c r="D48" i="73"/>
  <c r="E48" i="73"/>
  <c r="F48" i="73"/>
  <c r="G48" i="73"/>
  <c r="H48" i="73"/>
  <c r="B53" i="73"/>
  <c r="B62" i="73" s="1"/>
  <c r="B77" i="73" s="1"/>
  <c r="B218" i="73" s="1"/>
  <c r="B54" i="73"/>
  <c r="B63" i="73" s="1"/>
  <c r="B78" i="73" s="1"/>
  <c r="B219" i="73" s="1"/>
  <c r="B55" i="73"/>
  <c r="B57" i="73"/>
  <c r="D57" i="73"/>
  <c r="E57" i="73"/>
  <c r="B64" i="73"/>
  <c r="B79" i="73" s="1"/>
  <c r="B220" i="73" s="1"/>
  <c r="B65" i="73"/>
  <c r="B80" i="73"/>
  <c r="J65" i="73"/>
  <c r="D65" i="73"/>
  <c r="K65" i="73"/>
  <c r="B66" i="73"/>
  <c r="B81" i="73" s="1"/>
  <c r="K66" i="73"/>
  <c r="B67" i="73"/>
  <c r="B82" i="73" s="1"/>
  <c r="B68" i="73"/>
  <c r="B83" i="73" s="1"/>
  <c r="B69" i="73"/>
  <c r="B84" i="73" s="1"/>
  <c r="J69" i="73"/>
  <c r="D69" i="73" s="1"/>
  <c r="D91" i="73" s="1"/>
  <c r="B71" i="73"/>
  <c r="B86" i="73"/>
  <c r="C95" i="73"/>
  <c r="C115" i="73"/>
  <c r="C138" i="73" s="1"/>
  <c r="C126" i="73"/>
  <c r="C175" i="73" s="1"/>
  <c r="C190" i="73"/>
  <c r="C201" i="73" s="1"/>
  <c r="A210" i="73"/>
  <c r="B25" i="73" s="1"/>
  <c r="B2" i="4"/>
  <c r="H4" i="4"/>
  <c r="D23" i="4"/>
  <c r="F23" i="4"/>
  <c r="J23" i="4"/>
  <c r="F25" i="4"/>
  <c r="B2" i="320"/>
  <c r="B2" i="133"/>
  <c r="B8" i="133"/>
  <c r="G8" i="133"/>
  <c r="B3" i="4"/>
  <c r="E8" i="133"/>
  <c r="K8" i="133"/>
  <c r="G9" i="133"/>
  <c r="E10" i="133"/>
  <c r="G10" i="133"/>
  <c r="E11" i="133"/>
  <c r="J11" i="133"/>
  <c r="K11" i="133"/>
  <c r="B11" i="133"/>
  <c r="G11" i="133"/>
  <c r="L11" i="133"/>
  <c r="E12" i="133"/>
  <c r="L12" i="133"/>
  <c r="L13" i="133"/>
  <c r="E13" i="133"/>
  <c r="G14" i="133"/>
  <c r="E15" i="133"/>
  <c r="G15" i="133"/>
  <c r="E16" i="133"/>
  <c r="L16" i="133"/>
  <c r="E17" i="133"/>
  <c r="L17" i="133"/>
  <c r="L18" i="133"/>
  <c r="E18" i="133"/>
  <c r="G19" i="133"/>
  <c r="E20" i="133"/>
  <c r="G20" i="133"/>
  <c r="E21" i="133"/>
  <c r="L21" i="133"/>
  <c r="L22" i="133"/>
  <c r="E22" i="133"/>
  <c r="G23" i="133"/>
  <c r="E24" i="133"/>
  <c r="G24" i="133"/>
  <c r="E25" i="133"/>
  <c r="L25" i="133"/>
  <c r="L26" i="133"/>
  <c r="E26" i="133"/>
  <c r="G27" i="133"/>
  <c r="E28" i="133"/>
  <c r="G28" i="133"/>
  <c r="E29" i="133"/>
  <c r="L29" i="133"/>
  <c r="E30" i="133"/>
  <c r="L30" i="133"/>
  <c r="G31" i="133"/>
  <c r="E32" i="133"/>
  <c r="G32" i="133"/>
  <c r="E33" i="133"/>
  <c r="L33" i="133"/>
  <c r="L34" i="133"/>
  <c r="E34" i="133"/>
  <c r="G35" i="133"/>
  <c r="E36" i="133"/>
  <c r="G36" i="133"/>
  <c r="E37" i="133"/>
  <c r="L37" i="133"/>
  <c r="L38" i="133"/>
  <c r="L39" i="133"/>
  <c r="L40" i="133"/>
  <c r="L41" i="133"/>
  <c r="L42" i="133"/>
  <c r="L43" i="133"/>
  <c r="L44" i="133"/>
  <c r="L45" i="133"/>
  <c r="L46" i="133"/>
  <c r="L47" i="133"/>
  <c r="L48" i="133"/>
  <c r="L49" i="133"/>
  <c r="E38" i="133"/>
  <c r="E40" i="133"/>
  <c r="E41" i="133"/>
  <c r="E42" i="133"/>
  <c r="E43" i="133"/>
  <c r="E44" i="133"/>
  <c r="E45" i="133"/>
  <c r="B51" i="133"/>
  <c r="B8" i="232"/>
  <c r="E51" i="133"/>
  <c r="E8" i="232"/>
  <c r="E52" i="133"/>
  <c r="E9" i="232"/>
  <c r="K52" i="133"/>
  <c r="L52" i="133"/>
  <c r="L53" i="133"/>
  <c r="L54" i="133"/>
  <c r="L55" i="133"/>
  <c r="L56" i="133"/>
  <c r="L57" i="133"/>
  <c r="L58" i="133"/>
  <c r="L59" i="133"/>
  <c r="E53" i="133"/>
  <c r="E10" i="232"/>
  <c r="K53" i="133"/>
  <c r="E54" i="133"/>
  <c r="E11" i="232"/>
  <c r="E55" i="133"/>
  <c r="E12" i="232"/>
  <c r="E56" i="133"/>
  <c r="E13" i="232"/>
  <c r="E57" i="133"/>
  <c r="E14" i="232"/>
  <c r="E58" i="133"/>
  <c r="E15" i="232"/>
  <c r="E59" i="133"/>
  <c r="E16" i="232"/>
  <c r="E60" i="133"/>
  <c r="E17" i="232"/>
  <c r="E61" i="133"/>
  <c r="K61" i="133"/>
  <c r="E62" i="133"/>
  <c r="E18" i="232"/>
  <c r="E63" i="133"/>
  <c r="E19" i="232"/>
  <c r="D9" i="1"/>
  <c r="D13" i="1"/>
  <c r="D15" i="1"/>
  <c r="J20" i="1"/>
  <c r="J20" i="152" s="1"/>
  <c r="D20" i="152" s="1"/>
  <c r="B2" i="248"/>
  <c r="B2" i="142"/>
  <c r="B9" i="142"/>
  <c r="B10" i="142"/>
  <c r="B11" i="142"/>
  <c r="B12" i="142"/>
  <c r="B13" i="142"/>
  <c r="B14" i="142"/>
  <c r="B15" i="142"/>
  <c r="B16" i="142"/>
  <c r="B17" i="142"/>
  <c r="B22" i="142"/>
  <c r="B23" i="142"/>
  <c r="B24" i="142"/>
  <c r="B25" i="142"/>
  <c r="B26" i="142"/>
  <c r="B27" i="142"/>
  <c r="B28" i="142"/>
  <c r="B29" i="142"/>
  <c r="B30" i="142"/>
  <c r="B28" i="79"/>
  <c r="D28" i="79"/>
  <c r="C28" i="79"/>
  <c r="A29" i="79"/>
  <c r="A30" i="79"/>
  <c r="A31" i="79"/>
  <c r="A32" i="79"/>
  <c r="A33" i="79"/>
  <c r="A34" i="79"/>
  <c r="A35" i="79"/>
  <c r="A36" i="79"/>
  <c r="A37" i="79"/>
  <c r="A38" i="79"/>
  <c r="A39" i="79"/>
  <c r="A40" i="79"/>
  <c r="A41" i="79"/>
  <c r="A42" i="79"/>
  <c r="A43" i="79"/>
  <c r="A44" i="79"/>
  <c r="A45" i="79"/>
  <c r="A46" i="79"/>
  <c r="A47" i="79"/>
  <c r="A48" i="79"/>
  <c r="A49" i="79"/>
  <c r="B29" i="79"/>
  <c r="AA11" i="256"/>
  <c r="C29" i="79"/>
  <c r="B30" i="79"/>
  <c r="D30" i="79"/>
  <c r="C30" i="79"/>
  <c r="B31" i="79"/>
  <c r="D31" i="79"/>
  <c r="C31" i="79"/>
  <c r="B32" i="79"/>
  <c r="D32" i="79"/>
  <c r="C32" i="79"/>
  <c r="B33" i="79"/>
  <c r="AA15" i="256"/>
  <c r="C33" i="79"/>
  <c r="B34" i="79"/>
  <c r="D34" i="79"/>
  <c r="C34" i="79"/>
  <c r="B35" i="79"/>
  <c r="D35" i="79"/>
  <c r="C35" i="79"/>
  <c r="B36" i="79"/>
  <c r="D36" i="79"/>
  <c r="C36" i="79"/>
  <c r="B37" i="79"/>
  <c r="AA19" i="256"/>
  <c r="C37" i="79"/>
  <c r="B38" i="79"/>
  <c r="D38" i="79"/>
  <c r="C38" i="79"/>
  <c r="B39" i="79"/>
  <c r="D39" i="79"/>
  <c r="C39" i="79"/>
  <c r="B40" i="79"/>
  <c r="D40" i="79"/>
  <c r="C40" i="79"/>
  <c r="B41" i="79"/>
  <c r="AA23" i="250"/>
  <c r="C41" i="79"/>
  <c r="B42" i="79"/>
  <c r="D42" i="79"/>
  <c r="C42" i="79"/>
  <c r="B43" i="79"/>
  <c r="D43" i="79"/>
  <c r="C43" i="79"/>
  <c r="B44" i="79"/>
  <c r="D44" i="79"/>
  <c r="C44" i="79"/>
  <c r="B45" i="79"/>
  <c r="AA27" i="250"/>
  <c r="C45" i="79"/>
  <c r="B46" i="79"/>
  <c r="D46" i="79"/>
  <c r="C46" i="79"/>
  <c r="B47" i="79"/>
  <c r="D47" i="79"/>
  <c r="C47" i="79"/>
  <c r="B48" i="79"/>
  <c r="D48" i="79"/>
  <c r="C48" i="79"/>
  <c r="B49" i="79"/>
  <c r="D49" i="79"/>
  <c r="C49" i="79"/>
  <c r="A5" i="123"/>
  <c r="A6" i="123"/>
  <c r="A7" i="123"/>
  <c r="A8" i="123"/>
  <c r="E7" i="270"/>
  <c r="F7" i="270"/>
  <c r="G7" i="270"/>
  <c r="D23" i="270"/>
  <c r="F38" i="8"/>
  <c r="L36" i="8"/>
  <c r="D38" i="8"/>
  <c r="D48" i="8"/>
  <c r="D50" i="8"/>
  <c r="K12" i="8"/>
  <c r="K25" i="8"/>
  <c r="K32" i="8"/>
  <c r="K20" i="8"/>
  <c r="K31" i="8"/>
  <c r="K30" i="8"/>
  <c r="K27" i="8"/>
  <c r="E29" i="126"/>
  <c r="E28" i="126"/>
  <c r="E48" i="8"/>
  <c r="E50" i="8"/>
  <c r="B27" i="126"/>
  <c r="E17" i="126"/>
  <c r="C31" i="172"/>
  <c r="S29" i="47"/>
  <c r="C30" i="172"/>
  <c r="V28" i="47"/>
  <c r="C29" i="172"/>
  <c r="X27" i="47"/>
  <c r="Z24" i="172"/>
  <c r="AC24" i="172"/>
  <c r="AH22" i="47"/>
  <c r="AJ22" i="47"/>
  <c r="S13" i="47"/>
  <c r="V13" i="47"/>
  <c r="Z13" i="47"/>
  <c r="B11" i="13"/>
  <c r="B11" i="256"/>
  <c r="B9" i="15"/>
  <c r="AA45" i="57"/>
  <c r="AA44" i="57"/>
  <c r="AA48" i="57"/>
  <c r="I13" i="63"/>
  <c r="D26" i="63"/>
  <c r="J67" i="73"/>
  <c r="D67" i="73" s="1"/>
  <c r="H12" i="310"/>
  <c r="G41" i="310"/>
  <c r="G45" i="310"/>
  <c r="M41" i="310"/>
  <c r="I18" i="14"/>
  <c r="J16" i="14"/>
  <c r="I64" i="295"/>
  <c r="I63" i="295"/>
  <c r="I67" i="295"/>
  <c r="I62" i="295"/>
  <c r="I66" i="295"/>
  <c r="T158" i="276"/>
  <c r="S181" i="276"/>
  <c r="X151" i="276"/>
  <c r="P151" i="276"/>
  <c r="AF74" i="276"/>
  <c r="B94" i="303"/>
  <c r="B111" i="303"/>
  <c r="B122" i="303"/>
  <c r="B81" i="303"/>
  <c r="K102" i="269"/>
  <c r="AJ28" i="265"/>
  <c r="L31" i="8"/>
  <c r="E36" i="8"/>
  <c r="E38" i="8"/>
  <c r="L20" i="8"/>
  <c r="D15" i="8"/>
  <c r="D20" i="8"/>
  <c r="M46" i="47"/>
  <c r="H46" i="47"/>
  <c r="J45" i="47"/>
  <c r="N44" i="47"/>
  <c r="I44" i="47"/>
  <c r="M43" i="47"/>
  <c r="O42" i="47"/>
  <c r="J42" i="47"/>
  <c r="Z29" i="47"/>
  <c r="Z28" i="47"/>
  <c r="Z27" i="47"/>
  <c r="Z25" i="47"/>
  <c r="Z21" i="47"/>
  <c r="B13" i="310"/>
  <c r="B13" i="250"/>
  <c r="B11" i="15"/>
  <c r="N41" i="47"/>
  <c r="AH10" i="47"/>
  <c r="AJ10" i="47"/>
  <c r="L48" i="57"/>
  <c r="V27" i="57"/>
  <c r="AF21" i="57"/>
  <c r="V19" i="57"/>
  <c r="AF13" i="57"/>
  <c r="V11" i="57"/>
  <c r="Q44" i="57"/>
  <c r="Q48" i="57"/>
  <c r="Q43" i="57"/>
  <c r="Q47" i="57"/>
  <c r="AF10" i="57"/>
  <c r="L43" i="57"/>
  <c r="L47" i="57"/>
  <c r="L46" i="57"/>
  <c r="H26" i="256"/>
  <c r="G42" i="256"/>
  <c r="G46" i="256"/>
  <c r="G43" i="256"/>
  <c r="G45" i="250"/>
  <c r="H22" i="250"/>
  <c r="G44" i="310"/>
  <c r="D45" i="13"/>
  <c r="D42" i="13"/>
  <c r="I65" i="295"/>
  <c r="M23" i="283"/>
  <c r="P175" i="276"/>
  <c r="P163" i="276"/>
  <c r="U161" i="276"/>
  <c r="C19" i="266"/>
  <c r="G19" i="266"/>
  <c r="I19" i="266"/>
  <c r="C43" i="265"/>
  <c r="AC43" i="265"/>
  <c r="C72" i="265"/>
  <c r="C31" i="265"/>
  <c r="H13" i="10"/>
  <c r="AD102" i="269"/>
  <c r="BC28" i="265"/>
  <c r="BC27" i="265"/>
  <c r="V102" i="269"/>
  <c r="AU28" i="265"/>
  <c r="AU27" i="265"/>
  <c r="R102" i="269"/>
  <c r="AQ28" i="265"/>
  <c r="AQ27" i="265"/>
  <c r="D15" i="73" a="1"/>
  <c r="H15" i="73" s="1"/>
  <c r="E19" i="126"/>
  <c r="E18" i="126"/>
  <c r="E16" i="126"/>
  <c r="E11" i="126"/>
  <c r="E9" i="126"/>
  <c r="L32" i="8"/>
  <c r="L25" i="8"/>
  <c r="P46" i="47"/>
  <c r="L46" i="47"/>
  <c r="C46" i="47"/>
  <c r="H45" i="47"/>
  <c r="M44" i="47"/>
  <c r="H44" i="47"/>
  <c r="J43" i="47"/>
  <c r="M41" i="47"/>
  <c r="AC39" i="172"/>
  <c r="X29" i="47"/>
  <c r="X28" i="47"/>
  <c r="V27" i="47"/>
  <c r="C26" i="172"/>
  <c r="V24" i="47"/>
  <c r="X24" i="47"/>
  <c r="AH23" i="47"/>
  <c r="AJ23" i="47"/>
  <c r="C22" i="172"/>
  <c r="V20" i="47"/>
  <c r="X20" i="47"/>
  <c r="AH19" i="47"/>
  <c r="AJ19" i="47"/>
  <c r="B14" i="15"/>
  <c r="AA47" i="57"/>
  <c r="L45" i="57"/>
  <c r="AI43" i="57"/>
  <c r="D40" i="11"/>
  <c r="D27" i="11"/>
  <c r="G45" i="256"/>
  <c r="H10" i="256"/>
  <c r="G42" i="250"/>
  <c r="H26" i="250"/>
  <c r="G43" i="250"/>
  <c r="G44" i="250"/>
  <c r="B11" i="250"/>
  <c r="D46" i="13"/>
  <c r="L20" i="283"/>
  <c r="U151" i="276"/>
  <c r="U12" i="283"/>
  <c r="U14" i="276"/>
  <c r="B97" i="274"/>
  <c r="B114" i="274"/>
  <c r="B125" i="274"/>
  <c r="B84" i="274"/>
  <c r="I20" i="270"/>
  <c r="D18" i="248"/>
  <c r="L33" i="8"/>
  <c r="H36" i="8"/>
  <c r="L27" i="8"/>
  <c r="O46" i="47"/>
  <c r="C44" i="47"/>
  <c r="H43" i="47"/>
  <c r="AH37" i="47"/>
  <c r="AJ37" i="47"/>
  <c r="Z31" i="172"/>
  <c r="AC31" i="172"/>
  <c r="AH29" i="47"/>
  <c r="AJ29" i="47"/>
  <c r="V29" i="47"/>
  <c r="S28" i="47"/>
  <c r="S27" i="47"/>
  <c r="C27" i="172"/>
  <c r="S25" i="47"/>
  <c r="V25" i="47"/>
  <c r="AH24" i="47"/>
  <c r="AJ24" i="47"/>
  <c r="C23" i="172"/>
  <c r="S21" i="47"/>
  <c r="V21" i="47"/>
  <c r="AH20" i="47"/>
  <c r="AJ20" i="47"/>
  <c r="L45" i="47"/>
  <c r="S18" i="47"/>
  <c r="X18" i="47"/>
  <c r="AH16" i="47"/>
  <c r="AJ16" i="47"/>
  <c r="S15" i="47"/>
  <c r="Z15" i="47"/>
  <c r="S10" i="47"/>
  <c r="S45" i="47"/>
  <c r="Z10" i="47"/>
  <c r="AB2" i="310"/>
  <c r="AB2" i="250"/>
  <c r="AB2" i="256"/>
  <c r="B8" i="15"/>
  <c r="L44" i="57"/>
  <c r="AF25" i="57"/>
  <c r="V23" i="57"/>
  <c r="AF17" i="57"/>
  <c r="V15" i="57"/>
  <c r="G44" i="256"/>
  <c r="I22" i="256"/>
  <c r="H20" i="256"/>
  <c r="I14" i="256"/>
  <c r="B13" i="256"/>
  <c r="G41" i="250"/>
  <c r="H28" i="250"/>
  <c r="H27" i="250"/>
  <c r="E44" i="310"/>
  <c r="I25" i="310"/>
  <c r="K25" i="310"/>
  <c r="E41" i="310"/>
  <c r="I17" i="310"/>
  <c r="K17" i="310"/>
  <c r="G42" i="310"/>
  <c r="I14" i="14"/>
  <c r="J12" i="14"/>
  <c r="U177" i="276"/>
  <c r="U175" i="276"/>
  <c r="P165" i="276"/>
  <c r="U165" i="276"/>
  <c r="U163" i="276"/>
  <c r="P159" i="276"/>
  <c r="U159" i="276"/>
  <c r="U157" i="276"/>
  <c r="R34" i="264"/>
  <c r="K23" i="12"/>
  <c r="K14" i="12"/>
  <c r="V29" i="185"/>
  <c r="V25" i="185"/>
  <c r="V21" i="185"/>
  <c r="V17" i="185"/>
  <c r="AZ36" i="264"/>
  <c r="AR36" i="264"/>
  <c r="AM36" i="264"/>
  <c r="BA34" i="264"/>
  <c r="BA36" i="264"/>
  <c r="AK34" i="264"/>
  <c r="AK36" i="264"/>
  <c r="AV17" i="264"/>
  <c r="AF17" i="264"/>
  <c r="AB17" i="264"/>
  <c r="AB22" i="265"/>
  <c r="V22" i="265"/>
  <c r="AG60" i="268"/>
  <c r="Q60" i="268"/>
  <c r="AE38" i="268"/>
  <c r="W38" i="268"/>
  <c r="O38" i="268"/>
  <c r="G38" i="268"/>
  <c r="AH25" i="268"/>
  <c r="AH38" i="268"/>
  <c r="AD25" i="268"/>
  <c r="AD38" i="268"/>
  <c r="Z25" i="268"/>
  <c r="Z38" i="268"/>
  <c r="V25" i="268"/>
  <c r="V38" i="268"/>
  <c r="R25" i="268"/>
  <c r="R38" i="268"/>
  <c r="N25" i="268"/>
  <c r="N38" i="268"/>
  <c r="J25" i="268"/>
  <c r="J38" i="268"/>
  <c r="F25" i="268"/>
  <c r="F38" i="268"/>
  <c r="AK38" i="268"/>
  <c r="AK61" i="268"/>
  <c r="B79" i="269"/>
  <c r="AR102" i="269"/>
  <c r="BQ28" i="265"/>
  <c r="AJ102" i="269"/>
  <c r="BI28" i="265"/>
  <c r="AF102" i="269"/>
  <c r="BE28" i="265"/>
  <c r="AB102" i="269"/>
  <c r="BA28" i="265"/>
  <c r="X102" i="269"/>
  <c r="AW28" i="265"/>
  <c r="T102" i="269"/>
  <c r="AS28" i="265"/>
  <c r="P102" i="269"/>
  <c r="AO28" i="265"/>
  <c r="L102" i="269"/>
  <c r="AK28" i="265"/>
  <c r="AC27" i="172"/>
  <c r="AC23" i="172"/>
  <c r="S17" i="47"/>
  <c r="P41" i="47"/>
  <c r="L43" i="47"/>
  <c r="S14" i="47"/>
  <c r="AH12" i="47"/>
  <c r="AJ12" i="47"/>
  <c r="B15" i="15"/>
  <c r="B13" i="15"/>
  <c r="AC44" i="57"/>
  <c r="X43" i="57"/>
  <c r="AC43" i="57"/>
  <c r="X44" i="57"/>
  <c r="J8" i="64"/>
  <c r="I8" i="64"/>
  <c r="I19" i="64"/>
  <c r="F40" i="11"/>
  <c r="H28" i="256"/>
  <c r="H21" i="256"/>
  <c r="H16" i="256"/>
  <c r="E44" i="256"/>
  <c r="E43" i="256"/>
  <c r="I26" i="250"/>
  <c r="K26" i="250"/>
  <c r="H24" i="250"/>
  <c r="E45" i="250"/>
  <c r="I14" i="250"/>
  <c r="K14" i="250"/>
  <c r="I13" i="250"/>
  <c r="K13" i="250"/>
  <c r="AC13" i="250"/>
  <c r="G43" i="310"/>
  <c r="H27" i="310"/>
  <c r="I26" i="310"/>
  <c r="K26" i="310"/>
  <c r="I24" i="310"/>
  <c r="K24" i="310"/>
  <c r="I23" i="310"/>
  <c r="K23" i="310"/>
  <c r="H22" i="310"/>
  <c r="H19" i="310"/>
  <c r="I18" i="310"/>
  <c r="K18" i="310"/>
  <c r="AC18" i="310"/>
  <c r="I16" i="310"/>
  <c r="K16" i="310"/>
  <c r="I15" i="310"/>
  <c r="K15" i="310"/>
  <c r="H14" i="310"/>
  <c r="H11" i="310"/>
  <c r="J41" i="310"/>
  <c r="D41" i="310"/>
  <c r="G64" i="295"/>
  <c r="K13" i="283"/>
  <c r="K21" i="283"/>
  <c r="S185" i="276"/>
  <c r="S146" i="276"/>
  <c r="T123" i="276"/>
  <c r="T102" i="276"/>
  <c r="T100" i="276"/>
  <c r="T99" i="276"/>
  <c r="K96" i="276"/>
  <c r="N96" i="276"/>
  <c r="X82" i="276"/>
  <c r="AA82" i="276"/>
  <c r="X78" i="276"/>
  <c r="AA78" i="276"/>
  <c r="X74" i="276"/>
  <c r="AA74" i="276"/>
  <c r="X70" i="276"/>
  <c r="AA70" i="276"/>
  <c r="X66" i="276"/>
  <c r="AA66" i="276"/>
  <c r="P55" i="276"/>
  <c r="P11" i="283"/>
  <c r="V11" i="283"/>
  <c r="K45" i="276"/>
  <c r="N45" i="276"/>
  <c r="T41" i="276"/>
  <c r="S35" i="276"/>
  <c r="T11" i="276"/>
  <c r="A56" i="12"/>
  <c r="C51" i="12"/>
  <c r="F46" i="12"/>
  <c r="F43" i="12"/>
  <c r="F41" i="12"/>
  <c r="M41" i="12"/>
  <c r="I26" i="12"/>
  <c r="K26" i="12"/>
  <c r="I24" i="12"/>
  <c r="K24" i="12"/>
  <c r="AC24" i="12"/>
  <c r="H23" i="12"/>
  <c r="H22" i="12"/>
  <c r="I16" i="12"/>
  <c r="K16" i="12"/>
  <c r="I15" i="12"/>
  <c r="K15" i="12"/>
  <c r="I13" i="12"/>
  <c r="K13" i="12"/>
  <c r="U46" i="185"/>
  <c r="O46" i="185"/>
  <c r="H46" i="185"/>
  <c r="D46" i="185"/>
  <c r="P45" i="185"/>
  <c r="E45" i="185"/>
  <c r="Q44" i="185"/>
  <c r="K44" i="185"/>
  <c r="F44" i="185"/>
  <c r="R43" i="185"/>
  <c r="N43" i="185"/>
  <c r="G43" i="185"/>
  <c r="U42" i="185"/>
  <c r="O42" i="185"/>
  <c r="H42" i="185"/>
  <c r="D42" i="185"/>
  <c r="O41" i="185"/>
  <c r="F41" i="185"/>
  <c r="S29" i="185"/>
  <c r="X29" i="185"/>
  <c r="J27" i="185"/>
  <c r="L27" i="185"/>
  <c r="T26" i="185"/>
  <c r="V26" i="185"/>
  <c r="Z26" i="185"/>
  <c r="S25" i="185"/>
  <c r="X25" i="185"/>
  <c r="J23" i="185"/>
  <c r="L23" i="185"/>
  <c r="T22" i="185"/>
  <c r="V22" i="185"/>
  <c r="Z22" i="185"/>
  <c r="R41" i="185"/>
  <c r="N41" i="185"/>
  <c r="J19" i="185"/>
  <c r="L19" i="185"/>
  <c r="T18" i="185"/>
  <c r="V18" i="185"/>
  <c r="Z18" i="185"/>
  <c r="X17" i="185"/>
  <c r="S16" i="185"/>
  <c r="J15" i="185"/>
  <c r="L15" i="185"/>
  <c r="T14" i="185"/>
  <c r="V14" i="185"/>
  <c r="Z14" i="185"/>
  <c r="X13" i="185"/>
  <c r="S12" i="185"/>
  <c r="I11" i="185"/>
  <c r="J11" i="185"/>
  <c r="L11" i="185"/>
  <c r="B99" i="303"/>
  <c r="B116" i="303"/>
  <c r="B127" i="303"/>
  <c r="E77" i="303"/>
  <c r="E62" i="303"/>
  <c r="M46" i="305"/>
  <c r="D46" i="305"/>
  <c r="D44" i="305"/>
  <c r="M42" i="305"/>
  <c r="G41" i="305"/>
  <c r="I24" i="305"/>
  <c r="K24" i="305"/>
  <c r="I23" i="305"/>
  <c r="K23" i="305"/>
  <c r="H17" i="305"/>
  <c r="H14" i="305"/>
  <c r="O14" i="271"/>
  <c r="AJ36" i="264"/>
  <c r="AB36" i="264"/>
  <c r="AF34" i="264"/>
  <c r="AF36" i="264"/>
  <c r="D37" i="264"/>
  <c r="AV34" i="264"/>
  <c r="AV36" i="264"/>
  <c r="C74" i="265"/>
  <c r="C24" i="265"/>
  <c r="H24" i="265"/>
  <c r="J24" i="265"/>
  <c r="L24" i="265"/>
  <c r="BQ20" i="265"/>
  <c r="BL20" i="265"/>
  <c r="BF20" i="265"/>
  <c r="BA20" i="265"/>
  <c r="AV20" i="265"/>
  <c r="AP20" i="265"/>
  <c r="AK20" i="265"/>
  <c r="AA22" i="265"/>
  <c r="BB18" i="265"/>
  <c r="AL18" i="265"/>
  <c r="BQ17" i="265"/>
  <c r="BL17" i="265"/>
  <c r="BF17" i="265"/>
  <c r="BA17" i="265"/>
  <c r="AV17" i="265"/>
  <c r="AP17" i="265"/>
  <c r="AK17" i="265"/>
  <c r="C17" i="265"/>
  <c r="BB15" i="265"/>
  <c r="AL15" i="265"/>
  <c r="BQ14" i="265"/>
  <c r="BL14" i="265"/>
  <c r="BF14" i="265"/>
  <c r="BA14" i="265"/>
  <c r="AV14" i="265"/>
  <c r="AP14" i="265"/>
  <c r="AK14" i="265"/>
  <c r="W28" i="266"/>
  <c r="Z28" i="266"/>
  <c r="AC38" i="268"/>
  <c r="M38" i="268"/>
  <c r="E100" i="269"/>
  <c r="AC30" i="172"/>
  <c r="AH25" i="47"/>
  <c r="AJ25" i="47"/>
  <c r="AC26" i="172"/>
  <c r="X23" i="47"/>
  <c r="AH21" i="47"/>
  <c r="AJ21" i="47"/>
  <c r="AC22" i="172"/>
  <c r="N45" i="47"/>
  <c r="P45" i="47"/>
  <c r="S19" i="47"/>
  <c r="P43" i="47"/>
  <c r="S16" i="47"/>
  <c r="N43" i="47"/>
  <c r="I43" i="47"/>
  <c r="AH14" i="47"/>
  <c r="AJ14" i="47"/>
  <c r="S11" i="47"/>
  <c r="S48" i="57"/>
  <c r="N47" i="57"/>
  <c r="S44" i="57"/>
  <c r="N43" i="57"/>
  <c r="I26" i="256"/>
  <c r="K26" i="256"/>
  <c r="H24" i="256"/>
  <c r="H17" i="256"/>
  <c r="I29" i="250"/>
  <c r="K29" i="250"/>
  <c r="I22" i="250"/>
  <c r="I21" i="250"/>
  <c r="K21" i="250"/>
  <c r="H20" i="250"/>
  <c r="H19" i="250"/>
  <c r="H12" i="250"/>
  <c r="H11" i="250"/>
  <c r="F41" i="250"/>
  <c r="G46" i="310"/>
  <c r="E46" i="310"/>
  <c r="E42" i="310"/>
  <c r="H13" i="310"/>
  <c r="F42" i="13"/>
  <c r="E42" i="13"/>
  <c r="G65" i="295"/>
  <c r="K12" i="283"/>
  <c r="M21" i="283"/>
  <c r="S183" i="276"/>
  <c r="AF111" i="276"/>
  <c r="T103" i="276"/>
  <c r="K99" i="276"/>
  <c r="N99" i="276"/>
  <c r="P99" i="276"/>
  <c r="AF97" i="276"/>
  <c r="S90" i="276"/>
  <c r="P67" i="276"/>
  <c r="T65" i="276"/>
  <c r="K46" i="276"/>
  <c r="N46" i="276"/>
  <c r="E6" i="236"/>
  <c r="B80" i="274"/>
  <c r="J44" i="12"/>
  <c r="I28" i="12"/>
  <c r="K28" i="12"/>
  <c r="AC28" i="12"/>
  <c r="H21" i="12"/>
  <c r="H20" i="12"/>
  <c r="I18" i="12"/>
  <c r="K18" i="12"/>
  <c r="H14" i="12"/>
  <c r="H13" i="12"/>
  <c r="H12" i="12"/>
  <c r="I10" i="12"/>
  <c r="K10" i="12"/>
  <c r="R46" i="185"/>
  <c r="N46" i="185"/>
  <c r="G46" i="185"/>
  <c r="U45" i="185"/>
  <c r="D45" i="185"/>
  <c r="P44" i="185"/>
  <c r="E44" i="185"/>
  <c r="K43" i="185"/>
  <c r="N42" i="185"/>
  <c r="J28" i="185"/>
  <c r="L28" i="185"/>
  <c r="T27" i="185"/>
  <c r="V27" i="185"/>
  <c r="Z27" i="185"/>
  <c r="S26" i="185"/>
  <c r="J24" i="185"/>
  <c r="L24" i="185"/>
  <c r="T23" i="185"/>
  <c r="V23" i="185"/>
  <c r="Z23" i="185"/>
  <c r="S22" i="185"/>
  <c r="J20" i="185"/>
  <c r="L20" i="185"/>
  <c r="T19" i="185"/>
  <c r="V19" i="185"/>
  <c r="Z19" i="185"/>
  <c r="S18" i="185"/>
  <c r="S17" i="185"/>
  <c r="J16" i="185"/>
  <c r="L16" i="185"/>
  <c r="T15" i="185"/>
  <c r="V15" i="185"/>
  <c r="Z15" i="185"/>
  <c r="T13" i="185"/>
  <c r="V13" i="185"/>
  <c r="I12" i="185"/>
  <c r="I44" i="185"/>
  <c r="J12" i="185"/>
  <c r="L12" i="185"/>
  <c r="B97" i="303"/>
  <c r="B114" i="303"/>
  <c r="B125" i="303"/>
  <c r="M45" i="305"/>
  <c r="D45" i="305"/>
  <c r="G42" i="305"/>
  <c r="AC24" i="305"/>
  <c r="H21" i="305"/>
  <c r="I16" i="305"/>
  <c r="K16" i="305"/>
  <c r="I13" i="305"/>
  <c r="K13" i="305"/>
  <c r="N14" i="271"/>
  <c r="BD36" i="264"/>
  <c r="AU36" i="264"/>
  <c r="AI36" i="264"/>
  <c r="BG27" i="264"/>
  <c r="BG36" i="264"/>
  <c r="R37" i="264"/>
  <c r="BG12" i="264"/>
  <c r="BG17" i="264"/>
  <c r="AE43" i="265"/>
  <c r="C25" i="265"/>
  <c r="H25" i="265"/>
  <c r="BP20" i="265"/>
  <c r="BJ20" i="265"/>
  <c r="BE20" i="265"/>
  <c r="AZ20" i="265"/>
  <c r="AT20" i="265"/>
  <c r="AO20" i="265"/>
  <c r="AJ20" i="265"/>
  <c r="BP17" i="265"/>
  <c r="BJ17" i="265"/>
  <c r="BE17" i="265"/>
  <c r="AZ17" i="265"/>
  <c r="AT17" i="265"/>
  <c r="AO17" i="265"/>
  <c r="AJ17" i="265"/>
  <c r="BP14" i="265"/>
  <c r="BJ14" i="265"/>
  <c r="BE14" i="265"/>
  <c r="AZ14" i="265"/>
  <c r="AT14" i="265"/>
  <c r="AO14" i="265"/>
  <c r="AJ14" i="265"/>
  <c r="D60" i="268"/>
  <c r="AI48" i="268"/>
  <c r="AI49" i="268"/>
  <c r="AI60" i="268"/>
  <c r="AE48" i="268"/>
  <c r="AE49" i="268"/>
  <c r="AE60" i="268"/>
  <c r="AA48" i="268"/>
  <c r="AA49" i="268"/>
  <c r="AA60" i="268"/>
  <c r="W48" i="268"/>
  <c r="W49" i="268"/>
  <c r="W60" i="268"/>
  <c r="S48" i="268"/>
  <c r="S49" i="268"/>
  <c r="S60" i="268"/>
  <c r="O48" i="268"/>
  <c r="O49" i="268"/>
  <c r="O60" i="268"/>
  <c r="K48" i="268"/>
  <c r="K49" i="268"/>
  <c r="K60" i="268"/>
  <c r="G48" i="268"/>
  <c r="G49" i="268"/>
  <c r="G60" i="268"/>
  <c r="AF25" i="268"/>
  <c r="AF38" i="268"/>
  <c r="AB25" i="268"/>
  <c r="AB38" i="268"/>
  <c r="X25" i="268"/>
  <c r="X38" i="268"/>
  <c r="T25" i="268"/>
  <c r="T38" i="268"/>
  <c r="P25" i="268"/>
  <c r="P38" i="268"/>
  <c r="L25" i="268"/>
  <c r="L38" i="268"/>
  <c r="H25" i="268"/>
  <c r="H38" i="268"/>
  <c r="D25" i="268"/>
  <c r="D38" i="268"/>
  <c r="AI25" i="268"/>
  <c r="AI38" i="268"/>
  <c r="D79" i="269"/>
  <c r="Y24" i="265"/>
  <c r="Y50" i="265"/>
  <c r="AL102" i="269"/>
  <c r="BK28" i="265"/>
  <c r="AH102" i="269"/>
  <c r="BG28" i="265"/>
  <c r="I18" i="250"/>
  <c r="K18" i="250"/>
  <c r="AC18" i="250"/>
  <c r="I17" i="250"/>
  <c r="K17" i="250"/>
  <c r="I28" i="310"/>
  <c r="K28" i="310"/>
  <c r="I27" i="310"/>
  <c r="K27" i="310"/>
  <c r="H26" i="310"/>
  <c r="I22" i="310"/>
  <c r="K22" i="310"/>
  <c r="I20" i="310"/>
  <c r="K20" i="310"/>
  <c r="I19" i="310"/>
  <c r="K19" i="310"/>
  <c r="H18" i="310"/>
  <c r="I14" i="310"/>
  <c r="K14" i="310"/>
  <c r="I12" i="310"/>
  <c r="K12" i="310"/>
  <c r="I11" i="310"/>
  <c r="K11" i="310"/>
  <c r="H10" i="310"/>
  <c r="D41" i="13"/>
  <c r="K14" i="283"/>
  <c r="N14" i="283"/>
  <c r="L21" i="283"/>
  <c r="M20" i="283"/>
  <c r="K155" i="276"/>
  <c r="N155" i="276"/>
  <c r="P155" i="276"/>
  <c r="U155" i="276"/>
  <c r="K153" i="276"/>
  <c r="N153" i="276"/>
  <c r="K123" i="276"/>
  <c r="N123" i="276"/>
  <c r="AF119" i="276"/>
  <c r="K100" i="276"/>
  <c r="N100" i="276"/>
  <c r="S145" i="276"/>
  <c r="T95" i="276"/>
  <c r="U55" i="276"/>
  <c r="K41" i="276"/>
  <c r="N41" i="276"/>
  <c r="X41" i="276"/>
  <c r="K11" i="276"/>
  <c r="N11" i="276"/>
  <c r="F44" i="12"/>
  <c r="F42" i="12"/>
  <c r="I29" i="12"/>
  <c r="K29" i="12"/>
  <c r="G41" i="12"/>
  <c r="I27" i="12"/>
  <c r="K27" i="12"/>
  <c r="I25" i="12"/>
  <c r="I22" i="12"/>
  <c r="K22" i="12"/>
  <c r="I19" i="12"/>
  <c r="K19" i="12"/>
  <c r="I17" i="12"/>
  <c r="K17" i="12"/>
  <c r="I11" i="12"/>
  <c r="K11" i="12"/>
  <c r="AC11" i="12"/>
  <c r="Q46" i="185"/>
  <c r="K46" i="185"/>
  <c r="F46" i="185"/>
  <c r="N45" i="185"/>
  <c r="H44" i="185"/>
  <c r="P43" i="185"/>
  <c r="E43" i="185"/>
  <c r="Q42" i="185"/>
  <c r="Q41" i="185"/>
  <c r="H41" i="185"/>
  <c r="J29" i="185"/>
  <c r="L29" i="185"/>
  <c r="T28" i="185"/>
  <c r="V28" i="185"/>
  <c r="Z28" i="185"/>
  <c r="S27" i="185"/>
  <c r="J25" i="185"/>
  <c r="L25" i="185"/>
  <c r="T24" i="185"/>
  <c r="V24" i="185"/>
  <c r="S23" i="185"/>
  <c r="E41" i="185"/>
  <c r="T20" i="185"/>
  <c r="V20" i="185"/>
  <c r="S19" i="185"/>
  <c r="J17" i="185"/>
  <c r="L17" i="185"/>
  <c r="Z17" i="185"/>
  <c r="T16" i="185"/>
  <c r="V16" i="185"/>
  <c r="S14" i="185"/>
  <c r="J13" i="185"/>
  <c r="L13" i="185"/>
  <c r="T12" i="185"/>
  <c r="V12" i="185"/>
  <c r="Z12" i="185"/>
  <c r="T10" i="185"/>
  <c r="B85" i="303"/>
  <c r="G46" i="305"/>
  <c r="I15" i="305"/>
  <c r="K15" i="305"/>
  <c r="H12" i="305"/>
  <c r="M14" i="271"/>
  <c r="BC36" i="264"/>
  <c r="AN36" i="264"/>
  <c r="AE36" i="264"/>
  <c r="BD17" i="264"/>
  <c r="AR17" i="264"/>
  <c r="AN17" i="264"/>
  <c r="AE45" i="265"/>
  <c r="Y48" i="265"/>
  <c r="J25" i="265"/>
  <c r="U38" i="268"/>
  <c r="E38" i="268"/>
  <c r="AN101" i="269"/>
  <c r="AN102" i="269"/>
  <c r="BM28" i="265"/>
  <c r="J101" i="269"/>
  <c r="AI27" i="265"/>
  <c r="L23" i="73"/>
  <c r="K58" i="303"/>
  <c r="K58" i="274"/>
  <c r="K55" i="303"/>
  <c r="K55" i="274"/>
  <c r="L60" i="133"/>
  <c r="B59" i="133"/>
  <c r="J7" i="8"/>
  <c r="E7" i="8"/>
  <c r="O30" i="52"/>
  <c r="O30" i="303"/>
  <c r="O30" i="274"/>
  <c r="F73" i="273"/>
  <c r="D73" i="273"/>
  <c r="J66" i="73"/>
  <c r="D66" i="73"/>
  <c r="AC29" i="256"/>
  <c r="AC25" i="250"/>
  <c r="AC17" i="250"/>
  <c r="K36" i="8"/>
  <c r="J10" i="126"/>
  <c r="F22" i="126"/>
  <c r="I10" i="126"/>
  <c r="B53" i="133"/>
  <c r="N13" i="40"/>
  <c r="A31" i="40"/>
  <c r="S44" i="47"/>
  <c r="S41" i="47"/>
  <c r="S46" i="47"/>
  <c r="S43" i="47"/>
  <c r="H38" i="8"/>
  <c r="AC29" i="250"/>
  <c r="AC21" i="250"/>
  <c r="B52" i="133"/>
  <c r="D45" i="79"/>
  <c r="D41" i="79"/>
  <c r="D37" i="79"/>
  <c r="D33" i="79"/>
  <c r="D29" i="79"/>
  <c r="K62" i="133"/>
  <c r="G51" i="133"/>
  <c r="C164" i="73"/>
  <c r="F6" i="73"/>
  <c r="B29" i="126"/>
  <c r="B28" i="126"/>
  <c r="B21" i="126"/>
  <c r="E12" i="126"/>
  <c r="D11" i="126"/>
  <c r="G11" i="126"/>
  <c r="D9" i="126"/>
  <c r="G9" i="126"/>
  <c r="J18" i="8"/>
  <c r="J17" i="8"/>
  <c r="J15" i="8"/>
  <c r="J13" i="8"/>
  <c r="H15" i="40"/>
  <c r="C45" i="47"/>
  <c r="L41" i="47"/>
  <c r="C41" i="47"/>
  <c r="AG38" i="47"/>
  <c r="AD40" i="172"/>
  <c r="AF40" i="172"/>
  <c r="AG36" i="47"/>
  <c r="AD38" i="172"/>
  <c r="AF38" i="172"/>
  <c r="Y29" i="47"/>
  <c r="T29" i="47"/>
  <c r="O29" i="53"/>
  <c r="W29" i="53"/>
  <c r="B32" i="173"/>
  <c r="B29" i="53"/>
  <c r="B31" i="172"/>
  <c r="B29" i="41"/>
  <c r="B29" i="285"/>
  <c r="B29" i="305"/>
  <c r="B29" i="12"/>
  <c r="B29" i="13"/>
  <c r="B29" i="310"/>
  <c r="Y28" i="47"/>
  <c r="T28" i="47"/>
  <c r="W28" i="53"/>
  <c r="O28" i="53"/>
  <c r="B31" i="173"/>
  <c r="B28" i="53"/>
  <c r="B30" i="172"/>
  <c r="B28" i="41"/>
  <c r="B28" i="285"/>
  <c r="B28" i="305"/>
  <c r="B28" i="12"/>
  <c r="B28" i="250"/>
  <c r="B28" i="310"/>
  <c r="B28" i="256"/>
  <c r="B28" i="13"/>
  <c r="Y27" i="47"/>
  <c r="T27" i="47"/>
  <c r="W27" i="53"/>
  <c r="O27" i="53"/>
  <c r="B30" i="173"/>
  <c r="B27" i="53"/>
  <c r="B29" i="172"/>
  <c r="B27" i="41"/>
  <c r="B27" i="285"/>
  <c r="B27" i="305"/>
  <c r="B27" i="12"/>
  <c r="B27" i="13"/>
  <c r="B27" i="310"/>
  <c r="Y26" i="47"/>
  <c r="T26" i="47"/>
  <c r="O26" i="53"/>
  <c r="W26" i="53"/>
  <c r="B29" i="173"/>
  <c r="B26" i="53"/>
  <c r="B28" i="172"/>
  <c r="B26" i="41"/>
  <c r="B26" i="285"/>
  <c r="B26" i="305"/>
  <c r="B26" i="12"/>
  <c r="B26" i="310"/>
  <c r="B26" i="256"/>
  <c r="B26" i="13"/>
  <c r="B26" i="250"/>
  <c r="Y25" i="47"/>
  <c r="T25" i="47"/>
  <c r="W25" i="53"/>
  <c r="O25" i="53"/>
  <c r="B28" i="173"/>
  <c r="B25" i="53"/>
  <c r="B27" i="172"/>
  <c r="B25" i="41"/>
  <c r="B25" i="285"/>
  <c r="B25" i="305"/>
  <c r="B25" i="12"/>
  <c r="B25" i="13"/>
  <c r="B25" i="310"/>
  <c r="Y24" i="47"/>
  <c r="T24" i="47"/>
  <c r="W24" i="53"/>
  <c r="O24" i="53"/>
  <c r="B27" i="173"/>
  <c r="B24" i="53"/>
  <c r="B26" i="172"/>
  <c r="B24" i="41"/>
  <c r="B24" i="285"/>
  <c r="B24" i="305"/>
  <c r="B24" i="12"/>
  <c r="B24" i="250"/>
  <c r="B24" i="310"/>
  <c r="B24" i="256"/>
  <c r="B24" i="13"/>
  <c r="Y23" i="47"/>
  <c r="T23" i="47"/>
  <c r="O23" i="53"/>
  <c r="W23" i="53"/>
  <c r="B26" i="173"/>
  <c r="B23" i="53"/>
  <c r="B25" i="172"/>
  <c r="B23" i="41"/>
  <c r="B23" i="285"/>
  <c r="B23" i="12"/>
  <c r="B23" i="305"/>
  <c r="B23" i="13"/>
  <c r="B23" i="310"/>
  <c r="Y22" i="47"/>
  <c r="T22" i="47"/>
  <c r="O22" i="53"/>
  <c r="W22" i="53"/>
  <c r="B25" i="173"/>
  <c r="B22" i="53"/>
  <c r="B24" i="172"/>
  <c r="B22" i="41"/>
  <c r="B22" i="285"/>
  <c r="B22" i="12"/>
  <c r="B22" i="305"/>
  <c r="B22" i="310"/>
  <c r="B22" i="256"/>
  <c r="B22" i="13"/>
  <c r="B22" i="250"/>
  <c r="Y21" i="47"/>
  <c r="T21" i="47"/>
  <c r="O21" i="53"/>
  <c r="W21" i="53"/>
  <c r="B24" i="173"/>
  <c r="B21" i="53"/>
  <c r="B23" i="172"/>
  <c r="B21" i="41"/>
  <c r="B21" i="285"/>
  <c r="B21" i="305"/>
  <c r="B21" i="12"/>
  <c r="B21" i="13"/>
  <c r="B21" i="310"/>
  <c r="Y20" i="47"/>
  <c r="T20" i="47"/>
  <c r="W20" i="53"/>
  <c r="O20" i="53"/>
  <c r="B23" i="173"/>
  <c r="B20" i="53"/>
  <c r="B22" i="172"/>
  <c r="B20" i="41"/>
  <c r="B20" i="285"/>
  <c r="B20" i="305"/>
  <c r="B20" i="12"/>
  <c r="B20" i="250"/>
  <c r="B20" i="310"/>
  <c r="B20" i="256"/>
  <c r="B20" i="13"/>
  <c r="Y19" i="47"/>
  <c r="Y18" i="47"/>
  <c r="X17" i="47"/>
  <c r="X15" i="47"/>
  <c r="X13" i="47"/>
  <c r="X11" i="47"/>
  <c r="B27" i="15"/>
  <c r="B25" i="15"/>
  <c r="B23" i="15"/>
  <c r="B21" i="15"/>
  <c r="B19" i="15"/>
  <c r="AI48" i="57"/>
  <c r="X48" i="57"/>
  <c r="N48" i="57"/>
  <c r="AC47" i="57"/>
  <c r="S47" i="57"/>
  <c r="AI46" i="57"/>
  <c r="X46" i="57"/>
  <c r="N46" i="57"/>
  <c r="AC45" i="57"/>
  <c r="S45" i="57"/>
  <c r="AI44" i="57"/>
  <c r="N44" i="57"/>
  <c r="S43" i="57"/>
  <c r="U27" i="57"/>
  <c r="AE27" i="57"/>
  <c r="W27" i="57"/>
  <c r="V26" i="57"/>
  <c r="U23" i="57"/>
  <c r="AE23" i="57"/>
  <c r="W23" i="57"/>
  <c r="V22" i="57"/>
  <c r="U19" i="57"/>
  <c r="AE19" i="57"/>
  <c r="W19" i="57"/>
  <c r="V18" i="57"/>
  <c r="U15" i="57"/>
  <c r="AE15" i="57"/>
  <c r="W15" i="57"/>
  <c r="V14" i="57"/>
  <c r="U11" i="57"/>
  <c r="AE11" i="57"/>
  <c r="W11" i="57"/>
  <c r="V10" i="57"/>
  <c r="AF9" i="57"/>
  <c r="AB43" i="57"/>
  <c r="AB44" i="57"/>
  <c r="AB45" i="57"/>
  <c r="AB46" i="57"/>
  <c r="AB47" i="57"/>
  <c r="AB48" i="57"/>
  <c r="P32" i="52"/>
  <c r="K68" i="73"/>
  <c r="P32" i="303"/>
  <c r="P32" i="274"/>
  <c r="G75" i="273"/>
  <c r="H90" i="273"/>
  <c r="E8" i="64"/>
  <c r="F8" i="64"/>
  <c r="A39" i="64"/>
  <c r="G32" i="64"/>
  <c r="E46" i="256"/>
  <c r="E42" i="256"/>
  <c r="I25" i="256"/>
  <c r="K25" i="256"/>
  <c r="K22" i="256"/>
  <c r="I21" i="256"/>
  <c r="K21" i="256"/>
  <c r="K18" i="256"/>
  <c r="I17" i="256"/>
  <c r="K17" i="256"/>
  <c r="K14" i="256"/>
  <c r="I13" i="256"/>
  <c r="K13" i="256"/>
  <c r="D41" i="256"/>
  <c r="D42" i="256"/>
  <c r="D43" i="256"/>
  <c r="D44" i="256"/>
  <c r="D45" i="256"/>
  <c r="D46" i="256"/>
  <c r="I10" i="256"/>
  <c r="E43" i="250"/>
  <c r="E41" i="250"/>
  <c r="K22" i="250"/>
  <c r="B21" i="250"/>
  <c r="AC14" i="250"/>
  <c r="J41" i="250"/>
  <c r="AC29" i="310"/>
  <c r="AC28" i="310"/>
  <c r="AC27" i="310"/>
  <c r="AC22" i="310"/>
  <c r="AC21" i="310"/>
  <c r="AC20" i="310"/>
  <c r="AC19" i="310"/>
  <c r="AC14" i="310"/>
  <c r="AC13" i="310"/>
  <c r="AC12" i="310"/>
  <c r="AC11" i="310"/>
  <c r="J62" i="295"/>
  <c r="U14" i="283"/>
  <c r="P14" i="283"/>
  <c r="P174" i="276"/>
  <c r="X174" i="276"/>
  <c r="P170" i="276"/>
  <c r="AF170" i="276"/>
  <c r="X170" i="276"/>
  <c r="AA170" i="276"/>
  <c r="X168" i="276"/>
  <c r="AA168" i="276"/>
  <c r="P168" i="276"/>
  <c r="U162" i="276"/>
  <c r="U158" i="276"/>
  <c r="X155" i="276"/>
  <c r="P153" i="276"/>
  <c r="X153" i="276"/>
  <c r="AP33" i="173"/>
  <c r="AH32" i="172"/>
  <c r="AP31" i="173"/>
  <c r="AH30" i="172"/>
  <c r="AC28" i="185"/>
  <c r="AP29" i="173"/>
  <c r="AH28" i="172"/>
  <c r="AC26" i="185"/>
  <c r="AP27" i="173"/>
  <c r="AH26" i="172"/>
  <c r="AC24" i="185"/>
  <c r="AP25" i="173"/>
  <c r="AH24" i="172"/>
  <c r="AC22" i="185"/>
  <c r="AP22" i="173"/>
  <c r="AH21" i="172"/>
  <c r="AC19" i="185"/>
  <c r="AP20" i="173"/>
  <c r="AH19" i="172"/>
  <c r="AC17" i="185"/>
  <c r="AL17" i="47"/>
  <c r="AP19" i="173"/>
  <c r="AH18" i="172"/>
  <c r="AC16" i="185"/>
  <c r="AL16" i="47"/>
  <c r="AP17" i="173"/>
  <c r="AH16" i="172"/>
  <c r="AC14" i="185"/>
  <c r="AL14" i="47"/>
  <c r="AP16" i="173"/>
  <c r="AH15" i="172"/>
  <c r="AC13" i="185"/>
  <c r="AL13" i="47"/>
  <c r="AP15" i="173"/>
  <c r="AH14" i="172"/>
  <c r="AC12" i="185"/>
  <c r="AL12" i="47"/>
  <c r="AP14" i="173"/>
  <c r="AH13" i="172"/>
  <c r="AC11" i="185"/>
  <c r="AL11" i="47"/>
  <c r="AP13" i="173"/>
  <c r="AH12" i="172"/>
  <c r="AC10" i="185"/>
  <c r="AL10" i="47"/>
  <c r="E15" i="73"/>
  <c r="E6" i="73"/>
  <c r="D12" i="126"/>
  <c r="G12" i="126"/>
  <c r="B30" i="281"/>
  <c r="AQ42" i="173"/>
  <c r="AI41" i="172"/>
  <c r="AA39" i="53"/>
  <c r="AQ40" i="173"/>
  <c r="AI39" i="172"/>
  <c r="AA37" i="53"/>
  <c r="AQ32" i="173"/>
  <c r="AI31" i="172"/>
  <c r="AA29" i="53"/>
  <c r="N29" i="53"/>
  <c r="V29" i="53"/>
  <c r="AQ31" i="173"/>
  <c r="AI30" i="172"/>
  <c r="AA28" i="53"/>
  <c r="N28" i="53"/>
  <c r="V28" i="53"/>
  <c r="AQ30" i="173"/>
  <c r="AI29" i="172"/>
  <c r="AA27" i="53"/>
  <c r="V27" i="53"/>
  <c r="N27" i="53"/>
  <c r="AQ29" i="173"/>
  <c r="AI28" i="172"/>
  <c r="AA26" i="53"/>
  <c r="N26" i="53"/>
  <c r="V26" i="53"/>
  <c r="AQ28" i="173"/>
  <c r="AI27" i="172"/>
  <c r="AA25" i="53"/>
  <c r="N25" i="53"/>
  <c r="V25" i="53"/>
  <c r="AQ27" i="173"/>
  <c r="AI26" i="172"/>
  <c r="AA24" i="53"/>
  <c r="N24" i="53"/>
  <c r="V24" i="53"/>
  <c r="AQ26" i="173"/>
  <c r="AI25" i="172"/>
  <c r="AA23" i="53"/>
  <c r="V23" i="53"/>
  <c r="N23" i="53"/>
  <c r="AQ25" i="173"/>
  <c r="AI24" i="172"/>
  <c r="AA22" i="53"/>
  <c r="N22" i="53"/>
  <c r="V22" i="53"/>
  <c r="AQ24" i="173"/>
  <c r="AI23" i="172"/>
  <c r="AA21" i="53"/>
  <c r="N21" i="53"/>
  <c r="V21" i="53"/>
  <c r="AQ23" i="173"/>
  <c r="AI22" i="172"/>
  <c r="AA20" i="53"/>
  <c r="N20" i="53"/>
  <c r="V20" i="53"/>
  <c r="AQ22" i="173"/>
  <c r="AI21" i="172"/>
  <c r="AA19" i="53"/>
  <c r="C21" i="172"/>
  <c r="R19" i="47"/>
  <c r="W19" i="47"/>
  <c r="Z20" i="172"/>
  <c r="AC20" i="172"/>
  <c r="AG18" i="47"/>
  <c r="C20" i="172"/>
  <c r="R18" i="47"/>
  <c r="W18" i="47"/>
  <c r="Z19" i="172"/>
  <c r="AC19" i="172"/>
  <c r="AG17" i="47"/>
  <c r="N17" i="53"/>
  <c r="V17" i="53"/>
  <c r="AQ19" i="173"/>
  <c r="AI18" i="172"/>
  <c r="AA16" i="53"/>
  <c r="C18" i="172"/>
  <c r="T16" i="47"/>
  <c r="Y16" i="47"/>
  <c r="R16" i="47"/>
  <c r="W16" i="47"/>
  <c r="Z17" i="172"/>
  <c r="AC17" i="172"/>
  <c r="AG15" i="47"/>
  <c r="V15" i="53"/>
  <c r="N15" i="53"/>
  <c r="AQ17" i="173"/>
  <c r="AI16" i="172"/>
  <c r="AA14" i="53"/>
  <c r="C16" i="172"/>
  <c r="T14" i="47"/>
  <c r="Y14" i="47"/>
  <c r="R14" i="47"/>
  <c r="W14" i="47"/>
  <c r="Z15" i="172"/>
  <c r="AC15" i="172"/>
  <c r="AG13" i="47"/>
  <c r="N13" i="53"/>
  <c r="V13" i="53"/>
  <c r="AQ15" i="173"/>
  <c r="AI14" i="172"/>
  <c r="AA12" i="53"/>
  <c r="C14" i="172"/>
  <c r="T12" i="47"/>
  <c r="Y12" i="47"/>
  <c r="R12" i="47"/>
  <c r="W12" i="47"/>
  <c r="Z13" i="172"/>
  <c r="AC13" i="172"/>
  <c r="AG11" i="47"/>
  <c r="V11" i="53"/>
  <c r="N11" i="53"/>
  <c r="AQ13" i="173"/>
  <c r="AI12" i="172"/>
  <c r="AA10" i="53"/>
  <c r="C12" i="172"/>
  <c r="T10" i="47"/>
  <c r="Y10" i="47"/>
  <c r="R10" i="47"/>
  <c r="W10" i="47"/>
  <c r="W24" i="57"/>
  <c r="U24" i="57"/>
  <c r="AE24" i="57"/>
  <c r="W20" i="57"/>
  <c r="U20" i="57"/>
  <c r="AE20" i="57"/>
  <c r="W16" i="57"/>
  <c r="U16" i="57"/>
  <c r="AE16" i="57"/>
  <c r="W12" i="57"/>
  <c r="U12" i="57"/>
  <c r="AE12" i="57"/>
  <c r="AG43" i="57"/>
  <c r="AG44" i="57"/>
  <c r="AG45" i="57"/>
  <c r="AG46" i="57"/>
  <c r="AG47" i="57"/>
  <c r="AG48" i="57"/>
  <c r="O43" i="57"/>
  <c r="O44" i="57"/>
  <c r="O45" i="57"/>
  <c r="O46" i="57"/>
  <c r="O47" i="57"/>
  <c r="O48" i="57"/>
  <c r="O33" i="52"/>
  <c r="O33" i="303"/>
  <c r="F76" i="273"/>
  <c r="D76" i="273"/>
  <c r="O33" i="274"/>
  <c r="G16" i="63"/>
  <c r="G20" i="63"/>
  <c r="B29" i="256"/>
  <c r="AA27" i="256"/>
  <c r="H27" i="256"/>
  <c r="B25" i="256"/>
  <c r="AA23" i="256"/>
  <c r="H23" i="256"/>
  <c r="B21" i="256"/>
  <c r="H19" i="256"/>
  <c r="H15" i="256"/>
  <c r="H11" i="256"/>
  <c r="B29" i="250"/>
  <c r="B25" i="250"/>
  <c r="H23" i="250"/>
  <c r="AC10" i="250"/>
  <c r="P171" i="276"/>
  <c r="U171" i="276"/>
  <c r="X171" i="276"/>
  <c r="AA171" i="276"/>
  <c r="N185" i="276"/>
  <c r="N183" i="276"/>
  <c r="AP34" i="173"/>
  <c r="AH33" i="172"/>
  <c r="AP32" i="173"/>
  <c r="AH31" i="172"/>
  <c r="AC29" i="185"/>
  <c r="AP30" i="173"/>
  <c r="AH29" i="172"/>
  <c r="AC27" i="185"/>
  <c r="AP28" i="173"/>
  <c r="AH27" i="172"/>
  <c r="AC25" i="185"/>
  <c r="AP26" i="173"/>
  <c r="AH25" i="172"/>
  <c r="AC23" i="185"/>
  <c r="AP24" i="173"/>
  <c r="AH23" i="172"/>
  <c r="AC21" i="185"/>
  <c r="AP23" i="173"/>
  <c r="AH22" i="172"/>
  <c r="AC20" i="185"/>
  <c r="AP21" i="173"/>
  <c r="AH20" i="172"/>
  <c r="AC18" i="185"/>
  <c r="AL18" i="47"/>
  <c r="AP18" i="173"/>
  <c r="AH17" i="172"/>
  <c r="AC15" i="185"/>
  <c r="AL15" i="47"/>
  <c r="J12" i="133"/>
  <c r="Z31" i="53"/>
  <c r="Y31" i="41"/>
  <c r="AA31" i="285"/>
  <c r="Z30" i="53"/>
  <c r="Y30" i="41"/>
  <c r="AA30" i="285"/>
  <c r="Z29" i="53"/>
  <c r="Y29" i="41"/>
  <c r="AA29" i="285"/>
  <c r="AA29" i="305"/>
  <c r="AA29" i="12"/>
  <c r="K29" i="13"/>
  <c r="AA29" i="310"/>
  <c r="Z28" i="53"/>
  <c r="Y28" i="41"/>
  <c r="AA28" i="285"/>
  <c r="AA28" i="305"/>
  <c r="AA28" i="12"/>
  <c r="K28" i="13"/>
  <c r="AA28" i="250"/>
  <c r="AA28" i="310"/>
  <c r="AA28" i="256"/>
  <c r="Z27" i="53"/>
  <c r="Y27" i="41"/>
  <c r="AA27" i="285"/>
  <c r="AA27" i="305"/>
  <c r="AA27" i="12"/>
  <c r="K27" i="13"/>
  <c r="AA27" i="310"/>
  <c r="Z26" i="53"/>
  <c r="Y26" i="41"/>
  <c r="AA26" i="285"/>
  <c r="AA26" i="305"/>
  <c r="AA26" i="12"/>
  <c r="K26" i="13"/>
  <c r="AA26" i="310"/>
  <c r="AA26" i="256"/>
  <c r="AA26" i="250"/>
  <c r="Z25" i="53"/>
  <c r="Y25" i="41"/>
  <c r="AA25" i="285"/>
  <c r="AA25" i="305"/>
  <c r="AA25" i="12"/>
  <c r="K25" i="13"/>
  <c r="AA25" i="310"/>
  <c r="Z24" i="53"/>
  <c r="Y24" i="41"/>
  <c r="AA24" i="285"/>
  <c r="AA24" i="305"/>
  <c r="AA24" i="12"/>
  <c r="K24" i="13"/>
  <c r="AA24" i="250"/>
  <c r="AA24" i="310"/>
  <c r="AA24" i="256"/>
  <c r="Z23" i="53"/>
  <c r="Y23" i="41"/>
  <c r="AA23" i="285"/>
  <c r="AA23" i="305"/>
  <c r="AA23" i="12"/>
  <c r="K23" i="13"/>
  <c r="AA23" i="310"/>
  <c r="Z22" i="53"/>
  <c r="Y22" i="41"/>
  <c r="AA22" i="285"/>
  <c r="AA22" i="305"/>
  <c r="AA22" i="12"/>
  <c r="K22" i="13"/>
  <c r="AA22" i="310"/>
  <c r="AA22" i="256"/>
  <c r="AA22" i="250"/>
  <c r="Z21" i="53"/>
  <c r="Y21" i="41"/>
  <c r="AA21" i="285"/>
  <c r="AA21" i="305"/>
  <c r="AA21" i="12"/>
  <c r="K21" i="13"/>
  <c r="AA21" i="310"/>
  <c r="Z20" i="53"/>
  <c r="Y20" i="41"/>
  <c r="AA20" i="285"/>
  <c r="AA20" i="305"/>
  <c r="AA20" i="12"/>
  <c r="K20" i="13"/>
  <c r="AA20" i="250"/>
  <c r="AA20" i="310"/>
  <c r="AA20" i="256"/>
  <c r="Z19" i="53"/>
  <c r="Y19" i="41"/>
  <c r="AA19" i="285"/>
  <c r="AA19" i="12"/>
  <c r="K19" i="13"/>
  <c r="AA19" i="305"/>
  <c r="AA19" i="250"/>
  <c r="AA19" i="310"/>
  <c r="Z18" i="53"/>
  <c r="Y18" i="41"/>
  <c r="AA18" i="285"/>
  <c r="AA18" i="305"/>
  <c r="AA18" i="12"/>
  <c r="K18" i="13"/>
  <c r="AA18" i="310"/>
  <c r="AA18" i="256"/>
  <c r="AA18" i="250"/>
  <c r="Z17" i="53"/>
  <c r="Y17" i="41"/>
  <c r="AA17" i="285"/>
  <c r="AA17" i="305"/>
  <c r="AA17" i="12"/>
  <c r="K17" i="13"/>
  <c r="AA17" i="310"/>
  <c r="Z16" i="53"/>
  <c r="Y16" i="41"/>
  <c r="AA16" i="285"/>
  <c r="AA16" i="305"/>
  <c r="AA16" i="12"/>
  <c r="K16" i="13"/>
  <c r="AA16" i="250"/>
  <c r="AA16" i="310"/>
  <c r="AA16" i="256"/>
  <c r="Z15" i="53"/>
  <c r="Y15" i="41"/>
  <c r="AA15" i="285"/>
  <c r="AA15" i="12"/>
  <c r="K15" i="13"/>
  <c r="AA15" i="305"/>
  <c r="AA15" i="250"/>
  <c r="AA15" i="310"/>
  <c r="Z14" i="53"/>
  <c r="Y14" i="41"/>
  <c r="AA14" i="285"/>
  <c r="AA14" i="305"/>
  <c r="AA14" i="12"/>
  <c r="K14" i="13"/>
  <c r="AA14" i="310"/>
  <c r="AA14" i="256"/>
  <c r="AA14" i="250"/>
  <c r="Z13" i="53"/>
  <c r="Y13" i="41"/>
  <c r="AA13" i="285"/>
  <c r="AA13" i="305"/>
  <c r="AA13" i="12"/>
  <c r="K13" i="13"/>
  <c r="AA13" i="310"/>
  <c r="Z12" i="53"/>
  <c r="Y12" i="41"/>
  <c r="AA12" i="285"/>
  <c r="AA12" i="305"/>
  <c r="AA12" i="12"/>
  <c r="K12" i="13"/>
  <c r="AA12" i="250"/>
  <c r="AA12" i="310"/>
  <c r="AA12" i="256"/>
  <c r="Z11" i="53"/>
  <c r="Y11" i="41"/>
  <c r="AA11" i="285"/>
  <c r="AA11" i="305"/>
  <c r="AA11" i="12"/>
  <c r="K11" i="13"/>
  <c r="AA11" i="250"/>
  <c r="AA11" i="310"/>
  <c r="Z10" i="53"/>
  <c r="Y10" i="41"/>
  <c r="AA10" i="285"/>
  <c r="AA10" i="305"/>
  <c r="AA10" i="12"/>
  <c r="K10" i="13"/>
  <c r="AA10" i="310"/>
  <c r="AA10" i="256"/>
  <c r="AA10" i="250"/>
  <c r="K54" i="133"/>
  <c r="H33" i="73"/>
  <c r="H6" i="73"/>
  <c r="T5" i="303" s="1"/>
  <c r="D6" i="73"/>
  <c r="D22" i="126"/>
  <c r="A61" i="281"/>
  <c r="D54" i="8"/>
  <c r="K34" i="8"/>
  <c r="K33" i="8"/>
  <c r="L18" i="8"/>
  <c r="L17" i="8"/>
  <c r="L15" i="8"/>
  <c r="L13" i="8"/>
  <c r="A22" i="38"/>
  <c r="I45" i="47"/>
  <c r="C43" i="47"/>
  <c r="I41" i="47"/>
  <c r="AG39" i="47"/>
  <c r="AD41" i="172"/>
  <c r="AF41" i="172"/>
  <c r="AG37" i="47"/>
  <c r="AD39" i="172"/>
  <c r="AF39" i="172"/>
  <c r="AL29" i="47"/>
  <c r="AG29" i="47"/>
  <c r="AD31" i="172"/>
  <c r="AF31" i="172"/>
  <c r="W29" i="47"/>
  <c r="R29" i="47"/>
  <c r="U29" i="53"/>
  <c r="M29" i="53"/>
  <c r="AL28" i="47"/>
  <c r="AG28" i="47"/>
  <c r="AD30" i="172"/>
  <c r="AF30" i="172"/>
  <c r="W28" i="47"/>
  <c r="R28" i="47"/>
  <c r="M28" i="53"/>
  <c r="U28" i="53"/>
  <c r="AL27" i="47"/>
  <c r="AG27" i="47"/>
  <c r="AD29" i="172"/>
  <c r="AF29" i="172"/>
  <c r="W27" i="47"/>
  <c r="R27" i="47"/>
  <c r="M27" i="53"/>
  <c r="U27" i="53"/>
  <c r="AL26" i="47"/>
  <c r="AG26" i="47"/>
  <c r="AD28" i="172"/>
  <c r="AF28" i="172"/>
  <c r="W26" i="47"/>
  <c r="R26" i="47"/>
  <c r="U26" i="53"/>
  <c r="M26" i="53"/>
  <c r="AL25" i="47"/>
  <c r="AG25" i="47"/>
  <c r="AD27" i="172"/>
  <c r="AF27" i="172"/>
  <c r="W25" i="47"/>
  <c r="R25" i="47"/>
  <c r="M25" i="53"/>
  <c r="U25" i="53"/>
  <c r="AL24" i="47"/>
  <c r="AG24" i="47"/>
  <c r="AD26" i="172"/>
  <c r="AF26" i="172"/>
  <c r="W24" i="47"/>
  <c r="R24" i="47"/>
  <c r="M24" i="53"/>
  <c r="U24" i="53"/>
  <c r="AL23" i="47"/>
  <c r="AG23" i="47"/>
  <c r="AD25" i="172"/>
  <c r="AF25" i="172"/>
  <c r="W23" i="47"/>
  <c r="R23" i="47"/>
  <c r="M23" i="53"/>
  <c r="U23" i="53"/>
  <c r="AL22" i="47"/>
  <c r="AG22" i="47"/>
  <c r="AD24" i="172"/>
  <c r="AF24" i="172"/>
  <c r="W22" i="47"/>
  <c r="R22" i="47"/>
  <c r="U22" i="53"/>
  <c r="M22" i="53"/>
  <c r="AL21" i="47"/>
  <c r="AG21" i="47"/>
  <c r="AD23" i="172"/>
  <c r="AF23" i="172"/>
  <c r="W21" i="47"/>
  <c r="R21" i="47"/>
  <c r="U21" i="53"/>
  <c r="M21" i="53"/>
  <c r="AL20" i="47"/>
  <c r="AG20" i="47"/>
  <c r="AD22" i="172"/>
  <c r="AF22" i="172"/>
  <c r="W20" i="47"/>
  <c r="R20" i="47"/>
  <c r="M20" i="53"/>
  <c r="U20" i="53"/>
  <c r="AL19" i="47"/>
  <c r="AG19" i="47"/>
  <c r="AD21" i="172"/>
  <c r="AF21" i="172"/>
  <c r="V19" i="47"/>
  <c r="W19" i="53"/>
  <c r="O19" i="53"/>
  <c r="B22" i="173"/>
  <c r="B19" i="53"/>
  <c r="B21" i="172"/>
  <c r="B19" i="41"/>
  <c r="B19" i="285"/>
  <c r="B19" i="12"/>
  <c r="B19" i="305"/>
  <c r="B19" i="250"/>
  <c r="B19" i="13"/>
  <c r="B19" i="310"/>
  <c r="AH18" i="47"/>
  <c r="AJ18" i="47"/>
  <c r="V18" i="47"/>
  <c r="O18" i="53"/>
  <c r="W18" i="53"/>
  <c r="B21" i="173"/>
  <c r="B20" i="172"/>
  <c r="B18" i="53"/>
  <c r="B18" i="41"/>
  <c r="B18" i="285"/>
  <c r="B18" i="12"/>
  <c r="B18" i="305"/>
  <c r="B18" i="310"/>
  <c r="B18" i="256"/>
  <c r="B18" i="13"/>
  <c r="B18" i="250"/>
  <c r="AH17" i="47"/>
  <c r="AJ17" i="47"/>
  <c r="X16" i="47"/>
  <c r="AH15" i="47"/>
  <c r="AJ15" i="47"/>
  <c r="X14" i="47"/>
  <c r="AH13" i="47"/>
  <c r="AJ13" i="47"/>
  <c r="X12" i="47"/>
  <c r="AH11" i="47"/>
  <c r="AJ11" i="47"/>
  <c r="X10" i="47"/>
  <c r="M8" i="47"/>
  <c r="O8" i="47"/>
  <c r="AC4" i="47"/>
  <c r="B26" i="15"/>
  <c r="B24" i="15"/>
  <c r="B22" i="15"/>
  <c r="B20" i="15"/>
  <c r="B18" i="15"/>
  <c r="B16" i="15"/>
  <c r="AC48" i="57"/>
  <c r="AI47" i="57"/>
  <c r="X47" i="57"/>
  <c r="AC46" i="57"/>
  <c r="S46" i="57"/>
  <c r="AI45" i="57"/>
  <c r="X45" i="57"/>
  <c r="N45" i="57"/>
  <c r="U25" i="57"/>
  <c r="AE25" i="57"/>
  <c r="W25" i="57"/>
  <c r="V24" i="57"/>
  <c r="U21" i="57"/>
  <c r="AE21" i="57"/>
  <c r="W21" i="57"/>
  <c r="V20" i="57"/>
  <c r="U17" i="57"/>
  <c r="AE17" i="57"/>
  <c r="W17" i="57"/>
  <c r="V16" i="57"/>
  <c r="U13" i="57"/>
  <c r="AE13" i="57"/>
  <c r="W13" i="57"/>
  <c r="V12" i="57"/>
  <c r="Y43" i="57"/>
  <c r="Y44" i="57"/>
  <c r="Y45" i="57"/>
  <c r="Y46" i="57"/>
  <c r="Y47" i="57"/>
  <c r="Y48" i="57"/>
  <c r="A34" i="63"/>
  <c r="O29" i="52"/>
  <c r="O29" i="303"/>
  <c r="F72" i="273"/>
  <c r="D72" i="273"/>
  <c r="O29" i="274"/>
  <c r="I14" i="63"/>
  <c r="D27" i="63"/>
  <c r="D10" i="64"/>
  <c r="D10" i="63"/>
  <c r="E45" i="256"/>
  <c r="E41" i="256"/>
  <c r="I28" i="256"/>
  <c r="K28" i="256"/>
  <c r="I27" i="256"/>
  <c r="K27" i="256"/>
  <c r="I24" i="256"/>
  <c r="K24" i="256"/>
  <c r="I23" i="256"/>
  <c r="K23" i="256"/>
  <c r="I20" i="256"/>
  <c r="K20" i="256"/>
  <c r="I19" i="256"/>
  <c r="K19" i="256"/>
  <c r="I16" i="256"/>
  <c r="K16" i="256"/>
  <c r="I15" i="256"/>
  <c r="K15" i="256"/>
  <c r="I12" i="256"/>
  <c r="K12" i="256"/>
  <c r="I11" i="256"/>
  <c r="K11" i="256"/>
  <c r="M41" i="256"/>
  <c r="M42" i="256"/>
  <c r="M43" i="256"/>
  <c r="M44" i="256"/>
  <c r="M45" i="256"/>
  <c r="M46" i="256"/>
  <c r="F41" i="256"/>
  <c r="F42" i="256"/>
  <c r="F43" i="256"/>
  <c r="F44" i="256"/>
  <c r="F45" i="256"/>
  <c r="F46" i="256"/>
  <c r="E46" i="250"/>
  <c r="E44" i="250"/>
  <c r="E42" i="250"/>
  <c r="I28" i="250"/>
  <c r="K28" i="250"/>
  <c r="I27" i="250"/>
  <c r="K27" i="250"/>
  <c r="I24" i="250"/>
  <c r="K24" i="250"/>
  <c r="I23" i="250"/>
  <c r="K23" i="250"/>
  <c r="H21" i="250"/>
  <c r="I20" i="250"/>
  <c r="K20" i="250"/>
  <c r="I19" i="250"/>
  <c r="K19" i="250"/>
  <c r="AA17" i="250"/>
  <c r="H17" i="250"/>
  <c r="I16" i="250"/>
  <c r="K16" i="250"/>
  <c r="I15" i="250"/>
  <c r="K15" i="250"/>
  <c r="AA13" i="250"/>
  <c r="H13" i="250"/>
  <c r="H44" i="250"/>
  <c r="I12" i="250"/>
  <c r="K12" i="250"/>
  <c r="I11" i="250"/>
  <c r="AC26" i="310"/>
  <c r="AC25" i="310"/>
  <c r="AC24" i="310"/>
  <c r="AC23" i="310"/>
  <c r="AC17" i="310"/>
  <c r="AC16" i="310"/>
  <c r="AC15" i="310"/>
  <c r="F46" i="13"/>
  <c r="G24" i="13"/>
  <c r="H24" i="13"/>
  <c r="I24" i="13"/>
  <c r="I44" i="13"/>
  <c r="F41" i="13"/>
  <c r="F43" i="13"/>
  <c r="F45" i="13"/>
  <c r="H41" i="13"/>
  <c r="H45" i="13"/>
  <c r="I13" i="13"/>
  <c r="H46" i="13"/>
  <c r="N13" i="283"/>
  <c r="N20" i="283"/>
  <c r="K22" i="283"/>
  <c r="U176" i="276"/>
  <c r="U174" i="276"/>
  <c r="P172" i="276"/>
  <c r="X172" i="276"/>
  <c r="AA172" i="276"/>
  <c r="P166" i="276"/>
  <c r="X166" i="276"/>
  <c r="AA166" i="276"/>
  <c r="P164" i="276"/>
  <c r="U164" i="276"/>
  <c r="X164" i="276"/>
  <c r="U160" i="276"/>
  <c r="U153" i="276"/>
  <c r="J25" i="64" a="1"/>
  <c r="K18" i="8"/>
  <c r="K17" i="8"/>
  <c r="K15" i="8"/>
  <c r="K13" i="8"/>
  <c r="AQ41" i="173"/>
  <c r="AI40" i="172"/>
  <c r="AA38" i="53"/>
  <c r="AH38" i="47"/>
  <c r="AJ38" i="47"/>
  <c r="AC40" i="172"/>
  <c r="AQ39" i="173"/>
  <c r="AI38" i="172"/>
  <c r="AA36" i="53"/>
  <c r="AH36" i="47"/>
  <c r="AJ36" i="47"/>
  <c r="AC38" i="172"/>
  <c r="O31" i="172"/>
  <c r="T31" i="172"/>
  <c r="Q31" i="172"/>
  <c r="V31" i="172"/>
  <c r="S31" i="172"/>
  <c r="W31" i="172"/>
  <c r="U31" i="172"/>
  <c r="P31" i="172"/>
  <c r="O30" i="172"/>
  <c r="T30" i="172"/>
  <c r="Q30" i="172"/>
  <c r="V30" i="172"/>
  <c r="S30" i="172"/>
  <c r="W30" i="172"/>
  <c r="P30" i="172"/>
  <c r="U30" i="172"/>
  <c r="O29" i="172"/>
  <c r="T29" i="172"/>
  <c r="Q29" i="172"/>
  <c r="V29" i="172"/>
  <c r="S29" i="172"/>
  <c r="W29" i="172"/>
  <c r="P29" i="172"/>
  <c r="U29" i="172"/>
  <c r="O28" i="172"/>
  <c r="T28" i="172"/>
  <c r="P28" i="172"/>
  <c r="U28" i="172"/>
  <c r="Q28" i="172"/>
  <c r="V28" i="172"/>
  <c r="S28" i="172"/>
  <c r="W28" i="172"/>
  <c r="O27" i="172"/>
  <c r="T27" i="172"/>
  <c r="P27" i="172"/>
  <c r="U27" i="172"/>
  <c r="Q27" i="172"/>
  <c r="V27" i="172"/>
  <c r="S27" i="172"/>
  <c r="W27" i="172"/>
  <c r="O26" i="172"/>
  <c r="T26" i="172"/>
  <c r="P26" i="172"/>
  <c r="U26" i="172"/>
  <c r="Q26" i="172"/>
  <c r="V26" i="172"/>
  <c r="S26" i="172"/>
  <c r="W26" i="172"/>
  <c r="O25" i="172"/>
  <c r="T25" i="172"/>
  <c r="P25" i="172"/>
  <c r="U25" i="172"/>
  <c r="Q25" i="172"/>
  <c r="V25" i="172"/>
  <c r="S25" i="172"/>
  <c r="W25" i="172"/>
  <c r="O24" i="172"/>
  <c r="T24" i="172"/>
  <c r="P24" i="172"/>
  <c r="U24" i="172"/>
  <c r="Q24" i="172"/>
  <c r="V24" i="172"/>
  <c r="S24" i="172"/>
  <c r="W24" i="172"/>
  <c r="O23" i="172"/>
  <c r="T23" i="172"/>
  <c r="P23" i="172"/>
  <c r="U23" i="172"/>
  <c r="Q23" i="172"/>
  <c r="V23" i="172"/>
  <c r="S23" i="172"/>
  <c r="W23" i="172"/>
  <c r="O22" i="172"/>
  <c r="T22" i="172"/>
  <c r="P22" i="172"/>
  <c r="U22" i="172"/>
  <c r="Q22" i="172"/>
  <c r="V22" i="172"/>
  <c r="S22" i="172"/>
  <c r="W22" i="172"/>
  <c r="Z19" i="47"/>
  <c r="T19" i="47"/>
  <c r="V19" i="53"/>
  <c r="N19" i="53"/>
  <c r="AQ21" i="173"/>
  <c r="AI20" i="172"/>
  <c r="AA18" i="53"/>
  <c r="Z18" i="47"/>
  <c r="Z41" i="47"/>
  <c r="T18" i="47"/>
  <c r="V18" i="53"/>
  <c r="N18" i="53"/>
  <c r="AQ20" i="173"/>
  <c r="AI19" i="172"/>
  <c r="AA17" i="53"/>
  <c r="C19" i="172"/>
  <c r="T17" i="47"/>
  <c r="Y17" i="47"/>
  <c r="R17" i="47"/>
  <c r="W17" i="47"/>
  <c r="Z18" i="172"/>
  <c r="AC18" i="172"/>
  <c r="AG16" i="47"/>
  <c r="V16" i="47"/>
  <c r="N16" i="53"/>
  <c r="V16" i="53"/>
  <c r="AQ18" i="173"/>
  <c r="AI17" i="172"/>
  <c r="AA15" i="53"/>
  <c r="C17" i="172"/>
  <c r="T15" i="47"/>
  <c r="Y15" i="47"/>
  <c r="R15" i="47"/>
  <c r="W15" i="47"/>
  <c r="Z16" i="172"/>
  <c r="AC16" i="172"/>
  <c r="AG14" i="47"/>
  <c r="V14" i="47"/>
  <c r="V14" i="53"/>
  <c r="N14" i="53"/>
  <c r="AQ16" i="173"/>
  <c r="AI15" i="172"/>
  <c r="AA13" i="53"/>
  <c r="C15" i="172"/>
  <c r="T13" i="47"/>
  <c r="Y13" i="47"/>
  <c r="R13" i="47"/>
  <c r="W13" i="47"/>
  <c r="Z14" i="172"/>
  <c r="AC14" i="172"/>
  <c r="AG12" i="47"/>
  <c r="V12" i="47"/>
  <c r="N12" i="53"/>
  <c r="V12" i="53"/>
  <c r="AQ14" i="173"/>
  <c r="AI13" i="172"/>
  <c r="AA11" i="53"/>
  <c r="C13" i="172"/>
  <c r="T11" i="47"/>
  <c r="Y11" i="47"/>
  <c r="R11" i="47"/>
  <c r="W11" i="47"/>
  <c r="Z12" i="172"/>
  <c r="AC12" i="172"/>
  <c r="AG10" i="47"/>
  <c r="V10" i="47"/>
  <c r="V10" i="53"/>
  <c r="N10" i="53"/>
  <c r="W26" i="57"/>
  <c r="U26" i="57"/>
  <c r="AE26" i="57"/>
  <c r="W22" i="57"/>
  <c r="U22" i="57"/>
  <c r="AE22" i="57"/>
  <c r="W18" i="57"/>
  <c r="U18" i="57"/>
  <c r="AE18" i="57"/>
  <c r="W14" i="57"/>
  <c r="U14" i="57"/>
  <c r="AE14" i="57"/>
  <c r="W10" i="57"/>
  <c r="W44" i="57"/>
  <c r="U10" i="57"/>
  <c r="AE10" i="57"/>
  <c r="AJ43" i="57"/>
  <c r="AJ44" i="57"/>
  <c r="AJ45" i="57"/>
  <c r="AJ46" i="57"/>
  <c r="AJ47" i="57"/>
  <c r="AJ48" i="57"/>
  <c r="V9" i="57"/>
  <c r="R43" i="57"/>
  <c r="R44" i="57"/>
  <c r="R45" i="57"/>
  <c r="R46" i="57"/>
  <c r="R47" i="57"/>
  <c r="R48" i="57"/>
  <c r="M43" i="57"/>
  <c r="M44" i="57"/>
  <c r="M45" i="57"/>
  <c r="M46" i="57"/>
  <c r="M47" i="57"/>
  <c r="M48" i="57"/>
  <c r="O31" i="52"/>
  <c r="O31" i="303"/>
  <c r="F74" i="273"/>
  <c r="D74" i="273"/>
  <c r="O31" i="274"/>
  <c r="J26" i="64" a="1"/>
  <c r="I17" i="64"/>
  <c r="P4" i="66"/>
  <c r="R21" i="52"/>
  <c r="P10" i="304"/>
  <c r="R21" i="303"/>
  <c r="H35" i="236"/>
  <c r="R21" i="274"/>
  <c r="D16" i="52" a="1"/>
  <c r="B4" i="250"/>
  <c r="E27" i="11"/>
  <c r="AA29" i="256"/>
  <c r="H29" i="256"/>
  <c r="B27" i="256"/>
  <c r="AA25" i="256"/>
  <c r="B23" i="256"/>
  <c r="AA21" i="256"/>
  <c r="B19" i="256"/>
  <c r="AA17" i="256"/>
  <c r="AA13" i="256"/>
  <c r="H13" i="256"/>
  <c r="J41" i="256"/>
  <c r="J42" i="256"/>
  <c r="J43" i="256"/>
  <c r="J44" i="256"/>
  <c r="J45" i="256"/>
  <c r="J46" i="256"/>
  <c r="AA29" i="250"/>
  <c r="H29" i="250"/>
  <c r="B27" i="250"/>
  <c r="AA25" i="250"/>
  <c r="H25" i="250"/>
  <c r="B23" i="250"/>
  <c r="AA21" i="250"/>
  <c r="M41" i="250"/>
  <c r="M42" i="250"/>
  <c r="M43" i="250"/>
  <c r="M44" i="250"/>
  <c r="M45" i="250"/>
  <c r="M46" i="250"/>
  <c r="P173" i="276"/>
  <c r="X173" i="276"/>
  <c r="AA173" i="276"/>
  <c r="P169" i="276"/>
  <c r="U169" i="276"/>
  <c r="X169" i="276"/>
  <c r="AA169" i="276"/>
  <c r="P167" i="276"/>
  <c r="AF167" i="276"/>
  <c r="X167" i="276"/>
  <c r="AA167" i="276"/>
  <c r="B15" i="310"/>
  <c r="B11" i="310"/>
  <c r="B16" i="13"/>
  <c r="B12" i="13"/>
  <c r="S184" i="276"/>
  <c r="N182" i="276"/>
  <c r="S180" i="276"/>
  <c r="O156" i="276"/>
  <c r="P156" i="276"/>
  <c r="U156" i="276"/>
  <c r="O154" i="276"/>
  <c r="X154" i="276"/>
  <c r="O152" i="276"/>
  <c r="P152" i="276"/>
  <c r="S147" i="276"/>
  <c r="S143" i="276"/>
  <c r="P140" i="276"/>
  <c r="X140" i="276"/>
  <c r="AA140" i="276"/>
  <c r="P139" i="276"/>
  <c r="U139" i="276"/>
  <c r="X139" i="276"/>
  <c r="AA139" i="276"/>
  <c r="P138" i="276"/>
  <c r="X138" i="276"/>
  <c r="AA138" i="276"/>
  <c r="P137" i="276"/>
  <c r="X137" i="276"/>
  <c r="AA137" i="276"/>
  <c r="P136" i="276"/>
  <c r="X136" i="276"/>
  <c r="AA136" i="276"/>
  <c r="P135" i="276"/>
  <c r="X135" i="276"/>
  <c r="AA135" i="276"/>
  <c r="P134" i="276"/>
  <c r="X134" i="276"/>
  <c r="AA134" i="276"/>
  <c r="P133" i="276"/>
  <c r="U133" i="276"/>
  <c r="X133" i="276"/>
  <c r="AA133" i="276"/>
  <c r="P132" i="276"/>
  <c r="X132" i="276"/>
  <c r="AA132" i="276"/>
  <c r="P131" i="276"/>
  <c r="X131" i="276"/>
  <c r="AA131" i="276"/>
  <c r="P130" i="276"/>
  <c r="X130" i="276"/>
  <c r="AA130" i="276"/>
  <c r="P129" i="276"/>
  <c r="U129" i="276"/>
  <c r="X129" i="276"/>
  <c r="AA129" i="276"/>
  <c r="P128" i="276"/>
  <c r="X128" i="276"/>
  <c r="AA128" i="276"/>
  <c r="P127" i="276"/>
  <c r="U127" i="276"/>
  <c r="X127" i="276"/>
  <c r="AA127" i="276"/>
  <c r="P126" i="276"/>
  <c r="X126" i="276"/>
  <c r="AA126" i="276"/>
  <c r="P125" i="276"/>
  <c r="X125" i="276"/>
  <c r="AA125" i="276"/>
  <c r="P124" i="276"/>
  <c r="X124" i="276"/>
  <c r="AA124" i="276"/>
  <c r="U120" i="276"/>
  <c r="U115" i="276"/>
  <c r="P112" i="276"/>
  <c r="X112" i="276"/>
  <c r="U107" i="276"/>
  <c r="P104" i="276"/>
  <c r="X104" i="276"/>
  <c r="K103" i="276"/>
  <c r="N103" i="276"/>
  <c r="X99" i="276"/>
  <c r="AF99" i="276"/>
  <c r="P98" i="276"/>
  <c r="X98" i="276"/>
  <c r="U83" i="276"/>
  <c r="U81" i="276"/>
  <c r="U79" i="276"/>
  <c r="U77" i="276"/>
  <c r="U75" i="276"/>
  <c r="U73" i="276"/>
  <c r="U71" i="276"/>
  <c r="U69" i="276"/>
  <c r="U67" i="276"/>
  <c r="P64" i="276"/>
  <c r="X64" i="276"/>
  <c r="AA64" i="276"/>
  <c r="P60" i="276"/>
  <c r="X60" i="276"/>
  <c r="P51" i="276"/>
  <c r="X51" i="276"/>
  <c r="U49" i="276"/>
  <c r="P41" i="276"/>
  <c r="U41" i="276"/>
  <c r="P29" i="276"/>
  <c r="X29" i="276"/>
  <c r="AA29" i="276"/>
  <c r="P25" i="276"/>
  <c r="AF25" i="276"/>
  <c r="X25" i="276"/>
  <c r="AA25" i="276"/>
  <c r="P21" i="276"/>
  <c r="X21" i="276"/>
  <c r="AA21" i="276"/>
  <c r="P17" i="276"/>
  <c r="U17" i="276"/>
  <c r="X17" i="276"/>
  <c r="AA17" i="276"/>
  <c r="N33" i="276"/>
  <c r="N37" i="276"/>
  <c r="N36" i="276"/>
  <c r="N35" i="276"/>
  <c r="P11" i="276"/>
  <c r="X11" i="276"/>
  <c r="N34" i="276"/>
  <c r="N38" i="276"/>
  <c r="B111" i="274"/>
  <c r="B122" i="274"/>
  <c r="B11" i="242"/>
  <c r="M19" i="53"/>
  <c r="U19" i="53"/>
  <c r="U18" i="53"/>
  <c r="M18" i="53"/>
  <c r="AD19" i="172"/>
  <c r="AF19" i="172"/>
  <c r="U17" i="53"/>
  <c r="M17" i="53"/>
  <c r="AD18" i="172"/>
  <c r="AF18" i="172"/>
  <c r="M16" i="53"/>
  <c r="U16" i="53"/>
  <c r="AD17" i="172"/>
  <c r="AF17" i="172"/>
  <c r="M15" i="53"/>
  <c r="U15" i="53"/>
  <c r="U14" i="53"/>
  <c r="M14" i="53"/>
  <c r="U13" i="53"/>
  <c r="M13" i="53"/>
  <c r="AD14" i="172"/>
  <c r="AF14" i="172"/>
  <c r="M12" i="53"/>
  <c r="U12" i="53"/>
  <c r="AD13" i="172"/>
  <c r="AF13" i="172"/>
  <c r="M11" i="53"/>
  <c r="U11" i="53"/>
  <c r="U10" i="53"/>
  <c r="M10" i="53"/>
  <c r="P31" i="52"/>
  <c r="K67" i="73"/>
  <c r="P31" i="303"/>
  <c r="D41" i="303"/>
  <c r="P31" i="274"/>
  <c r="G74" i="273"/>
  <c r="H89" i="273"/>
  <c r="B30" i="52"/>
  <c r="B70" i="52"/>
  <c r="B30" i="303"/>
  <c r="B70" i="303"/>
  <c r="B30" i="274"/>
  <c r="B70" i="274"/>
  <c r="B73" i="273"/>
  <c r="B88" i="273"/>
  <c r="R20" i="52"/>
  <c r="R20" i="303"/>
  <c r="C126" i="156"/>
  <c r="E126" i="156"/>
  <c r="R20" i="274"/>
  <c r="B16" i="256"/>
  <c r="B12" i="256"/>
  <c r="D46" i="250"/>
  <c r="D45" i="250"/>
  <c r="D44" i="250"/>
  <c r="D43" i="250"/>
  <c r="D42" i="250"/>
  <c r="D41" i="250"/>
  <c r="B14" i="250"/>
  <c r="B10" i="250"/>
  <c r="J46" i="310"/>
  <c r="F46" i="310"/>
  <c r="J45" i="310"/>
  <c r="F45" i="310"/>
  <c r="J44" i="310"/>
  <c r="F44" i="310"/>
  <c r="J43" i="310"/>
  <c r="F43" i="310"/>
  <c r="J42" i="310"/>
  <c r="F42" i="310"/>
  <c r="F41" i="310"/>
  <c r="H29" i="310"/>
  <c r="H25" i="310"/>
  <c r="H21" i="310"/>
  <c r="H17" i="310"/>
  <c r="I10" i="310"/>
  <c r="G46" i="13"/>
  <c r="I45" i="13"/>
  <c r="E45" i="13"/>
  <c r="I43" i="13"/>
  <c r="E43" i="13"/>
  <c r="E41" i="13"/>
  <c r="B15" i="13"/>
  <c r="J67" i="295"/>
  <c r="J66" i="295"/>
  <c r="J65" i="295"/>
  <c r="J64" i="295"/>
  <c r="J63" i="295"/>
  <c r="K24" i="283"/>
  <c r="L23" i="283"/>
  <c r="M22" i="283"/>
  <c r="K20" i="283"/>
  <c r="O18" i="283"/>
  <c r="P18" i="283"/>
  <c r="O17" i="283"/>
  <c r="U17" i="283"/>
  <c r="O16" i="283"/>
  <c r="U16" i="283"/>
  <c r="O15" i="283"/>
  <c r="P15" i="283"/>
  <c r="U10" i="283"/>
  <c r="P122" i="276"/>
  <c r="U122" i="276"/>
  <c r="X122" i="276"/>
  <c r="AA122" i="276"/>
  <c r="P118" i="276"/>
  <c r="X118" i="276"/>
  <c r="P117" i="276"/>
  <c r="X117" i="276"/>
  <c r="P110" i="276"/>
  <c r="X110" i="276"/>
  <c r="P109" i="276"/>
  <c r="X109" i="276"/>
  <c r="U99" i="276"/>
  <c r="P96" i="276"/>
  <c r="X96" i="276"/>
  <c r="AD84" i="276"/>
  <c r="AE84" i="276"/>
  <c r="AD82" i="276"/>
  <c r="AE82" i="276"/>
  <c r="AD80" i="276"/>
  <c r="AE80" i="276"/>
  <c r="AD78" i="276"/>
  <c r="AE78" i="276"/>
  <c r="AD76" i="276"/>
  <c r="AE76" i="276"/>
  <c r="AD74" i="276"/>
  <c r="AE74" i="276"/>
  <c r="AD72" i="276"/>
  <c r="AE72" i="276"/>
  <c r="AD70" i="276"/>
  <c r="AE70" i="276"/>
  <c r="AD68" i="276"/>
  <c r="AE68" i="276"/>
  <c r="AD66" i="276"/>
  <c r="AE66" i="276"/>
  <c r="U64" i="276"/>
  <c r="P58" i="276"/>
  <c r="X58" i="276"/>
  <c r="P57" i="276"/>
  <c r="X57" i="276"/>
  <c r="P54" i="276"/>
  <c r="X54" i="276"/>
  <c r="P52" i="276"/>
  <c r="U52" i="276"/>
  <c r="X52" i="276"/>
  <c r="P48" i="276"/>
  <c r="U48" i="276"/>
  <c r="X48" i="276"/>
  <c r="P30" i="276"/>
  <c r="X30" i="276"/>
  <c r="AA30" i="276"/>
  <c r="P26" i="276"/>
  <c r="X26" i="276"/>
  <c r="AA26" i="276"/>
  <c r="P22" i="276"/>
  <c r="AF22" i="276"/>
  <c r="X22" i="276"/>
  <c r="AA22" i="276"/>
  <c r="P18" i="276"/>
  <c r="X18" i="276"/>
  <c r="AA18" i="276"/>
  <c r="P12" i="276"/>
  <c r="X12" i="276"/>
  <c r="B110" i="274"/>
  <c r="B121" i="274"/>
  <c r="B10" i="242"/>
  <c r="AC26" i="12"/>
  <c r="E45" i="310"/>
  <c r="E43" i="310"/>
  <c r="F44" i="13"/>
  <c r="D43" i="13"/>
  <c r="M25" i="283"/>
  <c r="K23" i="283"/>
  <c r="L22" i="283"/>
  <c r="S182" i="276"/>
  <c r="BD123" i="276"/>
  <c r="P121" i="276"/>
  <c r="X121" i="276"/>
  <c r="U119" i="276"/>
  <c r="U117" i="276"/>
  <c r="P116" i="276"/>
  <c r="X116" i="276"/>
  <c r="U111" i="276"/>
  <c r="U109" i="276"/>
  <c r="P108" i="276"/>
  <c r="X108" i="276"/>
  <c r="P100" i="276"/>
  <c r="X100" i="276"/>
  <c r="U97" i="276"/>
  <c r="K95" i="276"/>
  <c r="N95" i="276"/>
  <c r="U84" i="276"/>
  <c r="U82" i="276"/>
  <c r="U80" i="276"/>
  <c r="U78" i="276"/>
  <c r="U76" i="276"/>
  <c r="U74" i="276"/>
  <c r="U72" i="276"/>
  <c r="U70" i="276"/>
  <c r="U68" i="276"/>
  <c r="U66" i="276"/>
  <c r="K65" i="276"/>
  <c r="N65" i="276"/>
  <c r="U59" i="276"/>
  <c r="P56" i="276"/>
  <c r="X56" i="276"/>
  <c r="AF55" i="276"/>
  <c r="U53" i="276"/>
  <c r="U51" i="276"/>
  <c r="U47" i="276"/>
  <c r="P45" i="276"/>
  <c r="X45" i="276"/>
  <c r="P43" i="276"/>
  <c r="X43" i="276"/>
  <c r="U29" i="276"/>
  <c r="P27" i="276"/>
  <c r="X27" i="276"/>
  <c r="AA27" i="276"/>
  <c r="P23" i="276"/>
  <c r="X23" i="276"/>
  <c r="AA23" i="276"/>
  <c r="U21" i="276"/>
  <c r="P19" i="276"/>
  <c r="U19" i="276"/>
  <c r="X19" i="276"/>
  <c r="AA19" i="276"/>
  <c r="P15" i="276"/>
  <c r="X15" i="276"/>
  <c r="AA15" i="276"/>
  <c r="P13" i="276"/>
  <c r="X13" i="276"/>
  <c r="U11" i="276"/>
  <c r="B116" i="274"/>
  <c r="B127" i="274"/>
  <c r="B14" i="242"/>
  <c r="D41" i="274"/>
  <c r="F46" i="274"/>
  <c r="F77" i="274"/>
  <c r="F90" i="274"/>
  <c r="F107" i="274"/>
  <c r="F118" i="274"/>
  <c r="G15" i="274"/>
  <c r="F62" i="274"/>
  <c r="O17" i="53"/>
  <c r="W17" i="53"/>
  <c r="B20" i="173"/>
  <c r="B17" i="53"/>
  <c r="B19" i="172"/>
  <c r="B17" i="41"/>
  <c r="B17" i="285"/>
  <c r="B17" i="305"/>
  <c r="B17" i="12"/>
  <c r="W16" i="53"/>
  <c r="O16" i="53"/>
  <c r="B19" i="173"/>
  <c r="B16" i="53"/>
  <c r="B18" i="172"/>
  <c r="B16" i="41"/>
  <c r="B16" i="285"/>
  <c r="B16" i="305"/>
  <c r="B16" i="12"/>
  <c r="W15" i="53"/>
  <c r="O15" i="53"/>
  <c r="B18" i="173"/>
  <c r="B15" i="53"/>
  <c r="B17" i="172"/>
  <c r="B15" i="41"/>
  <c r="B15" i="285"/>
  <c r="B15" i="305"/>
  <c r="B15" i="12"/>
  <c r="O14" i="53"/>
  <c r="W14" i="53"/>
  <c r="B17" i="173"/>
  <c r="B16" i="172"/>
  <c r="B14" i="53"/>
  <c r="B14" i="41"/>
  <c r="B14" i="285"/>
  <c r="B14" i="305"/>
  <c r="B14" i="12"/>
  <c r="O13" i="53"/>
  <c r="W13" i="53"/>
  <c r="B16" i="173"/>
  <c r="B13" i="53"/>
  <c r="B15" i="172"/>
  <c r="B13" i="41"/>
  <c r="B13" i="285"/>
  <c r="B13" i="305"/>
  <c r="B13" i="12"/>
  <c r="W12" i="53"/>
  <c r="O12" i="53"/>
  <c r="B15" i="173"/>
  <c r="B12" i="53"/>
  <c r="B14" i="172"/>
  <c r="B12" i="41"/>
  <c r="B12" i="285"/>
  <c r="B12" i="305"/>
  <c r="B12" i="12"/>
  <c r="W11" i="53"/>
  <c r="O11" i="53"/>
  <c r="B14" i="173"/>
  <c r="B11" i="53"/>
  <c r="B13" i="172"/>
  <c r="B11" i="41"/>
  <c r="B11" i="285"/>
  <c r="B11" i="305"/>
  <c r="B11" i="12"/>
  <c r="O10" i="53"/>
  <c r="W10" i="53"/>
  <c r="B13" i="173"/>
  <c r="B12" i="172"/>
  <c r="B10" i="53"/>
  <c r="B10" i="41"/>
  <c r="B10" i="285"/>
  <c r="B10" i="305"/>
  <c r="B10" i="12"/>
  <c r="AA2" i="53"/>
  <c r="Z2" i="41"/>
  <c r="AB2" i="285"/>
  <c r="AB2" i="305"/>
  <c r="AB2" i="12"/>
  <c r="AM2" i="57"/>
  <c r="B29" i="52"/>
  <c r="B69" i="52"/>
  <c r="B29" i="303"/>
  <c r="B69" i="303"/>
  <c r="B72" i="273"/>
  <c r="B87" i="273"/>
  <c r="B29" i="274"/>
  <c r="B69" i="274"/>
  <c r="B14" i="256"/>
  <c r="B10" i="256"/>
  <c r="J46" i="250"/>
  <c r="F46" i="250"/>
  <c r="J45" i="250"/>
  <c r="F45" i="250"/>
  <c r="J44" i="250"/>
  <c r="F44" i="250"/>
  <c r="J43" i="250"/>
  <c r="F43" i="250"/>
  <c r="J42" i="250"/>
  <c r="F42" i="250"/>
  <c r="B16" i="250"/>
  <c r="B12" i="250"/>
  <c r="M46" i="310"/>
  <c r="D46" i="310"/>
  <c r="M45" i="310"/>
  <c r="D45" i="310"/>
  <c r="M44" i="310"/>
  <c r="D44" i="310"/>
  <c r="M43" i="310"/>
  <c r="D43" i="310"/>
  <c r="M42" i="310"/>
  <c r="D42" i="310"/>
  <c r="B14" i="310"/>
  <c r="B10" i="310"/>
  <c r="E46" i="13"/>
  <c r="G45" i="13"/>
  <c r="E44" i="13"/>
  <c r="G43" i="13"/>
  <c r="B17" i="13"/>
  <c r="B13" i="13"/>
  <c r="L25" i="283"/>
  <c r="M24" i="283"/>
  <c r="X177" i="276"/>
  <c r="AA177" i="276"/>
  <c r="X176" i="276"/>
  <c r="AA176" i="276"/>
  <c r="X175" i="276"/>
  <c r="AA175" i="276"/>
  <c r="X165" i="276"/>
  <c r="AF165" i="276"/>
  <c r="X162" i="276"/>
  <c r="X161" i="276"/>
  <c r="X160" i="276"/>
  <c r="X159" i="276"/>
  <c r="X158" i="276"/>
  <c r="X157" i="276"/>
  <c r="P123" i="276"/>
  <c r="U123" i="276"/>
  <c r="X123" i="276"/>
  <c r="AA123" i="276"/>
  <c r="U118" i="276"/>
  <c r="P114" i="276"/>
  <c r="X114" i="276"/>
  <c r="P113" i="276"/>
  <c r="X113" i="276"/>
  <c r="U110" i="276"/>
  <c r="P106" i="276"/>
  <c r="X106" i="276"/>
  <c r="P105" i="276"/>
  <c r="X105" i="276"/>
  <c r="P102" i="276"/>
  <c r="U102" i="276"/>
  <c r="X102" i="276"/>
  <c r="P101" i="276"/>
  <c r="X101" i="276"/>
  <c r="T96" i="276"/>
  <c r="U96" i="276"/>
  <c r="AD83" i="276"/>
  <c r="AE83" i="276"/>
  <c r="AD81" i="276"/>
  <c r="AE81" i="276"/>
  <c r="AD79" i="276"/>
  <c r="AE79" i="276"/>
  <c r="AD77" i="276"/>
  <c r="AE77" i="276"/>
  <c r="AD75" i="276"/>
  <c r="AE75" i="276"/>
  <c r="AD73" i="276"/>
  <c r="AE73" i="276"/>
  <c r="AD71" i="276"/>
  <c r="AE71" i="276"/>
  <c r="AD69" i="276"/>
  <c r="AE69" i="276"/>
  <c r="AD67" i="276"/>
  <c r="AE67" i="276"/>
  <c r="P63" i="276"/>
  <c r="U63" i="276"/>
  <c r="X63" i="276"/>
  <c r="P62" i="276"/>
  <c r="X62" i="276"/>
  <c r="AA62" i="276"/>
  <c r="P61" i="276"/>
  <c r="U61" i="276"/>
  <c r="X61" i="276"/>
  <c r="U58" i="276"/>
  <c r="U54" i="276"/>
  <c r="P50" i="276"/>
  <c r="X50" i="276"/>
  <c r="P46" i="276"/>
  <c r="U46" i="276"/>
  <c r="X46" i="276"/>
  <c r="P44" i="276"/>
  <c r="X44" i="276"/>
  <c r="U30" i="276"/>
  <c r="P28" i="276"/>
  <c r="U28" i="276"/>
  <c r="X28" i="276"/>
  <c r="AA28" i="276"/>
  <c r="U26" i="276"/>
  <c r="P24" i="276"/>
  <c r="U24" i="276"/>
  <c r="X24" i="276"/>
  <c r="AA24" i="276"/>
  <c r="P20" i="276"/>
  <c r="X20" i="276"/>
  <c r="AA20" i="276"/>
  <c r="U18" i="276"/>
  <c r="P16" i="276"/>
  <c r="X16" i="276"/>
  <c r="AA16" i="276"/>
  <c r="U12" i="276"/>
  <c r="B98" i="274"/>
  <c r="B85" i="274"/>
  <c r="AC29" i="12"/>
  <c r="AC27" i="12"/>
  <c r="I46" i="12"/>
  <c r="K25" i="12"/>
  <c r="K41" i="12"/>
  <c r="S91" i="276"/>
  <c r="S87" i="276"/>
  <c r="S36" i="276"/>
  <c r="A45" i="236"/>
  <c r="B13" i="236"/>
  <c r="B86" i="274"/>
  <c r="E46" i="274"/>
  <c r="M46" i="12"/>
  <c r="D46" i="12"/>
  <c r="M45" i="12"/>
  <c r="D45" i="12"/>
  <c r="M44" i="12"/>
  <c r="D44" i="12"/>
  <c r="M43" i="12"/>
  <c r="D43" i="12"/>
  <c r="M42" i="12"/>
  <c r="D42" i="12"/>
  <c r="D41" i="12"/>
  <c r="AC23" i="12"/>
  <c r="AC14" i="12"/>
  <c r="Z29" i="185"/>
  <c r="Z25" i="185"/>
  <c r="L10" i="185"/>
  <c r="AC23" i="305"/>
  <c r="S92" i="276"/>
  <c r="S88" i="276"/>
  <c r="X53" i="276"/>
  <c r="AF53" i="276"/>
  <c r="X49" i="276"/>
  <c r="AF49" i="276"/>
  <c r="X47" i="276"/>
  <c r="AF47" i="276"/>
  <c r="X42" i="276"/>
  <c r="AF42" i="276"/>
  <c r="S37" i="276"/>
  <c r="S33" i="276"/>
  <c r="X14" i="276"/>
  <c r="AF14" i="276"/>
  <c r="B81" i="274"/>
  <c r="E62" i="274"/>
  <c r="A57" i="12"/>
  <c r="Z47" i="12"/>
  <c r="G46" i="12"/>
  <c r="G45" i="12"/>
  <c r="G44" i="12"/>
  <c r="K43" i="12"/>
  <c r="G43" i="12"/>
  <c r="G42" i="12"/>
  <c r="AC16" i="12"/>
  <c r="AC15" i="12"/>
  <c r="AC13" i="12"/>
  <c r="AC16" i="305"/>
  <c r="S89" i="276"/>
  <c r="S38" i="276"/>
  <c r="S34" i="276"/>
  <c r="AC18" i="12"/>
  <c r="AC10" i="12"/>
  <c r="F46" i="303"/>
  <c r="G15" i="303"/>
  <c r="F77" i="303"/>
  <c r="F62" i="303"/>
  <c r="F90" i="303"/>
  <c r="F107" i="303"/>
  <c r="F118" i="303"/>
  <c r="B92" i="274"/>
  <c r="E44" i="12"/>
  <c r="I43" i="12"/>
  <c r="E43" i="12"/>
  <c r="E42" i="12"/>
  <c r="I41" i="12"/>
  <c r="E41" i="12"/>
  <c r="H25" i="12"/>
  <c r="H45" i="12"/>
  <c r="AC22" i="12"/>
  <c r="AC21" i="12"/>
  <c r="AC20" i="12"/>
  <c r="AC19" i="12"/>
  <c r="AC17" i="12"/>
  <c r="AC12" i="12"/>
  <c r="Z24" i="185"/>
  <c r="Z20" i="185"/>
  <c r="Z16" i="185"/>
  <c r="V10" i="185"/>
  <c r="J93" i="156"/>
  <c r="D91" i="156"/>
  <c r="AC26" i="305"/>
  <c r="AC19" i="305"/>
  <c r="Y29" i="185"/>
  <c r="Y28" i="185"/>
  <c r="Y27" i="185"/>
  <c r="Y26" i="185"/>
  <c r="Y25" i="185"/>
  <c r="Y24" i="185"/>
  <c r="Y23" i="185"/>
  <c r="Y22" i="185"/>
  <c r="Y21" i="185"/>
  <c r="Y20" i="185"/>
  <c r="Y19" i="185"/>
  <c r="Y18" i="185"/>
  <c r="Y17" i="185"/>
  <c r="Y16" i="185"/>
  <c r="Y15" i="185"/>
  <c r="Y14" i="185"/>
  <c r="Y13" i="185"/>
  <c r="Y12" i="185"/>
  <c r="Y11" i="185"/>
  <c r="T11" i="185"/>
  <c r="V11" i="185"/>
  <c r="Z11" i="185"/>
  <c r="Y10" i="185"/>
  <c r="B79" i="303"/>
  <c r="B92" i="303"/>
  <c r="AC28" i="305"/>
  <c r="I27" i="305"/>
  <c r="K27" i="305"/>
  <c r="F41" i="305"/>
  <c r="F42" i="305"/>
  <c r="F43" i="305"/>
  <c r="F44" i="305"/>
  <c r="H10" i="305"/>
  <c r="E41" i="305"/>
  <c r="E42" i="305"/>
  <c r="E43" i="305"/>
  <c r="E44" i="305"/>
  <c r="E45" i="305"/>
  <c r="E46" i="305"/>
  <c r="X21" i="185"/>
  <c r="X45" i="185"/>
  <c r="S21" i="185"/>
  <c r="S42" i="185"/>
  <c r="J21" i="185"/>
  <c r="L21" i="185"/>
  <c r="Z21" i="185"/>
  <c r="B14" i="304"/>
  <c r="B13" i="304"/>
  <c r="I22" i="305"/>
  <c r="K22" i="305"/>
  <c r="I18" i="305"/>
  <c r="K18" i="305"/>
  <c r="AC13" i="305"/>
  <c r="I11" i="305"/>
  <c r="K11" i="305"/>
  <c r="I10" i="305"/>
  <c r="B22" i="282"/>
  <c r="K10" i="282"/>
  <c r="H29" i="305"/>
  <c r="H26" i="305"/>
  <c r="H25" i="305"/>
  <c r="H22" i="305"/>
  <c r="H18" i="305"/>
  <c r="J43" i="305"/>
  <c r="J44" i="305"/>
  <c r="AC15" i="305"/>
  <c r="J41" i="305"/>
  <c r="D27" i="264"/>
  <c r="D39" i="264"/>
  <c r="H43" i="8"/>
  <c r="R27" i="264"/>
  <c r="R36" i="264"/>
  <c r="B11" i="304"/>
  <c r="B10" i="304"/>
  <c r="I29" i="305"/>
  <c r="K29" i="305"/>
  <c r="I25" i="305"/>
  <c r="K25" i="305"/>
  <c r="I21" i="305"/>
  <c r="K21" i="305"/>
  <c r="I17" i="305"/>
  <c r="K17" i="305"/>
  <c r="I14" i="305"/>
  <c r="K14" i="305"/>
  <c r="AW36" i="264"/>
  <c r="AG36" i="264"/>
  <c r="J42" i="305"/>
  <c r="I12" i="305"/>
  <c r="K12" i="305"/>
  <c r="AC46" i="265"/>
  <c r="C17" i="266"/>
  <c r="C22" i="265"/>
  <c r="F12" i="265"/>
  <c r="C30" i="265"/>
  <c r="H12" i="10"/>
  <c r="H15" i="10"/>
  <c r="H17" i="10"/>
  <c r="C42" i="265"/>
  <c r="C71" i="265"/>
  <c r="F11" i="265"/>
  <c r="C15" i="266"/>
  <c r="G15" i="266"/>
  <c r="I15" i="266"/>
  <c r="AC61" i="268"/>
  <c r="M61" i="268"/>
  <c r="AM102" i="269"/>
  <c r="BL28" i="265"/>
  <c r="BL27" i="265"/>
  <c r="AI102" i="269"/>
  <c r="BH28" i="265"/>
  <c r="BH27" i="265"/>
  <c r="D10" i="264"/>
  <c r="R12" i="264"/>
  <c r="R17" i="264"/>
  <c r="Y61" i="268"/>
  <c r="I61" i="268"/>
  <c r="AA61" i="268"/>
  <c r="S61" i="268"/>
  <c r="K61" i="268"/>
  <c r="AF61" i="268"/>
  <c r="AB61" i="268"/>
  <c r="X61" i="268"/>
  <c r="T61" i="268"/>
  <c r="P61" i="268"/>
  <c r="L61" i="268"/>
  <c r="H61" i="268"/>
  <c r="D61" i="268"/>
  <c r="AI61" i="268"/>
  <c r="M102" i="269"/>
  <c r="AL28" i="265"/>
  <c r="AL27" i="265"/>
  <c r="AP104" i="269"/>
  <c r="AP102" i="269"/>
  <c r="BO28" i="265"/>
  <c r="O8" i="272"/>
  <c r="P8" i="272"/>
  <c r="BF34" i="264"/>
  <c r="BF36" i="264"/>
  <c r="BB34" i="264"/>
  <c r="BB36" i="264"/>
  <c r="AX34" i="264"/>
  <c r="AT34" i="264"/>
  <c r="AP34" i="264"/>
  <c r="AP36" i="264"/>
  <c r="AL34" i="264"/>
  <c r="AL36" i="264"/>
  <c r="AH34" i="264"/>
  <c r="AD34" i="264"/>
  <c r="AD36" i="264"/>
  <c r="Z34" i="264"/>
  <c r="Z36" i="264"/>
  <c r="H37" i="264"/>
  <c r="H39" i="264"/>
  <c r="AX36" i="264"/>
  <c r="AT36" i="264"/>
  <c r="AH36" i="264"/>
  <c r="Y52" i="265"/>
  <c r="G24" i="266"/>
  <c r="I24" i="266"/>
  <c r="G17" i="266"/>
  <c r="I17" i="266"/>
  <c r="U61" i="268"/>
  <c r="E61" i="268"/>
  <c r="AJ38" i="268"/>
  <c r="AJ61" i="268"/>
  <c r="AO102" i="269"/>
  <c r="BN28" i="265"/>
  <c r="BN27" i="265"/>
  <c r="AK102" i="269"/>
  <c r="BJ28" i="265"/>
  <c r="BJ27" i="265"/>
  <c r="AG102" i="269"/>
  <c r="BF28" i="265"/>
  <c r="BF27" i="265"/>
  <c r="AC102" i="269"/>
  <c r="BB28" i="265"/>
  <c r="BB27" i="265"/>
  <c r="Y102" i="269"/>
  <c r="AX28" i="265"/>
  <c r="AX27" i="265"/>
  <c r="U102" i="269"/>
  <c r="AT28" i="265"/>
  <c r="AT27" i="265"/>
  <c r="Q102" i="269"/>
  <c r="AP28" i="265"/>
  <c r="AP27" i="265"/>
  <c r="H11" i="305"/>
  <c r="T14" i="264"/>
  <c r="C40" i="266"/>
  <c r="H32" i="10"/>
  <c r="V38" i="266"/>
  <c r="AL49" i="268"/>
  <c r="AL60" i="268"/>
  <c r="AL61" i="268"/>
  <c r="AG61" i="268"/>
  <c r="Q61" i="268"/>
  <c r="AE61" i="268"/>
  <c r="W61" i="268"/>
  <c r="O61" i="268"/>
  <c r="G61" i="268"/>
  <c r="AH61" i="268"/>
  <c r="AD61" i="268"/>
  <c r="Z61" i="268"/>
  <c r="V61" i="268"/>
  <c r="R61" i="268"/>
  <c r="N61" i="268"/>
  <c r="J61" i="268"/>
  <c r="F61" i="268"/>
  <c r="J26" i="265"/>
  <c r="AE42" i="265"/>
  <c r="BO18" i="265"/>
  <c r="BK18" i="265"/>
  <c r="BG18" i="265"/>
  <c r="BC18" i="265"/>
  <c r="AY18" i="265"/>
  <c r="AU18" i="265"/>
  <c r="AQ18" i="265"/>
  <c r="AM18" i="265"/>
  <c r="AI18" i="265"/>
  <c r="F17" i="265"/>
  <c r="BO15" i="265"/>
  <c r="BK15" i="265"/>
  <c r="BG15" i="265"/>
  <c r="BC15" i="265"/>
  <c r="AY15" i="265"/>
  <c r="AU15" i="265"/>
  <c r="AQ15" i="265"/>
  <c r="AM15" i="265"/>
  <c r="AI15" i="265"/>
  <c r="Z44" i="266"/>
  <c r="U38" i="266"/>
  <c r="J102" i="269"/>
  <c r="AI28" i="265"/>
  <c r="AQ101" i="269"/>
  <c r="C101" i="269"/>
  <c r="N100" i="269"/>
  <c r="B100" i="269"/>
  <c r="B102" i="269"/>
  <c r="C79" i="269"/>
  <c r="I31" i="272"/>
  <c r="I27" i="272"/>
  <c r="I23" i="272"/>
  <c r="I17" i="272"/>
  <c r="I11" i="272"/>
  <c r="I7" i="272"/>
  <c r="C26" i="266"/>
  <c r="G26" i="266"/>
  <c r="I26" i="266"/>
  <c r="C20" i="266"/>
  <c r="G20" i="266"/>
  <c r="I20" i="266"/>
  <c r="C100" i="269"/>
  <c r="I34" i="272"/>
  <c r="I30" i="272"/>
  <c r="I26" i="272"/>
  <c r="I22" i="272"/>
  <c r="I16" i="272"/>
  <c r="I10" i="272"/>
  <c r="AB44" i="265"/>
  <c r="AB48" i="265"/>
  <c r="AB52" i="265"/>
  <c r="BO20" i="265"/>
  <c r="BK20" i="265"/>
  <c r="BG20" i="265"/>
  <c r="BC20" i="265"/>
  <c r="AY20" i="265"/>
  <c r="AU20" i="265"/>
  <c r="AQ20" i="265"/>
  <c r="AM20" i="265"/>
  <c r="BQ18" i="265"/>
  <c r="BM18" i="265"/>
  <c r="BI18" i="265"/>
  <c r="BE18" i="265"/>
  <c r="BA18" i="265"/>
  <c r="AW18" i="265"/>
  <c r="AS18" i="265"/>
  <c r="AO18" i="265"/>
  <c r="AK18" i="265"/>
  <c r="BO17" i="265"/>
  <c r="BK17" i="265"/>
  <c r="BG17" i="265"/>
  <c r="BC17" i="265"/>
  <c r="AY17" i="265"/>
  <c r="AU17" i="265"/>
  <c r="AQ17" i="265"/>
  <c r="AM17" i="265"/>
  <c r="BQ15" i="265"/>
  <c r="BM15" i="265"/>
  <c r="BI15" i="265"/>
  <c r="BE15" i="265"/>
  <c r="BA15" i="265"/>
  <c r="AW15" i="265"/>
  <c r="AS15" i="265"/>
  <c r="AO15" i="265"/>
  <c r="AK15" i="265"/>
  <c r="BO14" i="265"/>
  <c r="BK14" i="265"/>
  <c r="BG14" i="265"/>
  <c r="BC14" i="265"/>
  <c r="AY14" i="265"/>
  <c r="AU14" i="265"/>
  <c r="AQ14" i="265"/>
  <c r="AM14" i="265"/>
  <c r="I29" i="272"/>
  <c r="I25" i="272"/>
  <c r="I19" i="272"/>
  <c r="I15" i="272"/>
  <c r="I9" i="272"/>
  <c r="C75" i="265"/>
  <c r="AA46" i="265"/>
  <c r="AA48" i="265"/>
  <c r="AA52" i="265"/>
  <c r="BP18" i="265"/>
  <c r="BL18" i="265"/>
  <c r="BH18" i="265"/>
  <c r="BD18" i="265"/>
  <c r="AZ18" i="265"/>
  <c r="AV18" i="265"/>
  <c r="AR18" i="265"/>
  <c r="AN18" i="265"/>
  <c r="BP15" i="265"/>
  <c r="BL15" i="265"/>
  <c r="BH15" i="265"/>
  <c r="BD15" i="265"/>
  <c r="AZ15" i="265"/>
  <c r="AV15" i="265"/>
  <c r="AR15" i="265"/>
  <c r="AN15" i="265"/>
  <c r="I32" i="272"/>
  <c r="I28" i="272"/>
  <c r="I24" i="272"/>
  <c r="I18" i="272"/>
  <c r="I14" i="272"/>
  <c r="C23" i="266"/>
  <c r="G23" i="266"/>
  <c r="I23" i="266"/>
  <c r="C73" i="265"/>
  <c r="C44" i="265"/>
  <c r="AC44" i="265"/>
  <c r="F19" i="10"/>
  <c r="D15" i="73"/>
  <c r="G15" i="73"/>
  <c r="G33" i="73" s="1"/>
  <c r="G34" i="73" s="1"/>
  <c r="H44" i="256"/>
  <c r="C50" i="265"/>
  <c r="AC50" i="265"/>
  <c r="H19" i="10"/>
  <c r="AF78" i="276"/>
  <c r="F43" i="8"/>
  <c r="L38" i="8"/>
  <c r="AF62" i="276"/>
  <c r="AF27" i="276"/>
  <c r="F18" i="265"/>
  <c r="F14" i="265"/>
  <c r="F20" i="265"/>
  <c r="G40" i="266"/>
  <c r="I40" i="266"/>
  <c r="H26" i="265"/>
  <c r="I42" i="12"/>
  <c r="K42" i="12"/>
  <c r="I45" i="12"/>
  <c r="AF16" i="276"/>
  <c r="U22" i="276"/>
  <c r="AF44" i="276"/>
  <c r="I46" i="13"/>
  <c r="AF13" i="276"/>
  <c r="N184" i="276"/>
  <c r="N24" i="283"/>
  <c r="N21" i="283"/>
  <c r="N25" i="283"/>
  <c r="I41" i="13"/>
  <c r="G44" i="13"/>
  <c r="AD12" i="172"/>
  <c r="AF12" i="172"/>
  <c r="AD16" i="172"/>
  <c r="AF16" i="172"/>
  <c r="AD20" i="172"/>
  <c r="AF20" i="172"/>
  <c r="N180" i="276"/>
  <c r="I42" i="13"/>
  <c r="AE44" i="57"/>
  <c r="AF166" i="276"/>
  <c r="K25" i="283"/>
  <c r="H42" i="13"/>
  <c r="N181" i="276"/>
  <c r="S42" i="47"/>
  <c r="I42" i="185"/>
  <c r="I46" i="185"/>
  <c r="I45" i="185"/>
  <c r="I43" i="185"/>
  <c r="AF66" i="276"/>
  <c r="AF82" i="276"/>
  <c r="D43" i="8"/>
  <c r="J38" i="8"/>
  <c r="AF113" i="276"/>
  <c r="AF57" i="276"/>
  <c r="AF117" i="276"/>
  <c r="N23" i="283"/>
  <c r="F15" i="265"/>
  <c r="E43" i="8"/>
  <c r="H21" i="10"/>
  <c r="H25" i="10"/>
  <c r="I44" i="12"/>
  <c r="U25" i="276"/>
  <c r="N90" i="276"/>
  <c r="G42" i="13"/>
  <c r="H44" i="310"/>
  <c r="AD15" i="172"/>
  <c r="AF15" i="172"/>
  <c r="U44" i="57"/>
  <c r="U170" i="276"/>
  <c r="I45" i="250"/>
  <c r="F54" i="8"/>
  <c r="F15" i="73"/>
  <c r="F13" i="73" s="1"/>
  <c r="F33" i="73"/>
  <c r="F34" i="73" s="1"/>
  <c r="F20" i="73" s="1"/>
  <c r="F21" i="73" s="1"/>
  <c r="D101" i="269"/>
  <c r="D102" i="269"/>
  <c r="BM27" i="265"/>
  <c r="Z13" i="185"/>
  <c r="AF67" i="276"/>
  <c r="P12" i="283"/>
  <c r="E19" i="10"/>
  <c r="I41" i="185"/>
  <c r="V12" i="283"/>
  <c r="J12" i="8"/>
  <c r="J20" i="8"/>
  <c r="J31" i="8"/>
  <c r="J30" i="8"/>
  <c r="J34" i="8"/>
  <c r="J25" i="8"/>
  <c r="J32" i="8"/>
  <c r="J33" i="8"/>
  <c r="AF70" i="276"/>
  <c r="J36" i="8"/>
  <c r="J27" i="8"/>
  <c r="C102" i="269"/>
  <c r="V24" i="265"/>
  <c r="V26" i="265"/>
  <c r="U152" i="276"/>
  <c r="O18" i="272"/>
  <c r="P18" i="272"/>
  <c r="O19" i="272"/>
  <c r="P19" i="272"/>
  <c r="P16" i="272"/>
  <c r="O16" i="272"/>
  <c r="P34" i="272"/>
  <c r="O34" i="272"/>
  <c r="F8" i="63"/>
  <c r="O7" i="272"/>
  <c r="I45" i="272"/>
  <c r="P7" i="272"/>
  <c r="E8" i="63"/>
  <c r="O27" i="272"/>
  <c r="P27" i="272"/>
  <c r="D103" i="269"/>
  <c r="D104" i="269"/>
  <c r="AE48" i="265"/>
  <c r="C57" i="265"/>
  <c r="C56" i="265"/>
  <c r="D12" i="264"/>
  <c r="D17" i="264"/>
  <c r="C44" i="266"/>
  <c r="G44" i="266"/>
  <c r="H12" i="8"/>
  <c r="C77" i="265"/>
  <c r="AC12" i="305"/>
  <c r="AC14" i="305"/>
  <c r="AC29" i="305"/>
  <c r="K10" i="305"/>
  <c r="I41" i="305"/>
  <c r="I42" i="305"/>
  <c r="I43" i="305"/>
  <c r="I44" i="305"/>
  <c r="I45" i="305"/>
  <c r="I46" i="305"/>
  <c r="AC18" i="305"/>
  <c r="Y43" i="185"/>
  <c r="Y44" i="185"/>
  <c r="Y41" i="185"/>
  <c r="Y45" i="185"/>
  <c r="Y42" i="185"/>
  <c r="Y46" i="185"/>
  <c r="T42" i="185"/>
  <c r="Z10" i="185"/>
  <c r="V41" i="185"/>
  <c r="V45" i="185"/>
  <c r="V42" i="185"/>
  <c r="V46" i="185"/>
  <c r="V43" i="185"/>
  <c r="V44" i="185"/>
  <c r="X43" i="185"/>
  <c r="X41" i="185"/>
  <c r="J42" i="185"/>
  <c r="L42" i="185"/>
  <c r="L46" i="185"/>
  <c r="L43" i="185"/>
  <c r="L44" i="185"/>
  <c r="L41" i="185"/>
  <c r="L45" i="185"/>
  <c r="S45" i="185"/>
  <c r="H42" i="12"/>
  <c r="AD16" i="276"/>
  <c r="AE16" i="276"/>
  <c r="AF20" i="276"/>
  <c r="AD62" i="276"/>
  <c r="AE62" i="276"/>
  <c r="AF101" i="276"/>
  <c r="AF105" i="276"/>
  <c r="AD177" i="276"/>
  <c r="AE177" i="276"/>
  <c r="B82" i="303"/>
  <c r="B95" i="303"/>
  <c r="B112" i="303"/>
  <c r="B123" i="303"/>
  <c r="O41" i="53"/>
  <c r="O42" i="53"/>
  <c r="O43" i="53"/>
  <c r="O44" i="53"/>
  <c r="O45" i="53"/>
  <c r="O46" i="53"/>
  <c r="AF15" i="276"/>
  <c r="AD27" i="276"/>
  <c r="AE27" i="276"/>
  <c r="AF45" i="276"/>
  <c r="N143" i="276"/>
  <c r="X95" i="276"/>
  <c r="N144" i="276"/>
  <c r="N148" i="276"/>
  <c r="N147" i="276"/>
  <c r="P95" i="276"/>
  <c r="N146" i="276"/>
  <c r="N145" i="276"/>
  <c r="U16" i="276"/>
  <c r="AD22" i="276"/>
  <c r="AE22" i="276"/>
  <c r="AF26" i="276"/>
  <c r="U45" i="276"/>
  <c r="AF48" i="276"/>
  <c r="P10" i="283"/>
  <c r="V10" i="283"/>
  <c r="AF52" i="276"/>
  <c r="U62" i="276"/>
  <c r="AF96" i="276"/>
  <c r="AF109" i="276"/>
  <c r="B83" i="52"/>
  <c r="B96" i="52"/>
  <c r="B113" i="52"/>
  <c r="B124" i="52"/>
  <c r="U13" i="276"/>
  <c r="AD25" i="276"/>
  <c r="AE25" i="276"/>
  <c r="AF29" i="276"/>
  <c r="U44" i="276"/>
  <c r="AF64" i="276"/>
  <c r="U101" i="276"/>
  <c r="U105" i="276"/>
  <c r="U113" i="276"/>
  <c r="AF124" i="276"/>
  <c r="AF126" i="276"/>
  <c r="AF128" i="276"/>
  <c r="AF130" i="276"/>
  <c r="AF132" i="276"/>
  <c r="AF134" i="276"/>
  <c r="AF136" i="276"/>
  <c r="AF138" i="276"/>
  <c r="AF140" i="276"/>
  <c r="AE167" i="276"/>
  <c r="AD167" i="276"/>
  <c r="U15" i="283"/>
  <c r="V15" i="283"/>
  <c r="N41" i="53"/>
  <c r="N42" i="53"/>
  <c r="N43" i="53"/>
  <c r="N44" i="53"/>
  <c r="N45" i="53"/>
  <c r="N46" i="53"/>
  <c r="M25" i="64"/>
  <c r="K25" i="64"/>
  <c r="J25" i="64"/>
  <c r="L25" i="64"/>
  <c r="N25" i="64"/>
  <c r="U130" i="276"/>
  <c r="AE166" i="276"/>
  <c r="AD166" i="276"/>
  <c r="AF172" i="276"/>
  <c r="U13" i="283"/>
  <c r="P13" i="283"/>
  <c r="V13" i="283"/>
  <c r="N22" i="283"/>
  <c r="AC23" i="250"/>
  <c r="I41" i="250"/>
  <c r="AC12" i="256"/>
  <c r="AC20" i="256"/>
  <c r="AC28" i="256"/>
  <c r="O32" i="52"/>
  <c r="F13" i="66"/>
  <c r="O32" i="303"/>
  <c r="F13" i="304"/>
  <c r="O32" i="274"/>
  <c r="F13" i="242"/>
  <c r="F75" i="273"/>
  <c r="D75" i="273"/>
  <c r="J68" i="73"/>
  <c r="D68" i="73" s="1"/>
  <c r="D73" i="73" s="1"/>
  <c r="D80" i="273"/>
  <c r="AE47" i="57"/>
  <c r="AE43" i="57"/>
  <c r="Y8" i="47"/>
  <c r="P8" i="47"/>
  <c r="Z8" i="47"/>
  <c r="H7" i="38"/>
  <c r="A24" i="38"/>
  <c r="P52" i="73"/>
  <c r="P61" i="73" s="1"/>
  <c r="V61" i="73" s="1"/>
  <c r="B54" i="133"/>
  <c r="K55" i="133"/>
  <c r="K12" i="133"/>
  <c r="B12" i="133"/>
  <c r="G12" i="133"/>
  <c r="B3" i="126"/>
  <c r="B213" i="73"/>
  <c r="J13" i="133"/>
  <c r="P154" i="276"/>
  <c r="U154" i="276"/>
  <c r="AF176" i="276"/>
  <c r="U18" i="283"/>
  <c r="V18" i="283"/>
  <c r="H43" i="250"/>
  <c r="F14" i="242"/>
  <c r="F33" i="274"/>
  <c r="F73" i="274"/>
  <c r="J33" i="274"/>
  <c r="J73" i="274"/>
  <c r="G33" i="274"/>
  <c r="G73" i="274"/>
  <c r="K33" i="274"/>
  <c r="K73" i="274"/>
  <c r="H33" i="274"/>
  <c r="H73" i="274"/>
  <c r="I33" i="274"/>
  <c r="I73" i="274"/>
  <c r="U47" i="57"/>
  <c r="U43" i="57"/>
  <c r="R41" i="47"/>
  <c r="R45" i="47"/>
  <c r="R42" i="47"/>
  <c r="R46" i="47"/>
  <c r="R43" i="47"/>
  <c r="R44" i="47"/>
  <c r="O18" i="172"/>
  <c r="T18" i="172"/>
  <c r="Q18" i="172"/>
  <c r="V18" i="172"/>
  <c r="S18" i="172"/>
  <c r="U18" i="172"/>
  <c r="W18" i="172"/>
  <c r="P18" i="172"/>
  <c r="Q5" i="303"/>
  <c r="Q5" i="274"/>
  <c r="M52" i="73"/>
  <c r="M61" i="73"/>
  <c r="S61" i="73" s="1"/>
  <c r="U136" i="276"/>
  <c r="AE170" i="276"/>
  <c r="AD170" i="276"/>
  <c r="AF174" i="276"/>
  <c r="H43" i="310"/>
  <c r="H43" i="256"/>
  <c r="AC14" i="256"/>
  <c r="AC22" i="256"/>
  <c r="W47" i="57"/>
  <c r="W43" i="57"/>
  <c r="I9" i="126"/>
  <c r="J9" i="126"/>
  <c r="F15" i="126"/>
  <c r="B10" i="232"/>
  <c r="G53" i="133"/>
  <c r="K38" i="8"/>
  <c r="E54" i="8"/>
  <c r="F7" i="8"/>
  <c r="L7" i="8"/>
  <c r="K7" i="8"/>
  <c r="O25" i="272"/>
  <c r="P25" i="272"/>
  <c r="P22" i="272"/>
  <c r="O22" i="272"/>
  <c r="O11" i="272"/>
  <c r="P11" i="272"/>
  <c r="O31" i="272"/>
  <c r="P31" i="272"/>
  <c r="AQ102" i="269"/>
  <c r="BP27" i="265"/>
  <c r="E101" i="269"/>
  <c r="E102" i="269"/>
  <c r="W38" i="266"/>
  <c r="AE44" i="265"/>
  <c r="C48" i="265"/>
  <c r="C52" i="265"/>
  <c r="AC42" i="265"/>
  <c r="AC48" i="265"/>
  <c r="AC52" i="265"/>
  <c r="AC17" i="305"/>
  <c r="AC11" i="305"/>
  <c r="AC22" i="305"/>
  <c r="H41" i="305"/>
  <c r="H43" i="305"/>
  <c r="H42" i="305"/>
  <c r="H44" i="305"/>
  <c r="H46" i="305"/>
  <c r="H45" i="305"/>
  <c r="T45" i="185"/>
  <c r="T43" i="185"/>
  <c r="X46" i="185"/>
  <c r="X44" i="185"/>
  <c r="J45" i="185"/>
  <c r="S43" i="185"/>
  <c r="S41" i="185"/>
  <c r="AD28" i="276"/>
  <c r="AE28" i="276"/>
  <c r="AD123" i="276"/>
  <c r="AE123" i="276"/>
  <c r="B82" i="52"/>
  <c r="B95" i="52"/>
  <c r="B112" i="52"/>
  <c r="B123" i="52"/>
  <c r="H41" i="12"/>
  <c r="AD23" i="276"/>
  <c r="AE23" i="276"/>
  <c r="X65" i="276"/>
  <c r="AA65" i="276"/>
  <c r="N88" i="276"/>
  <c r="P65" i="276"/>
  <c r="N92" i="276"/>
  <c r="AD18" i="276"/>
  <c r="AE18" i="276"/>
  <c r="M41" i="53"/>
  <c r="M42" i="53"/>
  <c r="M43" i="53"/>
  <c r="M44" i="53"/>
  <c r="M45" i="53"/>
  <c r="M46" i="53"/>
  <c r="U15" i="276"/>
  <c r="AD21" i="276"/>
  <c r="AE21" i="276"/>
  <c r="N89" i="276"/>
  <c r="N91" i="276"/>
  <c r="AF60" i="276"/>
  <c r="U60" i="276"/>
  <c r="AF98" i="276"/>
  <c r="U98" i="276"/>
  <c r="P103" i="276"/>
  <c r="X103" i="276"/>
  <c r="AD125" i="276"/>
  <c r="AE125" i="276"/>
  <c r="AD127" i="276"/>
  <c r="AE127" i="276"/>
  <c r="AD129" i="276"/>
  <c r="AE129" i="276"/>
  <c r="AD131" i="276"/>
  <c r="AE131" i="276"/>
  <c r="AD133" i="276"/>
  <c r="AE133" i="276"/>
  <c r="AD135" i="276"/>
  <c r="AE135" i="276"/>
  <c r="AD137" i="276"/>
  <c r="AE137" i="276"/>
  <c r="AD139" i="276"/>
  <c r="AE139" i="276"/>
  <c r="AE173" i="276"/>
  <c r="AD173" i="276"/>
  <c r="P17" i="283"/>
  <c r="V17" i="283"/>
  <c r="E39" i="133"/>
  <c r="D16" i="303" a="1"/>
  <c r="D16" i="274" a="1"/>
  <c r="L26" i="64"/>
  <c r="L31" i="64"/>
  <c r="J26" i="64"/>
  <c r="J31" i="64"/>
  <c r="N26" i="64"/>
  <c r="N31" i="64"/>
  <c r="K26" i="64"/>
  <c r="K31" i="64"/>
  <c r="M26" i="64"/>
  <c r="M31" i="64"/>
  <c r="V41" i="53"/>
  <c r="V42" i="53"/>
  <c r="V43" i="53"/>
  <c r="V44" i="53"/>
  <c r="V45" i="53"/>
  <c r="V46" i="53"/>
  <c r="O13" i="172"/>
  <c r="T13" i="172"/>
  <c r="Q13" i="172"/>
  <c r="V13" i="172"/>
  <c r="W13" i="172"/>
  <c r="P13" i="172"/>
  <c r="S13" i="172"/>
  <c r="U13" i="172"/>
  <c r="O15" i="172"/>
  <c r="T15" i="172"/>
  <c r="Q15" i="172"/>
  <c r="V15" i="172"/>
  <c r="W15" i="172"/>
  <c r="P15" i="172"/>
  <c r="S15" i="172"/>
  <c r="U15" i="172"/>
  <c r="O17" i="172"/>
  <c r="T17" i="172"/>
  <c r="Q17" i="172"/>
  <c r="V17" i="172"/>
  <c r="W17" i="172"/>
  <c r="P17" i="172"/>
  <c r="S17" i="172"/>
  <c r="U17" i="172"/>
  <c r="O19" i="172"/>
  <c r="T19" i="172"/>
  <c r="Q19" i="172"/>
  <c r="V19" i="172"/>
  <c r="W19" i="172"/>
  <c r="P19" i="172"/>
  <c r="S19" i="172"/>
  <c r="U19" i="172"/>
  <c r="U134" i="276"/>
  <c r="K11" i="250"/>
  <c r="I42" i="250"/>
  <c r="I44" i="250"/>
  <c r="I46" i="250"/>
  <c r="AC15" i="250"/>
  <c r="AC19" i="250"/>
  <c r="AC24" i="250"/>
  <c r="AC15" i="256"/>
  <c r="AC23" i="256"/>
  <c r="O26" i="52"/>
  <c r="O26" i="303"/>
  <c r="O26" i="274"/>
  <c r="D16" i="63"/>
  <c r="D20" i="63"/>
  <c r="F12" i="304"/>
  <c r="AE46" i="57"/>
  <c r="W8" i="47"/>
  <c r="L8" i="47"/>
  <c r="V8" i="47"/>
  <c r="B34" i="281"/>
  <c r="B24" i="281"/>
  <c r="A62" i="281"/>
  <c r="H34" i="73"/>
  <c r="H35" i="73"/>
  <c r="X152" i="276"/>
  <c r="X156" i="276"/>
  <c r="AE171" i="276"/>
  <c r="AD171" i="276"/>
  <c r="P16" i="283"/>
  <c r="V16" i="283"/>
  <c r="G41" i="13"/>
  <c r="H46" i="250"/>
  <c r="H42" i="250"/>
  <c r="D98" i="273"/>
  <c r="U46" i="57"/>
  <c r="Y43" i="47"/>
  <c r="Y44" i="47"/>
  <c r="Y41" i="47"/>
  <c r="Y45" i="47"/>
  <c r="Y42" i="47"/>
  <c r="Y46" i="47"/>
  <c r="O16" i="172"/>
  <c r="T16" i="172"/>
  <c r="Q16" i="172"/>
  <c r="V16" i="172"/>
  <c r="S16" i="172"/>
  <c r="U16" i="172"/>
  <c r="W16" i="172"/>
  <c r="P16" i="172"/>
  <c r="O20" i="172"/>
  <c r="T20" i="172"/>
  <c r="Q20" i="172"/>
  <c r="V20" i="172"/>
  <c r="S20" i="172"/>
  <c r="U20" i="172"/>
  <c r="W20" i="172"/>
  <c r="P20" i="172"/>
  <c r="E13" i="73"/>
  <c r="K29" i="64" s="1"/>
  <c r="E33" i="73"/>
  <c r="U124" i="276"/>
  <c r="U140" i="276"/>
  <c r="U166" i="276"/>
  <c r="AF177" i="276"/>
  <c r="H46" i="310"/>
  <c r="H42" i="310"/>
  <c r="H46" i="256"/>
  <c r="H42" i="256"/>
  <c r="AC17" i="256"/>
  <c r="AC25" i="256"/>
  <c r="W46" i="57"/>
  <c r="J11" i="126"/>
  <c r="F27" i="126"/>
  <c r="I11" i="126"/>
  <c r="K63" i="133"/>
  <c r="B9" i="232"/>
  <c r="G52" i="133"/>
  <c r="H13" i="73"/>
  <c r="N29" i="64" s="1"/>
  <c r="M15" i="40"/>
  <c r="A32" i="40"/>
  <c r="H15" i="11"/>
  <c r="B69" i="11"/>
  <c r="H8" i="11"/>
  <c r="H55" i="11" s="1"/>
  <c r="L11" i="40"/>
  <c r="L13" i="40" s="1"/>
  <c r="H9" i="4"/>
  <c r="O28" i="272"/>
  <c r="P28" i="272"/>
  <c r="O9" i="272"/>
  <c r="P9" i="272"/>
  <c r="O29" i="272"/>
  <c r="P29" i="272"/>
  <c r="P26" i="272"/>
  <c r="O26" i="272"/>
  <c r="O17" i="272"/>
  <c r="P17" i="272"/>
  <c r="AE46" i="265"/>
  <c r="AC21" i="305"/>
  <c r="B109" i="303"/>
  <c r="B120" i="303"/>
  <c r="B9" i="304"/>
  <c r="T41" i="185"/>
  <c r="B109" i="274"/>
  <c r="B120" i="274"/>
  <c r="B9" i="242"/>
  <c r="H15" i="303"/>
  <c r="G62" i="303"/>
  <c r="G46" i="303"/>
  <c r="G90" i="303"/>
  <c r="G107" i="303"/>
  <c r="G118" i="303"/>
  <c r="G77" i="303"/>
  <c r="X42" i="185"/>
  <c r="J43" i="185"/>
  <c r="J41" i="185"/>
  <c r="S46" i="185"/>
  <c r="S44" i="185"/>
  <c r="H44" i="12"/>
  <c r="AC25" i="12"/>
  <c r="K45" i="12"/>
  <c r="K46" i="12"/>
  <c r="B115" i="274"/>
  <c r="B126" i="274"/>
  <c r="B13" i="242"/>
  <c r="AD24" i="276"/>
  <c r="AE24" i="276"/>
  <c r="AF28" i="276"/>
  <c r="AF50" i="276"/>
  <c r="AF102" i="276"/>
  <c r="AF106" i="276"/>
  <c r="BU123" i="276"/>
  <c r="AF123" i="276"/>
  <c r="AD175" i="276"/>
  <c r="AE175" i="276"/>
  <c r="B95" i="274"/>
  <c r="B112" i="274"/>
  <c r="B123" i="274"/>
  <c r="B82" i="274"/>
  <c r="T10" i="41"/>
  <c r="T12" i="41"/>
  <c r="T14" i="41"/>
  <c r="T16" i="41"/>
  <c r="T18" i="41"/>
  <c r="T20" i="41"/>
  <c r="T22" i="41"/>
  <c r="T24" i="41"/>
  <c r="T26" i="41"/>
  <c r="T28" i="41"/>
  <c r="T30" i="41"/>
  <c r="T11" i="41"/>
  <c r="T13" i="41"/>
  <c r="T15" i="41"/>
  <c r="T17" i="41"/>
  <c r="T19" i="41"/>
  <c r="T21" i="41"/>
  <c r="T23" i="41"/>
  <c r="T25" i="41"/>
  <c r="T27" i="41"/>
  <c r="T29" i="41"/>
  <c r="T31" i="41"/>
  <c r="K44" i="12"/>
  <c r="AD19" i="276"/>
  <c r="AE19" i="276"/>
  <c r="AF23" i="276"/>
  <c r="AF43" i="276"/>
  <c r="P9" i="283"/>
  <c r="AF56" i="276"/>
  <c r="U56" i="276"/>
  <c r="AF108" i="276"/>
  <c r="U108" i="276"/>
  <c r="AF116" i="276"/>
  <c r="U116" i="276"/>
  <c r="AF121" i="276"/>
  <c r="U121" i="276"/>
  <c r="AF18" i="276"/>
  <c r="AD30" i="276"/>
  <c r="AE30" i="276"/>
  <c r="U50" i="276"/>
  <c r="U106" i="276"/>
  <c r="AF110" i="276"/>
  <c r="AD122" i="276"/>
  <c r="AE122" i="276"/>
  <c r="B83" i="274"/>
  <c r="B96" i="274"/>
  <c r="B113" i="274"/>
  <c r="B124" i="274"/>
  <c r="U41" i="53"/>
  <c r="U42" i="53"/>
  <c r="U43" i="53"/>
  <c r="U44" i="53"/>
  <c r="U45" i="53"/>
  <c r="U46" i="53"/>
  <c r="H46" i="12"/>
  <c r="AD17" i="276"/>
  <c r="AE17" i="276"/>
  <c r="AF21" i="276"/>
  <c r="U27" i="276"/>
  <c r="N87" i="276"/>
  <c r="N191" i="276" a="1"/>
  <c r="N191" i="276"/>
  <c r="AF125" i="276"/>
  <c r="AF127" i="276"/>
  <c r="AF129" i="276"/>
  <c r="AF131" i="276"/>
  <c r="AF133" i="276"/>
  <c r="AF135" i="276"/>
  <c r="AF137" i="276"/>
  <c r="AF139" i="276"/>
  <c r="U137" i="276"/>
  <c r="AE169" i="276"/>
  <c r="AD169" i="276"/>
  <c r="AF173" i="276"/>
  <c r="D16" i="52"/>
  <c r="H16" i="52"/>
  <c r="E16" i="52"/>
  <c r="I16" i="52"/>
  <c r="K16" i="52"/>
  <c r="F16" i="52"/>
  <c r="G16" i="52"/>
  <c r="J16" i="52"/>
  <c r="V43" i="57"/>
  <c r="V45" i="57"/>
  <c r="V47" i="57"/>
  <c r="V44" i="57"/>
  <c r="V46" i="57"/>
  <c r="V48" i="57"/>
  <c r="V42" i="47"/>
  <c r="V46" i="47"/>
  <c r="V43" i="47"/>
  <c r="V44" i="47"/>
  <c r="V41" i="47"/>
  <c r="V45" i="47"/>
  <c r="U138" i="276"/>
  <c r="AF164" i="276"/>
  <c r="AF175" i="276"/>
  <c r="H44" i="13"/>
  <c r="H43" i="13"/>
  <c r="AC12" i="250"/>
  <c r="AC16" i="250"/>
  <c r="AC20" i="250"/>
  <c r="AC27" i="250"/>
  <c r="I43" i="250"/>
  <c r="AC16" i="256"/>
  <c r="AC24" i="256"/>
  <c r="S19" i="52"/>
  <c r="S19" i="303"/>
  <c r="S19" i="274"/>
  <c r="D29" i="63"/>
  <c r="F12" i="66"/>
  <c r="AE45" i="57"/>
  <c r="X44" i="47"/>
  <c r="X41" i="47"/>
  <c r="X45" i="47"/>
  <c r="X42" i="47"/>
  <c r="X46" i="47"/>
  <c r="X43" i="47"/>
  <c r="D23" i="126"/>
  <c r="D24" i="126"/>
  <c r="U131" i="276"/>
  <c r="AF171" i="276"/>
  <c r="H45" i="250"/>
  <c r="H41" i="250"/>
  <c r="F14" i="304"/>
  <c r="F33" i="303"/>
  <c r="F73" i="303"/>
  <c r="J33" i="303"/>
  <c r="J73" i="303"/>
  <c r="K33" i="303"/>
  <c r="K73" i="303"/>
  <c r="G33" i="303"/>
  <c r="G73" i="303"/>
  <c r="H33" i="303"/>
  <c r="H73" i="303"/>
  <c r="I33" i="303"/>
  <c r="I73" i="303"/>
  <c r="U45" i="57"/>
  <c r="T43" i="47"/>
  <c r="T44" i="47"/>
  <c r="T41" i="47"/>
  <c r="T45" i="47"/>
  <c r="T42" i="47"/>
  <c r="T46" i="47"/>
  <c r="O14" i="172"/>
  <c r="T14" i="172"/>
  <c r="Q14" i="172"/>
  <c r="V14" i="172"/>
  <c r="S14" i="172"/>
  <c r="U14" i="172"/>
  <c r="W14" i="172"/>
  <c r="P14" i="172"/>
  <c r="O21" i="172"/>
  <c r="T21" i="172"/>
  <c r="Q21" i="172"/>
  <c r="V21" i="172"/>
  <c r="W21" i="172"/>
  <c r="P21" i="172"/>
  <c r="S21" i="172"/>
  <c r="U21" i="172"/>
  <c r="U128" i="276"/>
  <c r="U172" i="276"/>
  <c r="V14" i="283"/>
  <c r="H45" i="310"/>
  <c r="H41" i="310"/>
  <c r="AC22" i="250"/>
  <c r="K10" i="256"/>
  <c r="I42" i="256"/>
  <c r="I44" i="256"/>
  <c r="I46" i="256"/>
  <c r="I41" i="256"/>
  <c r="I43" i="256"/>
  <c r="I45" i="256"/>
  <c r="H45" i="256"/>
  <c r="H41" i="256"/>
  <c r="AC18" i="256"/>
  <c r="AC26" i="256"/>
  <c r="W45" i="57"/>
  <c r="R5" i="303"/>
  <c r="R5" i="274"/>
  <c r="N52" i="73"/>
  <c r="N61" i="73" s="1"/>
  <c r="T61" i="73" s="1"/>
  <c r="F23" i="126"/>
  <c r="F24" i="126"/>
  <c r="B16" i="232"/>
  <c r="G59" i="133"/>
  <c r="O24" i="272"/>
  <c r="P24" i="272"/>
  <c r="O14" i="272"/>
  <c r="P14" i="272"/>
  <c r="O32" i="272"/>
  <c r="P32" i="272"/>
  <c r="O15" i="272"/>
  <c r="P15" i="272"/>
  <c r="P10" i="272"/>
  <c r="O10" i="272"/>
  <c r="P30" i="272"/>
  <c r="O30" i="272"/>
  <c r="O23" i="272"/>
  <c r="P23" i="272"/>
  <c r="N101" i="269"/>
  <c r="AM25" i="265"/>
  <c r="L25" i="265"/>
  <c r="D19" i="10"/>
  <c r="F22" i="265"/>
  <c r="C26" i="265"/>
  <c r="C28" i="266"/>
  <c r="AC25" i="305"/>
  <c r="AC27" i="305"/>
  <c r="T46" i="185"/>
  <c r="T44" i="185"/>
  <c r="J46" i="185"/>
  <c r="J44" i="185"/>
  <c r="H43" i="12"/>
  <c r="AD20" i="276"/>
  <c r="AE20" i="276"/>
  <c r="AF24" i="276"/>
  <c r="AF46" i="276"/>
  <c r="AF61" i="276"/>
  <c r="AF63" i="276"/>
  <c r="AF114" i="276"/>
  <c r="AD176" i="276"/>
  <c r="AE176" i="276"/>
  <c r="W41" i="53"/>
  <c r="W42" i="53"/>
  <c r="W43" i="53"/>
  <c r="W44" i="53"/>
  <c r="W45" i="53"/>
  <c r="W46" i="53"/>
  <c r="H15" i="274"/>
  <c r="G62" i="274"/>
  <c r="G46" i="274"/>
  <c r="G77" i="274"/>
  <c r="G90" i="274"/>
  <c r="G107" i="274"/>
  <c r="G118" i="274"/>
  <c r="AD15" i="276"/>
  <c r="AE15" i="276"/>
  <c r="AF19" i="276"/>
  <c r="U57" i="276"/>
  <c r="AF100" i="276"/>
  <c r="AF12" i="276"/>
  <c r="U20" i="276"/>
  <c r="AD26" i="276"/>
  <c r="AE26" i="276"/>
  <c r="AF30" i="276"/>
  <c r="AF54" i="276"/>
  <c r="AF58" i="276"/>
  <c r="U114" i="276"/>
  <c r="AF118" i="276"/>
  <c r="AF122" i="276"/>
  <c r="K10" i="310"/>
  <c r="I41" i="310"/>
  <c r="I42" i="310"/>
  <c r="I43" i="310"/>
  <c r="I44" i="310"/>
  <c r="I45" i="310"/>
  <c r="I46" i="310"/>
  <c r="B83" i="303"/>
  <c r="B96" i="303"/>
  <c r="B113" i="303"/>
  <c r="B124" i="303"/>
  <c r="AF11" i="276"/>
  <c r="P34" i="276"/>
  <c r="P38" i="276"/>
  <c r="P33" i="276"/>
  <c r="P37" i="276"/>
  <c r="P36" i="276"/>
  <c r="P35" i="276"/>
  <c r="N190" i="276" a="1"/>
  <c r="N190" i="276"/>
  <c r="AF17" i="276"/>
  <c r="U23" i="276"/>
  <c r="AD29" i="276"/>
  <c r="AE29" i="276"/>
  <c r="AF41" i="276"/>
  <c r="P88" i="276"/>
  <c r="P92" i="276"/>
  <c r="P87" i="276"/>
  <c r="P91" i="276"/>
  <c r="P90" i="276"/>
  <c r="P89" i="276"/>
  <c r="U43" i="276"/>
  <c r="AF51" i="276"/>
  <c r="AE64" i="276"/>
  <c r="AD64" i="276"/>
  <c r="U100" i="276"/>
  <c r="AF104" i="276"/>
  <c r="U104" i="276"/>
  <c r="AF112" i="276"/>
  <c r="U112" i="276"/>
  <c r="AD124" i="276"/>
  <c r="AE124" i="276"/>
  <c r="AD126" i="276"/>
  <c r="AE126" i="276"/>
  <c r="AD128" i="276"/>
  <c r="AE128" i="276"/>
  <c r="AD130" i="276"/>
  <c r="AE130" i="276"/>
  <c r="AD132" i="276"/>
  <c r="AE132" i="276"/>
  <c r="AD134" i="276"/>
  <c r="AE134" i="276"/>
  <c r="AD136" i="276"/>
  <c r="AE136" i="276"/>
  <c r="AD138" i="276"/>
  <c r="AE138" i="276"/>
  <c r="AD140" i="276"/>
  <c r="AE140" i="276"/>
  <c r="U125" i="276"/>
  <c r="AF169" i="276"/>
  <c r="Z42" i="47"/>
  <c r="Z46" i="47"/>
  <c r="Z44" i="47"/>
  <c r="Z45" i="47"/>
  <c r="U126" i="276"/>
  <c r="AE172" i="276"/>
  <c r="AD172" i="276"/>
  <c r="AC28" i="250"/>
  <c r="AC11" i="256"/>
  <c r="AC19" i="256"/>
  <c r="AC27" i="256"/>
  <c r="F12" i="242"/>
  <c r="C26" i="63"/>
  <c r="A35" i="63"/>
  <c r="C27" i="63"/>
  <c r="AE48" i="57"/>
  <c r="P5" i="274"/>
  <c r="U135" i="276"/>
  <c r="U167" i="276"/>
  <c r="U173" i="276"/>
  <c r="F33" i="52"/>
  <c r="F73" i="52"/>
  <c r="J33" i="52"/>
  <c r="J73" i="52"/>
  <c r="G33" i="52"/>
  <c r="G73" i="52"/>
  <c r="K33" i="52"/>
  <c r="K73" i="52"/>
  <c r="F14" i="66"/>
  <c r="H33" i="52"/>
  <c r="H73" i="52"/>
  <c r="I33" i="52"/>
  <c r="I73" i="52"/>
  <c r="U48" i="57"/>
  <c r="W41" i="47"/>
  <c r="W45" i="47"/>
  <c r="W42" i="47"/>
  <c r="W46" i="47"/>
  <c r="W43" i="47"/>
  <c r="W44" i="47"/>
  <c r="O12" i="172"/>
  <c r="T12" i="172"/>
  <c r="Q12" i="172"/>
  <c r="V12" i="172"/>
  <c r="S12" i="172"/>
  <c r="U12" i="172"/>
  <c r="W12" i="172"/>
  <c r="P12" i="172"/>
  <c r="C46" i="172"/>
  <c r="C43" i="172"/>
  <c r="C47" i="172"/>
  <c r="C44" i="172"/>
  <c r="C48" i="172"/>
  <c r="C45" i="172"/>
  <c r="I12" i="126"/>
  <c r="I46" i="126"/>
  <c r="J12" i="126"/>
  <c r="U132" i="276"/>
  <c r="AD168" i="276"/>
  <c r="AE168" i="276"/>
  <c r="AC26" i="250"/>
  <c r="AC13" i="256"/>
  <c r="AC21" i="256"/>
  <c r="W48" i="57"/>
  <c r="AF43" i="57"/>
  <c r="AF45" i="57"/>
  <c r="AF47" i="57"/>
  <c r="AF44" i="57"/>
  <c r="AF46" i="57"/>
  <c r="AF48" i="57"/>
  <c r="F35" i="73"/>
  <c r="F37" i="73" s="1"/>
  <c r="F39" i="73" s="1"/>
  <c r="F44" i="73" s="1"/>
  <c r="F46" i="73" s="1"/>
  <c r="F50" i="73" s="1"/>
  <c r="Z43" i="47"/>
  <c r="B60" i="133"/>
  <c r="L61" i="133"/>
  <c r="P185" i="276"/>
  <c r="J67" i="64"/>
  <c r="J69" i="64" s="1"/>
  <c r="J70" i="64" s="1"/>
  <c r="P182" i="276"/>
  <c r="G13" i="73"/>
  <c r="G190" i="73" s="1"/>
  <c r="G201" i="73" s="1"/>
  <c r="D33" i="73"/>
  <c r="N15" i="40"/>
  <c r="A33" i="40"/>
  <c r="F9" i="304"/>
  <c r="C26" i="303"/>
  <c r="AC11" i="250"/>
  <c r="K42" i="250"/>
  <c r="K44" i="250"/>
  <c r="K46" i="250"/>
  <c r="K41" i="250"/>
  <c r="K43" i="250"/>
  <c r="K45" i="250"/>
  <c r="AF103" i="276"/>
  <c r="U103" i="276"/>
  <c r="C59" i="265"/>
  <c r="F52" i="265"/>
  <c r="F44" i="265"/>
  <c r="F46" i="265"/>
  <c r="F43" i="265"/>
  <c r="F45" i="265"/>
  <c r="F16" i="126"/>
  <c r="G16" i="126"/>
  <c r="F18" i="126"/>
  <c r="G18" i="126"/>
  <c r="F19" i="126"/>
  <c r="G19" i="126"/>
  <c r="F17" i="126"/>
  <c r="G17" i="126"/>
  <c r="O45" i="272"/>
  <c r="R16" i="272"/>
  <c r="B17" i="232"/>
  <c r="G60" i="133"/>
  <c r="C85" i="156"/>
  <c r="E85" i="156"/>
  <c r="W46" i="172"/>
  <c r="W43" i="172"/>
  <c r="W47" i="172"/>
  <c r="W44" i="172"/>
  <c r="W48" i="172"/>
  <c r="W45" i="172"/>
  <c r="Q43" i="172"/>
  <c r="Q47" i="172"/>
  <c r="Q44" i="172"/>
  <c r="Q48" i="172"/>
  <c r="Q45" i="172"/>
  <c r="Q46" i="172"/>
  <c r="N193" i="276" a="1"/>
  <c r="N193" i="276"/>
  <c r="N189" i="276" a="1"/>
  <c r="N189" i="276"/>
  <c r="N102" i="269"/>
  <c r="AM28" i="265"/>
  <c r="L26" i="265"/>
  <c r="AM27" i="265"/>
  <c r="B101" i="269"/>
  <c r="R15" i="272"/>
  <c r="R32" i="272"/>
  <c r="AC10" i="256"/>
  <c r="K41" i="256"/>
  <c r="K43" i="256"/>
  <c r="K45" i="256"/>
  <c r="K42" i="256"/>
  <c r="K44" i="256"/>
  <c r="K46" i="256"/>
  <c r="G24" i="126"/>
  <c r="H77" i="303"/>
  <c r="H90" i="303"/>
  <c r="H107" i="303"/>
  <c r="H118" i="303"/>
  <c r="H62" i="303"/>
  <c r="I15" i="303"/>
  <c r="H46" i="303"/>
  <c r="R26" i="272"/>
  <c r="R9" i="272"/>
  <c r="R28" i="272"/>
  <c r="T6" i="52"/>
  <c r="H190" i="73"/>
  <c r="H201" i="73" s="1"/>
  <c r="B42" i="281"/>
  <c r="A63" i="281"/>
  <c r="F9" i="66"/>
  <c r="C26" i="52"/>
  <c r="G16" i="274"/>
  <c r="K16" i="274"/>
  <c r="D16" i="274"/>
  <c r="H16" i="274"/>
  <c r="E16" i="274"/>
  <c r="I16" i="274"/>
  <c r="F16" i="274"/>
  <c r="J16" i="274"/>
  <c r="AF65" i="276"/>
  <c r="U65" i="276"/>
  <c r="Z38" i="266"/>
  <c r="E103" i="269"/>
  <c r="BP28" i="265"/>
  <c r="V29" i="265"/>
  <c r="C103" i="269"/>
  <c r="R11" i="272"/>
  <c r="R6" i="303"/>
  <c r="R11" i="274"/>
  <c r="F8" i="11"/>
  <c r="F11" i="11" s="1"/>
  <c r="F55" i="11" s="1"/>
  <c r="F95" i="73"/>
  <c r="F115" i="73"/>
  <c r="I43" i="126"/>
  <c r="B55" i="133"/>
  <c r="K56" i="133"/>
  <c r="AF95" i="276"/>
  <c r="P145" i="276"/>
  <c r="P144" i="276"/>
  <c r="P148" i="276"/>
  <c r="P143" i="276"/>
  <c r="P191" i="276" a="1"/>
  <c r="P191" i="276"/>
  <c r="P147" i="276"/>
  <c r="P146" i="276"/>
  <c r="U95" i="276"/>
  <c r="I8" i="63"/>
  <c r="I10" i="63"/>
  <c r="I16" i="63"/>
  <c r="E183" i="73"/>
  <c r="E10" i="64"/>
  <c r="E10" i="63"/>
  <c r="C130" i="156"/>
  <c r="E130" i="156"/>
  <c r="E25" i="64"/>
  <c r="F10" i="64"/>
  <c r="F10" i="63"/>
  <c r="F25" i="64"/>
  <c r="R18" i="272"/>
  <c r="C104" i="269"/>
  <c r="L62" i="133"/>
  <c r="B61" i="133"/>
  <c r="P44" i="172"/>
  <c r="P48" i="172"/>
  <c r="P45" i="172"/>
  <c r="P46" i="172"/>
  <c r="P43" i="172"/>
  <c r="P47" i="172"/>
  <c r="V43" i="172"/>
  <c r="V47" i="172"/>
  <c r="V44" i="172"/>
  <c r="V48" i="172"/>
  <c r="V45" i="172"/>
  <c r="V46" i="172"/>
  <c r="U44" i="172"/>
  <c r="U48" i="172"/>
  <c r="U45" i="172"/>
  <c r="U46" i="172"/>
  <c r="U43" i="172"/>
  <c r="U47" i="172"/>
  <c r="T45" i="172"/>
  <c r="T46" i="172"/>
  <c r="T43" i="172"/>
  <c r="T47" i="172"/>
  <c r="T44" i="172"/>
  <c r="T48" i="172"/>
  <c r="N192" i="276" a="1"/>
  <c r="N192" i="276"/>
  <c r="N188" i="276" a="1"/>
  <c r="N188" i="276"/>
  <c r="AC10" i="310"/>
  <c r="K41" i="310"/>
  <c r="K42" i="310"/>
  <c r="K43" i="310"/>
  <c r="K44" i="310"/>
  <c r="K45" i="310"/>
  <c r="K46" i="310"/>
  <c r="H77" i="274"/>
  <c r="H90" i="274"/>
  <c r="H107" i="274"/>
  <c r="H118" i="274"/>
  <c r="I15" i="274"/>
  <c r="H62" i="274"/>
  <c r="H46" i="274"/>
  <c r="U41" i="266"/>
  <c r="W41" i="266"/>
  <c r="Z41" i="266"/>
  <c r="G28" i="266"/>
  <c r="I28" i="266"/>
  <c r="R10" i="272"/>
  <c r="S24" i="272"/>
  <c r="G23" i="126"/>
  <c r="V9" i="283"/>
  <c r="P22" i="283"/>
  <c r="P23" i="283"/>
  <c r="P20" i="283"/>
  <c r="P24" i="283"/>
  <c r="P21" i="283"/>
  <c r="P25" i="283"/>
  <c r="S29" i="272"/>
  <c r="G16" i="303"/>
  <c r="K16" i="303"/>
  <c r="D16" i="303"/>
  <c r="I16" i="303"/>
  <c r="E16" i="303"/>
  <c r="J16" i="303"/>
  <c r="F16" i="303"/>
  <c r="H16" i="303"/>
  <c r="R22" i="272"/>
  <c r="R25" i="272"/>
  <c r="B11" i="232"/>
  <c r="G54" i="133"/>
  <c r="B9" i="38"/>
  <c r="A26" i="38"/>
  <c r="Z42" i="185"/>
  <c r="Z46" i="185"/>
  <c r="Z43" i="185"/>
  <c r="Z44" i="185"/>
  <c r="Z41" i="185"/>
  <c r="Z45" i="185"/>
  <c r="C13" i="156"/>
  <c r="E13" i="156"/>
  <c r="H47" i="8"/>
  <c r="H15" i="8"/>
  <c r="S7" i="272"/>
  <c r="P45" i="272"/>
  <c r="S28" i="272"/>
  <c r="R34" i="272"/>
  <c r="S19" i="272"/>
  <c r="P183" i="276"/>
  <c r="P184" i="276"/>
  <c r="S46" i="172"/>
  <c r="S43" i="172"/>
  <c r="S47" i="172"/>
  <c r="S44" i="172"/>
  <c r="S48" i="172"/>
  <c r="S45" i="172"/>
  <c r="O45" i="172"/>
  <c r="O46" i="172"/>
  <c r="O43" i="172"/>
  <c r="O47" i="172"/>
  <c r="O44" i="172"/>
  <c r="O48" i="172"/>
  <c r="P193" i="276" a="1"/>
  <c r="P193" i="276"/>
  <c r="C27" i="265"/>
  <c r="H30" i="10"/>
  <c r="R23" i="272"/>
  <c r="S10" i="272"/>
  <c r="R14" i="272"/>
  <c r="R24" i="272"/>
  <c r="S17" i="272"/>
  <c r="R29" i="272"/>
  <c r="F28" i="126"/>
  <c r="G28" i="126"/>
  <c r="F29" i="126"/>
  <c r="G29" i="126"/>
  <c r="E8" i="11"/>
  <c r="E11" i="11" s="1"/>
  <c r="F9" i="242"/>
  <c r="C26" i="274"/>
  <c r="B3" i="173"/>
  <c r="B3" i="66"/>
  <c r="B3" i="274"/>
  <c r="B42" i="236" s="1"/>
  <c r="B3" i="53"/>
  <c r="B3" i="285"/>
  <c r="E11" i="52" s="1"/>
  <c r="B3" i="303"/>
  <c r="F8" i="306" s="1"/>
  <c r="F48" i="306"/>
  <c r="B3" i="242"/>
  <c r="B3" i="172"/>
  <c r="B3" i="52"/>
  <c r="B3" i="273"/>
  <c r="B43" i="236" s="1"/>
  <c r="B3" i="41"/>
  <c r="B3" i="304"/>
  <c r="B3" i="236"/>
  <c r="H17" i="4"/>
  <c r="AD65" i="276"/>
  <c r="AE65" i="276"/>
  <c r="F42" i="265"/>
  <c r="E104" i="269"/>
  <c r="R31" i="272"/>
  <c r="S22" i="272"/>
  <c r="K13" i="133"/>
  <c r="B13" i="133"/>
  <c r="G13" i="133"/>
  <c r="B3" i="281"/>
  <c r="B51" i="126" s="1"/>
  <c r="J16" i="133"/>
  <c r="AC10" i="305"/>
  <c r="K46" i="305"/>
  <c r="K41" i="305"/>
  <c r="K43" i="305"/>
  <c r="K45" i="305"/>
  <c r="K42" i="305"/>
  <c r="K44" i="305"/>
  <c r="I44" i="266"/>
  <c r="W48" i="266"/>
  <c r="S27" i="272"/>
  <c r="S34" i="272"/>
  <c r="R19" i="272"/>
  <c r="P181" i="276"/>
  <c r="P180" i="276"/>
  <c r="S23" i="272"/>
  <c r="P190" i="276" a="1"/>
  <c r="P190" i="276"/>
  <c r="R30" i="272"/>
  <c r="O69" i="64"/>
  <c r="O70" i="64" s="1"/>
  <c r="N69" i="64"/>
  <c r="N70" i="64" s="1"/>
  <c r="M69" i="64"/>
  <c r="M70" i="64" s="1"/>
  <c r="R7" i="272"/>
  <c r="B10" i="38"/>
  <c r="A28" i="38"/>
  <c r="S16" i="272"/>
  <c r="B56" i="133"/>
  <c r="K57" i="133"/>
  <c r="S25" i="272"/>
  <c r="A64" i="281"/>
  <c r="D52" i="281"/>
  <c r="B46" i="281"/>
  <c r="S30" i="272"/>
  <c r="S18" i="272"/>
  <c r="R27" i="272"/>
  <c r="I16" i="126"/>
  <c r="J16" i="126"/>
  <c r="F8" i="294"/>
  <c r="F48" i="294" s="1"/>
  <c r="I29" i="126"/>
  <c r="J29" i="126"/>
  <c r="P46" i="272"/>
  <c r="K16" i="63"/>
  <c r="S39" i="272"/>
  <c r="S43" i="272"/>
  <c r="S5" i="272"/>
  <c r="S40" i="272"/>
  <c r="S37" i="272"/>
  <c r="S41" i="272"/>
  <c r="S8" i="272"/>
  <c r="N15" i="8"/>
  <c r="H20" i="8"/>
  <c r="S31" i="272"/>
  <c r="S26" i="272"/>
  <c r="S14" i="272"/>
  <c r="P192" i="276" a="1"/>
  <c r="P192" i="276"/>
  <c r="P188" i="276" a="1"/>
  <c r="P188" i="276"/>
  <c r="B12" i="232"/>
  <c r="G55" i="133"/>
  <c r="B3" i="12"/>
  <c r="F11" i="294" s="1"/>
  <c r="W46" i="266"/>
  <c r="O19" i="52"/>
  <c r="O19" i="303"/>
  <c r="O19" i="274"/>
  <c r="I17" i="126"/>
  <c r="J17" i="126"/>
  <c r="S11" i="272"/>
  <c r="A34" i="40"/>
  <c r="L19" i="40"/>
  <c r="L23" i="40"/>
  <c r="A36" i="40"/>
  <c r="S9" i="272"/>
  <c r="S15" i="272"/>
  <c r="I28" i="126"/>
  <c r="J28" i="126"/>
  <c r="I77" i="274"/>
  <c r="I90" i="274"/>
  <c r="I107" i="274"/>
  <c r="I118" i="274"/>
  <c r="J15" i="274"/>
  <c r="I62" i="274"/>
  <c r="I46" i="274"/>
  <c r="B18" i="232"/>
  <c r="G61" i="133"/>
  <c r="B3" i="305"/>
  <c r="O28" i="52"/>
  <c r="F11" i="66"/>
  <c r="F18" i="66"/>
  <c r="O28" i="303"/>
  <c r="F11" i="304"/>
  <c r="O28" i="274"/>
  <c r="F11" i="242"/>
  <c r="F16" i="63"/>
  <c r="F20" i="63"/>
  <c r="O27" i="52"/>
  <c r="O27" i="303"/>
  <c r="O27" i="274"/>
  <c r="E16" i="63"/>
  <c r="E20" i="63"/>
  <c r="Z46" i="266"/>
  <c r="I62" i="303"/>
  <c r="I90" i="303"/>
  <c r="I107" i="303"/>
  <c r="I118" i="303"/>
  <c r="J15" i="303"/>
  <c r="I46" i="303"/>
  <c r="I77" i="303"/>
  <c r="I24" i="126"/>
  <c r="J24" i="126"/>
  <c r="S32" i="272"/>
  <c r="R37" i="272"/>
  <c r="R39" i="272"/>
  <c r="R40" i="272"/>
  <c r="R41" i="272"/>
  <c r="R43" i="272"/>
  <c r="R5" i="272"/>
  <c r="R8" i="272"/>
  <c r="I19" i="126"/>
  <c r="J19" i="126"/>
  <c r="R17" i="272"/>
  <c r="B44" i="236"/>
  <c r="K16" i="133"/>
  <c r="B16" i="133"/>
  <c r="G16" i="133"/>
  <c r="B3" i="270"/>
  <c r="J17" i="133"/>
  <c r="H48" i="8"/>
  <c r="H50" i="8"/>
  <c r="I23" i="126"/>
  <c r="J23" i="126"/>
  <c r="L63" i="133"/>
  <c r="B63" i="133"/>
  <c r="G63" i="133"/>
  <c r="B3" i="282"/>
  <c r="B62" i="133"/>
  <c r="S21" i="52"/>
  <c r="S21" i="303"/>
  <c r="F18" i="304"/>
  <c r="S21" i="274"/>
  <c r="F18" i="242"/>
  <c r="L35" i="64"/>
  <c r="B37" i="64"/>
  <c r="B33" i="63"/>
  <c r="J35" i="64"/>
  <c r="N35" i="64"/>
  <c r="K35" i="64"/>
  <c r="M35" i="64"/>
  <c r="S20" i="52"/>
  <c r="S20" i="303"/>
  <c r="S20" i="274"/>
  <c r="C76" i="156"/>
  <c r="E76" i="156"/>
  <c r="O35" i="126"/>
  <c r="F188" i="73"/>
  <c r="I18" i="126"/>
  <c r="J18" i="126"/>
  <c r="P189" i="276" a="1"/>
  <c r="P189" i="276"/>
  <c r="K17" i="133"/>
  <c r="B17" i="133"/>
  <c r="G17" i="133"/>
  <c r="B3" i="10"/>
  <c r="J18" i="133"/>
  <c r="J46" i="303"/>
  <c r="J62" i="303"/>
  <c r="J90" i="303"/>
  <c r="J107" i="303"/>
  <c r="J118" i="303"/>
  <c r="K15" i="303"/>
  <c r="J77" i="303"/>
  <c r="F10" i="66"/>
  <c r="F16" i="66"/>
  <c r="F20" i="66"/>
  <c r="C27" i="52"/>
  <c r="O35" i="52"/>
  <c r="S45" i="272"/>
  <c r="B57" i="133"/>
  <c r="K58" i="133"/>
  <c r="B58" i="133"/>
  <c r="R45" i="272"/>
  <c r="I20" i="63"/>
  <c r="M35" i="52"/>
  <c r="J62" i="73" a="1"/>
  <c r="F69" i="273" a="1"/>
  <c r="J46" i="274"/>
  <c r="J77" i="274"/>
  <c r="J90" i="274"/>
  <c r="J107" i="274"/>
  <c r="J118" i="274"/>
  <c r="K15" i="274"/>
  <c r="J62" i="274"/>
  <c r="I45" i="126"/>
  <c r="B13" i="232"/>
  <c r="G56" i="133"/>
  <c r="B3" i="294"/>
  <c r="N13" i="8"/>
  <c r="N17" i="8"/>
  <c r="N18" i="8"/>
  <c r="N20" i="8"/>
  <c r="N25" i="8"/>
  <c r="N27" i="8"/>
  <c r="N30" i="8"/>
  <c r="N31" i="8"/>
  <c r="N32" i="8"/>
  <c r="N33" i="8"/>
  <c r="N34" i="8"/>
  <c r="N36" i="8"/>
  <c r="H54" i="8"/>
  <c r="D55" i="8"/>
  <c r="D16" i="248"/>
  <c r="N38" i="8"/>
  <c r="N12" i="8"/>
  <c r="I47" i="126"/>
  <c r="B19" i="232"/>
  <c r="G62" i="133"/>
  <c r="B3" i="306"/>
  <c r="J48" i="285"/>
  <c r="J49" i="305"/>
  <c r="J51" i="305"/>
  <c r="J49" i="12"/>
  <c r="J51" i="12"/>
  <c r="J49" i="310"/>
  <c r="J51" i="310"/>
  <c r="J49" i="256"/>
  <c r="J51" i="256"/>
  <c r="J49" i="250"/>
  <c r="J51" i="250"/>
  <c r="F10" i="242"/>
  <c r="F16" i="242"/>
  <c r="F20" i="242"/>
  <c r="C27" i="274"/>
  <c r="O35" i="274"/>
  <c r="M35" i="274"/>
  <c r="C127" i="156"/>
  <c r="B36" i="40"/>
  <c r="C15" i="156"/>
  <c r="E15" i="156"/>
  <c r="C16" i="156"/>
  <c r="E16" i="156"/>
  <c r="D24" i="270"/>
  <c r="D25" i="270"/>
  <c r="E22" i="270"/>
  <c r="E25" i="270"/>
  <c r="F22" i="270" s="1"/>
  <c r="F25" i="270" s="1"/>
  <c r="G22" i="270" s="1"/>
  <c r="G25" i="270" s="1"/>
  <c r="F15" i="64"/>
  <c r="F10" i="304"/>
  <c r="F16" i="304"/>
  <c r="F20" i="304"/>
  <c r="C27" i="303"/>
  <c r="O35" i="303"/>
  <c r="M35" i="303"/>
  <c r="I44" i="126"/>
  <c r="I31" i="126"/>
  <c r="B11" i="38"/>
  <c r="A29" i="38"/>
  <c r="B12" i="38"/>
  <c r="J50" i="285"/>
  <c r="K48" i="285"/>
  <c r="J64" i="73"/>
  <c r="D64" i="73" s="1"/>
  <c r="C86" i="156"/>
  <c r="E86" i="156"/>
  <c r="O45" i="126"/>
  <c r="C79" i="156"/>
  <c r="E80" i="156"/>
  <c r="O44" i="126"/>
  <c r="K62" i="274"/>
  <c r="K46" i="274"/>
  <c r="K77" i="274"/>
  <c r="K90" i="274"/>
  <c r="K18" i="133"/>
  <c r="B18" i="133"/>
  <c r="G18" i="133"/>
  <c r="B3" i="8"/>
  <c r="L9" i="40" s="1"/>
  <c r="J21" i="133"/>
  <c r="C77" i="156"/>
  <c r="E77" i="156"/>
  <c r="O36" i="126"/>
  <c r="O37" i="126"/>
  <c r="P7" i="303" a="1"/>
  <c r="I48" i="126"/>
  <c r="D104" i="73" a="1"/>
  <c r="P7" i="274" a="1"/>
  <c r="P7" i="52" a="1"/>
  <c r="O43" i="126"/>
  <c r="O46" i="126"/>
  <c r="O20" i="52"/>
  <c r="O20" i="303"/>
  <c r="O20" i="274"/>
  <c r="B15" i="232"/>
  <c r="G58" i="133"/>
  <c r="B3" i="156"/>
  <c r="H23" i="4"/>
  <c r="O21" i="52"/>
  <c r="O21" i="303"/>
  <c r="O21" i="274"/>
  <c r="C129" i="156"/>
  <c r="E129" i="156"/>
  <c r="E127" i="156"/>
  <c r="F71" i="273"/>
  <c r="D71" i="273"/>
  <c r="F69" i="273"/>
  <c r="D69" i="273"/>
  <c r="F70" i="273"/>
  <c r="B14" i="232"/>
  <c r="G57" i="133"/>
  <c r="B3" i="185"/>
  <c r="K62" i="303"/>
  <c r="K77" i="303"/>
  <c r="K46" i="303"/>
  <c r="K90" i="303"/>
  <c r="D70" i="273"/>
  <c r="E23" i="236"/>
  <c r="J22" i="133"/>
  <c r="K21" i="133"/>
  <c r="B21" i="133"/>
  <c r="G21" i="133"/>
  <c r="B3" i="40"/>
  <c r="B211" i="73" s="1"/>
  <c r="D78" i="273"/>
  <c r="O23" i="52"/>
  <c r="P7" i="52"/>
  <c r="T7" i="52"/>
  <c r="Q7" i="52"/>
  <c r="R7" i="52"/>
  <c r="S7" i="52"/>
  <c r="S7" i="303"/>
  <c r="R7" i="303"/>
  <c r="T7" i="303"/>
  <c r="P7" i="303"/>
  <c r="Q7" i="303"/>
  <c r="Q7" i="274"/>
  <c r="R7" i="274"/>
  <c r="R9" i="274"/>
  <c r="S7" i="274"/>
  <c r="P7" i="274"/>
  <c r="T7" i="274"/>
  <c r="T48" i="285"/>
  <c r="V48" i="285" s="1"/>
  <c r="K50" i="285"/>
  <c r="AB46" i="285"/>
  <c r="R9" i="52"/>
  <c r="K22" i="133"/>
  <c r="B22" i="133"/>
  <c r="G22" i="133"/>
  <c r="B3" i="38"/>
  <c r="J25" i="133"/>
  <c r="Q9" i="274"/>
  <c r="P9" i="274"/>
  <c r="R9" i="303"/>
  <c r="Q9" i="52"/>
  <c r="Q9" i="303"/>
  <c r="P9" i="303"/>
  <c r="P9" i="52"/>
  <c r="K25" i="133"/>
  <c r="B25" i="133"/>
  <c r="G25" i="133"/>
  <c r="B3" i="47"/>
  <c r="J26" i="133"/>
  <c r="K26" i="133"/>
  <c r="B26" i="133"/>
  <c r="G26" i="133"/>
  <c r="B3" i="15"/>
  <c r="J29" i="133"/>
  <c r="K29" i="133"/>
  <c r="B29" i="133"/>
  <c r="G29" i="133"/>
  <c r="B3" i="57"/>
  <c r="J30" i="133"/>
  <c r="K30" i="133"/>
  <c r="B30" i="133"/>
  <c r="G30" i="133"/>
  <c r="B3" i="59"/>
  <c r="J33" i="133"/>
  <c r="J34" i="133"/>
  <c r="K33" i="133"/>
  <c r="B33" i="133"/>
  <c r="G33" i="133"/>
  <c r="B3" i="63"/>
  <c r="C23" i="236"/>
  <c r="L15" i="40"/>
  <c r="J37" i="133"/>
  <c r="K34" i="133"/>
  <c r="B34" i="133"/>
  <c r="G34" i="133"/>
  <c r="B3" i="64"/>
  <c r="J38" i="133"/>
  <c r="K37" i="133"/>
  <c r="B37" i="133"/>
  <c r="G37" i="133"/>
  <c r="B3" i="11"/>
  <c r="B45" i="236" s="1"/>
  <c r="B23" i="66"/>
  <c r="K38" i="133"/>
  <c r="B38" i="133"/>
  <c r="G38" i="133"/>
  <c r="B3" i="256"/>
  <c r="J39" i="133"/>
  <c r="J40" i="133"/>
  <c r="K39" i="133"/>
  <c r="B39" i="133"/>
  <c r="G39" i="133"/>
  <c r="B3" i="250"/>
  <c r="K40" i="133"/>
  <c r="B40" i="133"/>
  <c r="G40" i="133"/>
  <c r="B3" i="310"/>
  <c r="J41" i="133"/>
  <c r="J42" i="133"/>
  <c r="K41" i="133"/>
  <c r="B41" i="133"/>
  <c r="G41" i="133"/>
  <c r="B3" i="13"/>
  <c r="K42" i="133"/>
  <c r="B42" i="133"/>
  <c r="G42" i="133"/>
  <c r="B3" i="14"/>
  <c r="E12" i="303" s="1"/>
  <c r="J43" i="133"/>
  <c r="J44" i="133"/>
  <c r="K43" i="133"/>
  <c r="B43" i="133"/>
  <c r="G43" i="133"/>
  <c r="B3" i="295"/>
  <c r="E12" i="52"/>
  <c r="K44" i="133"/>
  <c r="B44" i="133"/>
  <c r="G44" i="133"/>
  <c r="B3" i="283"/>
  <c r="J45" i="133"/>
  <c r="K45" i="133"/>
  <c r="B45" i="133"/>
  <c r="G45" i="133"/>
  <c r="B3" i="276"/>
  <c r="J46" i="133"/>
  <c r="K46" i="133"/>
  <c r="B46" i="133"/>
  <c r="G46" i="133"/>
  <c r="J47" i="133"/>
  <c r="K47" i="133"/>
  <c r="B47" i="133"/>
  <c r="G47" i="133"/>
  <c r="J48" i="133"/>
  <c r="K48" i="133"/>
  <c r="B48" i="133"/>
  <c r="G48" i="133"/>
  <c r="J49" i="133"/>
  <c r="K49" i="133"/>
  <c r="B49" i="133"/>
  <c r="G49" i="133"/>
  <c r="A62" i="294" l="1"/>
  <c r="F26" i="294"/>
  <c r="F39" i="294" s="1"/>
  <c r="E15" i="11"/>
  <c r="E55" i="11"/>
  <c r="B212" i="73"/>
  <c r="U48" i="285"/>
  <c r="W48" i="285" s="1"/>
  <c r="O46" i="73"/>
  <c r="F15" i="11"/>
  <c r="L69" i="64"/>
  <c r="L70" i="64" s="1"/>
  <c r="G35" i="73"/>
  <c r="E126" i="73"/>
  <c r="E175" i="73" s="1"/>
  <c r="K30" i="64"/>
  <c r="K34" i="64" s="1"/>
  <c r="F126" i="73"/>
  <c r="F175" i="73" s="1"/>
  <c r="H95" i="73"/>
  <c r="A211" i="73"/>
  <c r="K58" i="52"/>
  <c r="E11" i="274"/>
  <c r="Q6" i="303"/>
  <c r="K54" i="52"/>
  <c r="E115" i="73"/>
  <c r="F164" i="73"/>
  <c r="F138" i="73"/>
  <c r="N30" i="64"/>
  <c r="N34" i="64" s="1"/>
  <c r="K69" i="64"/>
  <c r="K70" i="64" s="1"/>
  <c r="P70" i="64" s="1"/>
  <c r="Q6" i="52"/>
  <c r="T11" i="274"/>
  <c r="AN22" i="265"/>
  <c r="AN31" i="265" s="1"/>
  <c r="E12" i="274"/>
  <c r="H16" i="11"/>
  <c r="B70" i="11"/>
  <c r="J63" i="73"/>
  <c r="D63" i="73" s="1"/>
  <c r="J62" i="73"/>
  <c r="D62" i="73" s="1"/>
  <c r="E104" i="73"/>
  <c r="E105" i="73" s="1"/>
  <c r="D104" i="73"/>
  <c r="D105" i="73" s="1"/>
  <c r="H104" i="73"/>
  <c r="F104" i="73"/>
  <c r="F105" i="73" s="1"/>
  <c r="G104" i="73"/>
  <c r="G105" i="73" s="1"/>
  <c r="R33" i="322"/>
  <c r="R37" i="322" s="1"/>
  <c r="R32" i="322"/>
  <c r="M29" i="64"/>
  <c r="S6" i="52"/>
  <c r="S6" i="303"/>
  <c r="G95" i="73"/>
  <c r="G126" i="73"/>
  <c r="G175" i="73" s="1"/>
  <c r="S11" i="274"/>
  <c r="G115" i="73"/>
  <c r="S6" i="274"/>
  <c r="M30" i="64"/>
  <c r="M34" i="64" s="1"/>
  <c r="F11" i="306"/>
  <c r="E11" i="303"/>
  <c r="D35" i="73"/>
  <c r="D34" i="73"/>
  <c r="E34" i="73"/>
  <c r="E35" i="73"/>
  <c r="G20" i="73"/>
  <c r="G23" i="73" s="1"/>
  <c r="G37" i="73"/>
  <c r="G39" i="73" s="1"/>
  <c r="S33" i="322"/>
  <c r="S37" i="322" s="1"/>
  <c r="S32" i="322"/>
  <c r="T6" i="274"/>
  <c r="H115" i="73"/>
  <c r="H126" i="73"/>
  <c r="H175" i="73" s="1"/>
  <c r="T6" i="303"/>
  <c r="J27" i="322"/>
  <c r="J30" i="322" s="1"/>
  <c r="H27" i="322"/>
  <c r="H30" i="322" s="1"/>
  <c r="F27" i="322"/>
  <c r="F30" i="322" s="1"/>
  <c r="D27" i="322"/>
  <c r="D30" i="322" s="1"/>
  <c r="P32" i="322"/>
  <c r="K27" i="322"/>
  <c r="K30" i="322" s="1"/>
  <c r="I27" i="322"/>
  <c r="I30" i="322" s="1"/>
  <c r="G27" i="322"/>
  <c r="G30" i="322" s="1"/>
  <c r="E27" i="322"/>
  <c r="E30" i="322" s="1"/>
  <c r="P33" i="322"/>
  <c r="P37" i="322" s="1"/>
  <c r="Q11" i="274"/>
  <c r="E95" i="73"/>
  <c r="Q6" i="274"/>
  <c r="E190" i="73"/>
  <c r="E201" i="73" s="1"/>
  <c r="P5" i="303"/>
  <c r="L52" i="73"/>
  <c r="L61" i="73" s="1"/>
  <c r="R61" i="73" s="1"/>
  <c r="E7" i="236"/>
  <c r="B98" i="156" s="1" a="1"/>
  <c r="H20" i="73"/>
  <c r="H23" i="73" s="1"/>
  <c r="H37" i="73"/>
  <c r="H39" i="73" s="1"/>
  <c r="Q33" i="322"/>
  <c r="Q37" i="322" s="1"/>
  <c r="D71" i="322"/>
  <c r="L29" i="64"/>
  <c r="R6" i="274"/>
  <c r="L30" i="64"/>
  <c r="L34" i="64" s="1"/>
  <c r="F190" i="73"/>
  <c r="F201" i="73" s="1"/>
  <c r="Q32" i="322"/>
  <c r="R6" i="52"/>
  <c r="D13" i="273"/>
  <c r="D13" i="73"/>
  <c r="S5" i="303"/>
  <c r="S5" i="274"/>
  <c r="O52" i="73"/>
  <c r="O61" i="73" s="1"/>
  <c r="U61" i="73" s="1"/>
  <c r="T5" i="274"/>
  <c r="L20" i="265"/>
  <c r="AZ22" i="265"/>
  <c r="AZ29" i="265" s="1"/>
  <c r="BN22" i="265"/>
  <c r="BN31" i="265" s="1"/>
  <c r="L14" i="265"/>
  <c r="BP22" i="265"/>
  <c r="BP31" i="265" s="1"/>
  <c r="BH22" i="265"/>
  <c r="BH31" i="265" s="1"/>
  <c r="BF22" i="265"/>
  <c r="BF31" i="265" s="1"/>
  <c r="AX22" i="265"/>
  <c r="AX29" i="265" s="1"/>
  <c r="L12" i="265"/>
  <c r="J17" i="265"/>
  <c r="AV22" i="265"/>
  <c r="AV31" i="265" s="1"/>
  <c r="BQ22" i="265"/>
  <c r="BQ29" i="265" s="1"/>
  <c r="L15" i="265"/>
  <c r="BK22" i="265"/>
  <c r="BK29" i="265" s="1"/>
  <c r="H20" i="265"/>
  <c r="BM22" i="265"/>
  <c r="BM31" i="265" s="1"/>
  <c r="J20" i="265"/>
  <c r="BD22" i="265"/>
  <c r="BD29" i="265" s="1"/>
  <c r="AS22" i="265"/>
  <c r="AS31" i="265" s="1"/>
  <c r="AW22" i="265"/>
  <c r="AW31" i="265" s="1"/>
  <c r="H17" i="265"/>
  <c r="L18" i="265"/>
  <c r="H18" i="265"/>
  <c r="BE22" i="265"/>
  <c r="BE31" i="265" s="1"/>
  <c r="AO22" i="265"/>
  <c r="AO29" i="265" s="1"/>
  <c r="L17" i="265"/>
  <c r="J15" i="265"/>
  <c r="BJ22" i="265"/>
  <c r="BJ29" i="265" s="1"/>
  <c r="H12" i="265"/>
  <c r="AT22" i="265"/>
  <c r="AT31" i="265" s="1"/>
  <c r="J12" i="265"/>
  <c r="BO22" i="265"/>
  <c r="BO29" i="265" s="1"/>
  <c r="BG22" i="265"/>
  <c r="BG31" i="265" s="1"/>
  <c r="BC22" i="265"/>
  <c r="BC29" i="265" s="1"/>
  <c r="AY22" i="265"/>
  <c r="AY31" i="265" s="1"/>
  <c r="AU22" i="265"/>
  <c r="AU31" i="265" s="1"/>
  <c r="AQ22" i="265"/>
  <c r="AQ29" i="265" s="1"/>
  <c r="AM22" i="265"/>
  <c r="AM31" i="265" s="1"/>
  <c r="L11" i="265"/>
  <c r="J14" i="265"/>
  <c r="BI22" i="265"/>
  <c r="BI29" i="265" s="1"/>
  <c r="J11" i="265"/>
  <c r="H14" i="265"/>
  <c r="AR22" i="265"/>
  <c r="AR29" i="265" s="1"/>
  <c r="J18" i="265"/>
  <c r="AK22" i="265"/>
  <c r="AK31" i="265" s="1"/>
  <c r="H15" i="265"/>
  <c r="D20" i="1"/>
  <c r="AI22" i="265"/>
  <c r="AP22" i="265"/>
  <c r="AJ22" i="265"/>
  <c r="H11" i="265"/>
  <c r="BA22" i="265"/>
  <c r="BB22" i="265"/>
  <c r="AL22" i="265"/>
  <c r="BL22" i="265"/>
  <c r="BL29" i="265" s="1"/>
  <c r="Z52" i="265"/>
  <c r="AE52" i="265" s="1"/>
  <c r="AE50" i="265"/>
  <c r="AV29" i="265"/>
  <c r="BF14" i="213"/>
  <c r="BF18" i="213"/>
  <c r="I15" i="213"/>
  <c r="I19" i="213"/>
  <c r="AK15" i="213"/>
  <c r="AT19" i="213"/>
  <c r="AA22" i="213"/>
  <c r="AA26" i="213"/>
  <c r="AA15" i="213"/>
  <c r="AA19" i="213"/>
  <c r="AV15" i="213"/>
  <c r="AV19" i="213"/>
  <c r="H16" i="213"/>
  <c r="K14" i="213"/>
  <c r="S19" i="213"/>
  <c r="AL19" i="213"/>
  <c r="AT13" i="213"/>
  <c r="AI24" i="213"/>
  <c r="R20" i="213"/>
  <c r="AO24" i="213"/>
  <c r="U23" i="213"/>
  <c r="S29" i="213"/>
  <c r="X25" i="213"/>
  <c r="J30" i="213"/>
  <c r="AT29" i="213"/>
  <c r="BP33" i="213"/>
  <c r="BP37" i="213"/>
  <c r="BP41" i="213"/>
  <c r="BF29" i="213"/>
  <c r="E34" i="213"/>
  <c r="BL19" i="213"/>
  <c r="Q20" i="213"/>
  <c r="H15" i="213"/>
  <c r="H19" i="213"/>
  <c r="Y15" i="213"/>
  <c r="Y19" i="213"/>
  <c r="BC15" i="213"/>
  <c r="BI19" i="213"/>
  <c r="AR22" i="213"/>
  <c r="AR26" i="213"/>
  <c r="AQ15" i="213"/>
  <c r="AS19" i="213"/>
  <c r="BK15" i="213"/>
  <c r="BK19" i="213"/>
  <c r="X16" i="213"/>
  <c r="M15" i="213"/>
  <c r="BA19" i="213"/>
  <c r="F20" i="213"/>
  <c r="AT15" i="213"/>
  <c r="BC24" i="213"/>
  <c r="AX20" i="213"/>
  <c r="BG24" i="213"/>
  <c r="AZ23" i="213"/>
  <c r="AI29" i="213"/>
  <c r="BD25" i="213"/>
  <c r="AA30" i="213"/>
  <c r="H30" i="213"/>
  <c r="S34" i="213"/>
  <c r="S38" i="213"/>
  <c r="S42" i="213"/>
  <c r="P30" i="213"/>
  <c r="W34" i="213"/>
  <c r="AC20" i="213"/>
  <c r="J13" i="213"/>
  <c r="T16" i="213"/>
  <c r="T20" i="213"/>
  <c r="AQ16" i="213"/>
  <c r="AR20" i="213"/>
  <c r="J17" i="213"/>
  <c r="BJ17" i="213"/>
  <c r="BH23" i="213"/>
  <c r="AG14" i="213"/>
  <c r="BI16" i="213"/>
  <c r="O13" i="213"/>
  <c r="O17" i="213"/>
  <c r="AK13" i="213"/>
  <c r="AR17" i="213"/>
  <c r="S14" i="213"/>
  <c r="AL14" i="213"/>
  <c r="BK14" i="213"/>
  <c r="O21" i="213"/>
  <c r="AI26" i="213"/>
  <c r="BQ21" i="213"/>
  <c r="N26" i="213"/>
  <c r="AG26" i="213"/>
  <c r="BE19" i="213"/>
  <c r="AO27" i="213"/>
  <c r="L22" i="213"/>
  <c r="AI31" i="213"/>
  <c r="AI35" i="213"/>
  <c r="AI39" i="213"/>
  <c r="AV22" i="213"/>
  <c r="AM16" i="213"/>
  <c r="Z17" i="213"/>
  <c r="K17" i="213"/>
  <c r="BI17" i="213"/>
  <c r="AG21" i="213"/>
  <c r="BF26" i="213"/>
  <c r="BA31" i="213"/>
  <c r="AL31" i="213"/>
  <c r="R15" i="213"/>
  <c r="V19" i="213"/>
  <c r="BK23" i="213"/>
  <c r="W19" i="213"/>
  <c r="W24" i="213"/>
  <c r="BF21" i="213"/>
  <c r="I20" i="213"/>
  <c r="N29" i="213"/>
  <c r="AB27" i="213"/>
  <c r="AJ26" i="213"/>
  <c r="BL33" i="213"/>
  <c r="X39" i="213"/>
  <c r="BL26" i="213"/>
  <c r="BO33" i="213"/>
  <c r="P14" i="213"/>
  <c r="BG14" i="213"/>
  <c r="BK25" i="213"/>
  <c r="BK22" i="213"/>
  <c r="AS22" i="213"/>
  <c r="Y16" i="213"/>
  <c r="AI28" i="213"/>
  <c r="BQ28" i="213"/>
  <c r="AH18" i="213"/>
  <c r="BM13" i="213"/>
  <c r="AM17" i="213"/>
  <c r="X18" i="213"/>
  <c r="L18" i="213"/>
  <c r="BD15" i="213"/>
  <c r="BD19" i="213"/>
  <c r="J16" i="213"/>
  <c r="J20" i="213"/>
  <c r="AK16" i="213"/>
  <c r="BJ15" i="213"/>
  <c r="Y23" i="213"/>
  <c r="Y27" i="213"/>
  <c r="Z16" i="213"/>
  <c r="Z20" i="213"/>
  <c r="AT16" i="213"/>
  <c r="AT20" i="213"/>
  <c r="L17" i="213"/>
  <c r="S13" i="213"/>
  <c r="AL13" i="213"/>
  <c r="BI13" i="213"/>
  <c r="U20" i="213"/>
  <c r="BB25" i="213"/>
  <c r="AK21" i="213"/>
  <c r="AT25" i="213"/>
  <c r="AB25" i="213"/>
  <c r="BE15" i="213"/>
  <c r="BP26" i="213"/>
  <c r="F19" i="213"/>
  <c r="BP30" i="213"/>
  <c r="BP34" i="213"/>
  <c r="BP38" i="213"/>
  <c r="AV20" i="213"/>
  <c r="E31" i="213"/>
  <c r="BL13" i="213"/>
  <c r="Q14" i="213"/>
  <c r="AO14" i="213"/>
  <c r="E16" i="213"/>
  <c r="E20" i="213"/>
  <c r="AA16" i="213"/>
  <c r="AA20" i="213"/>
  <c r="BA16" i="213"/>
  <c r="BH16" i="213"/>
  <c r="AO23" i="213"/>
  <c r="AD13" i="213"/>
  <c r="AR16" i="213"/>
  <c r="AQ20" i="213"/>
  <c r="BJ16" i="213"/>
  <c r="T13" i="213"/>
  <c r="AD17" i="213"/>
  <c r="BA13" i="213"/>
  <c r="F14" i="213"/>
  <c r="AD14" i="213"/>
  <c r="BC20" i="213"/>
  <c r="M26" i="213"/>
  <c r="BC21" i="213"/>
  <c r="BI25" i="213"/>
  <c r="BJ25" i="213"/>
  <c r="BE17" i="213"/>
  <c r="Z27" i="213"/>
  <c r="K21" i="213"/>
  <c r="S31" i="213"/>
  <c r="S35" i="213"/>
  <c r="S39" i="213"/>
  <c r="AX21" i="213"/>
  <c r="W31" i="213"/>
  <c r="AE14" i="213"/>
  <c r="AZ14" i="213"/>
  <c r="X13" i="213"/>
  <c r="X17" i="213"/>
  <c r="AS13" i="213"/>
  <c r="AS17" i="213"/>
  <c r="BN13" i="213"/>
  <c r="H18" i="213"/>
  <c r="BE20" i="213"/>
  <c r="BE24" i="213"/>
  <c r="BG13" i="213"/>
  <c r="BG17" i="213"/>
  <c r="M14" i="213"/>
  <c r="M18" i="213"/>
  <c r="AK14" i="213"/>
  <c r="AU18" i="213"/>
  <c r="Q16" i="213"/>
  <c r="AL16" i="213"/>
  <c r="BN16" i="213"/>
  <c r="AI22" i="213"/>
  <c r="O14" i="213"/>
  <c r="J23" i="213"/>
  <c r="U19" i="213"/>
  <c r="BA27" i="213"/>
  <c r="T22" i="213"/>
  <c r="AR28" i="213"/>
  <c r="L26" i="213"/>
  <c r="AH32" i="213"/>
  <c r="AI36" i="213"/>
  <c r="AI40" i="213"/>
  <c r="AN26" i="213"/>
  <c r="AM20" i="213"/>
  <c r="BH18" i="213"/>
  <c r="AE13" i="213"/>
  <c r="AY14" i="213"/>
  <c r="BC26" i="213"/>
  <c r="BF20" i="213"/>
  <c r="BA35" i="213"/>
  <c r="AL33" i="213"/>
  <c r="R19" i="213"/>
  <c r="K18" i="213"/>
  <c r="BP14" i="213"/>
  <c r="AW15" i="213"/>
  <c r="Q26" i="213"/>
  <c r="BF16" i="213"/>
  <c r="I13" i="213"/>
  <c r="I17" i="213"/>
  <c r="AH13" i="213"/>
  <c r="AO17" i="213"/>
  <c r="BJ19" i="213"/>
  <c r="AA24" i="213"/>
  <c r="AA13" i="213"/>
  <c r="AA17" i="213"/>
  <c r="AV13" i="213"/>
  <c r="AV17" i="213"/>
  <c r="BQ13" i="213"/>
  <c r="N18" i="213"/>
  <c r="S15" i="213"/>
  <c r="AL15" i="213"/>
  <c r="BN15" i="213"/>
  <c r="BB21" i="213"/>
  <c r="O27" i="213"/>
  <c r="AK22" i="213"/>
  <c r="V15" i="213"/>
  <c r="L27" i="213"/>
  <c r="X21" i="213"/>
  <c r="J28" i="213"/>
  <c r="L24" i="213"/>
  <c r="BP31" i="213"/>
  <c r="BP35" i="213"/>
  <c r="BP39" i="213"/>
  <c r="AV24" i="213"/>
  <c r="F32" i="213"/>
  <c r="BL15" i="213"/>
  <c r="S16" i="213"/>
  <c r="H13" i="213"/>
  <c r="H17" i="213"/>
  <c r="Y13" i="213"/>
  <c r="Y17" i="213"/>
  <c r="AW13" i="213"/>
  <c r="BF17" i="213"/>
  <c r="AJ20" i="213"/>
  <c r="AR24" i="213"/>
  <c r="AQ13" i="213"/>
  <c r="AQ17" i="213"/>
  <c r="BK13" i="213"/>
  <c r="BK17" i="213"/>
  <c r="V14" i="213"/>
  <c r="AD18" i="213"/>
  <c r="BA15" i="213"/>
  <c r="F16" i="213"/>
  <c r="AF16" i="213"/>
  <c r="M22" i="213"/>
  <c r="AG27" i="213"/>
  <c r="BA22" i="213"/>
  <c r="U17" i="213"/>
  <c r="AC27" i="213"/>
  <c r="BD21" i="213"/>
  <c r="AA28" i="213"/>
  <c r="K25" i="213"/>
  <c r="S32" i="213"/>
  <c r="S36" i="213"/>
  <c r="S40" i="213"/>
  <c r="AX25" i="213"/>
  <c r="W32" i="213"/>
  <c r="AC16" i="213"/>
  <c r="AZ16" i="213"/>
  <c r="T14" i="213"/>
  <c r="T18" i="213"/>
  <c r="AQ14" i="213"/>
  <c r="AR18" i="213"/>
  <c r="BN14" i="213"/>
  <c r="L19" i="213"/>
  <c r="BH21" i="213"/>
  <c r="BH25" i="213"/>
  <c r="BI14" i="213"/>
  <c r="BI18" i="213"/>
  <c r="BD13" i="213"/>
  <c r="AF14" i="213"/>
  <c r="Z14" i="213"/>
  <c r="J15" i="213"/>
  <c r="BQ17" i="213"/>
  <c r="M21" i="213"/>
  <c r="AJ27" i="213"/>
  <c r="BF27" i="213"/>
  <c r="E14" i="213"/>
  <c r="AX14" i="213"/>
  <c r="AR14" i="213"/>
  <c r="Z15" i="213"/>
  <c r="AK18" i="213"/>
  <c r="AR21" i="213"/>
  <c r="K28" i="213"/>
  <c r="X28" i="213"/>
  <c r="X15" i="213"/>
  <c r="BQ15" i="213"/>
  <c r="BG15" i="213"/>
  <c r="O19" i="213"/>
  <c r="AW19" i="213"/>
  <c r="AL18" i="213"/>
  <c r="BB23" i="213"/>
  <c r="H24" i="213"/>
  <c r="AY28" i="213"/>
  <c r="AQ29" i="213"/>
  <c r="AH33" i="213"/>
  <c r="AI41" i="213"/>
  <c r="BE16" i="213"/>
  <c r="AC17" i="213"/>
  <c r="V22" i="213"/>
  <c r="BA39" i="213"/>
  <c r="L15" i="213"/>
  <c r="BP18" i="213"/>
  <c r="BM14" i="213"/>
  <c r="BN25" i="213"/>
  <c r="Y18" i="213"/>
  <c r="F30" i="213"/>
  <c r="AQ32" i="213"/>
  <c r="AS40" i="213"/>
  <c r="Y31" i="213"/>
  <c r="O37" i="213"/>
  <c r="BN18" i="213"/>
  <c r="Q19" i="213"/>
  <c r="U18" i="213"/>
  <c r="E22" i="213"/>
  <c r="BQ19" i="213"/>
  <c r="AW33" i="213"/>
  <c r="AT21" i="213"/>
  <c r="BH17" i="213"/>
  <c r="L14" i="213"/>
  <c r="BK18" i="213"/>
  <c r="BC22" i="213"/>
  <c r="BP27" i="213"/>
  <c r="AY32" i="213"/>
  <c r="BB31" i="213"/>
  <c r="AY15" i="213"/>
  <c r="BC19" i="213"/>
  <c r="S24" i="213"/>
  <c r="W20" i="213"/>
  <c r="BJ24" i="213"/>
  <c r="N22" i="213"/>
  <c r="BQ20" i="213"/>
  <c r="AM29" i="213"/>
  <c r="AY27" i="213"/>
  <c r="AA27" i="213"/>
  <c r="T34" i="213"/>
  <c r="AS39" i="213"/>
  <c r="AW27" i="213"/>
  <c r="AA34" i="213"/>
  <c r="N15" i="213"/>
  <c r="BI15" i="213"/>
  <c r="W26" i="213"/>
  <c r="V23" i="213"/>
  <c r="AB23" i="213"/>
  <c r="BD18" i="213"/>
  <c r="BC28" i="213"/>
  <c r="AZ29" i="213"/>
  <c r="AH20" i="213"/>
  <c r="BM16" i="213"/>
  <c r="BE14" i="213"/>
  <c r="J22" i="213"/>
  <c r="AC15" i="213"/>
  <c r="AY18" i="213"/>
  <c r="AC19" i="213"/>
  <c r="BF24" i="213"/>
  <c r="BA37" i="213"/>
  <c r="AL34" i="213"/>
  <c r="AO13" i="213"/>
  <c r="AB20" i="213"/>
  <c r="BP16" i="213"/>
  <c r="BC17" i="213"/>
  <c r="E27" i="213"/>
  <c r="BI23" i="213"/>
  <c r="AS24" i="213"/>
  <c r="N21" i="213"/>
  <c r="AE29" i="213"/>
  <c r="AO30" i="213"/>
  <c r="BL35" i="213"/>
  <c r="X41" i="213"/>
  <c r="AW30" i="213"/>
  <c r="AV35" i="213"/>
  <c r="P20" i="213"/>
  <c r="AB17" i="213"/>
  <c r="AV16" i="213"/>
  <c r="BN24" i="213"/>
  <c r="AV26" i="213"/>
  <c r="AF23" i="213"/>
  <c r="I27" i="213"/>
  <c r="F15" i="213"/>
  <c r="S22" i="213"/>
  <c r="AQ25" i="213"/>
  <c r="T32" i="213"/>
  <c r="BK36" i="213"/>
  <c r="AZ15" i="213"/>
  <c r="AR27" i="213"/>
  <c r="BO25" i="213"/>
  <c r="Z28" i="213"/>
  <c r="AA23" i="213"/>
  <c r="BD17" i="213"/>
  <c r="AO18" i="213"/>
  <c r="Z18" i="213"/>
  <c r="P19" i="213"/>
  <c r="O23" i="213"/>
  <c r="S28" i="213"/>
  <c r="BP32" i="213"/>
  <c r="E33" i="213"/>
  <c r="E18" i="213"/>
  <c r="BG18" i="213"/>
  <c r="AQ18" i="213"/>
  <c r="AH19" i="213"/>
  <c r="AG23" i="213"/>
  <c r="AH28" i="213"/>
  <c r="S33" i="213"/>
  <c r="W33" i="213"/>
  <c r="X19" i="213"/>
  <c r="BJ13" i="213"/>
  <c r="BG19" i="213"/>
  <c r="M20" i="213"/>
  <c r="K16" i="213"/>
  <c r="AL20" i="213"/>
  <c r="O25" i="213"/>
  <c r="L25" i="213"/>
  <c r="BA29" i="213"/>
  <c r="AR30" i="213"/>
  <c r="AH34" i="213"/>
  <c r="AJ13" i="213"/>
  <c r="P13" i="213"/>
  <c r="BC13" i="213"/>
  <c r="W13" i="213"/>
  <c r="AX23" i="213"/>
  <c r="P17" i="213"/>
  <c r="W15" i="213"/>
  <c r="H20" i="213"/>
  <c r="M23" i="213"/>
  <c r="AM22" i="213"/>
  <c r="AA21" i="213"/>
  <c r="X35" i="213"/>
  <c r="BL41" i="213"/>
  <c r="AT32" i="213"/>
  <c r="P18" i="213"/>
  <c r="E21" i="213"/>
  <c r="AQ21" i="213"/>
  <c r="AJ25" i="213"/>
  <c r="AW24" i="213"/>
  <c r="AS25" i="213"/>
  <c r="BC18" i="213"/>
  <c r="AD24" i="213"/>
  <c r="R14" i="213"/>
  <c r="AC14" i="213"/>
  <c r="AY16" i="213"/>
  <c r="AE15" i="213"/>
  <c r="BF22" i="213"/>
  <c r="BA36" i="213"/>
  <c r="BC33" i="213"/>
  <c r="AY19" i="213"/>
  <c r="AB19" i="213"/>
  <c r="BP15" i="213"/>
  <c r="AX16" i="213"/>
  <c r="AT26" i="213"/>
  <c r="AK23" i="213"/>
  <c r="BJ23" i="213"/>
  <c r="AD20" i="213"/>
  <c r="E29" i="213"/>
  <c r="K30" i="213"/>
  <c r="AS35" i="213"/>
  <c r="BL40" i="213"/>
  <c r="V30" i="213"/>
  <c r="AE35" i="213"/>
  <c r="N19" i="213"/>
  <c r="AB13" i="213"/>
  <c r="Q15" i="213"/>
  <c r="AU24" i="213"/>
  <c r="U26" i="213"/>
  <c r="AW22" i="213"/>
  <c r="M30" i="213"/>
  <c r="AA31" i="213"/>
  <c r="L13" i="213"/>
  <c r="X22" i="213"/>
  <c r="BE18" i="213"/>
  <c r="J26" i="213"/>
  <c r="AE19" i="213"/>
  <c r="E19" i="213"/>
  <c r="X24" i="213"/>
  <c r="BH29" i="213"/>
  <c r="BA41" i="213"/>
  <c r="BL16" i="213"/>
  <c r="N16" i="213"/>
  <c r="BK21" i="213"/>
  <c r="V13" i="213"/>
  <c r="AR19" i="213"/>
  <c r="AX17" i="213"/>
  <c r="V25" i="213"/>
  <c r="H27" i="213"/>
  <c r="BL23" i="213"/>
  <c r="F13" i="213"/>
  <c r="BL31" i="213"/>
  <c r="X37" i="213"/>
  <c r="AJ15" i="213"/>
  <c r="BO31" i="213"/>
  <c r="AV36" i="213"/>
  <c r="AI16" i="213"/>
  <c r="AC22" i="213"/>
  <c r="BG20" i="213"/>
  <c r="X26" i="213"/>
  <c r="T28" i="213"/>
  <c r="E26" i="213"/>
  <c r="AE20" i="213"/>
  <c r="AJ17" i="213"/>
  <c r="W14" i="213"/>
  <c r="AM27" i="213"/>
  <c r="AS37" i="213"/>
  <c r="AG17" i="213"/>
  <c r="AQ28" i="213"/>
  <c r="AU31" i="213"/>
  <c r="BN22" i="213"/>
  <c r="BL20" i="213"/>
  <c r="X30" i="213"/>
  <c r="BD38" i="213"/>
  <c r="AS18" i="213"/>
  <c r="P25" i="213"/>
  <c r="AU23" i="213"/>
  <c r="BG31" i="213"/>
  <c r="BD39" i="213"/>
  <c r="BJ30" i="213"/>
  <c r="R37" i="213"/>
  <c r="J14" i="213"/>
  <c r="Y21" i="213"/>
  <c r="AT14" i="213"/>
  <c r="S17" i="213"/>
  <c r="AG16" i="213"/>
  <c r="X23" i="213"/>
  <c r="BP36" i="213"/>
  <c r="BL17" i="213"/>
  <c r="AA14" i="213"/>
  <c r="AO21" i="213"/>
  <c r="BJ14" i="213"/>
  <c r="BA17" i="213"/>
  <c r="AE17" i="213"/>
  <c r="BD23" i="213"/>
  <c r="S37" i="213"/>
  <c r="AC18" i="213"/>
  <c r="AS15" i="213"/>
  <c r="BE22" i="213"/>
  <c r="O15" i="213"/>
  <c r="AO15" i="213"/>
  <c r="Q18" i="213"/>
  <c r="J19" i="213"/>
  <c r="AG18" i="213"/>
  <c r="U22" i="213"/>
  <c r="T24" i="213"/>
  <c r="AS28" i="213"/>
  <c r="AI37" i="213"/>
  <c r="BG28" i="213"/>
  <c r="J24" i="213"/>
  <c r="E15" i="213"/>
  <c r="BH27" i="213"/>
  <c r="BL14" i="213"/>
  <c r="R21" i="213"/>
  <c r="BF19" i="213"/>
  <c r="P23" i="213"/>
  <c r="K26" i="213"/>
  <c r="N25" i="213"/>
  <c r="AJ29" i="213"/>
  <c r="AS36" i="213"/>
  <c r="BM21" i="213"/>
  <c r="O35" i="213"/>
  <c r="AI14" i="213"/>
  <c r="AY23" i="213"/>
  <c r="V24" i="213"/>
  <c r="AS27" i="213"/>
  <c r="J27" i="213"/>
  <c r="H31" i="213"/>
  <c r="Z19" i="213"/>
  <c r="AM13" i="213"/>
  <c r="I21" i="213"/>
  <c r="AE18" i="213"/>
  <c r="E17" i="213"/>
  <c r="Z23" i="213"/>
  <c r="BE28" i="213"/>
  <c r="BA40" i="213"/>
  <c r="AF15" i="213"/>
  <c r="AR15" i="213"/>
  <c r="AL21" i="213"/>
  <c r="BP19" i="213"/>
  <c r="AS16" i="213"/>
  <c r="O16" i="213"/>
  <c r="BK24" i="213"/>
  <c r="AU26" i="213"/>
  <c r="N23" i="213"/>
  <c r="AE30" i="213"/>
  <c r="AS31" i="213"/>
  <c r="BL36" i="213"/>
  <c r="X42" i="213"/>
  <c r="AV31" i="213"/>
  <c r="AC36" i="213"/>
  <c r="AG15" i="213"/>
  <c r="AY21" i="213"/>
  <c r="X20" i="213"/>
  <c r="BQ25" i="213"/>
  <c r="BL27" i="213"/>
  <c r="AF25" i="213"/>
  <c r="AS21" i="213"/>
  <c r="AW32" i="213"/>
  <c r="AB18" i="213"/>
  <c r="AM14" i="213"/>
  <c r="U15" i="213"/>
  <c r="K15" i="213"/>
  <c r="BF15" i="213"/>
  <c r="AQ19" i="213"/>
  <c r="BB22" i="213"/>
  <c r="AL17" i="213"/>
  <c r="S18" i="213"/>
  <c r="F18" i="213"/>
  <c r="AZ18" i="213"/>
  <c r="AO16" i="213"/>
  <c r="AB24" i="213"/>
  <c r="AK30" i="213"/>
  <c r="BL18" i="213"/>
  <c r="BG27" i="213"/>
  <c r="AW29" i="213"/>
  <c r="AW25" i="213"/>
  <c r="BO23" i="213"/>
  <c r="AK17" i="213"/>
  <c r="AF19" i="213"/>
  <c r="W22" i="213"/>
  <c r="BL25" i="213"/>
  <c r="Q23" i="213"/>
  <c r="AC24" i="213"/>
  <c r="AI27" i="213"/>
  <c r="AM18" i="213"/>
  <c r="M24" i="213"/>
  <c r="Z29" i="213"/>
  <c r="R18" i="213"/>
  <c r="W17" i="213"/>
  <c r="L21" i="213"/>
  <c r="AM28" i="213"/>
  <c r="BG23" i="213"/>
  <c r="AS38" i="213"/>
  <c r="AA33" i="213"/>
  <c r="AI20" i="213"/>
  <c r="R22" i="213"/>
  <c r="AS29" i="213"/>
  <c r="AC13" i="213"/>
  <c r="BO20" i="213"/>
  <c r="O20" i="213"/>
  <c r="AO26" i="213"/>
  <c r="AZ13" i="213"/>
  <c r="L33" i="213"/>
  <c r="AW20" i="213"/>
  <c r="AD22" i="213"/>
  <c r="BO27" i="213"/>
  <c r="N36" i="213"/>
  <c r="H28" i="213"/>
  <c r="Y38" i="213"/>
  <c r="AI13" i="213"/>
  <c r="AL25" i="213"/>
  <c r="K22" i="213"/>
  <c r="Q28" i="213"/>
  <c r="AM34" i="213"/>
  <c r="AU41" i="213"/>
  <c r="BE32" i="213"/>
  <c r="AC38" i="213"/>
  <c r="AU15" i="213"/>
  <c r="AE24" i="213"/>
  <c r="AO31" i="213"/>
  <c r="AY41" i="213"/>
  <c r="AQ30" i="213"/>
  <c r="BG34" i="213"/>
  <c r="BI38" i="213"/>
  <c r="BG36" i="213"/>
  <c r="AG36" i="213"/>
  <c r="AM15" i="213"/>
  <c r="M19" i="213"/>
  <c r="AY13" i="213"/>
  <c r="AV23" i="213"/>
  <c r="BH26" i="213"/>
  <c r="BM25" i="213"/>
  <c r="AC25" i="213"/>
  <c r="M28" i="213"/>
  <c r="AH16" i="213"/>
  <c r="BB18" i="213"/>
  <c r="M27" i="213"/>
  <c r="BF33" i="213"/>
  <c r="AW14" i="213"/>
  <c r="F26" i="213"/>
  <c r="BQ22" i="213"/>
  <c r="AT28" i="213"/>
  <c r="BI34" i="213"/>
  <c r="E42" i="213"/>
  <c r="M33" i="213"/>
  <c r="AO38" i="213"/>
  <c r="AI15" i="213"/>
  <c r="AE26" i="213"/>
  <c r="AJ23" i="213"/>
  <c r="BJ28" i="213"/>
  <c r="E35" i="213"/>
  <c r="J42" i="213"/>
  <c r="Q33" i="213"/>
  <c r="AV38" i="213"/>
  <c r="AU17" i="213"/>
  <c r="W28" i="213"/>
  <c r="AI32" i="213"/>
  <c r="AN17" i="213"/>
  <c r="BK30" i="213"/>
  <c r="L35" i="213"/>
  <c r="AD16" i="213"/>
  <c r="AU38" i="213"/>
  <c r="K37" i="213"/>
  <c r="AM19" i="213"/>
  <c r="AG25" i="213"/>
  <c r="AY17" i="213"/>
  <c r="AY25" i="213"/>
  <c r="AE28" i="213"/>
  <c r="J29" i="213"/>
  <c r="R27" i="213"/>
  <c r="O29" i="213"/>
  <c r="BC14" i="213"/>
  <c r="AB21" i="213"/>
  <c r="BK27" i="213"/>
  <c r="Z34" i="213"/>
  <c r="AW16" i="213"/>
  <c r="BO26" i="213"/>
  <c r="AJ24" i="213"/>
  <c r="W29" i="213"/>
  <c r="AA35" i="213"/>
  <c r="AF42" i="213"/>
  <c r="AR33" i="213"/>
  <c r="BH38" i="213"/>
  <c r="AI17" i="213"/>
  <c r="W27" i="213"/>
  <c r="BQ24" i="213"/>
  <c r="AL29" i="213"/>
  <c r="AF35" i="213"/>
  <c r="AJ14" i="213"/>
  <c r="AZ33" i="213"/>
  <c r="BK38" i="213"/>
  <c r="AU19" i="213"/>
  <c r="F17" i="213"/>
  <c r="AE33" i="213"/>
  <c r="AY20" i="213"/>
  <c r="BA38" i="213"/>
  <c r="AG13" i="213"/>
  <c r="BD16" i="213"/>
  <c r="AF24" i="213"/>
  <c r="AC30" i="213"/>
  <c r="AX24" i="213"/>
  <c r="AN30" i="213"/>
  <c r="Q21" i="213"/>
  <c r="AK33" i="213"/>
  <c r="BO28" i="213"/>
  <c r="AN18" i="213"/>
  <c r="AK31" i="213"/>
  <c r="AW35" i="213"/>
  <c r="AW39" i="213"/>
  <c r="BE36" i="213"/>
  <c r="AU45" i="213"/>
  <c r="AV27" i="213"/>
  <c r="M32" i="213"/>
  <c r="AN15" i="213"/>
  <c r="BG30" i="213"/>
  <c r="H35" i="213"/>
  <c r="H39" i="213"/>
  <c r="Y34" i="213"/>
  <c r="BQ44" i="213"/>
  <c r="AN19" i="213"/>
  <c r="L41" i="213"/>
  <c r="BK46" i="213"/>
  <c r="M51" i="213"/>
  <c r="AR35" i="213"/>
  <c r="AD45" i="213"/>
  <c r="AQ49" i="213"/>
  <c r="AY53" i="213"/>
  <c r="BA18" i="213"/>
  <c r="E24" i="213"/>
  <c r="AC32" i="213"/>
  <c r="S27" i="213"/>
  <c r="K38" i="213"/>
  <c r="AL27" i="213"/>
  <c r="O38" i="213"/>
  <c r="R41" i="213"/>
  <c r="AD36" i="213"/>
  <c r="Q25" i="213"/>
  <c r="BB26" i="213"/>
  <c r="BA32" i="213"/>
  <c r="BN36" i="213"/>
  <c r="BN40" i="213"/>
  <c r="AJ41" i="213"/>
  <c r="AF18" i="213"/>
  <c r="J18" i="213"/>
  <c r="AQ23" i="213"/>
  <c r="AA18" i="213"/>
  <c r="BF23" i="213"/>
  <c r="AO19" i="213"/>
  <c r="S20" i="213"/>
  <c r="T26" i="213"/>
  <c r="K13" i="213"/>
  <c r="AL22" i="213"/>
  <c r="AZ28" i="213"/>
  <c r="O36" i="213"/>
  <c r="BL28" i="213"/>
  <c r="BH13" i="213"/>
  <c r="AN20" i="213"/>
  <c r="AW17" i="213"/>
  <c r="BA20" i="213"/>
  <c r="AQ22" i="213"/>
  <c r="BO32" i="213"/>
  <c r="BI21" i="213"/>
  <c r="AX26" i="213"/>
  <c r="AD19" i="213"/>
  <c r="BP28" i="213"/>
  <c r="AL32" i="213"/>
  <c r="AB14" i="213"/>
  <c r="AR13" i="213"/>
  <c r="AF22" i="213"/>
  <c r="BG29" i="213"/>
  <c r="U28" i="213"/>
  <c r="BL39" i="213"/>
  <c r="AT34" i="213"/>
  <c r="BK16" i="213"/>
  <c r="AT23" i="213"/>
  <c r="AU20" i="213"/>
  <c r="AD25" i="213"/>
  <c r="BM18" i="213"/>
  <c r="AA32" i="213"/>
  <c r="AI30" i="213"/>
  <c r="U24" i="213"/>
  <c r="N35" i="213"/>
  <c r="Z13" i="213"/>
  <c r="AJ21" i="213"/>
  <c r="AT30" i="213"/>
  <c r="E38" i="213"/>
  <c r="AZ32" i="213"/>
  <c r="Y39" i="213"/>
  <c r="BB13" i="213"/>
  <c r="O18" i="213"/>
  <c r="X27" i="213"/>
  <c r="I16" i="213"/>
  <c r="AA36" i="213"/>
  <c r="AG22" i="213"/>
  <c r="AR34" i="213"/>
  <c r="AC39" i="213"/>
  <c r="BO15" i="213"/>
  <c r="P32" i="213"/>
  <c r="F35" i="213"/>
  <c r="AY22" i="213"/>
  <c r="AW31" i="213"/>
  <c r="BI35" i="213"/>
  <c r="AO20" i="213"/>
  <c r="AA42" i="213"/>
  <c r="BB38" i="213"/>
  <c r="V16" i="213"/>
  <c r="BH24" i="213"/>
  <c r="AX18" i="213"/>
  <c r="AH21" i="213"/>
  <c r="AA25" i="213"/>
  <c r="AT33" i="213"/>
  <c r="AO22" i="213"/>
  <c r="I14" i="213"/>
  <c r="V17" i="213"/>
  <c r="AR25" i="213"/>
  <c r="BK29" i="213"/>
  <c r="AU35" i="213"/>
  <c r="BO14" i="213"/>
  <c r="BN19" i="213"/>
  <c r="BD27" i="213"/>
  <c r="BI20" i="213"/>
  <c r="AU36" i="213"/>
  <c r="BM23" i="213"/>
  <c r="BE34" i="213"/>
  <c r="AO39" i="213"/>
  <c r="BB15" i="213"/>
  <c r="AF20" i="213"/>
  <c r="E28" i="213"/>
  <c r="BG21" i="213"/>
  <c r="BD36" i="213"/>
  <c r="O24" i="213"/>
  <c r="BO34" i="213"/>
  <c r="AV39" i="213"/>
  <c r="BO17" i="213"/>
  <c r="AW34" i="213"/>
  <c r="AY35" i="213"/>
  <c r="BA23" i="213"/>
  <c r="BN31" i="213"/>
  <c r="L36" i="213"/>
  <c r="AH23" i="213"/>
  <c r="AC21" i="213"/>
  <c r="W39" i="213"/>
  <c r="BH14" i="213"/>
  <c r="BE13" i="213"/>
  <c r="AB16" i="213"/>
  <c r="BG22" i="213"/>
  <c r="BH28" i="213"/>
  <c r="BJ34" i="213"/>
  <c r="BN23" i="213"/>
  <c r="BI22" i="213"/>
  <c r="W21" i="213"/>
  <c r="BK26" i="213"/>
  <c r="AL30" i="213"/>
  <c r="J36" i="213"/>
  <c r="BO16" i="213"/>
  <c r="J21" i="213"/>
  <c r="AC28" i="213"/>
  <c r="AS23" i="213"/>
  <c r="J37" i="213"/>
  <c r="AE25" i="213"/>
  <c r="R35" i="213"/>
  <c r="BH39" i="213"/>
  <c r="BB17" i="213"/>
  <c r="Z21" i="213"/>
  <c r="AW28" i="213"/>
  <c r="AQ24" i="213"/>
  <c r="N37" i="213"/>
  <c r="O26" i="213"/>
  <c r="V35" i="213"/>
  <c r="BK39" i="213"/>
  <c r="BO19" i="213"/>
  <c r="AF36" i="213"/>
  <c r="Y36" i="213"/>
  <c r="AY24" i="213"/>
  <c r="BP17" i="213"/>
  <c r="Q27" i="213"/>
  <c r="U29" i="213"/>
  <c r="AE22" i="213"/>
  <c r="BH36" i="213"/>
  <c r="BL22" i="213"/>
  <c r="BO36" i="213"/>
  <c r="R39" i="213"/>
  <c r="AT35" i="213"/>
  <c r="AF41" i="213"/>
  <c r="BP25" i="213"/>
  <c r="AK32" i="213"/>
  <c r="AW36" i="213"/>
  <c r="AW40" i="213"/>
  <c r="BE40" i="213"/>
  <c r="AX46" i="213"/>
  <c r="P34" i="213"/>
  <c r="AG35" i="213"/>
  <c r="AI23" i="213"/>
  <c r="BI31" i="213"/>
  <c r="H36" i="213"/>
  <c r="H40" i="213"/>
  <c r="T38" i="213"/>
  <c r="H46" i="213"/>
  <c r="J31" i="213"/>
  <c r="AN34" i="213"/>
  <c r="BP47" i="213"/>
  <c r="Q52" i="213"/>
  <c r="AR39" i="213"/>
  <c r="AF46" i="213"/>
  <c r="AS50" i="213"/>
  <c r="J45" i="213"/>
  <c r="BL21" i="213"/>
  <c r="Z33" i="213"/>
  <c r="J40" i="213"/>
  <c r="BI33" i="213"/>
  <c r="AN16" i="213"/>
  <c r="L34" i="213"/>
  <c r="AU13" i="213"/>
  <c r="BE29" i="213"/>
  <c r="AD38" i="213"/>
  <c r="K35" i="213"/>
  <c r="BM28" i="213"/>
  <c r="BG33" i="213"/>
  <c r="BN37" i="213"/>
  <c r="AD29" i="213"/>
  <c r="BG42" i="213"/>
  <c r="BM15" i="213"/>
  <c r="Y25" i="213"/>
  <c r="I29" i="213"/>
  <c r="AO25" i="213"/>
  <c r="Y29" i="213"/>
  <c r="BE26" i="213"/>
  <c r="AT17" i="213"/>
  <c r="AB30" i="213"/>
  <c r="AH15" i="213"/>
  <c r="AV21" i="213"/>
  <c r="X31" i="213"/>
  <c r="AI18" i="213"/>
  <c r="BB29" i="213"/>
  <c r="I25" i="213"/>
  <c r="BI26" i="213"/>
  <c r="BJ22" i="213"/>
  <c r="V26" i="213"/>
  <c r="BL32" i="213"/>
  <c r="AE37" i="213"/>
  <c r="Y20" i="213"/>
  <c r="H34" i="213"/>
  <c r="K19" i="213"/>
  <c r="M29" i="213"/>
  <c r="R13" i="213"/>
  <c r="R23" i="213"/>
  <c r="BO22" i="213"/>
  <c r="BB14" i="213"/>
  <c r="AH26" i="213"/>
  <c r="T33" i="213"/>
  <c r="AG24" i="213"/>
  <c r="AV37" i="213"/>
  <c r="BO24" i="213"/>
  <c r="U21" i="213"/>
  <c r="BB27" i="213"/>
  <c r="AF17" i="213"/>
  <c r="AM24" i="213"/>
  <c r="E23" i="213"/>
  <c r="AH14" i="213"/>
  <c r="P26" i="213"/>
  <c r="E37" i="213"/>
  <c r="R25" i="213"/>
  <c r="BM26" i="213"/>
  <c r="BJ27" i="213"/>
  <c r="AM41" i="213"/>
  <c r="AI34" i="213"/>
  <c r="Y40" i="213"/>
  <c r="N14" i="213"/>
  <c r="AU22" i="213"/>
  <c r="Y14" i="213"/>
  <c r="AJ28" i="213"/>
  <c r="J38" i="213"/>
  <c r="R28" i="213"/>
  <c r="BO35" i="213"/>
  <c r="AC40" i="213"/>
  <c r="AZ20" i="213"/>
  <c r="E40" i="213"/>
  <c r="AY37" i="213"/>
  <c r="AQ26" i="213"/>
  <c r="AX32" i="213"/>
  <c r="BI36" i="213"/>
  <c r="L28" i="213"/>
  <c r="AO29" i="213"/>
  <c r="BB40" i="213"/>
  <c r="L16" i="213"/>
  <c r="AY30" i="213"/>
  <c r="AL23" i="213"/>
  <c r="AZ17" i="213"/>
  <c r="AQ33" i="213"/>
  <c r="N13" i="213"/>
  <c r="BJ21" i="213"/>
  <c r="AB28" i="213"/>
  <c r="BJ26" i="213"/>
  <c r="H29" i="213"/>
  <c r="BG25" i="213"/>
  <c r="AF37" i="213"/>
  <c r="AD15" i="213"/>
  <c r="L23" i="213"/>
  <c r="T17" i="213"/>
  <c r="AB29" i="213"/>
  <c r="AF38" i="213"/>
  <c r="BN28" i="213"/>
  <c r="R36" i="213"/>
  <c r="AO40" i="213"/>
  <c r="R16" i="213"/>
  <c r="AD23" i="213"/>
  <c r="T19" i="213"/>
  <c r="BJ29" i="213"/>
  <c r="AM38" i="213"/>
  <c r="P29" i="213"/>
  <c r="W36" i="213"/>
  <c r="AV40" i="213"/>
  <c r="AV25" i="213"/>
  <c r="AA41" i="213"/>
  <c r="R38" i="213"/>
  <c r="U27" i="213"/>
  <c r="BN32" i="213"/>
  <c r="L37" i="213"/>
  <c r="N20" i="213"/>
  <c r="BE30" i="213"/>
  <c r="W41" i="213"/>
  <c r="L20" i="213"/>
  <c r="AY34" i="213"/>
  <c r="BP13" i="213"/>
  <c r="AJ22" i="213"/>
  <c r="BL34" i="213"/>
  <c r="N17" i="213"/>
  <c r="BB24" i="213"/>
  <c r="S30" i="213"/>
  <c r="AX19" i="213"/>
  <c r="AU29" i="213"/>
  <c r="AZ27" i="213"/>
  <c r="BG37" i="213"/>
  <c r="AH17" i="213"/>
  <c r="BC23" i="213"/>
  <c r="H21" i="213"/>
  <c r="AH30" i="213"/>
  <c r="BG38" i="213"/>
  <c r="BL29" i="213"/>
  <c r="AL36" i="213"/>
  <c r="BH40" i="213"/>
  <c r="V18" i="213"/>
  <c r="BQ23" i="213"/>
  <c r="AM21" i="213"/>
  <c r="BF30" i="213"/>
  <c r="E39" i="213"/>
  <c r="BQ29" i="213"/>
  <c r="AO36" i="213"/>
  <c r="BK40" i="213"/>
  <c r="BJ18" i="213"/>
  <c r="AI38" i="213"/>
  <c r="AX13" i="213"/>
  <c r="W16" i="213"/>
  <c r="X29" i="213"/>
  <c r="R17" i="213"/>
  <c r="F28" i="213"/>
  <c r="AZ26" i="213"/>
  <c r="I18" i="213"/>
  <c r="AM40" i="213"/>
  <c r="O22" i="213"/>
  <c r="AH25" i="213"/>
  <c r="I31" i="213"/>
  <c r="BM24" i="213"/>
  <c r="BI37" i="213"/>
  <c r="BG16" i="213"/>
  <c r="BL38" i="213"/>
  <c r="AW23" i="213"/>
  <c r="AE21" i="213"/>
  <c r="N40" i="213"/>
  <c r="BO21" i="213"/>
  <c r="AA40" i="213"/>
  <c r="AB22" i="213"/>
  <c r="I34" i="213"/>
  <c r="BP21" i="213"/>
  <c r="T15" i="213"/>
  <c r="H33" i="213"/>
  <c r="AU39" i="213"/>
  <c r="P33" i="213"/>
  <c r="BH41" i="213"/>
  <c r="AC33" i="213"/>
  <c r="AN13" i="213"/>
  <c r="AH29" i="213"/>
  <c r="AE16" i="213"/>
  <c r="BK20" i="213"/>
  <c r="AA39" i="213"/>
  <c r="AF39" i="213"/>
  <c r="AH31" i="213"/>
  <c r="W38" i="213"/>
  <c r="AU34" i="213"/>
  <c r="BD32" i="213"/>
  <c r="BH20" i="213"/>
  <c r="F40" i="213"/>
  <c r="BN33" i="213"/>
  <c r="O30" i="213"/>
  <c r="BJ32" i="213"/>
  <c r="H45" i="213"/>
  <c r="AR31" i="213"/>
  <c r="AH48" i="213"/>
  <c r="AF13" i="213"/>
  <c r="BL24" i="213"/>
  <c r="Q32" i="213"/>
  <c r="AE32" i="213"/>
  <c r="X34" i="213"/>
  <c r="BP22" i="213"/>
  <c r="BN35" i="213"/>
  <c r="BE37" i="213"/>
  <c r="W30" i="213"/>
  <c r="I33" i="213"/>
  <c r="V20" i="213"/>
  <c r="L31" i="213"/>
  <c r="Z35" i="213"/>
  <c r="Z39" i="213"/>
  <c r="W35" i="213"/>
  <c r="W45" i="213"/>
  <c r="Q24" i="213"/>
  <c r="AW26" i="213"/>
  <c r="Q47" i="213"/>
  <c r="AC51" i="213"/>
  <c r="AR36" i="213"/>
  <c r="AV45" i="213"/>
  <c r="BE49" i="213"/>
  <c r="BO53" i="213"/>
  <c r="Q38" i="213"/>
  <c r="K46" i="213"/>
  <c r="W50" i="213"/>
  <c r="A37" i="213"/>
  <c r="AT50" i="213"/>
  <c r="J12" i="214"/>
  <c r="AP37" i="213"/>
  <c r="Z50" i="213"/>
  <c r="I28" i="213"/>
  <c r="F31" i="213"/>
  <c r="AL47" i="213"/>
  <c r="V21" i="213"/>
  <c r="BO30" i="213"/>
  <c r="BH22" i="213"/>
  <c r="AV14" i="213"/>
  <c r="AJ19" i="213"/>
  <c r="AX15" i="213"/>
  <c r="BM20" i="213"/>
  <c r="BB28" i="213"/>
  <c r="AF32" i="213"/>
  <c r="AR23" i="213"/>
  <c r="W40" i="213"/>
  <c r="BN30" i="213"/>
  <c r="P35" i="213"/>
  <c r="P39" i="213"/>
  <c r="BD34" i="213"/>
  <c r="M45" i="213"/>
  <c r="AF29" i="213"/>
  <c r="Y30" i="213"/>
  <c r="F41" i="213"/>
  <c r="R30" i="213"/>
  <c r="AK34" i="213"/>
  <c r="AQ38" i="213"/>
  <c r="Y32" i="213"/>
  <c r="AJ44" i="213"/>
  <c r="AG38" i="213"/>
  <c r="L40" i="213"/>
  <c r="M46" i="213"/>
  <c r="AN50" i="213"/>
  <c r="AS33" i="213"/>
  <c r="BE44" i="213"/>
  <c r="F49" i="213"/>
  <c r="R53" i="213"/>
  <c r="Q35" i="213"/>
  <c r="Y45" i="213"/>
  <c r="AE49" i="213"/>
  <c r="AS53" i="213"/>
  <c r="F52" i="213"/>
  <c r="V24" i="214"/>
  <c r="AG29" i="214"/>
  <c r="BO46" i="213"/>
  <c r="BO40" i="213"/>
  <c r="BC40" i="213"/>
  <c r="AR46" i="213"/>
  <c r="I23" i="213"/>
  <c r="BL30" i="213"/>
  <c r="AT22" i="213"/>
  <c r="BO18" i="213"/>
  <c r="AM37" i="213"/>
  <c r="BB19" i="213"/>
  <c r="AU37" i="213"/>
  <c r="X14" i="213"/>
  <c r="P31" i="213"/>
  <c r="F22" i="213"/>
  <c r="BB37" i="213"/>
  <c r="BN29" i="213"/>
  <c r="AD34" i="213"/>
  <c r="AH38" i="213"/>
  <c r="BE31" i="213"/>
  <c r="AB44" i="213"/>
  <c r="BA24" i="213"/>
  <c r="AE23" i="213"/>
  <c r="AL39" i="213"/>
  <c r="AV28" i="213"/>
  <c r="AX33" i="213"/>
  <c r="BF37" i="213"/>
  <c r="AD28" i="213"/>
  <c r="BA42" i="213"/>
  <c r="AO28" i="213"/>
  <c r="V38" i="213"/>
  <c r="AN44" i="213"/>
  <c r="BF49" i="213"/>
  <c r="AU30" i="213"/>
  <c r="F44" i="213"/>
  <c r="S48" i="213"/>
  <c r="AF52" i="213"/>
  <c r="O32" i="213"/>
  <c r="AL44" i="213"/>
  <c r="AU48" i="213"/>
  <c r="BI52" i="213"/>
  <c r="BO48" i="213"/>
  <c r="O15" i="214"/>
  <c r="Y20" i="214"/>
  <c r="BJ42" i="213"/>
  <c r="K52" i="213"/>
  <c r="AG20" i="213"/>
  <c r="V39" i="213"/>
  <c r="M50" i="213"/>
  <c r="BJ31" i="213"/>
  <c r="Z44" i="213"/>
  <c r="AM48" i="213"/>
  <c r="BB52" i="213"/>
  <c r="AG33" i="213"/>
  <c r="BG44" i="213"/>
  <c r="BP48" i="213"/>
  <c r="O53" i="213"/>
  <c r="V50" i="213"/>
  <c r="K19" i="214"/>
  <c r="U24" i="214"/>
  <c r="S41" i="213"/>
  <c r="K23" i="213"/>
  <c r="Z32" i="213"/>
  <c r="P28" i="213"/>
  <c r="E25" i="213"/>
  <c r="AL24" i="213"/>
  <c r="AQ34" i="213"/>
  <c r="K24" i="213"/>
  <c r="P21" i="213"/>
  <c r="Q17" i="213"/>
  <c r="BH35" i="213"/>
  <c r="P24" i="213"/>
  <c r="W37" i="213"/>
  <c r="AY39" i="213"/>
  <c r="Z22" i="213"/>
  <c r="BC30" i="213"/>
  <c r="BF13" i="213"/>
  <c r="P22" i="213"/>
  <c r="BF25" i="213"/>
  <c r="AC31" i="213"/>
  <c r="H26" i="213"/>
  <c r="AG31" i="213"/>
  <c r="AQ27" i="213"/>
  <c r="L38" i="213"/>
  <c r="M17" i="213"/>
  <c r="X40" i="213"/>
  <c r="J25" i="213"/>
  <c r="AZ22" i="213"/>
  <c r="AU40" i="213"/>
  <c r="W23" i="213"/>
  <c r="BD40" i="213"/>
  <c r="AV18" i="213"/>
  <c r="AY38" i="213"/>
  <c r="U25" i="213"/>
  <c r="AA38" i="213"/>
  <c r="K41" i="213"/>
  <c r="O41" i="213"/>
  <c r="AT37" i="213"/>
  <c r="AG28" i="213"/>
  <c r="AW37" i="213"/>
  <c r="AQ42" i="213"/>
  <c r="E41" i="213"/>
  <c r="K27" i="213"/>
  <c r="H37" i="213"/>
  <c r="AZ41" i="213"/>
  <c r="U35" i="213"/>
  <c r="BQ48" i="213"/>
  <c r="V42" i="213"/>
  <c r="AV51" i="213"/>
  <c r="AS41" i="213"/>
  <c r="F24" i="213"/>
  <c r="AT24" i="213"/>
  <c r="BD14" i="213"/>
  <c r="R26" i="213"/>
  <c r="AX30" i="213"/>
  <c r="BN38" i="213"/>
  <c r="BI44" i="213"/>
  <c r="E36" i="213"/>
  <c r="K36" i="213"/>
  <c r="AH24" i="213"/>
  <c r="N32" i="213"/>
  <c r="Z36" i="213"/>
  <c r="Z40" i="213"/>
  <c r="T39" i="213"/>
  <c r="T46" i="213"/>
  <c r="H32" i="213"/>
  <c r="AN36" i="213"/>
  <c r="U48" i="213"/>
  <c r="AE52" i="213"/>
  <c r="AR40" i="213"/>
  <c r="AV46" i="213"/>
  <c r="BH50" i="213"/>
  <c r="J11" i="214"/>
  <c r="AX41" i="213"/>
  <c r="K47" i="213"/>
  <c r="Y51" i="213"/>
  <c r="AK41" i="213"/>
  <c r="I21" i="214"/>
  <c r="P24" i="214"/>
  <c r="C40" i="213"/>
  <c r="AD21" i="213"/>
  <c r="AD33" i="213"/>
  <c r="I39" i="213"/>
  <c r="AN48" i="213"/>
  <c r="H14" i="213"/>
  <c r="BM17" i="213"/>
  <c r="AL28" i="213"/>
  <c r="AZ25" i="213"/>
  <c r="J34" i="213"/>
  <c r="AD26" i="213"/>
  <c r="M34" i="213"/>
  <c r="Q34" i="213"/>
  <c r="AO34" i="213"/>
  <c r="I35" i="213"/>
  <c r="BP23" i="213"/>
  <c r="BQ31" i="213"/>
  <c r="P36" i="213"/>
  <c r="P40" i="213"/>
  <c r="BE38" i="213"/>
  <c r="Q46" i="213"/>
  <c r="P27" i="213"/>
  <c r="BJ33" i="213"/>
  <c r="AI21" i="213"/>
  <c r="AD31" i="213"/>
  <c r="AQ35" i="213"/>
  <c r="AQ39" i="213"/>
  <c r="T36" i="213"/>
  <c r="AL45" i="213"/>
  <c r="AN27" i="213"/>
  <c r="AM30" i="213"/>
  <c r="AI47" i="213"/>
  <c r="AU51" i="213"/>
  <c r="AR37" i="213"/>
  <c r="BK45" i="213"/>
  <c r="I50" i="213"/>
  <c r="A44" i="213"/>
  <c r="Q39" i="213"/>
  <c r="Y46" i="213"/>
  <c r="AL50" i="213"/>
  <c r="V29" i="213"/>
  <c r="A42" i="213"/>
  <c r="N15" i="214"/>
  <c r="D23" i="213"/>
  <c r="Z51" i="213"/>
  <c r="L30" i="213"/>
  <c r="F33" i="213"/>
  <c r="BD47" i="213"/>
  <c r="AS26" i="213"/>
  <c r="BK35" i="213"/>
  <c r="AU27" i="213"/>
  <c r="AW21" i="213"/>
  <c r="F27" i="213"/>
  <c r="BN21" i="213"/>
  <c r="AF27" i="213"/>
  <c r="N38" i="213"/>
  <c r="V33" i="213"/>
  <c r="AU25" i="213"/>
  <c r="BB41" i="213"/>
  <c r="V31" i="213"/>
  <c r="AH35" i="213"/>
  <c r="AH39" i="213"/>
  <c r="BE35" i="213"/>
  <c r="AE45" i="213"/>
  <c r="H23" i="213"/>
  <c r="R31" i="213"/>
  <c r="AL41" i="213"/>
  <c r="AJ30" i="213"/>
  <c r="BA34" i="213"/>
  <c r="BF38" i="213"/>
  <c r="Y33" i="213"/>
  <c r="BC44" i="213"/>
  <c r="AG40" i="213"/>
  <c r="AT40" i="213"/>
  <c r="AN46" i="213"/>
  <c r="BG50" i="213"/>
  <c r="AS34" i="213"/>
  <c r="N45" i="213"/>
  <c r="Z49" i="213"/>
  <c r="AF53" i="213"/>
  <c r="Q36" i="213"/>
  <c r="AN45" i="213"/>
  <c r="AX49" i="213"/>
  <c r="BI53" i="213"/>
  <c r="H53" i="213"/>
  <c r="X27" i="214"/>
  <c r="C34" i="213"/>
  <c r="N28" i="213"/>
  <c r="BJ45" i="213"/>
  <c r="AC52" i="213"/>
  <c r="J35" i="213"/>
  <c r="Q51" i="213"/>
  <c r="BJ35" i="213"/>
  <c r="AF45" i="213"/>
  <c r="AU49" i="213"/>
  <c r="BB53" i="213"/>
  <c r="AC37" i="213"/>
  <c r="BI45" i="213"/>
  <c r="K50" i="213"/>
  <c r="A35" i="213"/>
  <c r="BA53" i="213"/>
  <c r="N29" i="214"/>
  <c r="G17" i="213"/>
  <c r="AM49" i="213"/>
  <c r="S26" i="213"/>
  <c r="BK28" i="213"/>
  <c r="AA47" i="213"/>
  <c r="AL51" i="213"/>
  <c r="M37" i="213"/>
  <c r="BB45" i="213"/>
  <c r="BO49" i="213"/>
  <c r="AT47" i="213"/>
  <c r="AX38" i="213"/>
  <c r="R46" i="213"/>
  <c r="AE50" i="213"/>
  <c r="AN23" i="213"/>
  <c r="S23" i="213"/>
  <c r="BD24" i="213"/>
  <c r="M47" i="213"/>
  <c r="AA51" i="213"/>
  <c r="AB36" i="213"/>
  <c r="AO45" i="213"/>
  <c r="BC49" i="213"/>
  <c r="BK53" i="213"/>
  <c r="BM37" i="213"/>
  <c r="BQ45" i="213"/>
  <c r="AN42" i="213"/>
  <c r="F29" i="214"/>
  <c r="AT45" i="213"/>
  <c r="B13" i="214"/>
  <c r="C33" i="213"/>
  <c r="AO48" i="213"/>
  <c r="L14" i="214"/>
  <c r="V19" i="214"/>
  <c r="AF49" i="213"/>
  <c r="A31" i="213"/>
  <c r="X15" i="214"/>
  <c r="P25" i="214"/>
  <c r="BE52" i="213"/>
  <c r="AP18" i="213"/>
  <c r="P15" i="214"/>
  <c r="AJ25" i="214"/>
  <c r="AP27" i="213"/>
  <c r="BO52" i="213"/>
  <c r="K27" i="214"/>
  <c r="C44" i="213"/>
  <c r="K20" i="214"/>
  <c r="AJ17" i="214"/>
  <c r="G23" i="214"/>
  <c r="BG48" i="213"/>
  <c r="AJ10" i="214"/>
  <c r="BD44" i="213"/>
  <c r="U18" i="214"/>
  <c r="AY36" i="213"/>
  <c r="BA45" i="213"/>
  <c r="AJ52" i="213"/>
  <c r="BJ40" i="213"/>
  <c r="BB46" i="213"/>
  <c r="BM50" i="213"/>
  <c r="O20" i="214"/>
  <c r="BE41" i="213"/>
  <c r="O47" i="213"/>
  <c r="AB51" i="213"/>
  <c r="BM41" i="213"/>
  <c r="I13" i="214"/>
  <c r="J25" i="214"/>
  <c r="G27" i="213"/>
  <c r="N24" i="213"/>
  <c r="AU33" i="213"/>
  <c r="AN39" i="213"/>
  <c r="AS48" i="213"/>
  <c r="BG52" i="213"/>
  <c r="AW41" i="213"/>
  <c r="I47" i="213"/>
  <c r="V51" i="213"/>
  <c r="Y22" i="213"/>
  <c r="AT18" i="213"/>
  <c r="M16" i="213"/>
  <c r="AK24" i="213"/>
  <c r="BA14" i="213"/>
  <c r="X38" i="213"/>
  <c r="M13" i="213"/>
  <c r="W25" i="213"/>
  <c r="AF28" i="213"/>
  <c r="BH19" i="213"/>
  <c r="P15" i="213"/>
  <c r="BD29" i="213"/>
  <c r="Y41" i="213"/>
  <c r="L32" i="213"/>
  <c r="AC41" i="213"/>
  <c r="BD28" i="213"/>
  <c r="AI33" i="213"/>
  <c r="W18" i="213"/>
  <c r="U13" i="213"/>
  <c r="K31" i="213"/>
  <c r="H25" i="213"/>
  <c r="AL37" i="213"/>
  <c r="AM25" i="213"/>
  <c r="AO37" i="213"/>
  <c r="R40" i="213"/>
  <c r="BP29" i="213"/>
  <c r="BC32" i="213"/>
  <c r="BN17" i="213"/>
  <c r="AM23" i="213"/>
  <c r="U14" i="213"/>
  <c r="BH31" i="213"/>
  <c r="U16" i="213"/>
  <c r="BK31" i="213"/>
  <c r="AD27" i="213"/>
  <c r="AY40" i="213"/>
  <c r="X36" i="213"/>
  <c r="AK19" i="213"/>
  <c r="AS14" i="213"/>
  <c r="AX22" i="213"/>
  <c r="AL26" i="213"/>
  <c r="Z30" i="213"/>
  <c r="AW38" i="213"/>
  <c r="AS44" i="213"/>
  <c r="BA26" i="213"/>
  <c r="Q29" i="213"/>
  <c r="H38" i="213"/>
  <c r="BP42" i="213"/>
  <c r="L39" i="213"/>
  <c r="F50" i="213"/>
  <c r="T44" i="213"/>
  <c r="AV52" i="213"/>
  <c r="K20" i="213"/>
  <c r="AZ19" i="213"/>
  <c r="BB20" i="213"/>
  <c r="AZ30" i="213"/>
  <c r="BI32" i="213"/>
  <c r="BC31" i="213"/>
  <c r="BN39" i="213"/>
  <c r="BL45" i="213"/>
  <c r="BG41" i="213"/>
  <c r="AL38" i="213"/>
  <c r="AX27" i="213"/>
  <c r="R33" i="213"/>
  <c r="Z37" i="213"/>
  <c r="BE21" i="213"/>
  <c r="M42" i="213"/>
  <c r="AM35" i="213"/>
  <c r="V36" i="213"/>
  <c r="AM42" i="213"/>
  <c r="W49" i="213"/>
  <c r="I26" i="213"/>
  <c r="AL42" i="213"/>
  <c r="AY47" i="213"/>
  <c r="BK51" i="213"/>
  <c r="E30" i="213"/>
  <c r="BQ42" i="213"/>
  <c r="M48" i="213"/>
  <c r="Y52" i="213"/>
  <c r="BJ46" i="213"/>
  <c r="C71" i="213"/>
  <c r="V14" i="214"/>
  <c r="BQ30" i="213"/>
  <c r="AJ16" i="213"/>
  <c r="AK37" i="213"/>
  <c r="O44" i="213"/>
  <c r="AO49" i="213"/>
  <c r="Q13" i="213"/>
  <c r="AG29" i="213"/>
  <c r="BF34" i="213"/>
  <c r="BO29" i="213"/>
  <c r="K39" i="213"/>
  <c r="Q30" i="213"/>
  <c r="O39" i="213"/>
  <c r="BA21" i="213"/>
  <c r="AT36" i="213"/>
  <c r="BN27" i="213"/>
  <c r="AH27" i="213"/>
  <c r="J33" i="213"/>
  <c r="P37" i="213"/>
  <c r="P41" i="213"/>
  <c r="BO41" i="213"/>
  <c r="AC23" i="213"/>
  <c r="BD37" i="213"/>
  <c r="BB36" i="213"/>
  <c r="AI25" i="213"/>
  <c r="AD32" i="213"/>
  <c r="AQ36" i="213"/>
  <c r="AQ40" i="213"/>
  <c r="T40" i="213"/>
  <c r="AE27" i="213"/>
  <c r="N33" i="213"/>
  <c r="AN38" i="213"/>
  <c r="AJ48" i="213"/>
  <c r="AX52" i="213"/>
  <c r="AH41" i="213"/>
  <c r="BM46" i="213"/>
  <c r="N51" i="213"/>
  <c r="BM19" i="213"/>
  <c r="P42" i="213"/>
  <c r="AB47" i="213"/>
  <c r="AN51" i="213"/>
  <c r="BE42" i="213"/>
  <c r="J22" i="214"/>
  <c r="U27" i="214"/>
  <c r="C48" i="213"/>
  <c r="BF28" i="213"/>
  <c r="AF34" i="213"/>
  <c r="I41" i="213"/>
  <c r="BE48" i="213"/>
  <c r="BJ20" i="213"/>
  <c r="Z25" i="213"/>
  <c r="AK20" i="213"/>
  <c r="K29" i="213"/>
  <c r="AL35" i="213"/>
  <c r="AA29" i="213"/>
  <c r="AO35" i="213"/>
  <c r="F37" i="213"/>
  <c r="AD35" i="213"/>
  <c r="AF40" i="213"/>
  <c r="BP24" i="213"/>
  <c r="V32" i="213"/>
  <c r="AH36" i="213"/>
  <c r="AH40" i="213"/>
  <c r="BE39" i="213"/>
  <c r="AE46" i="213"/>
  <c r="AM31" i="213"/>
  <c r="BC34" i="213"/>
  <c r="AH22" i="213"/>
  <c r="AT31" i="213"/>
  <c r="BF35" i="213"/>
  <c r="BF39" i="213"/>
  <c r="T37" i="213"/>
  <c r="BD45" i="213"/>
  <c r="AN29" i="213"/>
  <c r="AN32" i="213"/>
  <c r="BA47" i="213"/>
  <c r="BL51" i="213"/>
  <c r="AR38" i="213"/>
  <c r="N46" i="213"/>
  <c r="AA50" i="213"/>
  <c r="A39" i="213"/>
  <c r="Q40" i="213"/>
  <c r="AO46" i="213"/>
  <c r="BF50" i="213"/>
  <c r="BB33" i="213"/>
  <c r="J50" i="213"/>
  <c r="O18" i="214"/>
  <c r="G22" i="213"/>
  <c r="BC42" i="213"/>
  <c r="N25" i="214"/>
  <c r="BE33" i="213"/>
  <c r="Q45" i="213"/>
  <c r="U52" i="213"/>
  <c r="BJ39" i="213"/>
  <c r="AI46" i="213"/>
  <c r="AV50" i="213"/>
  <c r="J47" i="213"/>
  <c r="T41" i="213"/>
  <c r="BL46" i="213"/>
  <c r="K51" i="213"/>
  <c r="AZ38" i="213"/>
  <c r="AJ19" i="214"/>
  <c r="I22" i="214"/>
  <c r="D24" i="213"/>
  <c r="Z53" i="213"/>
  <c r="AO32" i="213"/>
  <c r="AN37" i="213"/>
  <c r="AB48" i="213"/>
  <c r="AN52" i="213"/>
  <c r="M41" i="213"/>
  <c r="BD46" i="213"/>
  <c r="BQ50" i="213"/>
  <c r="I12" i="214"/>
  <c r="BN41" i="213"/>
  <c r="U47" i="213"/>
  <c r="AG51" i="213"/>
  <c r="W42" i="213"/>
  <c r="BF31" i="213"/>
  <c r="I36" i="213"/>
  <c r="O48" i="213"/>
  <c r="AB52" i="213"/>
  <c r="AB40" i="213"/>
  <c r="AS46" i="213"/>
  <c r="BD50" i="213"/>
  <c r="J52" i="213"/>
  <c r="AN41" i="213"/>
  <c r="E47" i="213"/>
  <c r="AQ52" i="213"/>
  <c r="AP19" i="213"/>
  <c r="O12" i="214"/>
  <c r="F25" i="214"/>
  <c r="AP40" i="213"/>
  <c r="AZ52" i="213"/>
  <c r="U26" i="214"/>
  <c r="C18" i="213"/>
  <c r="G17" i="214"/>
  <c r="AG14" i="214"/>
  <c r="F20" i="214"/>
  <c r="E67" i="213"/>
  <c r="AJ11" i="214"/>
  <c r="C53" i="213"/>
  <c r="Y10" i="214"/>
  <c r="G15" i="214"/>
  <c r="U32" i="213"/>
  <c r="A51" i="213"/>
  <c r="E18" i="214"/>
  <c r="D22" i="213"/>
  <c r="Y24" i="214"/>
  <c r="C30" i="213"/>
  <c r="BI41" i="213"/>
  <c r="E53" i="213"/>
  <c r="AJ13" i="214"/>
  <c r="BL48" i="213"/>
  <c r="Z23" i="214"/>
  <c r="X32" i="213"/>
  <c r="Y48" i="213"/>
  <c r="BD26" i="213"/>
  <c r="AS42" i="213"/>
  <c r="BB47" i="213"/>
  <c r="BO51" i="213"/>
  <c r="AD30" i="213"/>
  <c r="H44" i="213"/>
  <c r="Q48" i="213"/>
  <c r="AD52" i="213"/>
  <c r="P47" i="213"/>
  <c r="F10" i="214"/>
  <c r="L15" i="214"/>
  <c r="BQ32" i="213"/>
  <c r="BM22" i="213"/>
  <c r="BC37" i="213"/>
  <c r="Y44" i="213"/>
  <c r="AW49" i="213"/>
  <c r="BM29" i="213"/>
  <c r="BK42" i="213"/>
  <c r="L48" i="213"/>
  <c r="X52" i="213"/>
  <c r="BN20" i="213"/>
  <c r="AY33" i="213"/>
  <c r="R29" i="213"/>
  <c r="AK25" i="213"/>
  <c r="E32" i="213"/>
  <c r="BF32" i="213"/>
  <c r="AU14" i="213"/>
  <c r="BH37" i="213"/>
  <c r="BE27" i="213"/>
  <c r="Y28" i="213"/>
  <c r="AZ24" i="213"/>
  <c r="AV29" i="213"/>
  <c r="E13" i="213"/>
  <c r="R32" i="213"/>
  <c r="AM26" i="213"/>
  <c r="U34" i="213"/>
  <c r="F36" i="213"/>
  <c r="AS32" i="213"/>
  <c r="O34" i="213"/>
  <c r="F51" i="213"/>
  <c r="BO38" i="213"/>
  <c r="AY29" i="213"/>
  <c r="AI19" i="213"/>
  <c r="AT38" i="213"/>
  <c r="P38" i="213"/>
  <c r="AJ18" i="213"/>
  <c r="AQ37" i="213"/>
  <c r="V37" i="213"/>
  <c r="BB42" i="213"/>
  <c r="W44" i="213"/>
  <c r="N12" i="214"/>
  <c r="AK38" i="213"/>
  <c r="Z24" i="213"/>
  <c r="BQ26" i="213"/>
  <c r="AY31" i="213"/>
  <c r="BE23" i="213"/>
  <c r="AG37" i="213"/>
  <c r="BF40" i="213"/>
  <c r="AN40" i="213"/>
  <c r="R47" i="213"/>
  <c r="AS47" i="213"/>
  <c r="AF25" i="214"/>
  <c r="Z31" i="213"/>
  <c r="AK47" i="213"/>
  <c r="BN47" i="213"/>
  <c r="L12" i="214"/>
  <c r="Y37" i="213"/>
  <c r="BG45" i="213"/>
  <c r="K33" i="213"/>
  <c r="BJ48" i="213"/>
  <c r="AV34" i="213"/>
  <c r="T49" i="213"/>
  <c r="Y35" i="213"/>
  <c r="AI45" i="213"/>
  <c r="AB32" i="213"/>
  <c r="AX48" i="213"/>
  <c r="BM33" i="213"/>
  <c r="AJ51" i="213"/>
  <c r="AH47" i="213"/>
  <c r="V26" i="214"/>
  <c r="D57" i="213"/>
  <c r="AP52" i="213"/>
  <c r="BJ47" i="213"/>
  <c r="AO44" i="213"/>
  <c r="A26" i="213"/>
  <c r="D15" i="213"/>
  <c r="E15" i="214"/>
  <c r="AH50" i="213"/>
  <c r="Y18" i="214"/>
  <c r="A29" i="213"/>
  <c r="BQ49" i="213"/>
  <c r="I37" i="213"/>
  <c r="BJ36" i="213"/>
  <c r="BJ49" i="213"/>
  <c r="AE38" i="213"/>
  <c r="Y50" i="213"/>
  <c r="A18" i="213"/>
  <c r="C15" i="213"/>
  <c r="AN28" i="213"/>
  <c r="AR47" i="213"/>
  <c r="M38" i="213"/>
  <c r="S50" i="213"/>
  <c r="AX35" i="213"/>
  <c r="AG45" i="213"/>
  <c r="AN49" i="213"/>
  <c r="BC53" i="213"/>
  <c r="BO37" i="213"/>
  <c r="BQ39" i="213"/>
  <c r="BP45" i="213"/>
  <c r="AJ50" i="213"/>
  <c r="AB33" i="213"/>
  <c r="AZ44" i="213"/>
  <c r="BM48" i="213"/>
  <c r="N53" i="213"/>
  <c r="BM34" i="213"/>
  <c r="U45" i="213"/>
  <c r="AL52" i="213"/>
  <c r="BF45" i="213"/>
  <c r="G26" i="214"/>
  <c r="S21" i="213"/>
  <c r="BN46" i="213"/>
  <c r="BA52" i="213"/>
  <c r="AQ41" i="213"/>
  <c r="BQ46" i="213"/>
  <c r="R51" i="213"/>
  <c r="T21" i="213"/>
  <c r="U42" i="213"/>
  <c r="AG47" i="213"/>
  <c r="AS51" i="213"/>
  <c r="I44" i="213"/>
  <c r="F15" i="214"/>
  <c r="J28" i="214"/>
  <c r="AP51" i="213"/>
  <c r="AU21" i="213"/>
  <c r="AX34" i="213"/>
  <c r="AB41" i="213"/>
  <c r="BI48" i="213"/>
  <c r="BQ18" i="213"/>
  <c r="I42" i="213"/>
  <c r="X47" i="213"/>
  <c r="AK51" i="213"/>
  <c r="Y26" i="213"/>
  <c r="AR42" i="213"/>
  <c r="BC47" i="213"/>
  <c r="BN51" i="213"/>
  <c r="BB16" i="213"/>
  <c r="BK33" i="213"/>
  <c r="I40" i="213"/>
  <c r="AW48" i="213"/>
  <c r="BK52" i="213"/>
  <c r="BF41" i="213"/>
  <c r="N47" i="213"/>
  <c r="X51" i="213"/>
  <c r="T23" i="213"/>
  <c r="AH42" i="213"/>
  <c r="AN47" i="213"/>
  <c r="A47" i="213"/>
  <c r="C39" i="213"/>
  <c r="G14" i="214"/>
  <c r="J27" i="214"/>
  <c r="E60" i="213"/>
  <c r="BL53" i="213"/>
  <c r="I11" i="214"/>
  <c r="C25" i="213"/>
  <c r="G20" i="214"/>
  <c r="L16" i="214"/>
  <c r="C22" i="213"/>
  <c r="AR49" i="213"/>
  <c r="Y14" i="214"/>
  <c r="AT42" i="213"/>
  <c r="AF16" i="214"/>
  <c r="K21" i="214"/>
  <c r="U40" i="213"/>
  <c r="X16" i="214"/>
  <c r="G24" i="214"/>
  <c r="AP32" i="213"/>
  <c r="AP24" i="213"/>
  <c r="AJ33" i="213"/>
  <c r="V52" i="213"/>
  <c r="AZ36" i="213"/>
  <c r="E26" i="214"/>
  <c r="AU42" i="213"/>
  <c r="AF50" i="213"/>
  <c r="BI50" i="213"/>
  <c r="AP42" i="213"/>
  <c r="K48" i="213"/>
  <c r="BB50" i="213"/>
  <c r="O51" i="213"/>
  <c r="BL47" i="213"/>
  <c r="AM50" i="213"/>
  <c r="AK50" i="213"/>
  <c r="AG12" i="214"/>
  <c r="AP48" i="213"/>
  <c r="V29" i="214"/>
  <c r="L29" i="214"/>
  <c r="AP44" i="213"/>
  <c r="D60" i="213"/>
  <c r="Z13" i="214"/>
  <c r="U36" i="213"/>
  <c r="F21" i="214"/>
  <c r="D29" i="213"/>
  <c r="N48" i="213"/>
  <c r="C20" i="214"/>
  <c r="A33" i="213"/>
  <c r="O14" i="214"/>
  <c r="C41" i="213"/>
  <c r="I49" i="213"/>
  <c r="AG15" i="214"/>
  <c r="E21" i="214"/>
  <c r="AH51" i="213"/>
  <c r="C10" i="214"/>
  <c r="Z21" i="214"/>
  <c r="O28" i="214"/>
  <c r="A23" i="213"/>
  <c r="D31" i="213"/>
  <c r="F11" i="214"/>
  <c r="I25" i="214"/>
  <c r="AP53" i="213"/>
  <c r="BD53" i="213"/>
  <c r="O10" i="214"/>
  <c r="C29" i="213"/>
  <c r="F17" i="214"/>
  <c r="K13" i="214"/>
  <c r="C23" i="213"/>
  <c r="G33" i="213"/>
  <c r="G44" i="213"/>
  <c r="B22" i="214"/>
  <c r="I26" i="214"/>
  <c r="AP33" i="213"/>
  <c r="AZ46" i="213"/>
  <c r="G32" i="213"/>
  <c r="P16" i="214"/>
  <c r="AF11" i="214"/>
  <c r="G34" i="213"/>
  <c r="R45" i="213"/>
  <c r="C26" i="213"/>
  <c r="BH53" i="213"/>
  <c r="AB35" i="213"/>
  <c r="E16" i="214"/>
  <c r="O26" i="214"/>
  <c r="C42" i="213"/>
  <c r="AN25" i="213"/>
  <c r="AC119" i="276"/>
  <c r="AG28" i="214"/>
  <c r="AX42" i="213"/>
  <c r="S25" i="213"/>
  <c r="V47" i="213"/>
  <c r="AW47" i="213"/>
  <c r="AJ27" i="214"/>
  <c r="R42" i="213"/>
  <c r="AO47" i="213"/>
  <c r="BQ47" i="213"/>
  <c r="AR41" i="213"/>
  <c r="AD47" i="213"/>
  <c r="BF47" i="213"/>
  <c r="AH53" i="213"/>
  <c r="AP21" i="213"/>
  <c r="K11" i="214"/>
  <c r="T45" i="213"/>
  <c r="X12" i="214"/>
  <c r="BC50" i="213"/>
  <c r="F19" i="214"/>
  <c r="C24" i="213"/>
  <c r="K24" i="214"/>
  <c r="I28" i="214"/>
  <c r="C11" i="214"/>
  <c r="D21" i="214"/>
  <c r="BE50" i="213"/>
  <c r="Y26" i="214"/>
  <c r="D18" i="213"/>
  <c r="AZ45" i="213"/>
  <c r="P26" i="214"/>
  <c r="B12" i="214"/>
  <c r="AN22" i="213"/>
  <c r="AM45" i="213"/>
  <c r="BL37" i="213"/>
  <c r="AZ21" i="213"/>
  <c r="AE34" i="213"/>
  <c r="BA33" i="213"/>
  <c r="N39" i="213"/>
  <c r="AV41" i="213"/>
  <c r="AF21" i="213"/>
  <c r="AY26" i="213"/>
  <c r="AS30" i="213"/>
  <c r="AR32" i="213"/>
  <c r="F38" i="213"/>
  <c r="BJ41" i="213"/>
  <c r="BC25" i="213"/>
  <c r="BB39" i="213"/>
  <c r="AX28" i="213"/>
  <c r="Z38" i="213"/>
  <c r="AT39" i="213"/>
  <c r="AM44" i="213"/>
  <c r="E45" i="213"/>
  <c r="V21" i="214"/>
  <c r="V40" i="213"/>
  <c r="BC16" i="213"/>
  <c r="BG35" i="213"/>
  <c r="BB35" i="213"/>
  <c r="BD30" i="213"/>
  <c r="F39" i="213"/>
  <c r="BE25" i="213"/>
  <c r="E44" i="213"/>
  <c r="BO47" i="213"/>
  <c r="AC48" i="213"/>
  <c r="X17" i="214"/>
  <c r="AW44" i="213"/>
  <c r="AM36" i="213"/>
  <c r="O40" i="213"/>
  <c r="BM27" i="213"/>
  <c r="Z42" i="213"/>
  <c r="AF26" i="213"/>
  <c r="U41" i="213"/>
  <c r="BC48" i="213"/>
  <c r="AD51" i="213"/>
  <c r="BF51" i="213"/>
  <c r="E62" i="213"/>
  <c r="E48" i="213"/>
  <c r="AY51" i="213"/>
  <c r="O52" i="213"/>
  <c r="AN24" i="213"/>
  <c r="BC36" i="213"/>
  <c r="AC49" i="213"/>
  <c r="AV42" i="213"/>
  <c r="E52" i="213"/>
  <c r="M44" i="213"/>
  <c r="AG52" i="213"/>
  <c r="BQ35" i="213"/>
  <c r="R49" i="213"/>
  <c r="AG42" i="213"/>
  <c r="BH51" i="213"/>
  <c r="BN42" i="213"/>
  <c r="B11" i="214"/>
  <c r="D66" i="213"/>
  <c r="U31" i="213"/>
  <c r="J17" i="214"/>
  <c r="X21" i="214"/>
  <c r="AJ38" i="213"/>
  <c r="AJ26" i="214"/>
  <c r="AJ22" i="214"/>
  <c r="AF44" i="213"/>
  <c r="X24" i="214"/>
  <c r="AJ32" i="213"/>
  <c r="N17" i="214"/>
  <c r="F16" i="214"/>
  <c r="BK44" i="213"/>
  <c r="AB50" i="213"/>
  <c r="AQ44" i="213"/>
  <c r="BQ52" i="213"/>
  <c r="K45" i="213"/>
  <c r="AG53" i="213"/>
  <c r="L22" i="214"/>
  <c r="P46" i="213"/>
  <c r="AD40" i="213"/>
  <c r="AX50" i="213"/>
  <c r="BM44" i="213"/>
  <c r="X53" i="213"/>
  <c r="AX39" i="213"/>
  <c r="AG46" i="213"/>
  <c r="AW50" i="213"/>
  <c r="AZ31" i="213"/>
  <c r="BN26" i="213"/>
  <c r="BI29" i="213"/>
  <c r="AC47" i="213"/>
  <c r="AR51" i="213"/>
  <c r="AB37" i="213"/>
  <c r="BH45" i="213"/>
  <c r="E50" i="213"/>
  <c r="AT44" i="213"/>
  <c r="BM38" i="213"/>
  <c r="W46" i="213"/>
  <c r="AD46" i="213"/>
  <c r="BN49" i="213"/>
  <c r="G21" i="213"/>
  <c r="AK35" i="213"/>
  <c r="K49" i="213"/>
  <c r="AK29" i="213"/>
  <c r="BH42" i="213"/>
  <c r="F48" i="213"/>
  <c r="S52" i="213"/>
  <c r="AE31" i="213"/>
  <c r="AA44" i="213"/>
  <c r="AI48" i="213"/>
  <c r="AW52" i="213"/>
  <c r="R48" i="213"/>
  <c r="G13" i="214"/>
  <c r="N18" i="214"/>
  <c r="F42" i="213"/>
  <c r="O31" i="213"/>
  <c r="BC38" i="213"/>
  <c r="BF44" i="213"/>
  <c r="BL49" i="213"/>
  <c r="M31" i="213"/>
  <c r="P44" i="213"/>
  <c r="Z48" i="213"/>
  <c r="AM52" i="213"/>
  <c r="AV32" i="213"/>
  <c r="AU44" i="213"/>
  <c r="BD48" i="213"/>
  <c r="BP52" i="213"/>
  <c r="AC26" i="213"/>
  <c r="BQ37" i="213"/>
  <c r="AG44" i="213"/>
  <c r="AY49" i="213"/>
  <c r="T30" i="213"/>
  <c r="BO42" i="213"/>
  <c r="P48" i="213"/>
  <c r="AA52" i="213"/>
  <c r="BM31" i="213"/>
  <c r="AI44" i="213"/>
  <c r="AB49" i="213"/>
  <c r="B14" i="214"/>
  <c r="AC42" i="213"/>
  <c r="D16" i="214"/>
  <c r="U20" i="214"/>
  <c r="U39" i="213"/>
  <c r="D67" i="213"/>
  <c r="N23" i="214"/>
  <c r="AP36" i="213"/>
  <c r="AP38" i="213"/>
  <c r="BA28" i="213"/>
  <c r="S51" i="213"/>
  <c r="BF53" i="213"/>
  <c r="Y17" i="214"/>
  <c r="L52" i="213"/>
  <c r="C29" i="214"/>
  <c r="G26" i="213"/>
  <c r="BC46" i="213"/>
  <c r="D64" i="213"/>
  <c r="K14" i="214"/>
  <c r="AJ39" i="213"/>
  <c r="AV48" i="213"/>
  <c r="P14" i="214"/>
  <c r="V25" i="214"/>
  <c r="AM51" i="213"/>
  <c r="Q41" i="213"/>
  <c r="BP51" i="213"/>
  <c r="A38" i="213"/>
  <c r="BB34" i="213"/>
  <c r="AU52" i="213"/>
  <c r="T52" i="213"/>
  <c r="J49" i="213"/>
  <c r="AZ39" i="213"/>
  <c r="M52" i="213"/>
  <c r="A40" i="213"/>
  <c r="AG10" i="214"/>
  <c r="G25" i="214"/>
  <c r="S45" i="213"/>
  <c r="N10" i="214"/>
  <c r="AJ42" i="213"/>
  <c r="L10" i="214"/>
  <c r="AG13" i="214"/>
  <c r="Z16" i="214"/>
  <c r="BH49" i="213"/>
  <c r="L23" i="214"/>
  <c r="J10" i="214"/>
  <c r="B24" i="214"/>
  <c r="C13" i="213"/>
  <c r="P18" i="214"/>
  <c r="X26" i="214"/>
  <c r="C46" i="213"/>
  <c r="M53" i="213"/>
  <c r="D28" i="214"/>
  <c r="AP34" i="213"/>
  <c r="K23" i="214"/>
  <c r="B21" i="214"/>
  <c r="K26" i="214"/>
  <c r="M49" i="213"/>
  <c r="X11" i="214"/>
  <c r="BQ34" i="213"/>
  <c r="K15" i="214"/>
  <c r="Z19" i="214"/>
  <c r="U38" i="213"/>
  <c r="N21" i="214"/>
  <c r="X22" i="214"/>
  <c r="G24" i="213"/>
  <c r="D39" i="213"/>
  <c r="AF14" i="214"/>
  <c r="P50" i="213"/>
  <c r="G53" i="213"/>
  <c r="D22" i="214"/>
  <c r="B25" i="214"/>
  <c r="B18" i="214"/>
  <c r="AZ40" i="213"/>
  <c r="Y19" i="214"/>
  <c r="BM42" i="213"/>
  <c r="AF18" i="214"/>
  <c r="BE46" i="213"/>
  <c r="G39" i="213"/>
  <c r="AK53" i="213"/>
  <c r="AK48" i="213"/>
  <c r="BN45" i="213"/>
  <c r="AV53" i="213"/>
  <c r="E22" i="214"/>
  <c r="Y28" i="214"/>
  <c r="AF23" i="214"/>
  <c r="D15" i="214"/>
  <c r="AA53" i="213"/>
  <c r="N11" i="214"/>
  <c r="P52" i="213"/>
  <c r="W47" i="213"/>
  <c r="AF51" i="213"/>
  <c r="BI51" i="213"/>
  <c r="E63" i="213"/>
  <c r="O49" i="213"/>
  <c r="BB51" i="213"/>
  <c r="R52" i="213"/>
  <c r="BN48" i="213"/>
  <c r="AO51" i="213"/>
  <c r="B23" i="214"/>
  <c r="D25" i="214"/>
  <c r="AN21" i="213"/>
  <c r="I14" i="214"/>
  <c r="C74" i="213"/>
  <c r="E64" i="213"/>
  <c r="AF20" i="214"/>
  <c r="AG19" i="214"/>
  <c r="AE42" i="213"/>
  <c r="I27" i="214"/>
  <c r="Z119" i="276"/>
  <c r="A28" i="213"/>
  <c r="J53" i="213"/>
  <c r="A46" i="213"/>
  <c r="P17" i="214"/>
  <c r="AP39" i="213"/>
  <c r="L50" i="213"/>
  <c r="AJ18" i="214"/>
  <c r="F24" i="214"/>
  <c r="A17" i="213"/>
  <c r="AF21" i="214"/>
  <c r="V27" i="213"/>
  <c r="P16" i="213"/>
  <c r="AS20" i="213"/>
  <c r="BP20" i="213"/>
  <c r="AM32" i="213"/>
  <c r="T29" i="213"/>
  <c r="BD31" i="213"/>
  <c r="BK37" i="213"/>
  <c r="N31" i="213"/>
  <c r="AO33" i="213"/>
  <c r="BK32" i="213"/>
  <c r="I22" i="213"/>
  <c r="J41" i="213"/>
  <c r="BK34" i="213"/>
  <c r="AL40" i="213"/>
  <c r="T31" i="213"/>
  <c r="AR45" i="213"/>
  <c r="AZ48" i="213"/>
  <c r="Q49" i="213"/>
  <c r="AF26" i="214"/>
  <c r="U46" i="213"/>
  <c r="AW18" i="213"/>
  <c r="BO13" i="213"/>
  <c r="AC29" i="213"/>
  <c r="K44" i="213"/>
  <c r="O28" i="213"/>
  <c r="AI42" i="213"/>
  <c r="AL49" i="213"/>
  <c r="N52" i="213"/>
  <c r="AO52" i="213"/>
  <c r="AT41" i="213"/>
  <c r="BI49" i="213"/>
  <c r="Z26" i="213"/>
  <c r="BA25" i="213"/>
  <c r="X33" i="213"/>
  <c r="AB15" i="213"/>
  <c r="AU32" i="213"/>
  <c r="M25" i="213"/>
  <c r="BN52" i="213"/>
  <c r="Y24" i="213"/>
  <c r="BH44" i="213"/>
  <c r="BI47" i="213"/>
  <c r="F23" i="213"/>
  <c r="AU28" i="213"/>
  <c r="L46" i="213"/>
  <c r="P45" i="213"/>
  <c r="BI39" i="213"/>
  <c r="AC50" i="213"/>
  <c r="AX44" i="213"/>
  <c r="I53" i="213"/>
  <c r="O45" i="213"/>
  <c r="AJ53" i="213"/>
  <c r="AK39" i="213"/>
  <c r="U50" i="213"/>
  <c r="AH44" i="213"/>
  <c r="BH52" i="213"/>
  <c r="BP44" i="213"/>
  <c r="F26" i="214"/>
  <c r="F22" i="214"/>
  <c r="R44" i="213"/>
  <c r="P29" i="214"/>
  <c r="AK26" i="213"/>
  <c r="C14" i="214"/>
  <c r="AJ29" i="214"/>
  <c r="Y13" i="214"/>
  <c r="BH48" i="213"/>
  <c r="L20" i="214"/>
  <c r="A49" i="213"/>
  <c r="P28" i="214"/>
  <c r="O33" i="213"/>
  <c r="S53" i="213"/>
  <c r="AI51" i="213"/>
  <c r="AY45" i="213"/>
  <c r="AT51" i="213"/>
  <c r="O46" i="213"/>
  <c r="BQ16" i="213"/>
  <c r="F13" i="214"/>
  <c r="AQ50" i="213"/>
  <c r="AN31" i="213"/>
  <c r="BD51" i="213"/>
  <c r="E46" i="213"/>
  <c r="A25" i="213"/>
  <c r="Y42" i="213"/>
  <c r="AJ47" i="213"/>
  <c r="AW51" i="213"/>
  <c r="X44" i="213"/>
  <c r="BG32" i="213"/>
  <c r="I38" i="213"/>
  <c r="AG48" i="213"/>
  <c r="AR52" i="213"/>
  <c r="Z41" i="213"/>
  <c r="BH46" i="213"/>
  <c r="I51" i="213"/>
  <c r="J15" i="214"/>
  <c r="K42" i="213"/>
  <c r="Y47" i="213"/>
  <c r="BG53" i="213"/>
  <c r="AT48" i="213"/>
  <c r="V48" i="213"/>
  <c r="BD20" i="213"/>
  <c r="AR50" i="213"/>
  <c r="BH33" i="213"/>
  <c r="BJ44" i="213"/>
  <c r="L49" i="213"/>
  <c r="V53" i="213"/>
  <c r="AC35" i="213"/>
  <c r="AB45" i="213"/>
  <c r="AJ49" i="213"/>
  <c r="AW53" i="213"/>
  <c r="Z52" i="213"/>
  <c r="L25" i="214"/>
  <c r="AP35" i="213"/>
  <c r="S47" i="213"/>
  <c r="AG41" i="213"/>
  <c r="BI40" i="213"/>
  <c r="BA46" i="213"/>
  <c r="BN50" i="213"/>
  <c r="M35" i="213"/>
  <c r="V45" i="213"/>
  <c r="AH49" i="213"/>
  <c r="AO53" i="213"/>
  <c r="AX36" i="213"/>
  <c r="AW45" i="213"/>
  <c r="BG49" i="213"/>
  <c r="BQ53" i="213"/>
  <c r="BO39" i="213"/>
  <c r="AK40" i="213"/>
  <c r="AJ46" i="213"/>
  <c r="BA50" i="213"/>
  <c r="AB34" i="213"/>
  <c r="I45" i="213"/>
  <c r="V49" i="213"/>
  <c r="AD53" i="213"/>
  <c r="BM35" i="213"/>
  <c r="AJ45" i="213"/>
  <c r="AN53" i="213"/>
  <c r="B17" i="214"/>
  <c r="BJ51" i="213"/>
  <c r="K28" i="214"/>
  <c r="D34" i="213"/>
  <c r="AK46" i="213"/>
  <c r="AF29" i="214"/>
  <c r="O13" i="214"/>
  <c r="AJ35" i="213"/>
  <c r="AQ47" i="213"/>
  <c r="A50" i="213"/>
  <c r="U22" i="214"/>
  <c r="AY48" i="213"/>
  <c r="B20" i="214"/>
  <c r="U13" i="214"/>
  <c r="AF19" i="214"/>
  <c r="D38" i="213"/>
  <c r="BJ50" i="213"/>
  <c r="G21" i="214"/>
  <c r="N26" i="214"/>
  <c r="X20" i="214"/>
  <c r="AJ14" i="214"/>
  <c r="Y21" i="214"/>
  <c r="D17" i="213"/>
  <c r="I16" i="214"/>
  <c r="AG16" i="214"/>
  <c r="BJ38" i="213"/>
  <c r="AE40" i="213"/>
  <c r="D59" i="213"/>
  <c r="AQ31" i="213"/>
  <c r="M40" i="213"/>
  <c r="AE41" i="213"/>
  <c r="BA30" i="213"/>
  <c r="AB39" i="213"/>
  <c r="BM40" i="213"/>
  <c r="G29" i="213"/>
  <c r="G28" i="214"/>
  <c r="AC53" i="213"/>
  <c r="AP13" i="213"/>
  <c r="D27" i="214"/>
  <c r="AR48" i="213"/>
  <c r="BC29" i="213"/>
  <c r="K18" i="214"/>
  <c r="D13" i="214"/>
  <c r="G16" i="213"/>
  <c r="D53" i="213"/>
  <c r="AT52" i="213"/>
  <c r="E59" i="213"/>
  <c r="O11" i="214"/>
  <c r="B16" i="214"/>
  <c r="U33" i="213"/>
  <c r="BP40" i="213"/>
  <c r="BI28" i="213"/>
  <c r="N42" i="213"/>
  <c r="AF47" i="213"/>
  <c r="U44" i="213"/>
  <c r="BM45" i="213"/>
  <c r="N34" i="213"/>
  <c r="AK28" i="213"/>
  <c r="R24" i="213"/>
  <c r="AM39" i="213"/>
  <c r="AK42" i="213"/>
  <c r="BF42" i="213"/>
  <c r="AK27" i="213"/>
  <c r="AM33" i="213"/>
  <c r="AR29" i="213"/>
  <c r="J46" i="213"/>
  <c r="AZ47" i="213"/>
  <c r="BK48" i="213"/>
  <c r="BH32" i="213"/>
  <c r="T51" i="213"/>
  <c r="K34" i="213"/>
  <c r="AL48" i="213"/>
  <c r="BL42" i="213"/>
  <c r="BK47" i="213"/>
  <c r="AA48" i="213"/>
  <c r="H42" i="213"/>
  <c r="N50" i="213"/>
  <c r="AO50" i="213"/>
  <c r="C14" i="213"/>
  <c r="BG47" i="213"/>
  <c r="AI50" i="213"/>
  <c r="BL50" i="213"/>
  <c r="AU47" i="213"/>
  <c r="X50" i="213"/>
  <c r="AF48" i="213"/>
  <c r="AP22" i="213"/>
  <c r="AJ15" i="214"/>
  <c r="A48" i="213"/>
  <c r="E61" i="213"/>
  <c r="I23" i="214"/>
  <c r="E23" i="214"/>
  <c r="I19" i="214"/>
  <c r="F34" i="213"/>
  <c r="X29" i="214"/>
  <c r="AU46" i="213"/>
  <c r="BE53" i="213"/>
  <c r="X23" i="214"/>
  <c r="O16" i="214"/>
  <c r="E58" i="213"/>
  <c r="BM49" i="213"/>
  <c r="AX47" i="213"/>
  <c r="J48" i="213"/>
  <c r="AP30" i="213"/>
  <c r="X19" i="214"/>
  <c r="A27" i="213"/>
  <c r="U15" i="214"/>
  <c r="G50" i="213"/>
  <c r="D17" i="214"/>
  <c r="E29" i="214"/>
  <c r="V13" i="214"/>
  <c r="C51" i="213"/>
  <c r="BN53" i="213"/>
  <c r="H51" i="213"/>
  <c r="AF17" i="214"/>
  <c r="F12" i="214"/>
  <c r="G22" i="214"/>
  <c r="P21" i="214"/>
  <c r="AO42" i="213"/>
  <c r="BC35" i="213"/>
  <c r="BI42" i="213"/>
  <c r="O42" i="213"/>
  <c r="D36" i="213"/>
  <c r="A15" i="213"/>
  <c r="U28" i="214"/>
  <c r="AX45" i="213"/>
  <c r="AG20" i="214"/>
  <c r="BB44" i="213"/>
  <c r="BQ33" i="213"/>
  <c r="C19" i="214"/>
  <c r="J18" i="214"/>
  <c r="G28" i="213"/>
  <c r="AC121" i="276"/>
  <c r="N49" i="213"/>
  <c r="A21" i="213"/>
  <c r="Z20" i="214"/>
  <c r="L53" i="213"/>
  <c r="U25" i="214"/>
  <c r="AP45" i="213"/>
  <c r="T47" i="213"/>
  <c r="U10" i="214"/>
  <c r="Z15" i="214"/>
  <c r="V44" i="213"/>
  <c r="AZ50" i="213"/>
  <c r="F23" i="214"/>
  <c r="E10" i="214"/>
  <c r="G47" i="213"/>
  <c r="P51" i="213"/>
  <c r="G27" i="214"/>
  <c r="G10" i="214"/>
  <c r="BE51" i="213"/>
  <c r="L21" i="214"/>
  <c r="X48" i="213"/>
  <c r="D19" i="213"/>
  <c r="D25" i="213"/>
  <c r="G46" i="213"/>
  <c r="BH34" i="213"/>
  <c r="N28" i="214"/>
  <c r="AX37" i="213"/>
  <c r="BM36" i="213"/>
  <c r="L42" i="213"/>
  <c r="AZ42" i="213"/>
  <c r="AP17" i="213"/>
  <c r="U12" i="214"/>
  <c r="L28" i="214"/>
  <c r="AP29" i="213"/>
  <c r="AK36" i="213"/>
  <c r="T48" i="213"/>
  <c r="BA48" i="213"/>
  <c r="O21" i="214"/>
  <c r="AA45" i="213"/>
  <c r="AQ48" i="213"/>
  <c r="H49" i="213"/>
  <c r="BN44" i="213"/>
  <c r="AE48" i="213"/>
  <c r="AG50" i="213"/>
  <c r="A20" i="213"/>
  <c r="G23" i="213"/>
  <c r="L17" i="214"/>
  <c r="T53" i="213"/>
  <c r="AG27" i="214"/>
  <c r="BP53" i="213"/>
  <c r="Z22" i="214"/>
  <c r="D50" i="213"/>
  <c r="AG24" i="214"/>
  <c r="D11" i="214"/>
  <c r="D21" i="213"/>
  <c r="C17" i="214"/>
  <c r="BJ52" i="213"/>
  <c r="Z29" i="214"/>
  <c r="BN123" i="276"/>
  <c r="AV49" i="213"/>
  <c r="AP25" i="213"/>
  <c r="U17" i="214"/>
  <c r="AZ49" i="213"/>
  <c r="D20" i="214"/>
  <c r="A19" i="213"/>
  <c r="AP31" i="213"/>
  <c r="E25" i="214"/>
  <c r="AP23" i="213"/>
  <c r="W52" i="213"/>
  <c r="AJ28" i="214"/>
  <c r="E57" i="213"/>
  <c r="G41" i="213"/>
  <c r="K29" i="214"/>
  <c r="P23" i="214"/>
  <c r="D32" i="213"/>
  <c r="AG17" i="214"/>
  <c r="AF10" i="214"/>
  <c r="AA49" i="213"/>
  <c r="J14" i="214"/>
  <c r="D45" i="213"/>
  <c r="G36" i="213"/>
  <c r="K12" i="214"/>
  <c r="AF12" i="214"/>
  <c r="D62" i="213"/>
  <c r="AP26" i="213"/>
  <c r="F46" i="213"/>
  <c r="E20" i="214"/>
  <c r="G25" i="213"/>
  <c r="C21" i="213"/>
  <c r="BK49" i="213"/>
  <c r="I20" i="214"/>
  <c r="AP14" i="213"/>
  <c r="BG46" i="213"/>
  <c r="X10" i="214"/>
  <c r="C45" i="213"/>
  <c r="P19" i="214"/>
  <c r="C35" i="213"/>
  <c r="G18" i="214"/>
  <c r="A53" i="213"/>
  <c r="AG21" i="214"/>
  <c r="D14" i="214"/>
  <c r="G19" i="213"/>
  <c r="Y121" i="276"/>
  <c r="H41" i="213"/>
  <c r="AX29" i="213"/>
  <c r="BD41" i="213"/>
  <c r="BK41" i="213"/>
  <c r="BD42" i="213"/>
  <c r="N14" i="214"/>
  <c r="E66" i="213"/>
  <c r="AB46" i="213"/>
  <c r="BQ36" i="213"/>
  <c r="BI24" i="213"/>
  <c r="G16" i="214"/>
  <c r="AN33" i="213"/>
  <c r="I32" i="213"/>
  <c r="D19" i="214"/>
  <c r="D26" i="213"/>
  <c r="D37" i="213"/>
  <c r="BP46" i="213"/>
  <c r="F18" i="214"/>
  <c r="BB48" i="213"/>
  <c r="Y53" i="213"/>
  <c r="AJ31" i="213"/>
  <c r="J19" i="214"/>
  <c r="AN14" i="213"/>
  <c r="AP47" i="213"/>
  <c r="BI30" i="213"/>
  <c r="F21" i="213"/>
  <c r="AZ51" i="213"/>
  <c r="D41" i="213"/>
  <c r="AU53" i="213"/>
  <c r="R50" i="213"/>
  <c r="AF22" i="214"/>
  <c r="BC41" i="213"/>
  <c r="AP50" i="213"/>
  <c r="AX53" i="213"/>
  <c r="C15" i="214"/>
  <c r="BJ53" i="213"/>
  <c r="Z28" i="214"/>
  <c r="O22" i="214"/>
  <c r="AK45" i="213"/>
  <c r="V23" i="214"/>
  <c r="F27" i="214"/>
  <c r="BQ51" i="213"/>
  <c r="AR44" i="213"/>
  <c r="AD39" i="213"/>
  <c r="BQ38" i="213"/>
  <c r="O17" i="214"/>
  <c r="G20" i="213"/>
  <c r="BF52" i="213"/>
  <c r="O24" i="214"/>
  <c r="AI49" i="213"/>
  <c r="V17" i="214"/>
  <c r="D58" i="213"/>
  <c r="AK49" i="213"/>
  <c r="AF15" i="214"/>
  <c r="N24" i="214"/>
  <c r="C26" i="214"/>
  <c r="C38" i="213"/>
  <c r="AQ45" i="213"/>
  <c r="G38" i="213"/>
  <c r="D27" i="213"/>
  <c r="AE53" i="213"/>
  <c r="AG19" i="213"/>
  <c r="AO41" i="213"/>
  <c r="AF31" i="213"/>
  <c r="N41" i="213"/>
  <c r="T50" i="213"/>
  <c r="BH15" i="213"/>
  <c r="H22" i="213"/>
  <c r="Q31" i="213"/>
  <c r="K40" i="213"/>
  <c r="BF36" i="213"/>
  <c r="B15" i="214"/>
  <c r="Y27" i="214"/>
  <c r="BH47" i="213"/>
  <c r="AB42" i="213"/>
  <c r="H48" i="213"/>
  <c r="D30" i="213"/>
  <c r="L27" i="214"/>
  <c r="AE47" i="213"/>
  <c r="BF48" i="213"/>
  <c r="V27" i="214"/>
  <c r="P49" i="213"/>
  <c r="AY52" i="213"/>
  <c r="AG49" i="213"/>
  <c r="I52" i="213"/>
  <c r="Q37" i="213"/>
  <c r="BA51" i="213"/>
  <c r="A45" i="213"/>
  <c r="BB30" i="213"/>
  <c r="AQ51" i="213"/>
  <c r="H52" i="213"/>
  <c r="A24" i="213"/>
  <c r="AZ35" i="213"/>
  <c r="BG51" i="213"/>
  <c r="A41" i="213"/>
  <c r="G19" i="214"/>
  <c r="AU50" i="213"/>
  <c r="AG11" i="214"/>
  <c r="G30" i="213"/>
  <c r="AT53" i="213"/>
  <c r="L19" i="214"/>
  <c r="AA37" i="213"/>
  <c r="AN35" i="213"/>
  <c r="AA46" i="213"/>
  <c r="P22" i="214"/>
  <c r="A32" i="213"/>
  <c r="Z26" i="214"/>
  <c r="F28" i="214"/>
  <c r="AG18" i="214"/>
  <c r="Z27" i="214"/>
  <c r="F45" i="213"/>
  <c r="X14" i="214"/>
  <c r="O27" i="214"/>
  <c r="V46" i="213"/>
  <c r="Y12" i="214"/>
  <c r="AQ46" i="213"/>
  <c r="O19" i="214"/>
  <c r="F47" i="213"/>
  <c r="AJ37" i="213"/>
  <c r="G12" i="214"/>
  <c r="AD48" i="213"/>
  <c r="X49" i="213"/>
  <c r="H47" i="213"/>
  <c r="BC45" i="213"/>
  <c r="D24" i="214"/>
  <c r="Z46" i="213"/>
  <c r="AJ12" i="214"/>
  <c r="BQ14" i="213"/>
  <c r="L45" i="213"/>
  <c r="I24" i="213"/>
  <c r="BG26" i="213"/>
  <c r="AT27" i="213"/>
  <c r="E28" i="214"/>
  <c r="U16" i="214"/>
  <c r="J13" i="214"/>
  <c r="AG22" i="214"/>
  <c r="O29" i="214"/>
  <c r="AP28" i="213"/>
  <c r="D65" i="213"/>
  <c r="D52" i="213"/>
  <c r="P27" i="214"/>
  <c r="E14" i="214"/>
  <c r="AT49" i="213"/>
  <c r="N16" i="214"/>
  <c r="BB49" i="213"/>
  <c r="C23" i="214"/>
  <c r="AF13" i="214"/>
  <c r="J21" i="214"/>
  <c r="C16" i="213"/>
  <c r="AE51" i="213"/>
  <c r="Y22" i="214"/>
  <c r="B28" i="214"/>
  <c r="D63" i="213"/>
  <c r="C21" i="214"/>
  <c r="AF27" i="214"/>
  <c r="D14" i="213"/>
  <c r="G49" i="213"/>
  <c r="Y11" i="214"/>
  <c r="Q42" i="213"/>
  <c r="Z24" i="214"/>
  <c r="AG23" i="214"/>
  <c r="J24" i="214"/>
  <c r="B19" i="214"/>
  <c r="C50" i="213"/>
  <c r="V12" i="214"/>
  <c r="G35" i="213"/>
  <c r="AD49" i="213"/>
  <c r="Q22" i="213"/>
  <c r="O50" i="213"/>
  <c r="N27" i="213"/>
  <c r="O23" i="214"/>
  <c r="BB32" i="213"/>
  <c r="BE47" i="213"/>
  <c r="E24" i="214"/>
  <c r="AH46" i="213"/>
  <c r="V28" i="213"/>
  <c r="Y49" i="213"/>
  <c r="AI52" i="213"/>
  <c r="BL52" i="213"/>
  <c r="N44" i="213"/>
  <c r="Q50" i="213"/>
  <c r="BD52" i="213"/>
  <c r="U53" i="213"/>
  <c r="BP49" i="213"/>
  <c r="AS52" i="213"/>
  <c r="D29" i="214"/>
  <c r="C13" i="214"/>
  <c r="T35" i="213"/>
  <c r="J20" i="214"/>
  <c r="D13" i="213"/>
  <c r="L47" i="213"/>
  <c r="U11" i="214"/>
  <c r="B26" i="214"/>
  <c r="AH45" i="213"/>
  <c r="G11" i="214"/>
  <c r="AK44" i="213"/>
  <c r="L13" i="214"/>
  <c r="K22" i="214"/>
  <c r="D61" i="213"/>
  <c r="P20" i="214"/>
  <c r="V41" i="213"/>
  <c r="P53" i="213"/>
  <c r="AH52" i="213"/>
  <c r="BI27" i="213"/>
  <c r="A34" i="213"/>
  <c r="E19" i="214"/>
  <c r="E12" i="214"/>
  <c r="BC52" i="213"/>
  <c r="I48" i="213"/>
  <c r="V15" i="214"/>
  <c r="Y23" i="214"/>
  <c r="BO44" i="213"/>
  <c r="AJ40" i="213"/>
  <c r="U21" i="214"/>
  <c r="G42" i="213"/>
  <c r="Y16" i="214"/>
  <c r="P10" i="214"/>
  <c r="BE45" i="213"/>
  <c r="A14" i="213"/>
  <c r="V16" i="214"/>
  <c r="AF24" i="214"/>
  <c r="D49" i="213"/>
  <c r="C25" i="214"/>
  <c r="V34" i="213"/>
  <c r="D18" i="214"/>
  <c r="N19" i="214"/>
  <c r="E11" i="214"/>
  <c r="V22" i="214"/>
  <c r="B29" i="214"/>
  <c r="AJ23" i="214"/>
  <c r="D20" i="213"/>
  <c r="G13" i="213"/>
  <c r="AG26" i="214"/>
  <c r="Q53" i="213"/>
  <c r="G29" i="214"/>
  <c r="A16" i="213"/>
  <c r="E49" i="213"/>
  <c r="W53" i="213"/>
  <c r="C28" i="214"/>
  <c r="Z11" i="214"/>
  <c r="AF28" i="214"/>
  <c r="Z47" i="213"/>
  <c r="AB26" i="213"/>
  <c r="AB53" i="213"/>
  <c r="I30" i="213"/>
  <c r="T42" i="213"/>
  <c r="W48" i="213"/>
  <c r="BC51" i="213"/>
  <c r="U49" i="213"/>
  <c r="AC44" i="213"/>
  <c r="Q44" i="213"/>
  <c r="AC46" i="213"/>
  <c r="X46" i="213"/>
  <c r="I46" i="213"/>
  <c r="X25" i="214"/>
  <c r="I10" i="214"/>
  <c r="AW46" i="213"/>
  <c r="BD49" i="213"/>
  <c r="A52" i="213"/>
  <c r="AP20" i="213"/>
  <c r="D44" i="213"/>
  <c r="X28" i="214"/>
  <c r="A22" i="213"/>
  <c r="D33" i="213"/>
  <c r="AJ34" i="213"/>
  <c r="C28" i="213"/>
  <c r="BI46" i="213"/>
  <c r="L29" i="213"/>
  <c r="AM47" i="213"/>
  <c r="BM51" i="213"/>
  <c r="C17" i="213"/>
  <c r="K10" i="214"/>
  <c r="Z17" i="214"/>
  <c r="L18" i="214"/>
  <c r="Z14" i="214"/>
  <c r="D47" i="213"/>
  <c r="AD41" i="213"/>
  <c r="D10" i="214"/>
  <c r="U51" i="213"/>
  <c r="Y119" i="276"/>
  <c r="AZ37" i="213"/>
  <c r="X45" i="213"/>
  <c r="K17" i="214"/>
  <c r="U23" i="214"/>
  <c r="L44" i="213"/>
  <c r="AE44" i="213"/>
  <c r="S44" i="213"/>
  <c r="BC27" i="213"/>
  <c r="AP46" i="213"/>
  <c r="H50" i="213"/>
  <c r="AB119" i="276"/>
  <c r="AD44" i="213"/>
  <c r="C20" i="213"/>
  <c r="BM53" i="213"/>
  <c r="Z18" i="214"/>
  <c r="AZ53" i="213"/>
  <c r="I29" i="214"/>
  <c r="C24" i="214"/>
  <c r="D51" i="213"/>
  <c r="G31" i="213"/>
  <c r="L26" i="214"/>
  <c r="G45" i="213"/>
  <c r="N27" i="214"/>
  <c r="AU16" i="213"/>
  <c r="AC34" i="213"/>
  <c r="T27" i="213"/>
  <c r="BD33" i="213"/>
  <c r="BM52" i="213"/>
  <c r="BD35" i="213"/>
  <c r="AF33" i="213"/>
  <c r="BM47" i="213"/>
  <c r="AD37" i="213"/>
  <c r="R34" i="213"/>
  <c r="V11" i="214"/>
  <c r="J39" i="213"/>
  <c r="AV30" i="213"/>
  <c r="F25" i="213"/>
  <c r="C52" i="213"/>
  <c r="C31" i="213"/>
  <c r="N13" i="214"/>
  <c r="K53" i="213"/>
  <c r="AG34" i="213"/>
  <c r="AG39" i="213"/>
  <c r="AX31" i="213"/>
  <c r="BG40" i="213"/>
  <c r="BQ27" i="213"/>
  <c r="BM30" i="213"/>
  <c r="AR53" i="213"/>
  <c r="BJ37" i="213"/>
  <c r="AE39" i="213"/>
  <c r="A36" i="213"/>
  <c r="AF30" i="213"/>
  <c r="M39" i="213"/>
  <c r="AX40" i="213"/>
  <c r="F29" i="213"/>
  <c r="AB38" i="213"/>
  <c r="BM39" i="213"/>
  <c r="J51" i="213"/>
  <c r="N20" i="214"/>
  <c r="X18" i="214"/>
  <c r="I17" i="214"/>
  <c r="C12" i="214"/>
  <c r="AP16" i="213"/>
  <c r="S46" i="213"/>
  <c r="AM46" i="213"/>
  <c r="BF46" i="213"/>
  <c r="AB121" i="276"/>
  <c r="G14" i="213"/>
  <c r="C22" i="214"/>
  <c r="AY44" i="213"/>
  <c r="B27" i="214"/>
  <c r="AJ36" i="213"/>
  <c r="Y15" i="214"/>
  <c r="AJ16" i="214"/>
  <c r="I18" i="214"/>
  <c r="AD50" i="213"/>
  <c r="AJ24" i="214"/>
  <c r="U29" i="214"/>
  <c r="D35" i="213"/>
  <c r="AT46" i="213"/>
  <c r="D40" i="213"/>
  <c r="X13" i="214"/>
  <c r="V18" i="214"/>
  <c r="BK50" i="213"/>
  <c r="M36" i="213"/>
  <c r="K25" i="214"/>
  <c r="J26" i="214"/>
  <c r="G18" i="213"/>
  <c r="C36" i="213"/>
  <c r="BQ41" i="213"/>
  <c r="C18" i="214"/>
  <c r="AD42" i="213"/>
  <c r="BN34" i="213"/>
  <c r="AW42" i="213"/>
  <c r="L11" i="214"/>
  <c r="AP41" i="213"/>
  <c r="AY50" i="213"/>
  <c r="L24" i="214"/>
  <c r="AP49" i="213"/>
  <c r="Z45" i="213"/>
  <c r="U14" i="214"/>
  <c r="U37" i="213"/>
  <c r="AJ21" i="214"/>
  <c r="AP15" i="213"/>
  <c r="P12" i="214"/>
  <c r="C27" i="214"/>
  <c r="P11" i="214"/>
  <c r="D16" i="213"/>
  <c r="J23" i="214"/>
  <c r="V10" i="214"/>
  <c r="Z121" i="276"/>
  <c r="A13" i="213"/>
  <c r="P13" i="214"/>
  <c r="G15" i="213"/>
  <c r="J29" i="214"/>
  <c r="O25" i="214"/>
  <c r="D48" i="213"/>
  <c r="G37" i="213"/>
  <c r="G52" i="213"/>
  <c r="Z12" i="214"/>
  <c r="C47" i="213"/>
  <c r="V28" i="214"/>
  <c r="C49" i="213"/>
  <c r="AG25" i="214"/>
  <c r="Z25" i="214"/>
  <c r="F14" i="214"/>
  <c r="E17" i="214"/>
  <c r="G51" i="213"/>
  <c r="AE36" i="213"/>
  <c r="W51" i="213"/>
  <c r="BQ40" i="213"/>
  <c r="AC45" i="213"/>
  <c r="D46" i="213"/>
  <c r="C32" i="213"/>
  <c r="D12" i="214"/>
  <c r="J16" i="214"/>
  <c r="V20" i="214"/>
  <c r="E51" i="213"/>
  <c r="BH30" i="213"/>
  <c r="AG32" i="213"/>
  <c r="S49" i="213"/>
  <c r="AZ34" i="213"/>
  <c r="K32" i="213"/>
  <c r="AV33" i="213"/>
  <c r="J32" i="213"/>
  <c r="AB31" i="213"/>
  <c r="BM32" i="213"/>
  <c r="E13" i="214"/>
  <c r="C16" i="214"/>
  <c r="AS49" i="213"/>
  <c r="AJ20" i="214"/>
  <c r="AL53" i="213"/>
  <c r="B10" i="214"/>
  <c r="AX51" i="213"/>
  <c r="BO50" i="213"/>
  <c r="I15" i="214"/>
  <c r="AI53" i="213"/>
  <c r="BG39" i="213"/>
  <c r="U30" i="213"/>
  <c r="AH37" i="213"/>
  <c r="AV47" i="213"/>
  <c r="BC39" i="213"/>
  <c r="AY42" i="213"/>
  <c r="BO45" i="213"/>
  <c r="AY46" i="213"/>
  <c r="AL46" i="213"/>
  <c r="BP50" i="213"/>
  <c r="F53" i="213"/>
  <c r="D42" i="213"/>
  <c r="L51" i="213"/>
  <c r="G48" i="213"/>
  <c r="J44" i="213"/>
  <c r="AS45" i="213"/>
  <c r="AQ53" i="213"/>
  <c r="T25" i="213"/>
  <c r="D23" i="214"/>
  <c r="D26" i="214"/>
  <c r="E27" i="214"/>
  <c r="Y29" i="214"/>
  <c r="C37" i="213"/>
  <c r="AV44" i="213"/>
  <c r="Y25" i="214"/>
  <c r="G40" i="213"/>
  <c r="N22" i="214"/>
  <c r="N30" i="213"/>
  <c r="BA49" i="213"/>
  <c r="E65" i="213"/>
  <c r="D28" i="213"/>
  <c r="K16" i="214"/>
  <c r="BL44" i="213"/>
  <c r="BA44" i="213"/>
  <c r="Z10" i="214"/>
  <c r="C19" i="213"/>
  <c r="AM53" i="213"/>
  <c r="C27" i="213"/>
  <c r="BD22" i="213"/>
  <c r="A30" i="213"/>
  <c r="AG30" i="213"/>
  <c r="I24" i="214"/>
  <c r="AK52" i="213"/>
  <c r="U19" i="214"/>
  <c r="AT29" i="265" l="1"/>
  <c r="AA121" i="276"/>
  <c r="AD15" i="214"/>
  <c r="AC15" i="214"/>
  <c r="T15" i="214"/>
  <c r="R15" i="214"/>
  <c r="S15" i="214"/>
  <c r="AB15" i="214"/>
  <c r="AF49" i="214"/>
  <c r="AF48" i="214"/>
  <c r="AF47" i="214"/>
  <c r="AF52" i="214"/>
  <c r="AF51" i="214"/>
  <c r="AF50" i="214"/>
  <c r="P49" i="214"/>
  <c r="P47" i="214"/>
  <c r="P50" i="214"/>
  <c r="P52" i="214"/>
  <c r="P48" i="214"/>
  <c r="P51" i="214"/>
  <c r="AC24" i="214"/>
  <c r="AB24" i="214"/>
  <c r="R24" i="214"/>
  <c r="T24" i="214"/>
  <c r="S24" i="214"/>
  <c r="AD24" i="214"/>
  <c r="AC29" i="214"/>
  <c r="AD29" i="214"/>
  <c r="AB29" i="214"/>
  <c r="T29" i="214"/>
  <c r="R29" i="214"/>
  <c r="S29" i="214"/>
  <c r="X51" i="214"/>
  <c r="X47" i="214"/>
  <c r="X50" i="214"/>
  <c r="X49" i="214"/>
  <c r="X48" i="214"/>
  <c r="X52" i="214"/>
  <c r="BP123" i="276"/>
  <c r="R20" i="214"/>
  <c r="AB20" i="214"/>
  <c r="S20" i="214"/>
  <c r="AD20" i="214"/>
  <c r="T20" i="214"/>
  <c r="AC20" i="214"/>
  <c r="Z49" i="214"/>
  <c r="Z51" i="214"/>
  <c r="Z47" i="214"/>
  <c r="Z48" i="214"/>
  <c r="Z52" i="214"/>
  <c r="Z50" i="214"/>
  <c r="AA119" i="276"/>
  <c r="AD119" i="276" s="1"/>
  <c r="U50" i="214"/>
  <c r="U51" i="214"/>
  <c r="U52" i="214"/>
  <c r="U49" i="214"/>
  <c r="U47" i="214"/>
  <c r="U48" i="214"/>
  <c r="V47" i="214"/>
  <c r="V52" i="214"/>
  <c r="V49" i="214"/>
  <c r="V50" i="214"/>
  <c r="V48" i="214"/>
  <c r="V51" i="214"/>
  <c r="AC28" i="214"/>
  <c r="R28" i="214"/>
  <c r="S28" i="214"/>
  <c r="T28" i="214"/>
  <c r="AD28" i="214"/>
  <c r="AB28" i="214"/>
  <c r="AC27" i="214"/>
  <c r="AD27" i="214"/>
  <c r="AB27" i="214"/>
  <c r="R27" i="214"/>
  <c r="S27" i="214"/>
  <c r="T27" i="214"/>
  <c r="AC14" i="214"/>
  <c r="AB14" i="214"/>
  <c r="S14" i="214"/>
  <c r="AD14" i="214"/>
  <c r="R14" i="214"/>
  <c r="T14" i="214"/>
  <c r="T26" i="214"/>
  <c r="R26" i="214"/>
  <c r="AC26" i="214"/>
  <c r="S26" i="214"/>
  <c r="AD26" i="214"/>
  <c r="AB26" i="214"/>
  <c r="O52" i="214"/>
  <c r="AP5" i="57"/>
  <c r="AR5" i="57" s="1"/>
  <c r="L6" i="4" s="1"/>
  <c r="O47" i="214"/>
  <c r="O51" i="214"/>
  <c r="O50" i="214"/>
  <c r="O48" i="214"/>
  <c r="O49" i="214"/>
  <c r="T25" i="214"/>
  <c r="S25" i="214"/>
  <c r="AB25" i="214"/>
  <c r="AD25" i="214"/>
  <c r="R25" i="214"/>
  <c r="AC25" i="214"/>
  <c r="S18" i="214"/>
  <c r="AD18" i="214"/>
  <c r="AC18" i="214"/>
  <c r="T18" i="214"/>
  <c r="AB18" i="214"/>
  <c r="R18" i="214"/>
  <c r="N48" i="214"/>
  <c r="AP4" i="57"/>
  <c r="AR4" i="57" s="1"/>
  <c r="L5" i="4" s="1"/>
  <c r="N50" i="214"/>
  <c r="N52" i="214"/>
  <c r="N51" i="214"/>
  <c r="N47" i="214"/>
  <c r="N49" i="214"/>
  <c r="AG47" i="214"/>
  <c r="AG52" i="214"/>
  <c r="AG48" i="214"/>
  <c r="AG50" i="214"/>
  <c r="AG51" i="214"/>
  <c r="AG49" i="214"/>
  <c r="AD19" i="214"/>
  <c r="AC19" i="214"/>
  <c r="T19" i="214"/>
  <c r="R19" i="214"/>
  <c r="S19" i="214"/>
  <c r="AB19" i="214"/>
  <c r="S16" i="214"/>
  <c r="AD16" i="214"/>
  <c r="T16" i="214"/>
  <c r="AC16" i="214"/>
  <c r="AB16" i="214"/>
  <c r="R16" i="214"/>
  <c r="AD23" i="214"/>
  <c r="T23" i="214"/>
  <c r="R23" i="214"/>
  <c r="S23" i="214"/>
  <c r="AB23" i="214"/>
  <c r="AC23" i="214"/>
  <c r="I52" i="214"/>
  <c r="I49" i="214"/>
  <c r="T10" i="214"/>
  <c r="AB10" i="214"/>
  <c r="AP3" i="57"/>
  <c r="AR3" i="57" s="1"/>
  <c r="L4" i="4" s="1"/>
  <c r="I51" i="214"/>
  <c r="AC10" i="214"/>
  <c r="I48" i="214"/>
  <c r="I47" i="214"/>
  <c r="R10" i="214"/>
  <c r="AD10" i="214"/>
  <c r="I50" i="214"/>
  <c r="S10" i="214"/>
  <c r="S17" i="214"/>
  <c r="AB17" i="214"/>
  <c r="T17" i="214"/>
  <c r="R17" i="214"/>
  <c r="AC17" i="214"/>
  <c r="AD17" i="214"/>
  <c r="S11" i="214"/>
  <c r="AB11" i="214"/>
  <c r="T11" i="214"/>
  <c r="AC11" i="214"/>
  <c r="AD11" i="214"/>
  <c r="R11" i="214"/>
  <c r="R13" i="214"/>
  <c r="AC13" i="214"/>
  <c r="T13" i="214"/>
  <c r="AB13" i="214"/>
  <c r="AD13" i="214"/>
  <c r="S13" i="214"/>
  <c r="Y47" i="214"/>
  <c r="Y48" i="214"/>
  <c r="Y49" i="214"/>
  <c r="Y51" i="214"/>
  <c r="Y50" i="214"/>
  <c r="Y52" i="214"/>
  <c r="R12" i="214"/>
  <c r="AB12" i="214"/>
  <c r="AC12" i="214"/>
  <c r="T12" i="214"/>
  <c r="S12" i="214"/>
  <c r="AD12" i="214"/>
  <c r="R22" i="214"/>
  <c r="T22" i="214"/>
  <c r="AB22" i="214"/>
  <c r="AD22" i="214"/>
  <c r="AC22" i="214"/>
  <c r="S22" i="214"/>
  <c r="AD3" i="47"/>
  <c r="AF3" i="47" s="1"/>
  <c r="J5" i="4" s="1"/>
  <c r="T21" i="214"/>
  <c r="S21" i="214"/>
  <c r="AB21" i="214"/>
  <c r="R21" i="214"/>
  <c r="AC21" i="214"/>
  <c r="AD21" i="214"/>
  <c r="Z3" i="172"/>
  <c r="AB3" i="172" s="1"/>
  <c r="K5" i="4" s="1"/>
  <c r="Z4" i="172"/>
  <c r="AB4" i="172" s="1"/>
  <c r="K6" i="4" s="1"/>
  <c r="AD4" i="47"/>
  <c r="AF4" i="47" s="1"/>
  <c r="J6" i="4" s="1"/>
  <c r="AD2" i="47"/>
  <c r="AF2" i="47" s="1"/>
  <c r="J4" i="4" s="1"/>
  <c r="Z2" i="172"/>
  <c r="AB2" i="172" s="1"/>
  <c r="K4" i="4" s="1"/>
  <c r="AZ31" i="265"/>
  <c r="AN29" i="265"/>
  <c r="G164" i="73"/>
  <c r="G138" i="73"/>
  <c r="E164" i="73"/>
  <c r="E138" i="73"/>
  <c r="F31" i="11"/>
  <c r="F42" i="11" s="1"/>
  <c r="O6" i="14" s="1"/>
  <c r="D47" i="14" s="1"/>
  <c r="N6" i="310"/>
  <c r="H164" i="73"/>
  <c r="H138" i="73"/>
  <c r="B95" i="73"/>
  <c r="A212" i="73"/>
  <c r="E31" i="11"/>
  <c r="E42" i="11" s="1"/>
  <c r="N6" i="14" s="1"/>
  <c r="D31" i="14" s="1"/>
  <c r="N6" i="250"/>
  <c r="B98" i="156"/>
  <c r="B99" i="156"/>
  <c r="N54" i="73"/>
  <c r="T63" i="73" s="1"/>
  <c r="P54" i="73"/>
  <c r="M54" i="73"/>
  <c r="S63" i="73" s="1"/>
  <c r="D26" i="273"/>
  <c r="D11" i="273"/>
  <c r="D33" i="273"/>
  <c r="D40" i="273"/>
  <c r="M53" i="73"/>
  <c r="P53" i="73"/>
  <c r="N53" i="73"/>
  <c r="E20" i="73"/>
  <c r="E21" i="73" s="1"/>
  <c r="E37" i="73"/>
  <c r="E39" i="73" s="1"/>
  <c r="E44" i="73" s="1"/>
  <c r="E46" i="73" s="1"/>
  <c r="D71" i="73"/>
  <c r="H26" i="322"/>
  <c r="H29" i="322" s="1"/>
  <c r="D26" i="322"/>
  <c r="D29" i="322" s="1"/>
  <c r="D65" i="322"/>
  <c r="O33" i="322"/>
  <c r="O37" i="322" s="1"/>
  <c r="K26" i="322"/>
  <c r="K29" i="322" s="1"/>
  <c r="G26" i="322"/>
  <c r="G29" i="322" s="1"/>
  <c r="O32" i="322"/>
  <c r="J26" i="322"/>
  <c r="J29" i="322" s="1"/>
  <c r="F26" i="322"/>
  <c r="F29" i="322" s="1"/>
  <c r="I26" i="322"/>
  <c r="I29" i="322" s="1"/>
  <c r="E26" i="322"/>
  <c r="E29" i="322" s="1"/>
  <c r="D126" i="73"/>
  <c r="D175" i="73" s="1"/>
  <c r="P11" i="274"/>
  <c r="P12" i="274" s="1"/>
  <c r="D9" i="282" s="1"/>
  <c r="D8" i="11"/>
  <c r="D11" i="11" s="1"/>
  <c r="P6" i="274"/>
  <c r="J61" i="64"/>
  <c r="D190" i="73"/>
  <c r="D201" i="73" s="1"/>
  <c r="P6" i="52"/>
  <c r="D95" i="73"/>
  <c r="J29" i="64"/>
  <c r="P6" i="303"/>
  <c r="J30" i="64"/>
  <c r="J34" i="64" s="1"/>
  <c r="D115" i="73"/>
  <c r="L33" i="64"/>
  <c r="K33" i="64"/>
  <c r="D20" i="73"/>
  <c r="D37" i="73"/>
  <c r="D39" i="73" s="1"/>
  <c r="D44" i="73" s="1"/>
  <c r="D46" i="73" s="1"/>
  <c r="H32" i="11"/>
  <c r="H56" i="11"/>
  <c r="D73" i="322"/>
  <c r="D74" i="322" s="1"/>
  <c r="E73" i="322"/>
  <c r="E74" i="322" s="1"/>
  <c r="F73" i="322"/>
  <c r="F74" i="322" s="1"/>
  <c r="G73" i="322"/>
  <c r="G74" i="322" s="1"/>
  <c r="H73" i="322"/>
  <c r="H74" i="322" s="1"/>
  <c r="I73" i="322"/>
  <c r="I74" i="322" s="1"/>
  <c r="H43" i="73"/>
  <c r="J47" i="126"/>
  <c r="C72" i="156" s="1"/>
  <c r="E72" i="156" s="1"/>
  <c r="P55" i="73"/>
  <c r="M55" i="73"/>
  <c r="S64" i="73" s="1"/>
  <c r="N55" i="73"/>
  <c r="T64" i="73" s="1"/>
  <c r="G43" i="73"/>
  <c r="G44" i="73" s="1"/>
  <c r="J46" i="126"/>
  <c r="C71" i="156" s="1"/>
  <c r="E71" i="156" s="1"/>
  <c r="F26" i="306"/>
  <c r="F39" i="306" s="1"/>
  <c r="A62" i="306"/>
  <c r="F192" i="73"/>
  <c r="F194" i="73" s="1"/>
  <c r="E9" i="236"/>
  <c r="H105" i="73"/>
  <c r="BQ31" i="265"/>
  <c r="AM29" i="265"/>
  <c r="BL31" i="265"/>
  <c r="L22" i="265"/>
  <c r="L27" i="265" s="1"/>
  <c r="L28" i="265" s="1"/>
  <c r="AX31" i="265"/>
  <c r="BN29" i="265"/>
  <c r="BF29" i="265"/>
  <c r="AS29" i="265"/>
  <c r="BP29" i="265"/>
  <c r="AK29" i="265"/>
  <c r="BC31" i="265"/>
  <c r="BD31" i="265"/>
  <c r="J30" i="265"/>
  <c r="E12" i="10" s="1"/>
  <c r="BH29" i="265"/>
  <c r="AQ31" i="265"/>
  <c r="L30" i="265"/>
  <c r="D12" i="10" s="1"/>
  <c r="BK31" i="265"/>
  <c r="AR31" i="265"/>
  <c r="AY29" i="265"/>
  <c r="AW29" i="265"/>
  <c r="BM29" i="265"/>
  <c r="J22" i="265"/>
  <c r="J27" i="265" s="1"/>
  <c r="J28" i="265" s="1"/>
  <c r="L31" i="265"/>
  <c r="D13" i="10" s="1"/>
  <c r="J31" i="265"/>
  <c r="E13" i="10" s="1"/>
  <c r="BE29" i="265"/>
  <c r="BI31" i="265"/>
  <c r="AO31" i="265"/>
  <c r="BG29" i="265"/>
  <c r="BJ31" i="265"/>
  <c r="AU29" i="265"/>
  <c r="BO31" i="265"/>
  <c r="H31" i="265"/>
  <c r="F13" i="10" s="1"/>
  <c r="BS22" i="265"/>
  <c r="H22" i="265"/>
  <c r="H27" i="265" s="1"/>
  <c r="H28" i="265" s="1"/>
  <c r="H30" i="265"/>
  <c r="F12" i="10" s="1"/>
  <c r="AI31" i="265"/>
  <c r="AI29" i="265"/>
  <c r="AL31" i="265"/>
  <c r="AL29" i="265"/>
  <c r="BA29" i="265"/>
  <c r="BA31" i="265"/>
  <c r="AJ31" i="265"/>
  <c r="AJ29" i="265"/>
  <c r="BB31" i="265"/>
  <c r="BB29" i="265"/>
  <c r="AP29" i="265"/>
  <c r="AP31" i="265"/>
  <c r="AD121" i="276"/>
  <c r="AE121" i="276"/>
  <c r="BR44" i="213"/>
  <c r="BR25" i="213"/>
  <c r="BR16" i="213"/>
  <c r="BR36" i="213"/>
  <c r="BR32" i="213"/>
  <c r="BR42" i="213"/>
  <c r="BR47" i="213"/>
  <c r="BR50" i="213"/>
  <c r="BR35" i="213"/>
  <c r="BR28" i="213"/>
  <c r="BR40" i="213"/>
  <c r="BR21" i="213"/>
  <c r="BR46" i="213"/>
  <c r="BR27" i="213"/>
  <c r="BR51" i="213"/>
  <c r="BR52" i="213"/>
  <c r="BR30" i="213"/>
  <c r="BR15" i="213"/>
  <c r="BR53" i="213"/>
  <c r="BR39" i="213"/>
  <c r="BR48" i="213"/>
  <c r="BR18" i="213"/>
  <c r="BR23" i="213"/>
  <c r="BR14" i="213"/>
  <c r="BR45" i="213"/>
  <c r="BR20" i="213"/>
  <c r="BR37" i="213"/>
  <c r="BR31" i="213"/>
  <c r="BR17" i="213"/>
  <c r="BR13" i="213"/>
  <c r="BR19" i="213"/>
  <c r="BR33" i="213"/>
  <c r="BR24" i="213"/>
  <c r="BR22" i="213"/>
  <c r="BR41" i="213"/>
  <c r="BR34" i="213"/>
  <c r="BR49" i="213"/>
  <c r="BR38" i="213"/>
  <c r="BR26" i="213"/>
  <c r="BR29" i="213"/>
  <c r="AB49" i="214" l="1"/>
  <c r="S49" i="214"/>
  <c r="R49" i="214"/>
  <c r="AD49" i="214"/>
  <c r="T47" i="214"/>
  <c r="AD48" i="214"/>
  <c r="T48" i="214"/>
  <c r="AB50" i="214"/>
  <c r="T49" i="214"/>
  <c r="M3" i="4"/>
  <c r="D32" i="248" s="1"/>
  <c r="S47" i="214"/>
  <c r="R52" i="214"/>
  <c r="AB52" i="214"/>
  <c r="AB47" i="214"/>
  <c r="S52" i="214"/>
  <c r="AC48" i="214"/>
  <c r="R51" i="214"/>
  <c r="AC51" i="214"/>
  <c r="AD47" i="214"/>
  <c r="S51" i="214"/>
  <c r="AD52" i="214"/>
  <c r="AD51" i="214"/>
  <c r="AB51" i="214"/>
  <c r="S48" i="214"/>
  <c r="T52" i="214"/>
  <c r="AC52" i="214"/>
  <c r="AC49" i="214"/>
  <c r="AE119" i="276"/>
  <c r="R48" i="214"/>
  <c r="R47" i="214"/>
  <c r="AD50" i="214"/>
  <c r="S50" i="214"/>
  <c r="T50" i="214"/>
  <c r="AC50" i="214"/>
  <c r="AC47" i="214"/>
  <c r="R50" i="214"/>
  <c r="AB48" i="214"/>
  <c r="T51" i="214"/>
  <c r="N14" i="250"/>
  <c r="N13" i="250"/>
  <c r="N28" i="250"/>
  <c r="N27" i="250"/>
  <c r="N11" i="250"/>
  <c r="N20" i="250"/>
  <c r="N29" i="250"/>
  <c r="N18" i="250"/>
  <c r="N12" i="250"/>
  <c r="N49" i="250"/>
  <c r="N51" i="250"/>
  <c r="N26" i="250"/>
  <c r="N16" i="250"/>
  <c r="N15" i="250"/>
  <c r="N25" i="250"/>
  <c r="N10" i="250"/>
  <c r="N23" i="250"/>
  <c r="N24" i="250"/>
  <c r="N17" i="250"/>
  <c r="Q6" i="250"/>
  <c r="N19" i="250"/>
  <c r="N22" i="250"/>
  <c r="N21" i="250"/>
  <c r="D32" i="14"/>
  <c r="E32" i="14" s="1"/>
  <c r="D29" i="14"/>
  <c r="E29" i="14" s="1"/>
  <c r="E31" i="14" s="1"/>
  <c r="E34" i="14" s="1"/>
  <c r="D30" i="14"/>
  <c r="E30" i="14" s="1"/>
  <c r="D164" i="73"/>
  <c r="D138" i="73"/>
  <c r="B99" i="73"/>
  <c r="A213" i="73"/>
  <c r="B104" i="73" s="1"/>
  <c r="N12" i="310"/>
  <c r="N23" i="310"/>
  <c r="N22" i="310"/>
  <c r="N25" i="310"/>
  <c r="N29" i="310"/>
  <c r="N18" i="310"/>
  <c r="N17" i="310"/>
  <c r="N20" i="310"/>
  <c r="N27" i="310"/>
  <c r="N51" i="310"/>
  <c r="N28" i="310"/>
  <c r="Q6" i="310"/>
  <c r="N13" i="310"/>
  <c r="N49" i="310"/>
  <c r="N11" i="310"/>
  <c r="N24" i="310"/>
  <c r="N21" i="310"/>
  <c r="N16" i="310"/>
  <c r="N15" i="310"/>
  <c r="N19" i="310"/>
  <c r="N26" i="310"/>
  <c r="N10" i="310"/>
  <c r="N14" i="310"/>
  <c r="B138" i="73"/>
  <c r="B148" i="73" s="1"/>
  <c r="B115" i="73"/>
  <c r="B126" i="73" s="1"/>
  <c r="B190" i="73"/>
  <c r="B164" i="73"/>
  <c r="B175" i="73" s="1"/>
  <c r="D48" i="14"/>
  <c r="E48" i="14" s="1"/>
  <c r="D46" i="14"/>
  <c r="E46" i="14" s="1"/>
  <c r="D45" i="14"/>
  <c r="E45" i="14" s="1"/>
  <c r="E47" i="14" s="1"/>
  <c r="E50" i="14" s="1"/>
  <c r="O6" i="310" s="1"/>
  <c r="P57" i="73"/>
  <c r="P69" i="73" s="1"/>
  <c r="V62" i="73"/>
  <c r="J60" i="273"/>
  <c r="G46" i="73"/>
  <c r="P8" i="274"/>
  <c r="D10" i="274" s="1"/>
  <c r="P10" i="274"/>
  <c r="D67" i="322"/>
  <c r="D68" i="322" s="1"/>
  <c r="F67" i="322"/>
  <c r="F68" i="322" s="1"/>
  <c r="H67" i="322"/>
  <c r="H68" i="322" s="1"/>
  <c r="E67" i="322"/>
  <c r="E68" i="322" s="1"/>
  <c r="G67" i="322"/>
  <c r="G68" i="322" s="1"/>
  <c r="I67" i="322"/>
  <c r="I68" i="322" s="1"/>
  <c r="E50" i="73"/>
  <c r="E188" i="73"/>
  <c r="M57" i="73"/>
  <c r="M69" i="73" s="1"/>
  <c r="S62" i="73"/>
  <c r="D27" i="273"/>
  <c r="D28" i="273"/>
  <c r="V64" i="73"/>
  <c r="J62" i="273"/>
  <c r="J74" i="322"/>
  <c r="D188" i="73"/>
  <c r="D50" i="73"/>
  <c r="D59" i="73" s="1"/>
  <c r="H44" i="73"/>
  <c r="H46" i="73" s="1"/>
  <c r="P10" i="52"/>
  <c r="P8" i="52"/>
  <c r="D15" i="11"/>
  <c r="D31" i="11" s="1"/>
  <c r="D42" i="11" s="1"/>
  <c r="M6" i="14" s="1"/>
  <c r="D23" i="14" s="1"/>
  <c r="N6" i="256"/>
  <c r="D55" i="11"/>
  <c r="L53" i="73"/>
  <c r="D31" i="322"/>
  <c r="O53" i="73"/>
  <c r="D42" i="273"/>
  <c r="D41" i="273"/>
  <c r="G26" i="236"/>
  <c r="D9" i="236"/>
  <c r="D21" i="73"/>
  <c r="D19" i="273" s="1"/>
  <c r="D18" i="273"/>
  <c r="P10" i="303"/>
  <c r="P8" i="303"/>
  <c r="D10" i="303" s="1"/>
  <c r="F9" i="282"/>
  <c r="F11" i="282" s="1"/>
  <c r="F12" i="282" s="1"/>
  <c r="D11" i="282"/>
  <c r="D12" i="282" s="1"/>
  <c r="L55" i="73"/>
  <c r="O55" i="73"/>
  <c r="K31" i="322"/>
  <c r="T62" i="73"/>
  <c r="N57" i="73"/>
  <c r="N69" i="73" s="1"/>
  <c r="D34" i="273"/>
  <c r="D35" i="273"/>
  <c r="V63" i="73"/>
  <c r="J61" i="273"/>
  <c r="M63" i="64"/>
  <c r="M64" i="64" s="1"/>
  <c r="L63" i="64"/>
  <c r="L64" i="64" s="1"/>
  <c r="K63" i="64"/>
  <c r="K64" i="64" s="1"/>
  <c r="O63" i="64"/>
  <c r="O64" i="64" s="1"/>
  <c r="J63" i="64"/>
  <c r="J64" i="64" s="1"/>
  <c r="N63" i="64"/>
  <c r="N64" i="64" s="1"/>
  <c r="L54" i="73"/>
  <c r="J31" i="322"/>
  <c r="O54" i="73"/>
  <c r="E16" i="11"/>
  <c r="O6" i="250"/>
  <c r="D164" i="273"/>
  <c r="F11" i="273"/>
  <c r="D120" i="273"/>
  <c r="D112" i="273"/>
  <c r="D173" i="273"/>
  <c r="D102" i="273"/>
  <c r="E15" i="10"/>
  <c r="E17" i="10" s="1"/>
  <c r="E21" i="10" s="1"/>
  <c r="E25" i="10" s="1"/>
  <c r="E30" i="10" s="1"/>
  <c r="D15" i="10"/>
  <c r="D17" i="10" s="1"/>
  <c r="D21" i="10" s="1"/>
  <c r="D25" i="10" s="1"/>
  <c r="D30" i="10" s="1"/>
  <c r="F15" i="10"/>
  <c r="F17" i="10" s="1"/>
  <c r="F21" i="10" s="1"/>
  <c r="F25" i="10" s="1"/>
  <c r="F30" i="10" s="1"/>
  <c r="O25" i="310" l="1"/>
  <c r="O22" i="310"/>
  <c r="O23" i="310"/>
  <c r="O14" i="310"/>
  <c r="T14" i="310" s="1"/>
  <c r="O19" i="310"/>
  <c r="O51" i="310"/>
  <c r="O16" i="310"/>
  <c r="O21" i="310"/>
  <c r="T21" i="310" s="1"/>
  <c r="O18" i="310"/>
  <c r="O20" i="310"/>
  <c r="O15" i="310"/>
  <c r="O49" i="310"/>
  <c r="O11" i="310"/>
  <c r="O12" i="310"/>
  <c r="O17" i="310"/>
  <c r="O26" i="310"/>
  <c r="O10" i="310"/>
  <c r="O27" i="310"/>
  <c r="O28" i="310"/>
  <c r="O24" i="310"/>
  <c r="T24" i="310" s="1"/>
  <c r="O29" i="310"/>
  <c r="O13" i="310"/>
  <c r="N42" i="310"/>
  <c r="N43" i="310"/>
  <c r="N46" i="310"/>
  <c r="N44" i="310"/>
  <c r="N41" i="310"/>
  <c r="N45" i="310"/>
  <c r="Q12" i="250"/>
  <c r="Q27" i="250"/>
  <c r="Q23" i="250"/>
  <c r="S23" i="250" s="1"/>
  <c r="Q18" i="250"/>
  <c r="Q16" i="250"/>
  <c r="S16" i="250" s="1"/>
  <c r="Q11" i="250"/>
  <c r="S11" i="250" s="1"/>
  <c r="Q28" i="250"/>
  <c r="S28" i="250" s="1"/>
  <c r="Q20" i="250"/>
  <c r="Q15" i="250"/>
  <c r="S15" i="250" s="1"/>
  <c r="Q19" i="250"/>
  <c r="S19" i="250" s="1"/>
  <c r="Q24" i="250"/>
  <c r="S24" i="250" s="1"/>
  <c r="Q26" i="250"/>
  <c r="Q13" i="250"/>
  <c r="Q14" i="250"/>
  <c r="S14" i="250" s="1"/>
  <c r="Q10" i="250"/>
  <c r="Q22" i="250"/>
  <c r="S22" i="250" s="1"/>
  <c r="Q29" i="250"/>
  <c r="Q25" i="250"/>
  <c r="S25" i="250" s="1"/>
  <c r="Q21" i="250"/>
  <c r="S21" i="250" s="1"/>
  <c r="Q17" i="250"/>
  <c r="S17" i="250" s="1"/>
  <c r="J33" i="322"/>
  <c r="D37" i="273"/>
  <c r="N44" i="250"/>
  <c r="N46" i="250"/>
  <c r="N42" i="250"/>
  <c r="N41" i="250"/>
  <c r="N43" i="250"/>
  <c r="Q10" i="310"/>
  <c r="Q26" i="310"/>
  <c r="Q25" i="310"/>
  <c r="S25" i="310" s="1"/>
  <c r="Q20" i="310"/>
  <c r="Q15" i="310"/>
  <c r="S15" i="310" s="1"/>
  <c r="Q13" i="310"/>
  <c r="Q19" i="310"/>
  <c r="S19" i="310" s="1"/>
  <c r="Q22" i="310"/>
  <c r="S22" i="310" s="1"/>
  <c r="Q16" i="310"/>
  <c r="S16" i="310" s="1"/>
  <c r="Q11" i="310"/>
  <c r="S11" i="310" s="1"/>
  <c r="Q27" i="310"/>
  <c r="Q14" i="310"/>
  <c r="S14" i="310" s="1"/>
  <c r="Q29" i="310"/>
  <c r="Q24" i="310"/>
  <c r="S24" i="310" s="1"/>
  <c r="Q21" i="310"/>
  <c r="S21" i="310" s="1"/>
  <c r="Q18" i="310"/>
  <c r="Q17" i="310"/>
  <c r="S17" i="310" s="1"/>
  <c r="Q12" i="310"/>
  <c r="Q28" i="310"/>
  <c r="S28" i="310" s="1"/>
  <c r="Q23" i="310"/>
  <c r="S23" i="310" s="1"/>
  <c r="D14" i="282"/>
  <c r="D15" i="282" s="1"/>
  <c r="D17" i="282" s="1"/>
  <c r="B20" i="282" s="1"/>
  <c r="D44" i="273"/>
  <c r="N45" i="250"/>
  <c r="H188" i="73"/>
  <c r="H50" i="73"/>
  <c r="D130" i="273"/>
  <c r="D147" i="273"/>
  <c r="O23" i="250"/>
  <c r="T23" i="250" s="1"/>
  <c r="O18" i="250"/>
  <c r="O21" i="250"/>
  <c r="O49" i="250"/>
  <c r="O22" i="250"/>
  <c r="O16" i="250"/>
  <c r="T16" i="250" s="1"/>
  <c r="O11" i="250"/>
  <c r="O27" i="250"/>
  <c r="O17" i="250"/>
  <c r="O29" i="250"/>
  <c r="O51" i="250"/>
  <c r="O19" i="250"/>
  <c r="O14" i="250"/>
  <c r="T14" i="250" s="1"/>
  <c r="O12" i="250"/>
  <c r="O15" i="250"/>
  <c r="O26" i="250"/>
  <c r="O25" i="250"/>
  <c r="T25" i="250" s="1"/>
  <c r="O20" i="250"/>
  <c r="O10" i="250"/>
  <c r="O24" i="250"/>
  <c r="O13" i="250"/>
  <c r="O28" i="250"/>
  <c r="T28" i="250" s="1"/>
  <c r="R63" i="73"/>
  <c r="H61" i="273"/>
  <c r="F61" i="273"/>
  <c r="U64" i="73"/>
  <c r="I62" i="273"/>
  <c r="O53" i="64"/>
  <c r="O54" i="64" s="1"/>
  <c r="O55" i="64" s="1"/>
  <c r="M53" i="64"/>
  <c r="M54" i="64" s="1"/>
  <c r="M55" i="64" s="1"/>
  <c r="K53" i="64"/>
  <c r="K54" i="64" s="1"/>
  <c r="K55" i="64" s="1"/>
  <c r="N53" i="64"/>
  <c r="N54" i="64" s="1"/>
  <c r="N55" i="64" s="1"/>
  <c r="L53" i="64"/>
  <c r="L54" i="64" s="1"/>
  <c r="L55" i="64" s="1"/>
  <c r="J53" i="64"/>
  <c r="J54" i="64" s="1"/>
  <c r="N6" i="305"/>
  <c r="D8" i="306"/>
  <c r="H26" i="236"/>
  <c r="C9" i="236"/>
  <c r="C98" i="156" a="1"/>
  <c r="R62" i="73"/>
  <c r="H60" i="273"/>
  <c r="L57" i="73"/>
  <c r="L69" i="73" s="1"/>
  <c r="F60" i="273"/>
  <c r="D192" i="73"/>
  <c r="D194" i="73" s="1"/>
  <c r="C90" i="156"/>
  <c r="N6" i="12"/>
  <c r="L4" i="14"/>
  <c r="D39" i="14" s="1"/>
  <c r="D8" i="294"/>
  <c r="D10" i="52"/>
  <c r="P63" i="73"/>
  <c r="P65" i="73"/>
  <c r="J72" i="273" s="1"/>
  <c r="P62" i="73"/>
  <c r="J69" i="273" s="1"/>
  <c r="P66" i="73"/>
  <c r="J73" i="273" s="1"/>
  <c r="P67" i="73"/>
  <c r="J76" i="273"/>
  <c r="D138" i="273"/>
  <c r="D155" i="273"/>
  <c r="E56" i="11"/>
  <c r="F16" i="11"/>
  <c r="E32" i="11"/>
  <c r="N62" i="73"/>
  <c r="F62" i="73" s="1"/>
  <c r="N66" i="73"/>
  <c r="F66" i="73" s="1"/>
  <c r="N67" i="73"/>
  <c r="N63" i="73"/>
  <c r="F69" i="73"/>
  <c r="N65" i="73"/>
  <c r="F65" i="73" s="1"/>
  <c r="R64" i="73"/>
  <c r="F62" i="273"/>
  <c r="H62" i="273"/>
  <c r="Q36" i="322"/>
  <c r="P36" i="322"/>
  <c r="T15" i="250"/>
  <c r="M63" i="73"/>
  <c r="M64" i="73" s="1"/>
  <c r="E64" i="73" s="1"/>
  <c r="M66" i="73"/>
  <c r="M65" i="73"/>
  <c r="E65" i="73" s="1"/>
  <c r="M62" i="73"/>
  <c r="M67" i="73"/>
  <c r="M68" i="73" s="1"/>
  <c r="E68" i="73" s="1"/>
  <c r="G188" i="73"/>
  <c r="G50" i="73"/>
  <c r="U63" i="73"/>
  <c r="I61" i="273"/>
  <c r="P64" i="64"/>
  <c r="U62" i="73"/>
  <c r="I60" i="273"/>
  <c r="O57" i="73"/>
  <c r="O69" i="73" s="1"/>
  <c r="N19" i="256"/>
  <c r="N14" i="256"/>
  <c r="N12" i="256"/>
  <c r="N27" i="256"/>
  <c r="N22" i="256"/>
  <c r="N10" i="256"/>
  <c r="N24" i="256"/>
  <c r="N28" i="256"/>
  <c r="N16" i="256"/>
  <c r="N29" i="256"/>
  <c r="N20" i="256"/>
  <c r="N49" i="256"/>
  <c r="N21" i="256"/>
  <c r="N25" i="256"/>
  <c r="N13" i="256"/>
  <c r="N23" i="256"/>
  <c r="N15" i="256"/>
  <c r="N26" i="256"/>
  <c r="N11" i="256"/>
  <c r="N51" i="256"/>
  <c r="N18" i="256"/>
  <c r="Q6" i="256"/>
  <c r="N17" i="256"/>
  <c r="E192" i="73"/>
  <c r="E194" i="73" s="1"/>
  <c r="J68" i="322"/>
  <c r="J64" i="273"/>
  <c r="T24" i="250"/>
  <c r="O10" i="322"/>
  <c r="O21" i="322" s="1"/>
  <c r="K33" i="322"/>
  <c r="T21" i="250"/>
  <c r="D21" i="14"/>
  <c r="E21" i="14" s="1"/>
  <c r="D22" i="14"/>
  <c r="E22" i="14" s="1"/>
  <c r="D24" i="14"/>
  <c r="E24" i="14" s="1"/>
  <c r="D82" i="73"/>
  <c r="D84" i="73"/>
  <c r="D90" i="73" s="1"/>
  <c r="D93" i="73" s="1"/>
  <c r="D97" i="73" s="1"/>
  <c r="D80" i="73"/>
  <c r="D83" i="73"/>
  <c r="D81" i="73"/>
  <c r="D79" i="73"/>
  <c r="D220" i="73" s="1"/>
  <c r="D77" i="73"/>
  <c r="D78" i="73"/>
  <c r="T11" i="250"/>
  <c r="T19" i="250"/>
  <c r="D30" i="273"/>
  <c r="D51" i="273" s="1"/>
  <c r="D53" i="273" s="1"/>
  <c r="E62" i="73"/>
  <c r="E66" i="73"/>
  <c r="E69" i="73"/>
  <c r="E59" i="73"/>
  <c r="Y29" i="310" l="1"/>
  <c r="S29" i="310"/>
  <c r="Q41" i="310"/>
  <c r="Q46" i="310"/>
  <c r="Q42" i="310"/>
  <c r="Q45" i="310"/>
  <c r="S10" i="310"/>
  <c r="Q44" i="310"/>
  <c r="S26" i="250"/>
  <c r="T26" i="250" s="1"/>
  <c r="Y26" i="250"/>
  <c r="Y20" i="250"/>
  <c r="S20" i="250"/>
  <c r="T20" i="250" s="1"/>
  <c r="V20" i="250" s="1"/>
  <c r="S18" i="250"/>
  <c r="T18" i="250" s="1"/>
  <c r="Y18" i="250"/>
  <c r="V24" i="310"/>
  <c r="U24" i="310"/>
  <c r="W24" i="310" s="1"/>
  <c r="U21" i="310"/>
  <c r="W21" i="310" s="1"/>
  <c r="V21" i="310"/>
  <c r="X21" i="310" s="1"/>
  <c r="Y21" i="310" s="1"/>
  <c r="U14" i="310"/>
  <c r="W14" i="310" s="1"/>
  <c r="V14" i="310"/>
  <c r="X14" i="310" s="1"/>
  <c r="Y14" i="310" s="1"/>
  <c r="T17" i="250"/>
  <c r="T22" i="250"/>
  <c r="Y18" i="310"/>
  <c r="S18" i="310"/>
  <c r="T18" i="310" s="1"/>
  <c r="Y20" i="310"/>
  <c r="S20" i="310"/>
  <c r="T20" i="310" s="1"/>
  <c r="Q45" i="250"/>
  <c r="Q44" i="250"/>
  <c r="Q46" i="250"/>
  <c r="Q43" i="250"/>
  <c r="Q41" i="250"/>
  <c r="S10" i="250"/>
  <c r="T10" i="250" s="1"/>
  <c r="Q42" i="250"/>
  <c r="T28" i="310"/>
  <c r="T17" i="310"/>
  <c r="T15" i="310"/>
  <c r="T16" i="310"/>
  <c r="T23" i="310"/>
  <c r="Y27" i="310"/>
  <c r="S27" i="310"/>
  <c r="T27" i="310" s="1"/>
  <c r="S27" i="250"/>
  <c r="T27" i="250" s="1"/>
  <c r="Y27" i="250"/>
  <c r="T22" i="310"/>
  <c r="D146" i="73"/>
  <c r="D136" i="73"/>
  <c r="D140" i="73" s="1"/>
  <c r="D142" i="73" s="1"/>
  <c r="Y12" i="310"/>
  <c r="S12" i="310"/>
  <c r="T12" i="310" s="1"/>
  <c r="Q43" i="310"/>
  <c r="S13" i="310"/>
  <c r="T13" i="310" s="1"/>
  <c r="Y13" i="310"/>
  <c r="Y26" i="310"/>
  <c r="S26" i="310"/>
  <c r="S29" i="250"/>
  <c r="T29" i="250" s="1"/>
  <c r="Y29" i="250"/>
  <c r="Y13" i="250"/>
  <c r="S13" i="250"/>
  <c r="T13" i="250" s="1"/>
  <c r="V13" i="250" s="1"/>
  <c r="Y12" i="250"/>
  <c r="S12" i="250"/>
  <c r="T12" i="250" s="1"/>
  <c r="O46" i="310"/>
  <c r="O43" i="310"/>
  <c r="O45" i="310"/>
  <c r="O41" i="310"/>
  <c r="O44" i="310"/>
  <c r="O42" i="310"/>
  <c r="T11" i="310"/>
  <c r="T19" i="310"/>
  <c r="T25" i="310"/>
  <c r="U25" i="250"/>
  <c r="W25" i="250" s="1"/>
  <c r="V25" i="250"/>
  <c r="X25" i="250" s="1"/>
  <c r="Y25" i="250" s="1"/>
  <c r="V14" i="250"/>
  <c r="U14" i="250"/>
  <c r="W14" i="250" s="1"/>
  <c r="V17" i="250"/>
  <c r="U17" i="250"/>
  <c r="W17" i="250" s="1"/>
  <c r="U22" i="250"/>
  <c r="W22" i="250" s="1"/>
  <c r="V22" i="250"/>
  <c r="V23" i="250"/>
  <c r="U23" i="250"/>
  <c r="W23" i="250" s="1"/>
  <c r="V16" i="250"/>
  <c r="U16" i="250"/>
  <c r="W16" i="250" s="1"/>
  <c r="U24" i="250"/>
  <c r="W24" i="250" s="1"/>
  <c r="V24" i="250"/>
  <c r="O66" i="73"/>
  <c r="I73" i="273" s="1"/>
  <c r="O63" i="73"/>
  <c r="I76" i="273"/>
  <c r="O62" i="73"/>
  <c r="I69" i="273" s="1"/>
  <c r="O67" i="73"/>
  <c r="O65" i="73"/>
  <c r="I72" i="273" s="1"/>
  <c r="U28" i="250"/>
  <c r="W28" i="250" s="1"/>
  <c r="V28" i="250"/>
  <c r="V27" i="250"/>
  <c r="U27" i="250"/>
  <c r="W27" i="250" s="1"/>
  <c r="N68" i="73"/>
  <c r="F68" i="73" s="1"/>
  <c r="F67" i="73"/>
  <c r="I57" i="322"/>
  <c r="I58" i="322" s="1"/>
  <c r="I59" i="322" s="1"/>
  <c r="H57" i="322"/>
  <c r="H58" i="322" s="1"/>
  <c r="H59" i="322" s="1"/>
  <c r="G57" i="322"/>
  <c r="G58" i="322" s="1"/>
  <c r="G59" i="322" s="1"/>
  <c r="F57" i="322"/>
  <c r="F58" i="322" s="1"/>
  <c r="F59" i="322" s="1"/>
  <c r="E57" i="322"/>
  <c r="E58" i="322" s="1"/>
  <c r="E59" i="322" s="1"/>
  <c r="D57" i="322"/>
  <c r="D58" i="322" s="1"/>
  <c r="N6" i="285"/>
  <c r="E26" i="64"/>
  <c r="E27" i="64" s="1"/>
  <c r="I4" i="14"/>
  <c r="I6" i="14" s="1"/>
  <c r="F26" i="64"/>
  <c r="F27" i="64" s="1"/>
  <c r="D26" i="64"/>
  <c r="D27" i="64" s="1"/>
  <c r="D28" i="64" s="1"/>
  <c r="E90" i="156"/>
  <c r="C91" i="156"/>
  <c r="E91" i="156" s="1"/>
  <c r="L65" i="73"/>
  <c r="H72" i="273" s="1"/>
  <c r="L62" i="73"/>
  <c r="H69" i="273" s="1"/>
  <c r="H76" i="273"/>
  <c r="L66" i="73"/>
  <c r="H73" i="273" s="1"/>
  <c r="L67" i="73"/>
  <c r="L63" i="73"/>
  <c r="C99" i="156"/>
  <c r="E99" i="156" s="1"/>
  <c r="C98" i="156"/>
  <c r="E98" i="156" s="1"/>
  <c r="J55" i="64"/>
  <c r="P54" i="64"/>
  <c r="H192" i="73"/>
  <c r="H194" i="73" s="1"/>
  <c r="E91" i="73"/>
  <c r="E63" i="73"/>
  <c r="D173" i="73"/>
  <c r="D177" i="73" s="1"/>
  <c r="D179" i="73" s="1"/>
  <c r="D162" i="73"/>
  <c r="D166" i="73" s="1"/>
  <c r="D168" i="73" s="1"/>
  <c r="D219" i="73"/>
  <c r="I64" i="273"/>
  <c r="F73" i="73"/>
  <c r="U26" i="250"/>
  <c r="W26" i="250" s="1"/>
  <c r="V26" i="250"/>
  <c r="X26" i="250" s="1"/>
  <c r="D48" i="294"/>
  <c r="D24" i="294"/>
  <c r="D35" i="294" s="1"/>
  <c r="D199" i="73"/>
  <c r="D203" i="73" s="1"/>
  <c r="D205" i="73" s="1"/>
  <c r="H64" i="273"/>
  <c r="U18" i="250"/>
  <c r="W18" i="250" s="1"/>
  <c r="V18" i="250"/>
  <c r="X18" i="250" s="1"/>
  <c r="U12" i="250"/>
  <c r="W12" i="250" s="1"/>
  <c r="V12" i="250"/>
  <c r="X12" i="250" s="1"/>
  <c r="E67" i="73"/>
  <c r="U21" i="250"/>
  <c r="W21" i="250" s="1"/>
  <c r="V21" i="250"/>
  <c r="V29" i="250"/>
  <c r="X29" i="250" s="1"/>
  <c r="U29" i="250"/>
  <c r="W29" i="250" s="1"/>
  <c r="S36" i="322"/>
  <c r="O36" i="322"/>
  <c r="R36" i="322"/>
  <c r="Q18" i="256"/>
  <c r="Q29" i="256"/>
  <c r="Q17" i="256"/>
  <c r="Q27" i="256"/>
  <c r="Q28" i="256"/>
  <c r="Q23" i="256"/>
  <c r="Q21" i="256"/>
  <c r="Q13" i="256"/>
  <c r="Q22" i="256"/>
  <c r="Q11" i="256"/>
  <c r="Q24" i="256"/>
  <c r="Q14" i="256"/>
  <c r="Q19" i="256"/>
  <c r="Q10" i="256"/>
  <c r="Q12" i="256"/>
  <c r="Q16" i="256"/>
  <c r="Q25" i="256"/>
  <c r="Q20" i="256"/>
  <c r="Q26" i="256"/>
  <c r="Q15" i="256"/>
  <c r="N41" i="256"/>
  <c r="N45" i="256"/>
  <c r="N44" i="256"/>
  <c r="N42" i="256"/>
  <c r="N46" i="256"/>
  <c r="N43" i="256"/>
  <c r="G69" i="73"/>
  <c r="G65" i="73"/>
  <c r="G62" i="73"/>
  <c r="G67" i="73"/>
  <c r="G82" i="73" s="1"/>
  <c r="G63" i="73"/>
  <c r="G54" i="73" s="1"/>
  <c r="G78" i="73" s="1"/>
  <c r="G66" i="73"/>
  <c r="G81" i="73" s="1"/>
  <c r="V15" i="250"/>
  <c r="U15" i="250"/>
  <c r="W15" i="250" s="1"/>
  <c r="F91" i="73"/>
  <c r="F53" i="73"/>
  <c r="F32" i="11"/>
  <c r="F56" i="11"/>
  <c r="D38" i="14"/>
  <c r="E38" i="14" s="1"/>
  <c r="D37" i="14"/>
  <c r="E37" i="14" s="1"/>
  <c r="D40" i="14"/>
  <c r="E40" i="14" s="1"/>
  <c r="D24" i="306"/>
  <c r="D35" i="306" s="1"/>
  <c r="D48" i="306"/>
  <c r="O41" i="250"/>
  <c r="O45" i="250"/>
  <c r="O43" i="250"/>
  <c r="O42" i="250"/>
  <c r="O46" i="250"/>
  <c r="O44" i="250"/>
  <c r="V11" i="250"/>
  <c r="X11" i="250" s="1"/>
  <c r="Y11" i="250" s="1"/>
  <c r="U11" i="250"/>
  <c r="W11" i="250" s="1"/>
  <c r="D162" i="273"/>
  <c r="D57" i="273"/>
  <c r="D66" i="273" s="1"/>
  <c r="U20" i="250"/>
  <c r="W20" i="250" s="1"/>
  <c r="D218" i="73"/>
  <c r="D86" i="73"/>
  <c r="D87" i="73" s="1"/>
  <c r="D113" i="73"/>
  <c r="V19" i="250"/>
  <c r="U19" i="250"/>
  <c r="W19" i="250" s="1"/>
  <c r="E23" i="14"/>
  <c r="E26" i="14" s="1"/>
  <c r="J33" i="64"/>
  <c r="N33" i="64"/>
  <c r="M33" i="64"/>
  <c r="G192" i="73"/>
  <c r="G194" i="73" s="1"/>
  <c r="B195" i="73" s="1"/>
  <c r="D9" i="4" s="1"/>
  <c r="G62" i="273"/>
  <c r="F63" i="73"/>
  <c r="F54" i="73" s="1"/>
  <c r="N64" i="73"/>
  <c r="F64" i="73" s="1"/>
  <c r="F55" i="73" s="1"/>
  <c r="J74" i="273"/>
  <c r="P68" i="73"/>
  <c r="J75" i="273" s="1"/>
  <c r="P64" i="73"/>
  <c r="J71" i="273" s="1"/>
  <c r="J70" i="273"/>
  <c r="N21" i="12"/>
  <c r="N11" i="12"/>
  <c r="Q6" i="12"/>
  <c r="N22" i="12"/>
  <c r="N29" i="12"/>
  <c r="N49" i="12"/>
  <c r="N13" i="12"/>
  <c r="N16" i="12"/>
  <c r="N19" i="12"/>
  <c r="N14" i="12"/>
  <c r="N27" i="12"/>
  <c r="N25" i="12"/>
  <c r="N12" i="12"/>
  <c r="N10" i="12"/>
  <c r="N51" i="12"/>
  <c r="N15" i="12"/>
  <c r="N24" i="12"/>
  <c r="N23" i="12"/>
  <c r="N18" i="12"/>
  <c r="N17" i="12"/>
  <c r="N26" i="12"/>
  <c r="N28" i="12"/>
  <c r="N20" i="12"/>
  <c r="F64" i="273"/>
  <c r="G61" i="273" s="1"/>
  <c r="G60" i="273"/>
  <c r="D46" i="273"/>
  <c r="N10" i="305"/>
  <c r="N19" i="305"/>
  <c r="N11" i="305"/>
  <c r="N51" i="305"/>
  <c r="N28" i="305"/>
  <c r="N25" i="305"/>
  <c r="N13" i="305"/>
  <c r="N27" i="305"/>
  <c r="N22" i="305"/>
  <c r="N20" i="305"/>
  <c r="N17" i="305"/>
  <c r="N14" i="305"/>
  <c r="N18" i="305"/>
  <c r="N49" i="305"/>
  <c r="N23" i="305"/>
  <c r="N16" i="305"/>
  <c r="N29" i="305"/>
  <c r="N12" i="305"/>
  <c r="N24" i="305"/>
  <c r="N15" i="305"/>
  <c r="N21" i="305"/>
  <c r="Q6" i="305"/>
  <c r="N26" i="305"/>
  <c r="H65" i="73"/>
  <c r="H69" i="73"/>
  <c r="H62" i="73"/>
  <c r="H67" i="73"/>
  <c r="H82" i="73" s="1"/>
  <c r="H66" i="73"/>
  <c r="H81" i="73" s="1"/>
  <c r="H63" i="73"/>
  <c r="H54" i="73" s="1"/>
  <c r="H78" i="73" s="1"/>
  <c r="V27" i="310" l="1"/>
  <c r="U27" i="310"/>
  <c r="W27" i="310" s="1"/>
  <c r="V18" i="310"/>
  <c r="U18" i="310"/>
  <c r="W18" i="310" s="1"/>
  <c r="H68" i="73"/>
  <c r="H83" i="73" s="1"/>
  <c r="X15" i="250"/>
  <c r="Y15" i="250" s="1"/>
  <c r="X14" i="250"/>
  <c r="Y14" i="250" s="1"/>
  <c r="V19" i="310"/>
  <c r="X19" i="310" s="1"/>
  <c r="Y19" i="310" s="1"/>
  <c r="U19" i="310"/>
  <c r="W19" i="310" s="1"/>
  <c r="V12" i="310"/>
  <c r="U12" i="310"/>
  <c r="W12" i="310" s="1"/>
  <c r="U22" i="310"/>
  <c r="W22" i="310" s="1"/>
  <c r="V22" i="310"/>
  <c r="V17" i="310"/>
  <c r="U17" i="310"/>
  <c r="W17" i="310" s="1"/>
  <c r="X24" i="310"/>
  <c r="Y24" i="310" s="1"/>
  <c r="S45" i="310"/>
  <c r="S43" i="310"/>
  <c r="S42" i="310"/>
  <c r="S46" i="310"/>
  <c r="T10" i="310"/>
  <c r="S44" i="310"/>
  <c r="S41" i="310"/>
  <c r="U15" i="310"/>
  <c r="W15" i="310" s="1"/>
  <c r="V15" i="310"/>
  <c r="X18" i="310"/>
  <c r="V23" i="310"/>
  <c r="U23" i="310"/>
  <c r="W23" i="310" s="1"/>
  <c r="U28" i="310"/>
  <c r="W28" i="310" s="1"/>
  <c r="V28" i="310"/>
  <c r="X28" i="310" s="1"/>
  <c r="Y28" i="310" s="1"/>
  <c r="U20" i="310"/>
  <c r="W20" i="310" s="1"/>
  <c r="V20" i="310"/>
  <c r="X20" i="310" s="1"/>
  <c r="T29" i="310"/>
  <c r="U25" i="310"/>
  <c r="W25" i="310" s="1"/>
  <c r="V25" i="310"/>
  <c r="X25" i="310" s="1"/>
  <c r="Y25" i="310" s="1"/>
  <c r="T26" i="310"/>
  <c r="S45" i="250"/>
  <c r="S44" i="250"/>
  <c r="S41" i="250"/>
  <c r="S42" i="250"/>
  <c r="S43" i="250"/>
  <c r="S46" i="250"/>
  <c r="U13" i="250"/>
  <c r="W13" i="250" s="1"/>
  <c r="X21" i="250"/>
  <c r="Y21" i="250" s="1"/>
  <c r="X28" i="250"/>
  <c r="Y28" i="250" s="1"/>
  <c r="X24" i="250"/>
  <c r="Y24" i="250" s="1"/>
  <c r="V11" i="310"/>
  <c r="U11" i="310"/>
  <c r="W11" i="310" s="1"/>
  <c r="V13" i="310"/>
  <c r="X13" i="310" s="1"/>
  <c r="U13" i="310"/>
  <c r="W13" i="310" s="1"/>
  <c r="X12" i="310"/>
  <c r="U16" i="310"/>
  <c r="W16" i="310" s="1"/>
  <c r="V16" i="310"/>
  <c r="X16" i="310" s="1"/>
  <c r="Y16" i="310" s="1"/>
  <c r="E81" i="322"/>
  <c r="D49" i="250"/>
  <c r="K77" i="64"/>
  <c r="C14" i="156"/>
  <c r="D11" i="320"/>
  <c r="D49" i="256"/>
  <c r="D49" i="310"/>
  <c r="H80" i="73"/>
  <c r="H224" i="73" s="1"/>
  <c r="H73" i="73"/>
  <c r="N44" i="12"/>
  <c r="N45" i="12"/>
  <c r="N42" i="12"/>
  <c r="N41" i="12"/>
  <c r="N43" i="12"/>
  <c r="N46" i="12"/>
  <c r="X13" i="250"/>
  <c r="D166" i="273"/>
  <c r="E27" i="236" s="1"/>
  <c r="C37" i="236" s="1"/>
  <c r="F57" i="73"/>
  <c r="F59" i="73" s="1"/>
  <c r="G162" i="73"/>
  <c r="G166" i="73" s="1"/>
  <c r="G168" i="73" s="1"/>
  <c r="G219" i="73"/>
  <c r="G80" i="73"/>
  <c r="S15" i="256"/>
  <c r="S16" i="256"/>
  <c r="S14" i="256"/>
  <c r="S13" i="256"/>
  <c r="Y13" i="256"/>
  <c r="Y27" i="256"/>
  <c r="S27" i="256"/>
  <c r="H74" i="273"/>
  <c r="L68" i="73"/>
  <c r="H75" i="273" s="1"/>
  <c r="P21" i="274"/>
  <c r="Q21" i="274" s="1"/>
  <c r="P21" i="303"/>
  <c r="Q21" i="303" s="1"/>
  <c r="F28" i="64"/>
  <c r="P21" i="52"/>
  <c r="Q21" i="52" s="1"/>
  <c r="C21" i="52" s="1"/>
  <c r="J58" i="322"/>
  <c r="D33" i="322" s="1"/>
  <c r="O9" i="322" s="1"/>
  <c r="O20" i="322" s="1"/>
  <c r="D59" i="322"/>
  <c r="O64" i="73"/>
  <c r="I70" i="273"/>
  <c r="X23" i="250"/>
  <c r="Y23" i="250" s="1"/>
  <c r="X17" i="250"/>
  <c r="Y17" i="250" s="1"/>
  <c r="G64" i="273"/>
  <c r="X19" i="250"/>
  <c r="Y19" i="250" s="1"/>
  <c r="X20" i="250"/>
  <c r="G84" i="73"/>
  <c r="G90" i="73" s="1"/>
  <c r="G91" i="73"/>
  <c r="Y26" i="256"/>
  <c r="S26" i="256"/>
  <c r="S12" i="256"/>
  <c r="Y12" i="256"/>
  <c r="S24" i="256"/>
  <c r="S21" i="256"/>
  <c r="S17" i="256"/>
  <c r="X27" i="250"/>
  <c r="I74" i="273"/>
  <c r="O68" i="73"/>
  <c r="X16" i="250"/>
  <c r="Y16" i="250" s="1"/>
  <c r="X22" i="250"/>
  <c r="Y22" i="250" s="1"/>
  <c r="H64" i="73"/>
  <c r="H55" i="73" s="1"/>
  <c r="H79" i="73" s="1"/>
  <c r="Q14" i="305"/>
  <c r="Q25" i="305"/>
  <c r="Q20" i="305"/>
  <c r="Q18" i="305"/>
  <c r="Q19" i="305"/>
  <c r="Q21" i="305"/>
  <c r="Q24" i="305"/>
  <c r="Q26" i="305"/>
  <c r="Q12" i="305"/>
  <c r="Q13" i="305"/>
  <c r="Q11" i="305"/>
  <c r="Q23" i="305"/>
  <c r="Q16" i="305"/>
  <c r="Q27" i="305"/>
  <c r="Q10" i="305"/>
  <c r="Q28" i="305"/>
  <c r="Q17" i="305"/>
  <c r="Q22" i="305"/>
  <c r="Q29" i="305"/>
  <c r="Q15" i="305"/>
  <c r="T43" i="250"/>
  <c r="T46" i="250"/>
  <c r="V10" i="250"/>
  <c r="T42" i="250"/>
  <c r="U10" i="250"/>
  <c r="T45" i="250"/>
  <c r="T44" i="250"/>
  <c r="T41" i="250"/>
  <c r="D124" i="73"/>
  <c r="D128" i="73" s="1"/>
  <c r="D130" i="73" s="1"/>
  <c r="D117" i="73"/>
  <c r="D119" i="73" s="1"/>
  <c r="Y20" i="256"/>
  <c r="S20" i="256"/>
  <c r="Q44" i="256"/>
  <c r="Q41" i="256"/>
  <c r="Q43" i="256"/>
  <c r="S10" i="256"/>
  <c r="Q46" i="256"/>
  <c r="Q42" i="256"/>
  <c r="Q45" i="256"/>
  <c r="S11" i="256"/>
  <c r="S23" i="256"/>
  <c r="S29" i="256"/>
  <c r="Y29" i="256"/>
  <c r="P20" i="274"/>
  <c r="Q20" i="274" s="1"/>
  <c r="P20" i="303"/>
  <c r="Q20" i="303" s="1"/>
  <c r="P20" i="52"/>
  <c r="Q20" i="52" s="1"/>
  <c r="E28" i="64"/>
  <c r="E30" i="64" s="1"/>
  <c r="E71" i="73"/>
  <c r="H219" i="73"/>
  <c r="H162" i="73"/>
  <c r="H166" i="73" s="1"/>
  <c r="H168" i="73" s="1"/>
  <c r="H91" i="73"/>
  <c r="H84" i="73"/>
  <c r="H90" i="73" s="1"/>
  <c r="H93" i="73" s="1"/>
  <c r="H97" i="73" s="1"/>
  <c r="H102" i="73" s="1"/>
  <c r="N41" i="305"/>
  <c r="N45" i="305"/>
  <c r="N42" i="305"/>
  <c r="N44" i="305"/>
  <c r="N46" i="305"/>
  <c r="N43" i="305"/>
  <c r="Q19" i="12"/>
  <c r="Q18" i="12"/>
  <c r="Q21" i="12"/>
  <c r="Q24" i="12"/>
  <c r="Q27" i="12"/>
  <c r="Q11" i="12"/>
  <c r="Q10" i="12"/>
  <c r="Q13" i="12"/>
  <c r="Q16" i="12"/>
  <c r="Q25" i="12"/>
  <c r="Q15" i="12"/>
  <c r="Q17" i="12"/>
  <c r="Q28" i="12"/>
  <c r="Q14" i="12"/>
  <c r="Q20" i="12"/>
  <c r="Q22" i="12"/>
  <c r="Q12" i="12"/>
  <c r="Q29" i="12"/>
  <c r="Q26" i="12"/>
  <c r="Q23" i="12"/>
  <c r="D16" i="11"/>
  <c r="O6" i="256"/>
  <c r="D86" i="273"/>
  <c r="D171" i="273" s="1"/>
  <c r="D175" i="273" s="1"/>
  <c r="E29" i="236" s="1"/>
  <c r="D90" i="273"/>
  <c r="D85" i="273"/>
  <c r="D87" i="273"/>
  <c r="D84" i="273"/>
  <c r="D88" i="273"/>
  <c r="D91" i="273"/>
  <c r="D97" i="273" s="1"/>
  <c r="D100" i="273" s="1"/>
  <c r="D104" i="273" s="1"/>
  <c r="E11" i="236" s="1"/>
  <c r="D89" i="273"/>
  <c r="E39" i="14"/>
  <c r="E42" i="14" s="1"/>
  <c r="F71" i="73"/>
  <c r="S25" i="256"/>
  <c r="S19" i="256"/>
  <c r="S22" i="256"/>
  <c r="S28" i="256"/>
  <c r="Y18" i="256"/>
  <c r="S18" i="256"/>
  <c r="P19" i="52"/>
  <c r="P19" i="274"/>
  <c r="Q19" i="274" s="1"/>
  <c r="D30" i="64"/>
  <c r="P19" i="303"/>
  <c r="Q19" i="303" s="1"/>
  <c r="H70" i="273"/>
  <c r="L64" i="73"/>
  <c r="H71" i="273" s="1"/>
  <c r="N18" i="285"/>
  <c r="N17" i="285"/>
  <c r="N48" i="285"/>
  <c r="N24" i="285"/>
  <c r="N31" i="285"/>
  <c r="N23" i="285"/>
  <c r="N22" i="285"/>
  <c r="N25" i="285"/>
  <c r="N20" i="285"/>
  <c r="N11" i="285"/>
  <c r="N30" i="285"/>
  <c r="N10" i="285"/>
  <c r="N13" i="285"/>
  <c r="N12" i="285"/>
  <c r="N50" i="285"/>
  <c r="N19" i="285"/>
  <c r="N14" i="285"/>
  <c r="N16" i="285"/>
  <c r="N26" i="285"/>
  <c r="Q6" i="285"/>
  <c r="N28" i="285"/>
  <c r="N21" i="285"/>
  <c r="N27" i="285"/>
  <c r="N29" i="285"/>
  <c r="N15" i="285"/>
  <c r="E73" i="73"/>
  <c r="X11" i="310" l="1"/>
  <c r="Y11" i="310" s="1"/>
  <c r="V26" i="310"/>
  <c r="U26" i="310"/>
  <c r="W26" i="310" s="1"/>
  <c r="V29" i="310"/>
  <c r="X29" i="310" s="1"/>
  <c r="U29" i="310"/>
  <c r="W29" i="310" s="1"/>
  <c r="X15" i="310"/>
  <c r="Y15" i="310" s="1"/>
  <c r="X17" i="310"/>
  <c r="Y17" i="310" s="1"/>
  <c r="T44" i="310"/>
  <c r="T45" i="310"/>
  <c r="V10" i="310"/>
  <c r="U10" i="310"/>
  <c r="T46" i="310"/>
  <c r="T41" i="310"/>
  <c r="T42" i="310"/>
  <c r="T43" i="310"/>
  <c r="X23" i="310"/>
  <c r="Y23" i="310" s="1"/>
  <c r="X22" i="310"/>
  <c r="Y22" i="310" s="1"/>
  <c r="X27" i="310"/>
  <c r="D9" i="294"/>
  <c r="D12" i="303"/>
  <c r="D9" i="306"/>
  <c r="O6" i="305"/>
  <c r="O6" i="12"/>
  <c r="D12" i="274"/>
  <c r="S22" i="12"/>
  <c r="S13" i="12"/>
  <c r="Y13" i="12"/>
  <c r="T29" i="256"/>
  <c r="S22" i="305"/>
  <c r="Y27" i="305"/>
  <c r="S27" i="305"/>
  <c r="S21" i="305"/>
  <c r="S25" i="305"/>
  <c r="T13" i="256"/>
  <c r="F80" i="73"/>
  <c r="F81" i="73"/>
  <c r="F84" i="73"/>
  <c r="F90" i="73" s="1"/>
  <c r="F93" i="73" s="1"/>
  <c r="F97" i="73" s="1"/>
  <c r="E14" i="156"/>
  <c r="C11" i="156"/>
  <c r="E11" i="156" s="1"/>
  <c r="F83" i="73"/>
  <c r="D189" i="273"/>
  <c r="Y26" i="12"/>
  <c r="S26" i="12"/>
  <c r="S20" i="12"/>
  <c r="Y20" i="12"/>
  <c r="S15" i="12"/>
  <c r="Q42" i="12"/>
  <c r="Q46" i="12"/>
  <c r="S10" i="12"/>
  <c r="Q44" i="12"/>
  <c r="Q41" i="12"/>
  <c r="Q45" i="12"/>
  <c r="Q43" i="12"/>
  <c r="S21" i="12"/>
  <c r="H173" i="73"/>
  <c r="H177" i="73" s="1"/>
  <c r="H179" i="73" s="1"/>
  <c r="S46" i="256"/>
  <c r="S44" i="256"/>
  <c r="S42" i="256"/>
  <c r="S45" i="256"/>
  <c r="S43" i="256"/>
  <c r="S41" i="256"/>
  <c r="T20" i="256"/>
  <c r="F78" i="73"/>
  <c r="U42" i="250"/>
  <c r="U46" i="250"/>
  <c r="U44" i="250"/>
  <c r="U41" i="250"/>
  <c r="U45" i="250"/>
  <c r="U43" i="250"/>
  <c r="W10" i="250"/>
  <c r="X10" i="250" s="1"/>
  <c r="S17" i="305"/>
  <c r="S16" i="305"/>
  <c r="S12" i="305"/>
  <c r="Y12" i="305"/>
  <c r="S19" i="305"/>
  <c r="S14" i="305"/>
  <c r="T27" i="256"/>
  <c r="G173" i="73"/>
  <c r="G177" i="73" s="1"/>
  <c r="G179" i="73" s="1"/>
  <c r="F77" i="73"/>
  <c r="F136" i="73" s="1"/>
  <c r="D51" i="310"/>
  <c r="I49" i="310"/>
  <c r="E80" i="73"/>
  <c r="E84" i="73"/>
  <c r="E90" i="73" s="1"/>
  <c r="E93" i="73" s="1"/>
  <c r="E97" i="73" s="1"/>
  <c r="E79" i="73"/>
  <c r="E77" i="73"/>
  <c r="E136" i="73" s="1"/>
  <c r="E81" i="73"/>
  <c r="E83" i="73"/>
  <c r="P23" i="52"/>
  <c r="Q19" i="52"/>
  <c r="Q23" i="52" s="1"/>
  <c r="D128" i="273"/>
  <c r="D132" i="273" s="1"/>
  <c r="G20" i="236" s="1"/>
  <c r="D136" i="273"/>
  <c r="D140" i="273" s="1"/>
  <c r="G21" i="236" s="1"/>
  <c r="D110" i="273"/>
  <c r="D93" i="273"/>
  <c r="D94" i="273" s="1"/>
  <c r="F94" i="273" s="1"/>
  <c r="D183" i="273"/>
  <c r="S23" i="12"/>
  <c r="S17" i="12"/>
  <c r="S13" i="305"/>
  <c r="Y13" i="305"/>
  <c r="H220" i="73"/>
  <c r="H199" i="73"/>
  <c r="H203" i="73" s="1"/>
  <c r="H205" i="73" s="1"/>
  <c r="T26" i="256"/>
  <c r="D184" i="273"/>
  <c r="D145" i="273"/>
  <c r="D149" i="273" s="1"/>
  <c r="E20" i="236" s="1"/>
  <c r="Y29" i="12"/>
  <c r="S29" i="12"/>
  <c r="S14" i="12"/>
  <c r="S25" i="12"/>
  <c r="S11" i="12"/>
  <c r="S18" i="12"/>
  <c r="Y18" i="12"/>
  <c r="F82" i="73"/>
  <c r="S15" i="305"/>
  <c r="S28" i="305"/>
  <c r="S23" i="305"/>
  <c r="Y26" i="305"/>
  <c r="S26" i="305"/>
  <c r="S18" i="305"/>
  <c r="Y18" i="305"/>
  <c r="H71" i="73"/>
  <c r="E78" i="73"/>
  <c r="F79" i="73"/>
  <c r="I49" i="256"/>
  <c r="D51" i="256"/>
  <c r="I49" i="250"/>
  <c r="D51" i="250"/>
  <c r="S24" i="12"/>
  <c r="J9" i="64"/>
  <c r="E82" i="73"/>
  <c r="O13" i="256"/>
  <c r="O16" i="256"/>
  <c r="O20" i="256"/>
  <c r="O28" i="256"/>
  <c r="T28" i="256" s="1"/>
  <c r="O29" i="256"/>
  <c r="O51" i="256"/>
  <c r="O25" i="256"/>
  <c r="T25" i="256" s="1"/>
  <c r="O49" i="256"/>
  <c r="O26" i="256"/>
  <c r="O24" i="256"/>
  <c r="T24" i="256" s="1"/>
  <c r="O14" i="256"/>
  <c r="T14" i="256" s="1"/>
  <c r="O18" i="256"/>
  <c r="O11" i="256"/>
  <c r="T11" i="256" s="1"/>
  <c r="O15" i="256"/>
  <c r="T15" i="256" s="1"/>
  <c r="O10" i="256"/>
  <c r="O19" i="256"/>
  <c r="T19" i="256" s="1"/>
  <c r="O12" i="256"/>
  <c r="O21" i="256"/>
  <c r="O17" i="256"/>
  <c r="T17" i="256" s="1"/>
  <c r="O23" i="256"/>
  <c r="T23" i="256" s="1"/>
  <c r="O22" i="256"/>
  <c r="T22" i="256" s="1"/>
  <c r="O27" i="256"/>
  <c r="Q20" i="285"/>
  <c r="Q23" i="285"/>
  <c r="Q14" i="285"/>
  <c r="Q30" i="285"/>
  <c r="Q25" i="285"/>
  <c r="Q12" i="285"/>
  <c r="Q15" i="285"/>
  <c r="Q31" i="285"/>
  <c r="Q22" i="285"/>
  <c r="Q17" i="285"/>
  <c r="Q24" i="285"/>
  <c r="Q11" i="285"/>
  <c r="Q18" i="285"/>
  <c r="Q29" i="285"/>
  <c r="Q27" i="285"/>
  <c r="Q13" i="285"/>
  <c r="Q19" i="285"/>
  <c r="Q28" i="285"/>
  <c r="Q10" i="285"/>
  <c r="Q26" i="285"/>
  <c r="Q21" i="285"/>
  <c r="Q16" i="285"/>
  <c r="N41" i="285"/>
  <c r="N45" i="285"/>
  <c r="N43" i="285"/>
  <c r="N46" i="285"/>
  <c r="N42" i="285"/>
  <c r="N44" i="285"/>
  <c r="T18" i="256"/>
  <c r="D32" i="11"/>
  <c r="D56" i="11"/>
  <c r="Y12" i="12"/>
  <c r="S12" i="12"/>
  <c r="S28" i="12"/>
  <c r="S16" i="12"/>
  <c r="S27" i="12"/>
  <c r="Y27" i="12"/>
  <c r="S19" i="12"/>
  <c r="J10" i="64"/>
  <c r="J21" i="64" s="1"/>
  <c r="F30" i="64"/>
  <c r="T19" i="303" s="1" a="1"/>
  <c r="V44" i="250"/>
  <c r="V45" i="250"/>
  <c r="V46" i="250"/>
  <c r="V43" i="250"/>
  <c r="V42" i="250"/>
  <c r="V41" i="250"/>
  <c r="S29" i="305"/>
  <c r="Y29" i="305"/>
  <c r="S10" i="305"/>
  <c r="Q41" i="305"/>
  <c r="Q42" i="305"/>
  <c r="Q46" i="305"/>
  <c r="Q44" i="305"/>
  <c r="Q45" i="305"/>
  <c r="Q43" i="305"/>
  <c r="S11" i="305"/>
  <c r="S24" i="305"/>
  <c r="S20" i="305"/>
  <c r="Y20" i="305"/>
  <c r="H53" i="73"/>
  <c r="I75" i="273"/>
  <c r="G68" i="73"/>
  <c r="T21" i="256"/>
  <c r="T12" i="256"/>
  <c r="G93" i="73"/>
  <c r="G97" i="73" s="1"/>
  <c r="G102" i="73" s="1"/>
  <c r="I71" i="273"/>
  <c r="G64" i="73"/>
  <c r="T16" i="256"/>
  <c r="D14" i="320"/>
  <c r="D15" i="320" s="1"/>
  <c r="C24" i="156"/>
  <c r="E24" i="156" s="1"/>
  <c r="D49" i="12"/>
  <c r="D17" i="4"/>
  <c r="F140" i="73" l="1"/>
  <c r="F142" i="73" s="1"/>
  <c r="E140" i="73"/>
  <c r="E142" i="73" s="1"/>
  <c r="V43" i="310"/>
  <c r="V41" i="310"/>
  <c r="V44" i="310"/>
  <c r="V45" i="310"/>
  <c r="V42" i="310"/>
  <c r="V46" i="310"/>
  <c r="X10" i="310"/>
  <c r="X26" i="310"/>
  <c r="W10" i="310"/>
  <c r="U46" i="310"/>
  <c r="U43" i="310"/>
  <c r="U44" i="310"/>
  <c r="U45" i="310"/>
  <c r="U41" i="310"/>
  <c r="U42" i="310"/>
  <c r="U24" i="256"/>
  <c r="W24" i="256" s="1"/>
  <c r="V24" i="256"/>
  <c r="V11" i="256"/>
  <c r="U11" i="256"/>
  <c r="W11" i="256" s="1"/>
  <c r="T21" i="303"/>
  <c r="T19" i="303"/>
  <c r="T20" i="303"/>
  <c r="V15" i="256"/>
  <c r="U15" i="256"/>
  <c r="W15" i="256" s="1"/>
  <c r="V22" i="256"/>
  <c r="U22" i="256"/>
  <c r="W22" i="256" s="1"/>
  <c r="U17" i="256"/>
  <c r="W17" i="256" s="1"/>
  <c r="V17" i="256"/>
  <c r="X17" i="256" s="1"/>
  <c r="Y17" i="256" s="1"/>
  <c r="V14" i="256"/>
  <c r="U14" i="256"/>
  <c r="W14" i="256" s="1"/>
  <c r="U25" i="256"/>
  <c r="W25" i="256" s="1"/>
  <c r="V25" i="256"/>
  <c r="X25" i="256" s="1"/>
  <c r="Y25" i="256" s="1"/>
  <c r="S31" i="285"/>
  <c r="Y31" i="285"/>
  <c r="G55" i="73"/>
  <c r="G71" i="73"/>
  <c r="U12" i="256"/>
  <c r="W12" i="256" s="1"/>
  <c r="V12" i="256"/>
  <c r="T12" i="12"/>
  <c r="S16" i="285"/>
  <c r="S28" i="285"/>
  <c r="Y29" i="285"/>
  <c r="S29" i="285"/>
  <c r="S17" i="285"/>
  <c r="Y12" i="285"/>
  <c r="S12" i="285"/>
  <c r="S23" i="285"/>
  <c r="J20" i="64"/>
  <c r="D37" i="52" a="1"/>
  <c r="F220" i="73"/>
  <c r="F199" i="73"/>
  <c r="F203" i="73" s="1"/>
  <c r="F205" i="73" s="1"/>
  <c r="T18" i="305"/>
  <c r="T29" i="12"/>
  <c r="G22" i="236"/>
  <c r="G25" i="236" s="1"/>
  <c r="E220" i="73"/>
  <c r="E199" i="73"/>
  <c r="E203" i="73" s="1"/>
  <c r="E205" i="73" s="1"/>
  <c r="T12" i="305"/>
  <c r="F219" i="73"/>
  <c r="F162" i="73"/>
  <c r="F166" i="73" s="1"/>
  <c r="F168" i="73" s="1"/>
  <c r="F173" i="73"/>
  <c r="F177" i="73" s="1"/>
  <c r="F179" i="73" s="1"/>
  <c r="S42" i="12"/>
  <c r="S46" i="12"/>
  <c r="S44" i="12"/>
  <c r="S45" i="12"/>
  <c r="S41" i="12"/>
  <c r="S43" i="12"/>
  <c r="U13" i="256"/>
  <c r="W13" i="256" s="1"/>
  <c r="V13" i="256"/>
  <c r="X13" i="256" s="1"/>
  <c r="T27" i="305"/>
  <c r="O13" i="305"/>
  <c r="O24" i="305"/>
  <c r="O15" i="305"/>
  <c r="T15" i="305" s="1"/>
  <c r="O17" i="305"/>
  <c r="T17" i="305" s="1"/>
  <c r="O10" i="305"/>
  <c r="O26" i="305"/>
  <c r="O16" i="305"/>
  <c r="T16" i="305" s="1"/>
  <c r="O51" i="305"/>
  <c r="O23" i="305"/>
  <c r="O25" i="305"/>
  <c r="T25" i="305" s="1"/>
  <c r="O18" i="305"/>
  <c r="O20" i="305"/>
  <c r="O27" i="305"/>
  <c r="O22" i="305"/>
  <c r="T22" i="305" s="1"/>
  <c r="O12" i="305"/>
  <c r="O29" i="305"/>
  <c r="O11" i="305"/>
  <c r="O14" i="305"/>
  <c r="T14" i="305" s="1"/>
  <c r="O28" i="305"/>
  <c r="T28" i="305" s="1"/>
  <c r="O49" i="305"/>
  <c r="O19" i="305"/>
  <c r="O21" i="305"/>
  <c r="V16" i="256"/>
  <c r="U16" i="256"/>
  <c r="W16" i="256" s="1"/>
  <c r="V21" i="256"/>
  <c r="U21" i="256"/>
  <c r="W21" i="256" s="1"/>
  <c r="T11" i="305"/>
  <c r="S13" i="285"/>
  <c r="Y13" i="285"/>
  <c r="S11" i="285"/>
  <c r="U23" i="256"/>
  <c r="W23" i="256" s="1"/>
  <c r="V23" i="256"/>
  <c r="H77" i="73"/>
  <c r="H136" i="73" s="1"/>
  <c r="H57" i="73"/>
  <c r="H59" i="73" s="1"/>
  <c r="T24" i="305"/>
  <c r="T29" i="305"/>
  <c r="U18" i="256"/>
  <c r="W18" i="256" s="1"/>
  <c r="V18" i="256"/>
  <c r="X18" i="256" s="1"/>
  <c r="S21" i="285"/>
  <c r="S19" i="285"/>
  <c r="S18" i="285"/>
  <c r="Y18" i="285"/>
  <c r="S22" i="285"/>
  <c r="S25" i="285"/>
  <c r="Y20" i="285"/>
  <c r="S20" i="285"/>
  <c r="O45" i="256"/>
  <c r="O44" i="256"/>
  <c r="O43" i="256"/>
  <c r="O41" i="256"/>
  <c r="O42" i="256"/>
  <c r="O46" i="256"/>
  <c r="U19" i="256"/>
  <c r="W19" i="256" s="1"/>
  <c r="V19" i="256"/>
  <c r="X19" i="256" s="1"/>
  <c r="Y19" i="256" s="1"/>
  <c r="T19" i="274" a="1"/>
  <c r="T19" i="52" a="1"/>
  <c r="I51" i="250"/>
  <c r="K49" i="250"/>
  <c r="E162" i="73"/>
  <c r="E166" i="73" s="1"/>
  <c r="E168" i="73" s="1"/>
  <c r="B169" i="73" s="1"/>
  <c r="E219" i="73"/>
  <c r="T26" i="305"/>
  <c r="T18" i="12"/>
  <c r="V26" i="256"/>
  <c r="X26" i="256" s="1"/>
  <c r="U26" i="256"/>
  <c r="W26" i="256" s="1"/>
  <c r="F113" i="73"/>
  <c r="F218" i="73"/>
  <c r="F86" i="73"/>
  <c r="F87" i="73" s="1"/>
  <c r="W42" i="250"/>
  <c r="W46" i="250"/>
  <c r="W44" i="250"/>
  <c r="W41" i="250"/>
  <c r="W45" i="250"/>
  <c r="W43" i="250"/>
  <c r="U20" i="256"/>
  <c r="W20" i="256" s="1"/>
  <c r="V20" i="256"/>
  <c r="X20" i="256" s="1"/>
  <c r="T13" i="12"/>
  <c r="D49" i="306"/>
  <c r="D25" i="306"/>
  <c r="T13" i="305"/>
  <c r="D114" i="273"/>
  <c r="D118" i="273"/>
  <c r="D122" i="273" s="1"/>
  <c r="T19" i="305"/>
  <c r="T10" i="256"/>
  <c r="T20" i="12"/>
  <c r="U29" i="256"/>
  <c r="W29" i="256" s="1"/>
  <c r="V29" i="256"/>
  <c r="C94" i="156"/>
  <c r="E94" i="156" s="1"/>
  <c r="D12" i="52"/>
  <c r="D51" i="12"/>
  <c r="I49" i="12"/>
  <c r="X41" i="250"/>
  <c r="X43" i="250"/>
  <c r="X44" i="250"/>
  <c r="X42" i="250"/>
  <c r="X46" i="250"/>
  <c r="X45" i="250"/>
  <c r="Y10" i="250"/>
  <c r="Y26" i="285"/>
  <c r="S26" i="285"/>
  <c r="S30" i="285"/>
  <c r="Y30" i="285"/>
  <c r="K62" i="73" a="1"/>
  <c r="G83" i="73"/>
  <c r="G224" i="73" s="1"/>
  <c r="G73" i="73"/>
  <c r="T20" i="305"/>
  <c r="S41" i="305"/>
  <c r="S42" i="305"/>
  <c r="S44" i="305"/>
  <c r="S46" i="305"/>
  <c r="S45" i="305"/>
  <c r="T10" i="305"/>
  <c r="S43" i="305"/>
  <c r="T27" i="12"/>
  <c r="S10" i="285"/>
  <c r="Q44" i="285"/>
  <c r="Q43" i="285"/>
  <c r="Q41" i="285"/>
  <c r="Q46" i="285"/>
  <c r="Q42" i="285"/>
  <c r="Q45" i="285"/>
  <c r="S27" i="285"/>
  <c r="Y27" i="285"/>
  <c r="S24" i="285"/>
  <c r="S15" i="285"/>
  <c r="S14" i="285"/>
  <c r="U28" i="256"/>
  <c r="W28" i="256" s="1"/>
  <c r="V28" i="256"/>
  <c r="X28" i="256" s="1"/>
  <c r="Y28" i="256" s="1"/>
  <c r="I51" i="256"/>
  <c r="K49" i="256"/>
  <c r="T23" i="305"/>
  <c r="D153" i="273"/>
  <c r="D157" i="273" s="1"/>
  <c r="E21" i="236" s="1"/>
  <c r="E22" i="236" s="1"/>
  <c r="E25" i="236" s="1"/>
  <c r="T23" i="12"/>
  <c r="E218" i="73"/>
  <c r="E113" i="73"/>
  <c r="E86" i="73"/>
  <c r="E87" i="73" s="1"/>
  <c r="I51" i="310"/>
  <c r="K49" i="310"/>
  <c r="V27" i="256"/>
  <c r="U27" i="256"/>
  <c r="W27" i="256" s="1"/>
  <c r="T26" i="12"/>
  <c r="T21" i="305"/>
  <c r="O10" i="12"/>
  <c r="O13" i="12"/>
  <c r="O16" i="12"/>
  <c r="T16" i="12" s="1"/>
  <c r="O19" i="12"/>
  <c r="T19" i="12" s="1"/>
  <c r="O49" i="12"/>
  <c r="O29" i="12"/>
  <c r="O18" i="12"/>
  <c r="O21" i="12"/>
  <c r="T21" i="12" s="1"/>
  <c r="O11" i="12"/>
  <c r="T11" i="12" s="1"/>
  <c r="O25" i="12"/>
  <c r="T25" i="12" s="1"/>
  <c r="O27" i="12"/>
  <c r="O14" i="12"/>
  <c r="T14" i="12" s="1"/>
  <c r="O20" i="12"/>
  <c r="O24" i="12"/>
  <c r="T24" i="12" s="1"/>
  <c r="O17" i="12"/>
  <c r="T17" i="12" s="1"/>
  <c r="O23" i="12"/>
  <c r="O51" i="12"/>
  <c r="O15" i="12"/>
  <c r="T15" i="12" s="1"/>
  <c r="O28" i="12"/>
  <c r="T28" i="12" s="1"/>
  <c r="O22" i="12"/>
  <c r="T22" i="12" s="1"/>
  <c r="O26" i="12"/>
  <c r="O12" i="12"/>
  <c r="D49" i="294"/>
  <c r="D25" i="294"/>
  <c r="X44" i="310" l="1"/>
  <c r="Y10" i="310"/>
  <c r="X43" i="310"/>
  <c r="X45" i="310"/>
  <c r="X42" i="310"/>
  <c r="X41" i="310"/>
  <c r="X46" i="310"/>
  <c r="H140" i="73"/>
  <c r="H142" i="73" s="1"/>
  <c r="H150" i="73"/>
  <c r="H152" i="73" s="1"/>
  <c r="X12" i="256"/>
  <c r="X11" i="256"/>
  <c r="Y11" i="256" s="1"/>
  <c r="X29" i="256"/>
  <c r="X23" i="256"/>
  <c r="Y23" i="256" s="1"/>
  <c r="W42" i="310"/>
  <c r="W45" i="310"/>
  <c r="W46" i="310"/>
  <c r="W44" i="310"/>
  <c r="W41" i="310"/>
  <c r="W43" i="310"/>
  <c r="V28" i="12"/>
  <c r="U28" i="12"/>
  <c r="W28" i="12" s="1"/>
  <c r="V17" i="12"/>
  <c r="U17" i="12"/>
  <c r="W17" i="12" s="1"/>
  <c r="U16" i="12"/>
  <c r="W16" i="12" s="1"/>
  <c r="V16" i="12"/>
  <c r="X16" i="12" s="1"/>
  <c r="Y16" i="12" s="1"/>
  <c r="U15" i="305"/>
  <c r="W15" i="305" s="1"/>
  <c r="V15" i="305"/>
  <c r="X15" i="305" s="1"/>
  <c r="Y15" i="305" s="1"/>
  <c r="V15" i="12"/>
  <c r="U15" i="12"/>
  <c r="W15" i="12" s="1"/>
  <c r="U24" i="12"/>
  <c r="W24" i="12" s="1"/>
  <c r="V24" i="12"/>
  <c r="X24" i="12" s="1"/>
  <c r="Y24" i="12" s="1"/>
  <c r="U25" i="12"/>
  <c r="W25" i="12" s="1"/>
  <c r="V25" i="12"/>
  <c r="X25" i="12" s="1"/>
  <c r="Y25" i="12" s="1"/>
  <c r="U14" i="305"/>
  <c r="W14" i="305" s="1"/>
  <c r="V14" i="305"/>
  <c r="X14" i="305" s="1"/>
  <c r="Y14" i="305" s="1"/>
  <c r="U11" i="12"/>
  <c r="W11" i="12" s="1"/>
  <c r="V11" i="12"/>
  <c r="X11" i="12" s="1"/>
  <c r="Y11" i="12" s="1"/>
  <c r="U22" i="12"/>
  <c r="W22" i="12" s="1"/>
  <c r="V22" i="12"/>
  <c r="X22" i="12" s="1"/>
  <c r="Y22" i="12" s="1"/>
  <c r="U14" i="12"/>
  <c r="W14" i="12" s="1"/>
  <c r="V14" i="12"/>
  <c r="X14" i="12" s="1"/>
  <c r="Y14" i="12" s="1"/>
  <c r="V21" i="12"/>
  <c r="U21" i="12"/>
  <c r="W21" i="12" s="1"/>
  <c r="V19" i="12"/>
  <c r="U19" i="12"/>
  <c r="W19" i="12" s="1"/>
  <c r="U17" i="305"/>
  <c r="W17" i="305" s="1"/>
  <c r="V17" i="305"/>
  <c r="X17" i="305" s="1"/>
  <c r="Y17" i="305" s="1"/>
  <c r="K51" i="256"/>
  <c r="AB46" i="256" s="1"/>
  <c r="V21" i="305"/>
  <c r="U21" i="305"/>
  <c r="W21" i="305" s="1"/>
  <c r="X27" i="256"/>
  <c r="E117" i="73"/>
  <c r="E119" i="73" s="1"/>
  <c r="E124" i="73"/>
  <c r="E128" i="73" s="1"/>
  <c r="E130" i="73" s="1"/>
  <c r="T27" i="285"/>
  <c r="S44" i="285"/>
  <c r="S42" i="285"/>
  <c r="S46" i="285"/>
  <c r="S43" i="285"/>
  <c r="S45" i="285"/>
  <c r="S41" i="285"/>
  <c r="U27" i="12"/>
  <c r="W27" i="12" s="1"/>
  <c r="V27" i="12"/>
  <c r="X27" i="12" s="1"/>
  <c r="Y41" i="250"/>
  <c r="Y43" i="250"/>
  <c r="Y45" i="250"/>
  <c r="Y44" i="250"/>
  <c r="Y46" i="250"/>
  <c r="Y42" i="250"/>
  <c r="Y47" i="250" s="1"/>
  <c r="U19" i="305"/>
  <c r="W19" i="305" s="1"/>
  <c r="V19" i="305"/>
  <c r="X19" i="305" s="1"/>
  <c r="Y19" i="305" s="1"/>
  <c r="E173" i="73"/>
  <c r="E177" i="73" s="1"/>
  <c r="E179" i="73" s="1"/>
  <c r="B180" i="73" s="1"/>
  <c r="D183" i="73" s="1"/>
  <c r="F183" i="73" s="1"/>
  <c r="U24" i="305"/>
  <c r="W24" i="305" s="1"/>
  <c r="V24" i="305"/>
  <c r="T13" i="285"/>
  <c r="X21" i="256"/>
  <c r="Y21" i="256" s="1"/>
  <c r="O44" i="305"/>
  <c r="O42" i="305"/>
  <c r="O45" i="305"/>
  <c r="O43" i="305"/>
  <c r="O41" i="305"/>
  <c r="O46" i="305"/>
  <c r="U12" i="12"/>
  <c r="W12" i="12" s="1"/>
  <c r="V12" i="12"/>
  <c r="G79" i="73"/>
  <c r="G53" i="73"/>
  <c r="X15" i="256"/>
  <c r="Y15" i="256" s="1"/>
  <c r="V23" i="12"/>
  <c r="U23" i="12"/>
  <c r="W23" i="12" s="1"/>
  <c r="K51" i="310"/>
  <c r="AB46" i="310" s="1"/>
  <c r="V23" i="305"/>
  <c r="X23" i="305" s="1"/>
  <c r="Y23" i="305" s="1"/>
  <c r="U23" i="305"/>
  <c r="W23" i="305" s="1"/>
  <c r="U28" i="305"/>
  <c r="W28" i="305" s="1"/>
  <c r="V28" i="305"/>
  <c r="T30" i="285"/>
  <c r="X30" i="285"/>
  <c r="O6" i="285"/>
  <c r="D51" i="52"/>
  <c r="V20" i="12"/>
  <c r="X20" i="12" s="1"/>
  <c r="U20" i="12"/>
  <c r="W20" i="12" s="1"/>
  <c r="T46" i="256"/>
  <c r="T43" i="256"/>
  <c r="V10" i="256"/>
  <c r="T44" i="256"/>
  <c r="T41" i="256"/>
  <c r="U10" i="256"/>
  <c r="T45" i="256"/>
  <c r="T42" i="256"/>
  <c r="V13" i="305"/>
  <c r="U13" i="305"/>
  <c r="W13" i="305" s="1"/>
  <c r="V18" i="12"/>
  <c r="X18" i="12" s="1"/>
  <c r="U18" i="12"/>
  <c r="W18" i="12" s="1"/>
  <c r="T20" i="52"/>
  <c r="T21" i="52"/>
  <c r="T19" i="52"/>
  <c r="U12" i="305"/>
  <c r="W12" i="305" s="1"/>
  <c r="V12" i="305"/>
  <c r="X12" i="305" s="1"/>
  <c r="F37" i="52"/>
  <c r="I37" i="52"/>
  <c r="G37" i="52"/>
  <c r="E37" i="52"/>
  <c r="D37" i="52"/>
  <c r="H37" i="52"/>
  <c r="J37" i="52"/>
  <c r="K37" i="52"/>
  <c r="T12" i="285"/>
  <c r="T29" i="285"/>
  <c r="O42" i="12"/>
  <c r="O46" i="12"/>
  <c r="O45" i="12"/>
  <c r="O43" i="12"/>
  <c r="O44" i="12"/>
  <c r="O41" i="12"/>
  <c r="V26" i="12"/>
  <c r="U26" i="12"/>
  <c r="W26" i="12" s="1"/>
  <c r="U22" i="305"/>
  <c r="W22" i="305" s="1"/>
  <c r="V22" i="305"/>
  <c r="X22" i="305" s="1"/>
  <c r="Y22" i="305" s="1"/>
  <c r="U10" i="305"/>
  <c r="T44" i="305"/>
  <c r="T42" i="305"/>
  <c r="T46" i="305"/>
  <c r="T45" i="305"/>
  <c r="V10" i="305"/>
  <c r="T41" i="305"/>
  <c r="T43" i="305"/>
  <c r="V20" i="305"/>
  <c r="X20" i="305" s="1"/>
  <c r="U20" i="305"/>
  <c r="W20" i="305" s="1"/>
  <c r="T26" i="285"/>
  <c r="V13" i="12"/>
  <c r="U13" i="12"/>
  <c r="W13" i="12" s="1"/>
  <c r="T19" i="274"/>
  <c r="T21" i="274"/>
  <c r="T20" i="274"/>
  <c r="T18" i="285"/>
  <c r="U29" i="305"/>
  <c r="W29" i="305" s="1"/>
  <c r="V29" i="305"/>
  <c r="H113" i="73"/>
  <c r="H86" i="73"/>
  <c r="H87" i="73" s="1"/>
  <c r="H218" i="73"/>
  <c r="V11" i="305"/>
  <c r="U11" i="305"/>
  <c r="W11" i="305" s="1"/>
  <c r="X16" i="256"/>
  <c r="Y16" i="256" s="1"/>
  <c r="V27" i="305"/>
  <c r="U27" i="305"/>
  <c r="W27" i="305" s="1"/>
  <c r="V29" i="12"/>
  <c r="U29" i="12"/>
  <c r="W29" i="12" s="1"/>
  <c r="U18" i="305"/>
  <c r="W18" i="305" s="1"/>
  <c r="V18" i="305"/>
  <c r="X18" i="305" s="1"/>
  <c r="D37" i="274" a="1"/>
  <c r="D37" i="303" a="1"/>
  <c r="X31" i="285"/>
  <c r="T31" i="285"/>
  <c r="X14" i="256"/>
  <c r="Y14" i="256" s="1"/>
  <c r="X22" i="256"/>
  <c r="Y22" i="256" s="1"/>
  <c r="X24" i="256"/>
  <c r="Y24" i="256" s="1"/>
  <c r="K63" i="73"/>
  <c r="K64" i="73"/>
  <c r="K62" i="73"/>
  <c r="I51" i="12"/>
  <c r="K49" i="12"/>
  <c r="V16" i="305"/>
  <c r="U16" i="305"/>
  <c r="W16" i="305" s="1"/>
  <c r="U25" i="305"/>
  <c r="W25" i="305" s="1"/>
  <c r="V25" i="305"/>
  <c r="X25" i="305" s="1"/>
  <c r="Y25" i="305" s="1"/>
  <c r="F124" i="73"/>
  <c r="F128" i="73" s="1"/>
  <c r="F130" i="73" s="1"/>
  <c r="F117" i="73"/>
  <c r="F119" i="73" s="1"/>
  <c r="U26" i="305"/>
  <c r="W26" i="305" s="1"/>
  <c r="V26" i="305"/>
  <c r="X26" i="305" s="1"/>
  <c r="K51" i="250"/>
  <c r="AB46" i="250" s="1"/>
  <c r="T20" i="285"/>
  <c r="T10" i="12"/>
  <c r="Y44" i="310" l="1"/>
  <c r="Y45" i="310"/>
  <c r="Y42" i="310"/>
  <c r="Y47" i="310" s="1"/>
  <c r="Y46" i="310"/>
  <c r="Y43" i="310"/>
  <c r="Y41" i="310"/>
  <c r="X13" i="12"/>
  <c r="X11" i="305"/>
  <c r="Y11" i="305" s="1"/>
  <c r="X13" i="305"/>
  <c r="X21" i="305"/>
  <c r="Y21" i="305" s="1"/>
  <c r="V31" i="285"/>
  <c r="U31" i="285"/>
  <c r="W31" i="285" s="1"/>
  <c r="E31" i="52"/>
  <c r="E30" i="52"/>
  <c r="E20" i="52"/>
  <c r="E27" i="52" s="1"/>
  <c r="E29" i="52"/>
  <c r="E41" i="52" s="1"/>
  <c r="E21" i="52"/>
  <c r="E28" i="52" s="1"/>
  <c r="E19" i="52"/>
  <c r="E32" i="52"/>
  <c r="AB43" i="250"/>
  <c r="Y51" i="250"/>
  <c r="AB42" i="250" s="1"/>
  <c r="Y49" i="250"/>
  <c r="AB41" i="250" s="1"/>
  <c r="V27" i="285"/>
  <c r="U27" i="285"/>
  <c r="W27" i="285" s="1"/>
  <c r="F37" i="303"/>
  <c r="D37" i="303"/>
  <c r="G37" i="303"/>
  <c r="E37" i="303"/>
  <c r="H37" i="303"/>
  <c r="I37" i="303"/>
  <c r="K37" i="303"/>
  <c r="J37" i="303"/>
  <c r="U13" i="285"/>
  <c r="W13" i="285" s="1"/>
  <c r="V13" i="285"/>
  <c r="V10" i="12"/>
  <c r="T44" i="12"/>
  <c r="T42" i="12"/>
  <c r="T46" i="12"/>
  <c r="U10" i="12"/>
  <c r="T41" i="12"/>
  <c r="T43" i="12"/>
  <c r="T45" i="12"/>
  <c r="V20" i="285"/>
  <c r="U20" i="285"/>
  <c r="W20" i="285" s="1"/>
  <c r="K37" i="274"/>
  <c r="I37" i="274"/>
  <c r="J37" i="274"/>
  <c r="H37" i="274"/>
  <c r="G37" i="274"/>
  <c r="E37" i="274"/>
  <c r="F37" i="274"/>
  <c r="D37" i="274"/>
  <c r="X29" i="12"/>
  <c r="H124" i="73"/>
  <c r="H128" i="73" s="1"/>
  <c r="H130" i="73" s="1"/>
  <c r="H117" i="73"/>
  <c r="H119" i="73" s="1"/>
  <c r="V26" i="285"/>
  <c r="U26" i="285"/>
  <c r="W26" i="285" s="1"/>
  <c r="X26" i="12"/>
  <c r="V29" i="285"/>
  <c r="U29" i="285"/>
  <c r="W29" i="285" s="1"/>
  <c r="I129" i="52"/>
  <c r="J21" i="52"/>
  <c r="J28" i="52" s="1"/>
  <c r="J68" i="52" s="1"/>
  <c r="J32" i="52"/>
  <c r="J72" i="52" s="1"/>
  <c r="J20" i="52"/>
  <c r="J27" i="52" s="1"/>
  <c r="J67" i="52" s="1"/>
  <c r="J30" i="52"/>
  <c r="J70" i="52" s="1"/>
  <c r="J31" i="52"/>
  <c r="J71" i="52" s="1"/>
  <c r="J29" i="52"/>
  <c r="J19" i="52"/>
  <c r="G31" i="52"/>
  <c r="G71" i="52" s="1"/>
  <c r="G21" i="52"/>
  <c r="G28" i="52" s="1"/>
  <c r="G68" i="52" s="1"/>
  <c r="G32" i="52"/>
  <c r="G72" i="52" s="1"/>
  <c r="G29" i="52"/>
  <c r="G20" i="52"/>
  <c r="G27" i="52" s="1"/>
  <c r="G67" i="52" s="1"/>
  <c r="G30" i="52"/>
  <c r="G70" i="52" s="1"/>
  <c r="F129" i="52"/>
  <c r="G19" i="52"/>
  <c r="G57" i="73"/>
  <c r="G59" i="73" s="1"/>
  <c r="G77" i="73"/>
  <c r="G136" i="73" s="1"/>
  <c r="X24" i="305"/>
  <c r="Y24" i="305" s="1"/>
  <c r="J9" i="4"/>
  <c r="H11" i="320"/>
  <c r="L20" i="73"/>
  <c r="C21" i="156"/>
  <c r="E21" i="156" s="1"/>
  <c r="X21" i="12"/>
  <c r="Y21" i="12" s="1"/>
  <c r="X17" i="12"/>
  <c r="Y17" i="12" s="1"/>
  <c r="V18" i="285"/>
  <c r="U18" i="285"/>
  <c r="W18" i="285" s="1"/>
  <c r="U43" i="305"/>
  <c r="U45" i="305"/>
  <c r="U41" i="305"/>
  <c r="W10" i="305"/>
  <c r="U44" i="305"/>
  <c r="U42" i="305"/>
  <c r="U46" i="305"/>
  <c r="O22" i="285"/>
  <c r="T22" i="285" s="1"/>
  <c r="O26" i="285"/>
  <c r="O21" i="285"/>
  <c r="T21" i="285" s="1"/>
  <c r="O48" i="285"/>
  <c r="X48" i="285" s="1"/>
  <c r="O28" i="285"/>
  <c r="T28" i="285" s="1"/>
  <c r="O31" i="285"/>
  <c r="O14" i="285"/>
  <c r="T14" i="285" s="1"/>
  <c r="O23" i="285"/>
  <c r="T23" i="285" s="1"/>
  <c r="O13" i="285"/>
  <c r="O25" i="285"/>
  <c r="T25" i="285" s="1"/>
  <c r="O12" i="285"/>
  <c r="O24" i="285"/>
  <c r="T24" i="285" s="1"/>
  <c r="O50" i="285"/>
  <c r="O10" i="285"/>
  <c r="O30" i="285"/>
  <c r="O11" i="285"/>
  <c r="T11" i="285" s="1"/>
  <c r="O18" i="285"/>
  <c r="O17" i="285"/>
  <c r="T17" i="285" s="1"/>
  <c r="O16" i="285"/>
  <c r="T16" i="285" s="1"/>
  <c r="O27" i="285"/>
  <c r="O15" i="285"/>
  <c r="T15" i="285" s="1"/>
  <c r="O20" i="285"/>
  <c r="O29" i="285"/>
  <c r="O19" i="285"/>
  <c r="T19" i="285" s="1"/>
  <c r="X29" i="305"/>
  <c r="H30" i="52"/>
  <c r="H70" i="52" s="1"/>
  <c r="H29" i="52"/>
  <c r="H31" i="52"/>
  <c r="H71" i="52" s="1"/>
  <c r="H19" i="52"/>
  <c r="H32" i="52"/>
  <c r="H72" i="52" s="1"/>
  <c r="G129" i="52"/>
  <c r="H21" i="52"/>
  <c r="H28" i="52" s="1"/>
  <c r="H68" i="52" s="1"/>
  <c r="H20" i="52"/>
  <c r="H27" i="52" s="1"/>
  <c r="H67" i="52" s="1"/>
  <c r="I30" i="52"/>
  <c r="I70" i="52" s="1"/>
  <c r="I19" i="52"/>
  <c r="I29" i="52"/>
  <c r="I32" i="52"/>
  <c r="I72" i="52" s="1"/>
  <c r="I20" i="52"/>
  <c r="I27" i="52" s="1"/>
  <c r="I67" i="52" s="1"/>
  <c r="I31" i="52"/>
  <c r="I71" i="52" s="1"/>
  <c r="H129" i="52"/>
  <c r="I21" i="52"/>
  <c r="I28" i="52" s="1"/>
  <c r="I68" i="52" s="1"/>
  <c r="V46" i="256"/>
  <c r="V44" i="256"/>
  <c r="V45" i="256"/>
  <c r="V41" i="256"/>
  <c r="V43" i="256"/>
  <c r="V42" i="256"/>
  <c r="U30" i="285"/>
  <c r="W30" i="285" s="1"/>
  <c r="V30" i="285"/>
  <c r="G220" i="73"/>
  <c r="G199" i="73"/>
  <c r="G203" i="73" s="1"/>
  <c r="G205" i="73" s="1"/>
  <c r="B206" i="73" s="1"/>
  <c r="K51" i="12"/>
  <c r="AB46" i="12" s="1"/>
  <c r="K31" i="52"/>
  <c r="K71" i="52" s="1"/>
  <c r="K29" i="52"/>
  <c r="K20" i="52"/>
  <c r="K27" i="52" s="1"/>
  <c r="K67" i="52" s="1"/>
  <c r="K32" i="52"/>
  <c r="K72" i="52" s="1"/>
  <c r="K30" i="52"/>
  <c r="K70" i="52" s="1"/>
  <c r="K19" i="52"/>
  <c r="J129" i="52"/>
  <c r="K21" i="52"/>
  <c r="K28" i="52" s="1"/>
  <c r="K68" i="52" s="1"/>
  <c r="X16" i="305"/>
  <c r="Y16" i="305" s="1"/>
  <c r="X27" i="305"/>
  <c r="V44" i="305"/>
  <c r="V42" i="305"/>
  <c r="V43" i="305"/>
  <c r="V46" i="305"/>
  <c r="V41" i="305"/>
  <c r="V45" i="305"/>
  <c r="X10" i="305"/>
  <c r="V12" i="285"/>
  <c r="U12" i="285"/>
  <c r="W12" i="285" s="1"/>
  <c r="D30" i="52"/>
  <c r="D32" i="52"/>
  <c r="D21" i="52"/>
  <c r="D31" i="52"/>
  <c r="D20" i="52"/>
  <c r="D29" i="52"/>
  <c r="F31" i="52"/>
  <c r="F71" i="52" s="1"/>
  <c r="F32" i="52"/>
  <c r="F72" i="52" s="1"/>
  <c r="F19" i="52"/>
  <c r="F30" i="52"/>
  <c r="F70" i="52" s="1"/>
  <c r="F29" i="52"/>
  <c r="F20" i="52"/>
  <c r="F27" i="52" s="1"/>
  <c r="F67" i="52" s="1"/>
  <c r="F21" i="52"/>
  <c r="F28" i="52" s="1"/>
  <c r="F68" i="52" s="1"/>
  <c r="U42" i="256"/>
  <c r="U41" i="256"/>
  <c r="U43" i="256"/>
  <c r="U44" i="256"/>
  <c r="U46" i="256"/>
  <c r="W10" i="256"/>
  <c r="U45" i="256"/>
  <c r="D131" i="52"/>
  <c r="D52" i="52"/>
  <c r="D57" i="52" s="1"/>
  <c r="X28" i="305"/>
  <c r="Y28" i="305" s="1"/>
  <c r="X23" i="12"/>
  <c r="Y23" i="12" s="1"/>
  <c r="X12" i="12"/>
  <c r="X19" i="12"/>
  <c r="Y19" i="12" s="1"/>
  <c r="X15" i="12"/>
  <c r="Y15" i="12" s="1"/>
  <c r="X28" i="12"/>
  <c r="Y28" i="12" s="1"/>
  <c r="G140" i="73" l="1"/>
  <c r="G142" i="73" s="1"/>
  <c r="B143" i="73" s="1"/>
  <c r="G150" i="73"/>
  <c r="G152" i="73" s="1"/>
  <c r="X29" i="285"/>
  <c r="Y49" i="310"/>
  <c r="AB41" i="310" s="1"/>
  <c r="AB44" i="310" s="1"/>
  <c r="AB48" i="310" s="1"/>
  <c r="Y51" i="310"/>
  <c r="AB42" i="310" s="1"/>
  <c r="AB45" i="310" s="1"/>
  <c r="AB43" i="310"/>
  <c r="X12" i="285"/>
  <c r="D27" i="52"/>
  <c r="D23" i="52"/>
  <c r="D67" i="52"/>
  <c r="F20" i="274"/>
  <c r="F27" i="274" s="1"/>
  <c r="F67" i="274" s="1"/>
  <c r="F31" i="274"/>
  <c r="F71" i="274" s="1"/>
  <c r="F21" i="274"/>
  <c r="F28" i="274" s="1"/>
  <c r="F68" i="274" s="1"/>
  <c r="F29" i="274"/>
  <c r="F32" i="274"/>
  <c r="F72" i="274" s="1"/>
  <c r="F19" i="274"/>
  <c r="F30" i="274"/>
  <c r="F70" i="274" s="1"/>
  <c r="I129" i="274"/>
  <c r="J19" i="274"/>
  <c r="J29" i="274"/>
  <c r="J31" i="274"/>
  <c r="J71" i="274" s="1"/>
  <c r="J32" i="274"/>
  <c r="J72" i="274" s="1"/>
  <c r="J20" i="274"/>
  <c r="J27" i="274" s="1"/>
  <c r="J67" i="274" s="1"/>
  <c r="J21" i="274"/>
  <c r="J28" i="274" s="1"/>
  <c r="J68" i="274" s="1"/>
  <c r="J30" i="274"/>
  <c r="J70" i="274" s="1"/>
  <c r="J32" i="303"/>
  <c r="J72" i="303" s="1"/>
  <c r="J20" i="303"/>
  <c r="J27" i="303" s="1"/>
  <c r="J67" i="303" s="1"/>
  <c r="J31" i="303"/>
  <c r="J71" i="303" s="1"/>
  <c r="J21" i="303"/>
  <c r="J28" i="303" s="1"/>
  <c r="J68" i="303" s="1"/>
  <c r="J19" i="303"/>
  <c r="J29" i="303"/>
  <c r="J30" i="303"/>
  <c r="J70" i="303" s="1"/>
  <c r="I129" i="303"/>
  <c r="W45" i="256"/>
  <c r="W44" i="256"/>
  <c r="W46" i="256"/>
  <c r="W41" i="256"/>
  <c r="W43" i="256"/>
  <c r="W42" i="256"/>
  <c r="F41" i="52"/>
  <c r="F69" i="52"/>
  <c r="D28" i="52"/>
  <c r="D68" i="52"/>
  <c r="K26" i="52"/>
  <c r="K23" i="52"/>
  <c r="K69" i="52"/>
  <c r="K41" i="52"/>
  <c r="X10" i="256"/>
  <c r="I41" i="52"/>
  <c r="I69" i="52"/>
  <c r="V19" i="285"/>
  <c r="U19" i="285"/>
  <c r="W19" i="285" s="1"/>
  <c r="U11" i="285"/>
  <c r="W11" i="285" s="1"/>
  <c r="V11" i="285"/>
  <c r="U24" i="285"/>
  <c r="W24" i="285" s="1"/>
  <c r="V24" i="285"/>
  <c r="U23" i="285"/>
  <c r="W23" i="285" s="1"/>
  <c r="V23" i="285"/>
  <c r="X18" i="285"/>
  <c r="G20" i="274"/>
  <c r="G27" i="274" s="1"/>
  <c r="G67" i="274" s="1"/>
  <c r="G31" i="274"/>
  <c r="G71" i="274" s="1"/>
  <c r="G21" i="274"/>
  <c r="G28" i="274" s="1"/>
  <c r="G68" i="274" s="1"/>
  <c r="G19" i="274"/>
  <c r="G30" i="274"/>
  <c r="G70" i="274" s="1"/>
  <c r="G29" i="274"/>
  <c r="F129" i="274"/>
  <c r="G32" i="274"/>
  <c r="G72" i="274" s="1"/>
  <c r="K32" i="274"/>
  <c r="K72" i="274" s="1"/>
  <c r="J129" i="274"/>
  <c r="K30" i="274"/>
  <c r="K70" i="274" s="1"/>
  <c r="K19" i="274"/>
  <c r="K29" i="274"/>
  <c r="K20" i="274"/>
  <c r="K27" i="274" s="1"/>
  <c r="K67" i="274" s="1"/>
  <c r="K31" i="274"/>
  <c r="K71" i="274" s="1"/>
  <c r="K21" i="274"/>
  <c r="K28" i="274" s="1"/>
  <c r="K68" i="274" s="1"/>
  <c r="X13" i="285"/>
  <c r="I32" i="303"/>
  <c r="I72" i="303" s="1"/>
  <c r="I19" i="303"/>
  <c r="I20" i="303"/>
  <c r="I27" i="303" s="1"/>
  <c r="I67" i="303" s="1"/>
  <c r="I31" i="303"/>
  <c r="I71" i="303" s="1"/>
  <c r="I21" i="303"/>
  <c r="I28" i="303" s="1"/>
  <c r="I68" i="303" s="1"/>
  <c r="I29" i="303"/>
  <c r="I30" i="303"/>
  <c r="I70" i="303" s="1"/>
  <c r="H129" i="303"/>
  <c r="D39" i="303"/>
  <c r="D20" i="303"/>
  <c r="D21" i="303"/>
  <c r="D68" i="303" s="1"/>
  <c r="AB44" i="250"/>
  <c r="E66" i="52"/>
  <c r="E23" i="52"/>
  <c r="F26" i="52"/>
  <c r="F23" i="52"/>
  <c r="V17" i="285"/>
  <c r="X17" i="285" s="1"/>
  <c r="Y17" i="285" s="1"/>
  <c r="U17" i="285"/>
  <c r="W17" i="285" s="1"/>
  <c r="O42" i="285"/>
  <c r="O46" i="285"/>
  <c r="O44" i="285"/>
  <c r="O41" i="285"/>
  <c r="O45" i="285"/>
  <c r="O43" i="285"/>
  <c r="T10" i="285"/>
  <c r="J41" i="52"/>
  <c r="J69" i="52"/>
  <c r="D41" i="52"/>
  <c r="X42" i="305"/>
  <c r="X46" i="305"/>
  <c r="X44" i="305"/>
  <c r="X45" i="305"/>
  <c r="X41" i="305"/>
  <c r="X43" i="305"/>
  <c r="Y10" i="305"/>
  <c r="I26" i="52"/>
  <c r="I23" i="52"/>
  <c r="H41" i="52"/>
  <c r="H69" i="52"/>
  <c r="V16" i="285"/>
  <c r="X16" i="285" s="1"/>
  <c r="Y16" i="285" s="1"/>
  <c r="U16" i="285"/>
  <c r="W16" i="285" s="1"/>
  <c r="U14" i="285"/>
  <c r="W14" i="285" s="1"/>
  <c r="V14" i="285"/>
  <c r="X14" i="285" s="1"/>
  <c r="Y14" i="285" s="1"/>
  <c r="V21" i="285"/>
  <c r="X21" i="285" s="1"/>
  <c r="Y21" i="285" s="1"/>
  <c r="U21" i="285"/>
  <c r="W21" i="285" s="1"/>
  <c r="G35" i="236"/>
  <c r="L9" i="126"/>
  <c r="L25" i="73"/>
  <c r="B214" i="73" s="1"/>
  <c r="G23" i="52"/>
  <c r="G26" i="52"/>
  <c r="G41" i="52"/>
  <c r="G69" i="52"/>
  <c r="J23" i="52"/>
  <c r="J26" i="52"/>
  <c r="X26" i="285"/>
  <c r="D39" i="274"/>
  <c r="D21" i="274"/>
  <c r="D68" i="274" s="1"/>
  <c r="D20" i="274"/>
  <c r="H20" i="274"/>
  <c r="H27" i="274" s="1"/>
  <c r="H67" i="274" s="1"/>
  <c r="H31" i="274"/>
  <c r="H71" i="274" s="1"/>
  <c r="G129" i="274"/>
  <c r="H30" i="274"/>
  <c r="H70" i="274" s="1"/>
  <c r="H29" i="274"/>
  <c r="H21" i="274"/>
  <c r="H28" i="274" s="1"/>
  <c r="H68" i="274" s="1"/>
  <c r="H19" i="274"/>
  <c r="H32" i="274"/>
  <c r="H72" i="274" s="1"/>
  <c r="H21" i="303"/>
  <c r="H28" i="303" s="1"/>
  <c r="H68" i="303" s="1"/>
  <c r="H30" i="303"/>
  <c r="H70" i="303" s="1"/>
  <c r="G129" i="303"/>
  <c r="H31" i="303"/>
  <c r="H71" i="303" s="1"/>
  <c r="H20" i="303"/>
  <c r="H27" i="303" s="1"/>
  <c r="H67" i="303" s="1"/>
  <c r="H29" i="303"/>
  <c r="H32" i="303"/>
  <c r="H72" i="303" s="1"/>
  <c r="H19" i="303"/>
  <c r="F32" i="303"/>
  <c r="F72" i="303" s="1"/>
  <c r="F20" i="303"/>
  <c r="F27" i="303" s="1"/>
  <c r="F67" i="303" s="1"/>
  <c r="F31" i="303"/>
  <c r="F71" i="303" s="1"/>
  <c r="F21" i="303"/>
  <c r="F28" i="303" s="1"/>
  <c r="F68" i="303" s="1"/>
  <c r="F30" i="303"/>
  <c r="F70" i="303" s="1"/>
  <c r="F19" i="303"/>
  <c r="F29" i="303"/>
  <c r="AB45" i="250"/>
  <c r="V25" i="285"/>
  <c r="U25" i="285"/>
  <c r="W25" i="285" s="1"/>
  <c r="G113" i="73"/>
  <c r="G218" i="73"/>
  <c r="G86" i="73"/>
  <c r="G87" i="73" s="1"/>
  <c r="J87" i="73" s="1"/>
  <c r="D8" i="248" s="1"/>
  <c r="X20" i="285"/>
  <c r="U41" i="12"/>
  <c r="U45" i="12"/>
  <c r="U43" i="12"/>
  <c r="U44" i="12"/>
  <c r="W10" i="12"/>
  <c r="U46" i="12"/>
  <c r="U42" i="12"/>
  <c r="V43" i="12"/>
  <c r="V41" i="12"/>
  <c r="V45" i="12"/>
  <c r="V46" i="12"/>
  <c r="V42" i="12"/>
  <c r="V44" i="12"/>
  <c r="X10" i="12"/>
  <c r="E29" i="303"/>
  <c r="E21" i="303"/>
  <c r="E28" i="303" s="1"/>
  <c r="E20" i="303"/>
  <c r="E27" i="303" s="1"/>
  <c r="E19" i="303"/>
  <c r="E30" i="303"/>
  <c r="E32" i="303"/>
  <c r="E31" i="303"/>
  <c r="H26" i="52"/>
  <c r="H23" i="52"/>
  <c r="U15" i="285"/>
  <c r="W15" i="285" s="1"/>
  <c r="V15" i="285"/>
  <c r="U28" i="285"/>
  <c r="W28" i="285" s="1"/>
  <c r="V28" i="285"/>
  <c r="X28" i="285" s="1"/>
  <c r="Y28" i="285" s="1"/>
  <c r="V22" i="285"/>
  <c r="X22" i="285" s="1"/>
  <c r="Y22" i="285" s="1"/>
  <c r="U22" i="285"/>
  <c r="W22" i="285" s="1"/>
  <c r="W45" i="305"/>
  <c r="W46" i="305"/>
  <c r="W41" i="305"/>
  <c r="W43" i="305"/>
  <c r="W42" i="305"/>
  <c r="W44" i="305"/>
  <c r="F81" i="322"/>
  <c r="L77" i="64"/>
  <c r="E29" i="274"/>
  <c r="E30" i="274"/>
  <c r="E20" i="274"/>
  <c r="E27" i="274" s="1"/>
  <c r="E21" i="274"/>
  <c r="E28" i="274" s="1"/>
  <c r="E19" i="274"/>
  <c r="E32" i="274"/>
  <c r="E31" i="274"/>
  <c r="H129" i="274"/>
  <c r="I29" i="274"/>
  <c r="I21" i="274"/>
  <c r="I28" i="274" s="1"/>
  <c r="I68" i="274" s="1"/>
  <c r="I19" i="274"/>
  <c r="I30" i="274"/>
  <c r="I70" i="274" s="1"/>
  <c r="I32" i="274"/>
  <c r="I72" i="274" s="1"/>
  <c r="I31" i="274"/>
  <c r="I71" i="274" s="1"/>
  <c r="I20" i="274"/>
  <c r="I27" i="274" s="1"/>
  <c r="I67" i="274" s="1"/>
  <c r="J129" i="303"/>
  <c r="K29" i="303"/>
  <c r="K20" i="303"/>
  <c r="K27" i="303" s="1"/>
  <c r="K67" i="303" s="1"/>
  <c r="K32" i="303"/>
  <c r="K72" i="303" s="1"/>
  <c r="K31" i="303"/>
  <c r="K71" i="303" s="1"/>
  <c r="K30" i="303"/>
  <c r="K70" i="303" s="1"/>
  <c r="K19" i="303"/>
  <c r="K21" i="303"/>
  <c r="K28" i="303" s="1"/>
  <c r="K68" i="303" s="1"/>
  <c r="G20" i="303"/>
  <c r="G27" i="303" s="1"/>
  <c r="G67" i="303" s="1"/>
  <c r="G31" i="303"/>
  <c r="G71" i="303" s="1"/>
  <c r="F129" i="303"/>
  <c r="G30" i="303"/>
  <c r="G70" i="303" s="1"/>
  <c r="G19" i="303"/>
  <c r="G21" i="303"/>
  <c r="G28" i="303" s="1"/>
  <c r="G68" i="303" s="1"/>
  <c r="G29" i="303"/>
  <c r="G32" i="303"/>
  <c r="G72" i="303" s="1"/>
  <c r="X27" i="285"/>
  <c r="E35" i="52"/>
  <c r="E39" i="52" s="1"/>
  <c r="X25" i="285" l="1"/>
  <c r="Y25" i="285" s="1"/>
  <c r="X41" i="12"/>
  <c r="X45" i="12"/>
  <c r="X43" i="12"/>
  <c r="X42" i="12"/>
  <c r="X46" i="12"/>
  <c r="X44" i="12"/>
  <c r="Y10" i="12"/>
  <c r="I41" i="274"/>
  <c r="I69" i="274"/>
  <c r="E26" i="274"/>
  <c r="E35" i="274" s="1"/>
  <c r="E39" i="274" s="1"/>
  <c r="E66" i="274"/>
  <c r="E23" i="274"/>
  <c r="H35" i="52"/>
  <c r="H39" i="52" s="1"/>
  <c r="H66" i="52"/>
  <c r="W41" i="12"/>
  <c r="W45" i="12"/>
  <c r="W43" i="12"/>
  <c r="W44" i="12"/>
  <c r="W42" i="12"/>
  <c r="W46" i="12"/>
  <c r="G117" i="73"/>
  <c r="G119" i="73" s="1"/>
  <c r="B120" i="73" s="1"/>
  <c r="G124" i="73"/>
  <c r="G128" i="73" s="1"/>
  <c r="G130" i="73" s="1"/>
  <c r="B131" i="73" s="1"/>
  <c r="H13" i="40" s="1"/>
  <c r="F41" i="303"/>
  <c r="F69" i="303"/>
  <c r="H26" i="274"/>
  <c r="H23" i="274"/>
  <c r="Y42" i="305"/>
  <c r="Y44" i="305"/>
  <c r="Y46" i="305"/>
  <c r="Y45" i="305"/>
  <c r="Y43" i="305"/>
  <c r="Y41" i="305"/>
  <c r="T41" i="285"/>
  <c r="T45" i="285"/>
  <c r="T43" i="285"/>
  <c r="V10" i="285"/>
  <c r="T46" i="285"/>
  <c r="T42" i="285"/>
  <c r="U10" i="285"/>
  <c r="T44" i="285"/>
  <c r="K26" i="274"/>
  <c r="K23" i="274"/>
  <c r="G23" i="274"/>
  <c r="G26" i="274"/>
  <c r="J69" i="303"/>
  <c r="J41" i="303"/>
  <c r="J23" i="274"/>
  <c r="J26" i="274"/>
  <c r="D75" i="52"/>
  <c r="D80" i="52"/>
  <c r="G69" i="303"/>
  <c r="G41" i="303"/>
  <c r="E23" i="303"/>
  <c r="E26" i="303"/>
  <c r="E35" i="303" s="1"/>
  <c r="E39" i="303" s="1"/>
  <c r="E66" i="303"/>
  <c r="K69" i="303"/>
  <c r="K41" i="303"/>
  <c r="E41" i="274"/>
  <c r="G26" i="303"/>
  <c r="G23" i="303"/>
  <c r="X15" i="285"/>
  <c r="Y15" i="285" s="1"/>
  <c r="F23" i="303"/>
  <c r="F26" i="303"/>
  <c r="H69" i="303"/>
  <c r="H41" i="303"/>
  <c r="J66" i="52"/>
  <c r="J35" i="52"/>
  <c r="J39" i="52" s="1"/>
  <c r="J43" i="52" s="1"/>
  <c r="G66" i="52"/>
  <c r="G35" i="52"/>
  <c r="G39" i="52" s="1"/>
  <c r="F35" i="52"/>
  <c r="F39" i="52" s="1"/>
  <c r="F43" i="52" s="1"/>
  <c r="F66" i="52"/>
  <c r="E43" i="52"/>
  <c r="D67" i="303"/>
  <c r="D23" i="303"/>
  <c r="D43" i="303" s="1"/>
  <c r="I69" i="303"/>
  <c r="I41" i="303"/>
  <c r="I23" i="303"/>
  <c r="I26" i="303"/>
  <c r="X24" i="285"/>
  <c r="Y24" i="285" s="1"/>
  <c r="X41" i="256"/>
  <c r="X45" i="256"/>
  <c r="X43" i="256"/>
  <c r="X46" i="256"/>
  <c r="X42" i="256"/>
  <c r="X44" i="256"/>
  <c r="Y10" i="256"/>
  <c r="K66" i="52"/>
  <c r="K35" i="52"/>
  <c r="K39" i="52" s="1"/>
  <c r="K43" i="52" s="1"/>
  <c r="J26" i="303"/>
  <c r="J23" i="303"/>
  <c r="F69" i="274"/>
  <c r="F41" i="274"/>
  <c r="I23" i="274"/>
  <c r="I26" i="274"/>
  <c r="E41" i="303"/>
  <c r="H41" i="274"/>
  <c r="H69" i="274"/>
  <c r="G43" i="52"/>
  <c r="E75" i="52"/>
  <c r="E79" i="52" s="1"/>
  <c r="G41" i="274"/>
  <c r="G69" i="274"/>
  <c r="X19" i="285"/>
  <c r="Y19" i="285" s="1"/>
  <c r="D81" i="52"/>
  <c r="D35" i="52"/>
  <c r="D39" i="52" s="1"/>
  <c r="D43" i="52" s="1"/>
  <c r="K23" i="303"/>
  <c r="K26" i="303"/>
  <c r="H43" i="52"/>
  <c r="H23" i="303"/>
  <c r="H26" i="303"/>
  <c r="D23" i="274"/>
  <c r="D43" i="274" s="1"/>
  <c r="D67" i="274"/>
  <c r="I66" i="52"/>
  <c r="I35" i="52"/>
  <c r="I39" i="52" s="1"/>
  <c r="I43" i="52" s="1"/>
  <c r="AB48" i="250"/>
  <c r="D24" i="248" s="1"/>
  <c r="K69" i="274"/>
  <c r="K41" i="274"/>
  <c r="X23" i="285"/>
  <c r="Y23" i="285" s="1"/>
  <c r="X11" i="285"/>
  <c r="Y11" i="285" s="1"/>
  <c r="J41" i="274"/>
  <c r="J69" i="274"/>
  <c r="F23" i="274"/>
  <c r="F26" i="274"/>
  <c r="I105" i="52" l="1"/>
  <c r="J105" i="52"/>
  <c r="D105" i="52"/>
  <c r="D49" i="52"/>
  <c r="F75" i="52"/>
  <c r="F66" i="303"/>
  <c r="F35" i="303"/>
  <c r="F39" i="303" s="1"/>
  <c r="I79" i="52"/>
  <c r="I75" i="52"/>
  <c r="D105" i="274"/>
  <c r="D49" i="274"/>
  <c r="E48" i="274" s="1"/>
  <c r="J66" i="303"/>
  <c r="J35" i="303"/>
  <c r="J39" i="303" s="1"/>
  <c r="D75" i="303"/>
  <c r="D86" i="52"/>
  <c r="D116" i="52"/>
  <c r="D85" i="52"/>
  <c r="D83" i="52"/>
  <c r="D84" i="52"/>
  <c r="D112" i="52"/>
  <c r="D79" i="52"/>
  <c r="D82" i="52"/>
  <c r="D114" i="52"/>
  <c r="V44" i="285"/>
  <c r="V42" i="285"/>
  <c r="V46" i="285"/>
  <c r="V45" i="285"/>
  <c r="V41" i="285"/>
  <c r="V43" i="285"/>
  <c r="E43" i="274"/>
  <c r="E105" i="274" s="1"/>
  <c r="Y41" i="12"/>
  <c r="Y45" i="12"/>
  <c r="Y43" i="12"/>
  <c r="Y44" i="12"/>
  <c r="Y46" i="12"/>
  <c r="Y42" i="12"/>
  <c r="Y47" i="12" s="1"/>
  <c r="H105" i="52"/>
  <c r="I66" i="274"/>
  <c r="I35" i="274"/>
  <c r="I39" i="274" s="1"/>
  <c r="I43" i="274" s="1"/>
  <c r="K75" i="52"/>
  <c r="K79" i="52" s="1"/>
  <c r="G66" i="274"/>
  <c r="G35" i="274"/>
  <c r="G39" i="274" s="1"/>
  <c r="G43" i="274" s="1"/>
  <c r="E105" i="52"/>
  <c r="E109" i="52" s="1"/>
  <c r="G75" i="52"/>
  <c r="E43" i="303"/>
  <c r="E105" i="303" s="1"/>
  <c r="J35" i="274"/>
  <c r="J39" i="274" s="1"/>
  <c r="J43" i="274" s="1"/>
  <c r="J66" i="274"/>
  <c r="U42" i="285"/>
  <c r="U46" i="285"/>
  <c r="W10" i="285"/>
  <c r="X10" i="285" s="1"/>
  <c r="U44" i="285"/>
  <c r="U43" i="285"/>
  <c r="U45" i="285"/>
  <c r="U41" i="285"/>
  <c r="Y47" i="305"/>
  <c r="E75" i="274"/>
  <c r="E109" i="274" s="1"/>
  <c r="F35" i="274"/>
  <c r="F39" i="274" s="1"/>
  <c r="F43" i="274" s="1"/>
  <c r="F66" i="274"/>
  <c r="K66" i="303"/>
  <c r="K35" i="303"/>
  <c r="K39" i="303" s="1"/>
  <c r="H75" i="52"/>
  <c r="H79" i="52" s="1"/>
  <c r="H109" i="52"/>
  <c r="D75" i="274"/>
  <c r="D80" i="274" s="1"/>
  <c r="H66" i="303"/>
  <c r="H35" i="303"/>
  <c r="H39" i="303" s="1"/>
  <c r="H43" i="303" s="1"/>
  <c r="G105" i="52"/>
  <c r="G109" i="52" s="1"/>
  <c r="K43" i="303"/>
  <c r="E81" i="52"/>
  <c r="E83" i="52"/>
  <c r="E115" i="52"/>
  <c r="E80" i="52"/>
  <c r="E82" i="52"/>
  <c r="E114" i="52"/>
  <c r="E86" i="52"/>
  <c r="E85" i="52"/>
  <c r="E84" i="52"/>
  <c r="F105" i="52"/>
  <c r="F109" i="52" s="1"/>
  <c r="J43" i="303"/>
  <c r="Y42" i="256"/>
  <c r="Y44" i="256"/>
  <c r="Y41" i="256"/>
  <c r="Y46" i="256"/>
  <c r="Y45" i="256"/>
  <c r="Y43" i="256"/>
  <c r="I66" i="303"/>
  <c r="I35" i="303"/>
  <c r="I39" i="303" s="1"/>
  <c r="I43" i="303" s="1"/>
  <c r="D105" i="303"/>
  <c r="D49" i="303"/>
  <c r="E48" i="303" s="1"/>
  <c r="J75" i="52"/>
  <c r="J109" i="52" s="1"/>
  <c r="J79" i="52"/>
  <c r="F43" i="303"/>
  <c r="G35" i="303"/>
  <c r="G39" i="303" s="1"/>
  <c r="G43" i="303" s="1"/>
  <c r="G66" i="303"/>
  <c r="E75" i="303"/>
  <c r="E79" i="303"/>
  <c r="E109" i="303"/>
  <c r="K35" i="274"/>
  <c r="K39" i="274" s="1"/>
  <c r="K43" i="274" s="1"/>
  <c r="K66" i="274"/>
  <c r="H66" i="274"/>
  <c r="H35" i="274"/>
  <c r="H39" i="274" s="1"/>
  <c r="H43" i="274" s="1"/>
  <c r="H11" i="40"/>
  <c r="J21" i="40" s="1"/>
  <c r="E51" i="256"/>
  <c r="H51" i="256" s="1"/>
  <c r="E51" i="310"/>
  <c r="H51" i="310" s="1"/>
  <c r="E51" i="250"/>
  <c r="H51" i="250" s="1"/>
  <c r="E110" i="52" l="1"/>
  <c r="E88" i="52"/>
  <c r="E49" i="274"/>
  <c r="F48" i="274" s="1"/>
  <c r="E113" i="52"/>
  <c r="E116" i="52"/>
  <c r="E112" i="52"/>
  <c r="E111" i="52"/>
  <c r="D110" i="274"/>
  <c r="E121" i="274" s="1"/>
  <c r="G105" i="303"/>
  <c r="G105" i="274"/>
  <c r="F105" i="303"/>
  <c r="X43" i="285"/>
  <c r="X41" i="285"/>
  <c r="X45" i="285"/>
  <c r="X42" i="285"/>
  <c r="X44" i="285"/>
  <c r="X46" i="285"/>
  <c r="Y10" i="285"/>
  <c r="J105" i="274"/>
  <c r="H105" i="303"/>
  <c r="H109" i="303" s="1"/>
  <c r="G75" i="303"/>
  <c r="G109" i="303"/>
  <c r="G79" i="303"/>
  <c r="E84" i="303"/>
  <c r="E110" i="303"/>
  <c r="E82" i="303"/>
  <c r="E81" i="303"/>
  <c r="E83" i="303"/>
  <c r="E114" i="303"/>
  <c r="E113" i="303"/>
  <c r="E85" i="303"/>
  <c r="E116" i="303"/>
  <c r="E80" i="303"/>
  <c r="E111" i="303"/>
  <c r="E112" i="303"/>
  <c r="E86" i="303"/>
  <c r="E115" i="303"/>
  <c r="I75" i="303"/>
  <c r="H105" i="274"/>
  <c r="F75" i="274"/>
  <c r="F109" i="274" s="1"/>
  <c r="E79" i="274"/>
  <c r="G116" i="52"/>
  <c r="G86" i="52"/>
  <c r="G115" i="52"/>
  <c r="G114" i="52"/>
  <c r="G113" i="52"/>
  <c r="G84" i="52"/>
  <c r="G81" i="52"/>
  <c r="G80" i="52"/>
  <c r="G111" i="52"/>
  <c r="G83" i="52"/>
  <c r="G85" i="52"/>
  <c r="G110" i="52"/>
  <c r="G112" i="52"/>
  <c r="G82" i="52"/>
  <c r="G75" i="274"/>
  <c r="G109" i="274" s="1"/>
  <c r="I75" i="274"/>
  <c r="I109" i="274" s="1"/>
  <c r="I79" i="274"/>
  <c r="D88" i="52"/>
  <c r="F86" i="52"/>
  <c r="F116" i="52"/>
  <c r="F127" i="52" s="1"/>
  <c r="F81" i="52"/>
  <c r="F80" i="52"/>
  <c r="F111" i="52"/>
  <c r="F110" i="52"/>
  <c r="F84" i="52"/>
  <c r="F113" i="52"/>
  <c r="F115" i="52"/>
  <c r="F114" i="52"/>
  <c r="I125" i="52" s="1"/>
  <c r="F83" i="52"/>
  <c r="F85" i="52"/>
  <c r="F82" i="52"/>
  <c r="F112" i="52"/>
  <c r="D121" i="274"/>
  <c r="Y51" i="305"/>
  <c r="AB42" i="305" s="1"/>
  <c r="AB43" i="305"/>
  <c r="Y49" i="305"/>
  <c r="AB41" i="305" s="1"/>
  <c r="AB44" i="305" s="1"/>
  <c r="J75" i="274"/>
  <c r="I105" i="274"/>
  <c r="D125" i="52"/>
  <c r="E125" i="52"/>
  <c r="D123" i="52"/>
  <c r="E123" i="52"/>
  <c r="D83" i="303"/>
  <c r="D79" i="303"/>
  <c r="D115" i="303"/>
  <c r="D82" i="303"/>
  <c r="D114" i="303"/>
  <c r="D109" i="303"/>
  <c r="D112" i="303"/>
  <c r="D84" i="303"/>
  <c r="D86" i="303"/>
  <c r="D113" i="303"/>
  <c r="D116" i="303"/>
  <c r="D85" i="303"/>
  <c r="D81" i="303"/>
  <c r="D111" i="303"/>
  <c r="E48" i="52"/>
  <c r="E51" i="52" s="1"/>
  <c r="D54" i="52"/>
  <c r="E49" i="52"/>
  <c r="H109" i="274"/>
  <c r="H75" i="274"/>
  <c r="H79" i="274" s="1"/>
  <c r="Y47" i="256"/>
  <c r="D79" i="274"/>
  <c r="D113" i="274"/>
  <c r="D84" i="274"/>
  <c r="D82" i="274"/>
  <c r="D109" i="274"/>
  <c r="D115" i="274"/>
  <c r="D83" i="274"/>
  <c r="D85" i="274"/>
  <c r="D86" i="274"/>
  <c r="D116" i="274"/>
  <c r="D112" i="274"/>
  <c r="D114" i="274"/>
  <c r="D111" i="274"/>
  <c r="D81" i="274"/>
  <c r="W43" i="285"/>
  <c r="W41" i="285"/>
  <c r="W45" i="285"/>
  <c r="W46" i="285"/>
  <c r="W44" i="285"/>
  <c r="W42" i="285"/>
  <c r="G79" i="52"/>
  <c r="D127" i="52"/>
  <c r="E127" i="52"/>
  <c r="D110" i="303"/>
  <c r="J75" i="303"/>
  <c r="J109" i="303" s="1"/>
  <c r="I86" i="52"/>
  <c r="I116" i="52"/>
  <c r="I113" i="52"/>
  <c r="I110" i="52"/>
  <c r="I81" i="52"/>
  <c r="I83" i="52"/>
  <c r="I84" i="52"/>
  <c r="I80" i="52"/>
  <c r="I111" i="52"/>
  <c r="I115" i="52"/>
  <c r="I114" i="52"/>
  <c r="I85" i="52"/>
  <c r="I82" i="52"/>
  <c r="I112" i="52"/>
  <c r="F79" i="52"/>
  <c r="D110" i="52"/>
  <c r="D111" i="52"/>
  <c r="F105" i="274"/>
  <c r="K75" i="274"/>
  <c r="K79" i="274"/>
  <c r="E49" i="303"/>
  <c r="F48" i="303" s="1"/>
  <c r="J86" i="52"/>
  <c r="J116" i="52"/>
  <c r="J110" i="52"/>
  <c r="J84" i="52"/>
  <c r="J85" i="52"/>
  <c r="J81" i="52"/>
  <c r="J115" i="52"/>
  <c r="J83" i="52"/>
  <c r="J111" i="52"/>
  <c r="J114" i="52"/>
  <c r="J113" i="52"/>
  <c r="J80" i="52"/>
  <c r="J82" i="52"/>
  <c r="J112" i="52"/>
  <c r="I105" i="303"/>
  <c r="I109" i="303" s="1"/>
  <c r="J105" i="303"/>
  <c r="H75" i="303"/>
  <c r="H79" i="303" s="1"/>
  <c r="H116" i="52"/>
  <c r="H127" i="52" s="1"/>
  <c r="H86" i="52"/>
  <c r="H84" i="52"/>
  <c r="H83" i="52"/>
  <c r="H115" i="52"/>
  <c r="H111" i="52"/>
  <c r="H80" i="52"/>
  <c r="H85" i="52"/>
  <c r="H81" i="52"/>
  <c r="H110" i="52"/>
  <c r="H114" i="52"/>
  <c r="H113" i="52"/>
  <c r="H112" i="52"/>
  <c r="H123" i="52" s="1"/>
  <c r="H82" i="52"/>
  <c r="K75" i="303"/>
  <c r="K79" i="303" s="1"/>
  <c r="E82" i="274"/>
  <c r="E111" i="274"/>
  <c r="E115" i="274"/>
  <c r="E81" i="274"/>
  <c r="E83" i="274"/>
  <c r="E113" i="274"/>
  <c r="E80" i="274"/>
  <c r="E86" i="274"/>
  <c r="E116" i="274"/>
  <c r="E85" i="274"/>
  <c r="E114" i="274"/>
  <c r="E110" i="274"/>
  <c r="E112" i="274"/>
  <c r="E84" i="274"/>
  <c r="K86" i="52"/>
  <c r="K81" i="52"/>
  <c r="K85" i="52"/>
  <c r="K83" i="52"/>
  <c r="K80" i="52"/>
  <c r="K84" i="52"/>
  <c r="K82" i="52"/>
  <c r="Y51" i="12"/>
  <c r="AB42" i="12" s="1"/>
  <c r="Y49" i="12"/>
  <c r="AB43" i="12"/>
  <c r="D113" i="52"/>
  <c r="D109" i="52"/>
  <c r="D115" i="52"/>
  <c r="D80" i="303"/>
  <c r="I109" i="52"/>
  <c r="F75" i="303"/>
  <c r="F79" i="303" s="1"/>
  <c r="I88" i="52" l="1"/>
  <c r="F109" i="303"/>
  <c r="K88" i="52"/>
  <c r="H125" i="52"/>
  <c r="H88" i="52"/>
  <c r="F88" i="52"/>
  <c r="AB45" i="305"/>
  <c r="E88" i="303"/>
  <c r="G88" i="52"/>
  <c r="J123" i="52"/>
  <c r="AB45" i="12"/>
  <c r="J88" i="52"/>
  <c r="F49" i="274"/>
  <c r="G48" i="274" s="1"/>
  <c r="G79" i="274"/>
  <c r="F79" i="274"/>
  <c r="D88" i="274"/>
  <c r="E131" i="52"/>
  <c r="E52" i="52"/>
  <c r="E57" i="52" s="1"/>
  <c r="D127" i="303"/>
  <c r="E127" i="303"/>
  <c r="D123" i="303"/>
  <c r="E123" i="303"/>
  <c r="D126" i="303"/>
  <c r="E126" i="303"/>
  <c r="I123" i="52"/>
  <c r="J125" i="52"/>
  <c r="J86" i="274"/>
  <c r="J116" i="274"/>
  <c r="J110" i="274"/>
  <c r="J115" i="274"/>
  <c r="J83" i="274"/>
  <c r="J81" i="274"/>
  <c r="J114" i="274"/>
  <c r="J111" i="274"/>
  <c r="J84" i="274"/>
  <c r="J80" i="274"/>
  <c r="J85" i="274"/>
  <c r="J113" i="274"/>
  <c r="J82" i="274"/>
  <c r="J112" i="274"/>
  <c r="E88" i="274"/>
  <c r="F116" i="303"/>
  <c r="F86" i="303"/>
  <c r="F114" i="303"/>
  <c r="F113" i="303"/>
  <c r="F85" i="303"/>
  <c r="F80" i="303"/>
  <c r="F88" i="303" s="1"/>
  <c r="F115" i="303"/>
  <c r="F111" i="303"/>
  <c r="F81" i="303"/>
  <c r="F110" i="303"/>
  <c r="H121" i="303" s="1"/>
  <c r="F83" i="303"/>
  <c r="F84" i="303"/>
  <c r="F82" i="303"/>
  <c r="F112" i="303"/>
  <c r="H123" i="303" s="1"/>
  <c r="K86" i="303"/>
  <c r="K80" i="303"/>
  <c r="K83" i="303"/>
  <c r="K84" i="303"/>
  <c r="K81" i="303"/>
  <c r="K88" i="303" s="1"/>
  <c r="K85" i="303"/>
  <c r="K82" i="303"/>
  <c r="K86" i="274"/>
  <c r="K84" i="274"/>
  <c r="K83" i="274"/>
  <c r="K85" i="274"/>
  <c r="K81" i="274"/>
  <c r="K80" i="274"/>
  <c r="K88" i="274" s="1"/>
  <c r="K82" i="274"/>
  <c r="E121" i="52"/>
  <c r="F121" i="52"/>
  <c r="D121" i="52"/>
  <c r="I121" i="52"/>
  <c r="J121" i="52"/>
  <c r="H121" i="52"/>
  <c r="G121" i="52"/>
  <c r="I127" i="52"/>
  <c r="G127" i="52"/>
  <c r="D125" i="274"/>
  <c r="E125" i="274"/>
  <c r="Y51" i="256"/>
  <c r="AB42" i="256" s="1"/>
  <c r="Y49" i="256"/>
  <c r="AB41" i="256" s="1"/>
  <c r="AB43" i="256"/>
  <c r="E122" i="303"/>
  <c r="F122" i="303"/>
  <c r="D122" i="303"/>
  <c r="D124" i="303"/>
  <c r="F124" i="303"/>
  <c r="E124" i="303"/>
  <c r="E120" i="303"/>
  <c r="D120" i="303"/>
  <c r="J120" i="303"/>
  <c r="H120" i="303"/>
  <c r="G120" i="303"/>
  <c r="I120" i="303"/>
  <c r="F120" i="303"/>
  <c r="D88" i="303"/>
  <c r="F123" i="52"/>
  <c r="G125" i="52"/>
  <c r="J79" i="274"/>
  <c r="G86" i="303"/>
  <c r="G116" i="303"/>
  <c r="G114" i="303"/>
  <c r="G85" i="303"/>
  <c r="G111" i="303"/>
  <c r="G80" i="303"/>
  <c r="G83" i="303"/>
  <c r="G88" i="303" s="1"/>
  <c r="G81" i="303"/>
  <c r="G115" i="303"/>
  <c r="G84" i="303"/>
  <c r="G110" i="303"/>
  <c r="G113" i="303"/>
  <c r="G124" i="303" s="1"/>
  <c r="G112" i="303"/>
  <c r="G82" i="303"/>
  <c r="G49" i="274"/>
  <c r="E122" i="274"/>
  <c r="D122" i="274"/>
  <c r="AB41" i="12"/>
  <c r="AB44" i="12" s="1"/>
  <c r="C93" i="156"/>
  <c r="E93" i="156" s="1"/>
  <c r="I116" i="274"/>
  <c r="I86" i="274"/>
  <c r="I114" i="274"/>
  <c r="I115" i="274"/>
  <c r="I83" i="274"/>
  <c r="I85" i="274"/>
  <c r="I113" i="274"/>
  <c r="I80" i="274"/>
  <c r="I81" i="274"/>
  <c r="I84" i="274"/>
  <c r="I110" i="274"/>
  <c r="I111" i="274"/>
  <c r="I82" i="274"/>
  <c r="I112" i="274"/>
  <c r="I86" i="303"/>
  <c r="I116" i="303"/>
  <c r="I113" i="303"/>
  <c r="I81" i="303"/>
  <c r="I110" i="303"/>
  <c r="I115" i="303"/>
  <c r="I114" i="303"/>
  <c r="I80" i="303"/>
  <c r="I85" i="303"/>
  <c r="I83" i="303"/>
  <c r="I111" i="303"/>
  <c r="I122" i="303" s="1"/>
  <c r="I84" i="303"/>
  <c r="I82" i="303"/>
  <c r="I112" i="303"/>
  <c r="F124" i="52"/>
  <c r="J124" i="52"/>
  <c r="D124" i="52"/>
  <c r="G124" i="52"/>
  <c r="E124" i="52"/>
  <c r="H124" i="52"/>
  <c r="I124" i="52"/>
  <c r="H122" i="52"/>
  <c r="E122" i="52"/>
  <c r="J122" i="52"/>
  <c r="D122" i="52"/>
  <c r="G122" i="52"/>
  <c r="I122" i="52"/>
  <c r="F122" i="52"/>
  <c r="D121" i="303"/>
  <c r="E121" i="303"/>
  <c r="F121" i="303"/>
  <c r="F120" i="274"/>
  <c r="I120" i="274"/>
  <c r="E120" i="274"/>
  <c r="G120" i="274"/>
  <c r="D120" i="274"/>
  <c r="H120" i="274"/>
  <c r="F126" i="52"/>
  <c r="H126" i="52"/>
  <c r="E126" i="52"/>
  <c r="J126" i="52"/>
  <c r="D126" i="52"/>
  <c r="G126" i="52"/>
  <c r="I126" i="52"/>
  <c r="J86" i="303"/>
  <c r="J116" i="303"/>
  <c r="J113" i="303"/>
  <c r="J81" i="303"/>
  <c r="J83" i="303"/>
  <c r="J80" i="303"/>
  <c r="J85" i="303"/>
  <c r="J111" i="303"/>
  <c r="J114" i="303"/>
  <c r="J110" i="303"/>
  <c r="J115" i="303"/>
  <c r="J84" i="303"/>
  <c r="J112" i="303"/>
  <c r="J82" i="303"/>
  <c r="D123" i="274"/>
  <c r="E123" i="274"/>
  <c r="F48" i="52"/>
  <c r="F51" i="52" s="1"/>
  <c r="E54" i="52"/>
  <c r="E58" i="52" s="1"/>
  <c r="E55" i="52"/>
  <c r="F49" i="52"/>
  <c r="E125" i="303"/>
  <c r="D125" i="303"/>
  <c r="G123" i="52"/>
  <c r="F125" i="52"/>
  <c r="H120" i="52"/>
  <c r="G120" i="52"/>
  <c r="J120" i="52"/>
  <c r="I120" i="52"/>
  <c r="E120" i="52"/>
  <c r="D120" i="52"/>
  <c r="F120" i="52"/>
  <c r="H86" i="303"/>
  <c r="H116" i="303"/>
  <c r="H110" i="303"/>
  <c r="H115" i="303"/>
  <c r="H83" i="303"/>
  <c r="H81" i="303"/>
  <c r="H84" i="303"/>
  <c r="H111" i="303"/>
  <c r="H114" i="303"/>
  <c r="H85" i="303"/>
  <c r="H113" i="303"/>
  <c r="H124" i="303" s="1"/>
  <c r="H80" i="303"/>
  <c r="H112" i="303"/>
  <c r="H82" i="303"/>
  <c r="J79" i="303"/>
  <c r="J127" i="52"/>
  <c r="D127" i="274"/>
  <c r="E127" i="274"/>
  <c r="E126" i="274"/>
  <c r="D126" i="274"/>
  <c r="G126" i="274"/>
  <c r="E124" i="274"/>
  <c r="D124" i="274"/>
  <c r="H86" i="274"/>
  <c r="H116" i="274"/>
  <c r="H81" i="274"/>
  <c r="H85" i="274"/>
  <c r="H111" i="274"/>
  <c r="H110" i="274"/>
  <c r="H84" i="274"/>
  <c r="H80" i="274"/>
  <c r="H83" i="274"/>
  <c r="H113" i="274"/>
  <c r="H114" i="274"/>
  <c r="H115" i="274"/>
  <c r="H82" i="274"/>
  <c r="H112" i="274"/>
  <c r="D55" i="52"/>
  <c r="D58" i="52"/>
  <c r="D60" i="52" s="1"/>
  <c r="J109" i="274"/>
  <c r="J120" i="274" s="1"/>
  <c r="G86" i="274"/>
  <c r="G116" i="274"/>
  <c r="G81" i="274"/>
  <c r="G83" i="274"/>
  <c r="G80" i="274"/>
  <c r="G85" i="274"/>
  <c r="G114" i="274"/>
  <c r="G110" i="274"/>
  <c r="G115" i="274"/>
  <c r="G111" i="274"/>
  <c r="G84" i="274"/>
  <c r="G113" i="274"/>
  <c r="J124" i="274" s="1"/>
  <c r="G82" i="274"/>
  <c r="G112" i="274"/>
  <c r="F116" i="274"/>
  <c r="I127" i="274" s="1"/>
  <c r="F86" i="274"/>
  <c r="F115" i="274"/>
  <c r="F113" i="274"/>
  <c r="F124" i="274" s="1"/>
  <c r="F110" i="274"/>
  <c r="F111" i="274"/>
  <c r="G122" i="274" s="1"/>
  <c r="F84" i="274"/>
  <c r="F81" i="274"/>
  <c r="F85" i="274"/>
  <c r="F83" i="274"/>
  <c r="F114" i="274"/>
  <c r="F80" i="274"/>
  <c r="F82" i="274"/>
  <c r="F112" i="274"/>
  <c r="I123" i="274" s="1"/>
  <c r="I79" i="303"/>
  <c r="Y42" i="285"/>
  <c r="Y44" i="285"/>
  <c r="Y46" i="285"/>
  <c r="Y45" i="285"/>
  <c r="Y43" i="285"/>
  <c r="AB43" i="285" s="1"/>
  <c r="AB44" i="285" s="1"/>
  <c r="Y41" i="285"/>
  <c r="F49" i="303"/>
  <c r="F123" i="274" l="1"/>
  <c r="H125" i="303"/>
  <c r="H88" i="274"/>
  <c r="H124" i="274"/>
  <c r="F88" i="274"/>
  <c r="J125" i="303"/>
  <c r="H123" i="274"/>
  <c r="I122" i="274"/>
  <c r="I88" i="274"/>
  <c r="J122" i="274"/>
  <c r="I123" i="303"/>
  <c r="G126" i="303"/>
  <c r="H122" i="303"/>
  <c r="G127" i="303"/>
  <c r="E60" i="52"/>
  <c r="E99" i="52" s="1"/>
  <c r="G124" i="274"/>
  <c r="G123" i="274"/>
  <c r="H122" i="274"/>
  <c r="J121" i="303"/>
  <c r="J126" i="303"/>
  <c r="I88" i="303"/>
  <c r="I125" i="274"/>
  <c r="J126" i="274"/>
  <c r="G88" i="274"/>
  <c r="J123" i="274"/>
  <c r="F126" i="274"/>
  <c r="H88" i="303"/>
  <c r="AB48" i="12"/>
  <c r="D26" i="248" s="1"/>
  <c r="J124" i="303"/>
  <c r="AB45" i="256"/>
  <c r="E93" i="52"/>
  <c r="E92" i="52"/>
  <c r="E94" i="52"/>
  <c r="E96" i="52"/>
  <c r="H121" i="274"/>
  <c r="G121" i="274"/>
  <c r="D92" i="52"/>
  <c r="D99" i="52"/>
  <c r="D93" i="52"/>
  <c r="D96" i="52"/>
  <c r="E50" i="285"/>
  <c r="H50" i="285" s="1"/>
  <c r="D94" i="52"/>
  <c r="D95" i="52"/>
  <c r="D97" i="52"/>
  <c r="D98" i="52"/>
  <c r="H127" i="274"/>
  <c r="H48" i="274"/>
  <c r="H49" i="274"/>
  <c r="I121" i="274"/>
  <c r="F125" i="274"/>
  <c r="I126" i="303"/>
  <c r="G123" i="303"/>
  <c r="I124" i="274"/>
  <c r="I126" i="274"/>
  <c r="I125" i="303"/>
  <c r="F125" i="303"/>
  <c r="I121" i="303"/>
  <c r="F122" i="274"/>
  <c r="J88" i="274"/>
  <c r="G122" i="303"/>
  <c r="G125" i="274"/>
  <c r="H125" i="274"/>
  <c r="H126" i="303"/>
  <c r="F123" i="303"/>
  <c r="F127" i="303"/>
  <c r="G48" i="303"/>
  <c r="G49" i="303"/>
  <c r="J127" i="274"/>
  <c r="G121" i="303"/>
  <c r="F126" i="303"/>
  <c r="H127" i="303"/>
  <c r="J127" i="303"/>
  <c r="H126" i="274"/>
  <c r="G127" i="274"/>
  <c r="J88" i="303"/>
  <c r="F55" i="52"/>
  <c r="F54" i="52"/>
  <c r="G48" i="52"/>
  <c r="G51" i="52" s="1"/>
  <c r="G49" i="52"/>
  <c r="I124" i="303"/>
  <c r="J125" i="274"/>
  <c r="F127" i="274"/>
  <c r="G125" i="303"/>
  <c r="F131" i="52"/>
  <c r="D132" i="52" s="1"/>
  <c r="F52" i="52"/>
  <c r="F57" i="52"/>
  <c r="D20" i="248"/>
  <c r="J121" i="274"/>
  <c r="J122" i="303"/>
  <c r="AB44" i="256"/>
  <c r="AB48" i="256" s="1"/>
  <c r="D22" i="248" s="1"/>
  <c r="J123" i="303"/>
  <c r="I127" i="303"/>
  <c r="F121" i="274"/>
  <c r="E98" i="52" l="1"/>
  <c r="E95" i="52"/>
  <c r="F58" i="52"/>
  <c r="F60" i="52" s="1"/>
  <c r="E97" i="52"/>
  <c r="E101" i="52" s="1"/>
  <c r="G131" i="52"/>
  <c r="G52" i="52"/>
  <c r="G57" i="52" s="1"/>
  <c r="H48" i="303"/>
  <c r="H49" i="303"/>
  <c r="H48" i="52"/>
  <c r="H51" i="52" s="1"/>
  <c r="G54" i="52"/>
  <c r="G55" i="52" s="1"/>
  <c r="H49" i="52"/>
  <c r="T50" i="285"/>
  <c r="D101" i="52"/>
  <c r="I48" i="274"/>
  <c r="I49" i="274"/>
  <c r="J48" i="274" l="1"/>
  <c r="J49" i="274"/>
  <c r="K48" i="274" s="1"/>
  <c r="G58" i="52"/>
  <c r="G60" i="52" s="1"/>
  <c r="I48" i="52"/>
  <c r="I51" i="52" s="1"/>
  <c r="H54" i="52"/>
  <c r="H55" i="52" s="1"/>
  <c r="I49" i="52"/>
  <c r="I48" i="303"/>
  <c r="I49" i="303"/>
  <c r="U50" i="285"/>
  <c r="W50" i="285" s="1"/>
  <c r="V50" i="285"/>
  <c r="H52" i="52"/>
  <c r="H57" i="52" s="1"/>
  <c r="H131" i="52"/>
  <c r="F94" i="52"/>
  <c r="F98" i="52"/>
  <c r="F97" i="52"/>
  <c r="F93" i="52"/>
  <c r="F95" i="52"/>
  <c r="F99" i="52"/>
  <c r="F96" i="52"/>
  <c r="F92" i="52"/>
  <c r="G96" i="52" l="1"/>
  <c r="G97" i="52"/>
  <c r="G92" i="52"/>
  <c r="G93" i="52"/>
  <c r="G98" i="52"/>
  <c r="G99" i="52"/>
  <c r="G94" i="52"/>
  <c r="G95" i="52"/>
  <c r="F101" i="52"/>
  <c r="J48" i="303"/>
  <c r="J49" i="303"/>
  <c r="K48" i="303" s="1"/>
  <c r="H58" i="52"/>
  <c r="H60" i="52" s="1"/>
  <c r="X50" i="285"/>
  <c r="Y50" i="285" s="1"/>
  <c r="AB42" i="285" s="1"/>
  <c r="AB45" i="285" s="1"/>
  <c r="AB47" i="285" s="1"/>
  <c r="J48" i="52"/>
  <c r="J51" i="52" s="1"/>
  <c r="I54" i="52"/>
  <c r="I55" i="52"/>
  <c r="J49" i="52"/>
  <c r="I52" i="52"/>
  <c r="I131" i="52"/>
  <c r="I57" i="52"/>
  <c r="I58" i="52" l="1"/>
  <c r="I60" i="52"/>
  <c r="H94" i="52"/>
  <c r="H95" i="52"/>
  <c r="H93" i="52"/>
  <c r="H98" i="52"/>
  <c r="H97" i="52"/>
  <c r="H92" i="52"/>
  <c r="H96" i="52"/>
  <c r="H99" i="52"/>
  <c r="K48" i="52"/>
  <c r="K51" i="52" s="1"/>
  <c r="J54" i="52"/>
  <c r="J55" i="52" s="1"/>
  <c r="J57" i="52"/>
  <c r="J52" i="52"/>
  <c r="J131" i="52"/>
  <c r="G101" i="52"/>
  <c r="I93" i="52" l="1"/>
  <c r="I99" i="52"/>
  <c r="I94" i="52"/>
  <c r="I92" i="52"/>
  <c r="I95" i="52"/>
  <c r="I98" i="52"/>
  <c r="I96" i="52"/>
  <c r="I97" i="52"/>
  <c r="J58" i="52"/>
  <c r="J60" i="52" s="1"/>
  <c r="K52" i="52"/>
  <c r="K57" i="52" s="1"/>
  <c r="K60" i="52" s="1"/>
  <c r="H101" i="52"/>
  <c r="K92" i="52" l="1"/>
  <c r="K93" i="52"/>
  <c r="K96" i="52"/>
  <c r="K97" i="52"/>
  <c r="K94" i="52"/>
  <c r="K95" i="52"/>
  <c r="K98" i="52"/>
  <c r="M98" i="52" s="1"/>
  <c r="D13" i="66" s="1"/>
  <c r="H13" i="66" s="1"/>
  <c r="K99" i="52"/>
  <c r="M99" i="52" s="1"/>
  <c r="D14" i="66" s="1"/>
  <c r="H14" i="66" s="1"/>
  <c r="J92" i="52"/>
  <c r="J95" i="52"/>
  <c r="J96" i="52"/>
  <c r="J94" i="52"/>
  <c r="J98" i="52"/>
  <c r="J99" i="52"/>
  <c r="J93" i="52"/>
  <c r="J97" i="52"/>
  <c r="I101" i="52"/>
  <c r="M96" i="52" l="1"/>
  <c r="M95" i="52"/>
  <c r="M93" i="52"/>
  <c r="D10" i="66" s="1"/>
  <c r="H10" i="66" s="1"/>
  <c r="M97" i="52"/>
  <c r="J101" i="52"/>
  <c r="M92" i="52"/>
  <c r="M94" i="52"/>
  <c r="D11" i="66" s="1"/>
  <c r="K101" i="52"/>
  <c r="D12" i="66" l="1"/>
  <c r="H12" i="66" s="1"/>
  <c r="H11" i="66"/>
  <c r="P5" i="66" s="1"/>
  <c r="P6" i="66" s="1"/>
  <c r="Q6" i="66" s="1"/>
  <c r="D14" i="248" s="1"/>
  <c r="D18" i="66"/>
  <c r="D9" i="66"/>
  <c r="M101" i="52"/>
  <c r="O101" i="52" s="1"/>
  <c r="D10" i="248" s="1"/>
  <c r="D16" i="66" l="1"/>
  <c r="H9" i="66"/>
  <c r="D20" i="66" l="1"/>
  <c r="D26" i="66"/>
  <c r="D12" i="248" s="1"/>
  <c r="D150" i="73" l="1"/>
  <c r="D152" i="73" s="1"/>
  <c r="E150" i="73"/>
  <c r="E152" i="73" s="1"/>
  <c r="F150" i="73"/>
  <c r="F152" i="73" s="1"/>
  <c r="B153" i="73" l="1"/>
  <c r="D156" i="73" s="1"/>
  <c r="F156" i="73" s="1"/>
  <c r="F102" i="324"/>
  <c r="F223" i="324"/>
  <c r="D102" i="324"/>
  <c r="J102" i="324" s="1"/>
  <c r="E223" i="324"/>
  <c r="E102" i="324"/>
  <c r="D223" i="324"/>
  <c r="D224" i="324" s="1"/>
  <c r="B108" i="324" l="1"/>
  <c r="L21" i="324" s="1"/>
  <c r="D225" i="324" l="1"/>
  <c r="Q49" i="256" l="1"/>
  <c r="S49" i="256"/>
  <c r="T49" i="256"/>
  <c r="U49" i="256"/>
  <c r="V49" i="256"/>
  <c r="W49" i="256"/>
  <c r="X49" i="256"/>
  <c r="Q51" i="256"/>
  <c r="S51" i="256"/>
  <c r="T51" i="256"/>
  <c r="U51" i="256"/>
  <c r="V51" i="256"/>
  <c r="W51" i="256"/>
  <c r="X51" i="256"/>
  <c r="Q49" i="12"/>
  <c r="S49" i="12"/>
  <c r="T49" i="12"/>
  <c r="U49" i="12"/>
  <c r="V49" i="12"/>
  <c r="W49" i="12"/>
  <c r="X49" i="12"/>
  <c r="E51" i="12"/>
  <c r="H51" i="12"/>
  <c r="Q51" i="12"/>
  <c r="S51" i="12"/>
  <c r="T51" i="12"/>
  <c r="U51" i="12"/>
  <c r="V51" i="12"/>
  <c r="W51" i="12"/>
  <c r="X51" i="12"/>
  <c r="Q49" i="250"/>
  <c r="S49" i="250"/>
  <c r="T49" i="250"/>
  <c r="U49" i="250"/>
  <c r="V49" i="250"/>
  <c r="W49" i="250"/>
  <c r="X49" i="250"/>
  <c r="Q51" i="250"/>
  <c r="S51" i="250"/>
  <c r="T51" i="250"/>
  <c r="U51" i="250"/>
  <c r="V51" i="250"/>
  <c r="W51" i="250"/>
  <c r="X51" i="250"/>
  <c r="AB46" i="305"/>
  <c r="AB48" i="305"/>
  <c r="D49" i="305"/>
  <c r="I49" i="305"/>
  <c r="K49" i="305"/>
  <c r="Q49" i="305"/>
  <c r="S49" i="305"/>
  <c r="T49" i="305"/>
  <c r="U49" i="305"/>
  <c r="V49" i="305"/>
  <c r="W49" i="305"/>
  <c r="X49" i="305"/>
  <c r="D51" i="305"/>
  <c r="E51" i="305"/>
  <c r="H51" i="305"/>
  <c r="I51" i="305"/>
  <c r="K51" i="305"/>
  <c r="Q51" i="305"/>
  <c r="S51" i="305"/>
  <c r="T51" i="305"/>
  <c r="U51" i="305"/>
  <c r="V51" i="305"/>
  <c r="W51" i="305"/>
  <c r="X51" i="305"/>
  <c r="Q49" i="310"/>
  <c r="S49" i="310"/>
  <c r="T49" i="310"/>
  <c r="U49" i="310"/>
  <c r="V49" i="310"/>
  <c r="W49" i="310"/>
  <c r="X49" i="310"/>
  <c r="Q51" i="310"/>
  <c r="S51" i="310"/>
  <c r="T51" i="310"/>
  <c r="U51" i="310"/>
  <c r="V51" i="310"/>
  <c r="W51" i="310"/>
  <c r="X51" i="310"/>
  <c r="D28" i="248"/>
  <c r="D30" i="248"/>
  <c r="C19" i="156"/>
  <c r="E19" i="156"/>
  <c r="C20" i="156"/>
  <c r="E20" i="156"/>
  <c r="C25" i="156"/>
  <c r="E25" i="156"/>
  <c r="C26" i="156"/>
  <c r="E26" i="156"/>
  <c r="C27" i="156"/>
  <c r="E27" i="156"/>
  <c r="C92" i="156"/>
  <c r="E92" i="156"/>
  <c r="C104" i="156"/>
  <c r="E104" i="156"/>
  <c r="C105" i="156"/>
  <c r="E105" i="156"/>
  <c r="C107" i="156"/>
  <c r="E107" i="156"/>
  <c r="C114" i="156"/>
  <c r="E114" i="156"/>
  <c r="C115" i="156"/>
  <c r="E115" i="156"/>
  <c r="F9" i="320"/>
  <c r="F11" i="320"/>
  <c r="F14" i="320"/>
  <c r="H14" i="320"/>
  <c r="F15" i="320"/>
  <c r="H15" i="320"/>
  <c r="D18" i="320"/>
  <c r="F18" i="320"/>
  <c r="H18" i="320"/>
  <c r="D19" i="320"/>
  <c r="F19" i="320"/>
  <c r="H19" i="320"/>
  <c r="D81" i="322"/>
  <c r="G81" i="322"/>
  <c r="O81" i="322"/>
  <c r="D11" i="294"/>
  <c r="D13" i="294"/>
  <c r="D14" i="294"/>
  <c r="D15" i="294"/>
  <c r="D16" i="294"/>
  <c r="D18" i="294"/>
  <c r="D26" i="294"/>
  <c r="D28" i="294"/>
  <c r="D29" i="294"/>
  <c r="D31" i="294"/>
  <c r="D39" i="294"/>
  <c r="D41" i="294"/>
  <c r="D42" i="294"/>
  <c r="D44" i="294"/>
  <c r="D51" i="294"/>
  <c r="D53" i="294"/>
  <c r="D55" i="294"/>
  <c r="D57" i="294"/>
  <c r="D59" i="294"/>
  <c r="D11" i="306"/>
  <c r="D13" i="306"/>
  <c r="D14" i="306"/>
  <c r="D15" i="306"/>
  <c r="D16" i="306"/>
  <c r="D18" i="306"/>
  <c r="D26" i="306"/>
  <c r="D28" i="306"/>
  <c r="D29" i="306"/>
  <c r="D31" i="306"/>
  <c r="D39" i="306"/>
  <c r="D41" i="306"/>
  <c r="D42" i="306"/>
  <c r="D44" i="306"/>
  <c r="D51" i="306"/>
  <c r="D53" i="306"/>
  <c r="D55" i="306"/>
  <c r="D57" i="306"/>
  <c r="D59" i="306"/>
  <c r="J77" i="64"/>
  <c r="M77" i="64"/>
  <c r="J78" i="64"/>
  <c r="L10" i="126"/>
  <c r="D11" i="236"/>
  <c r="D13" i="236"/>
  <c r="E13" i="236"/>
  <c r="D14" i="236"/>
  <c r="E14" i="236"/>
  <c r="D15" i="236"/>
  <c r="E15" i="236"/>
  <c r="D25" i="236"/>
  <c r="H25" i="236"/>
  <c r="G27" i="236"/>
  <c r="D29" i="236"/>
  <c r="C33" i="236"/>
  <c r="C35" i="236"/>
  <c r="I37" i="236"/>
  <c r="I38" i="236"/>
  <c r="C39" i="236"/>
  <c r="D11" i="274"/>
  <c r="D51" i="274"/>
  <c r="E51" i="274"/>
  <c r="F51" i="274"/>
  <c r="G51" i="274"/>
  <c r="H51" i="274"/>
  <c r="I51" i="274"/>
  <c r="J51" i="274"/>
  <c r="K51" i="274"/>
  <c r="D52" i="274"/>
  <c r="E52" i="274"/>
  <c r="F52" i="274"/>
  <c r="G52" i="274"/>
  <c r="H52" i="274"/>
  <c r="I52" i="274"/>
  <c r="J52" i="274"/>
  <c r="K52" i="274"/>
  <c r="D54" i="274"/>
  <c r="E54" i="274"/>
  <c r="F54" i="274"/>
  <c r="G54" i="274"/>
  <c r="H54" i="274"/>
  <c r="I54" i="274"/>
  <c r="J54" i="274"/>
  <c r="D55" i="274"/>
  <c r="E55" i="274"/>
  <c r="F55" i="274"/>
  <c r="G55" i="274"/>
  <c r="H55" i="274"/>
  <c r="I55" i="274"/>
  <c r="J55" i="274"/>
  <c r="D57" i="274"/>
  <c r="E57" i="274"/>
  <c r="F57" i="274"/>
  <c r="G57" i="274"/>
  <c r="H57" i="274"/>
  <c r="I57" i="274"/>
  <c r="J57" i="274"/>
  <c r="K57" i="274"/>
  <c r="D58" i="274"/>
  <c r="E58" i="274"/>
  <c r="F58" i="274"/>
  <c r="G58" i="274"/>
  <c r="H58" i="274"/>
  <c r="I58" i="274"/>
  <c r="J58" i="274"/>
  <c r="D60" i="274"/>
  <c r="E60" i="274"/>
  <c r="F60" i="274"/>
  <c r="G60" i="274"/>
  <c r="H60" i="274"/>
  <c r="I60" i="274"/>
  <c r="J60" i="274"/>
  <c r="K60" i="274"/>
  <c r="D92" i="274"/>
  <c r="E92" i="274"/>
  <c r="F92" i="274"/>
  <c r="G92" i="274"/>
  <c r="H92" i="274"/>
  <c r="I92" i="274"/>
  <c r="J92" i="274"/>
  <c r="K92" i="274"/>
  <c r="M92" i="274"/>
  <c r="D93" i="274"/>
  <c r="E93" i="274"/>
  <c r="F93" i="274"/>
  <c r="G93" i="274"/>
  <c r="H93" i="274"/>
  <c r="I93" i="274"/>
  <c r="J93" i="274"/>
  <c r="K93" i="274"/>
  <c r="M93" i="274"/>
  <c r="D94" i="274"/>
  <c r="E94" i="274"/>
  <c r="F94" i="274"/>
  <c r="G94" i="274"/>
  <c r="H94" i="274"/>
  <c r="I94" i="274"/>
  <c r="J94" i="274"/>
  <c r="K94" i="274"/>
  <c r="M94" i="274"/>
  <c r="D95" i="274"/>
  <c r="E95" i="274"/>
  <c r="F95" i="274"/>
  <c r="G95" i="274"/>
  <c r="H95" i="274"/>
  <c r="I95" i="274"/>
  <c r="J95" i="274"/>
  <c r="K95" i="274"/>
  <c r="M95" i="274"/>
  <c r="D96" i="274"/>
  <c r="E96" i="274"/>
  <c r="F96" i="274"/>
  <c r="G96" i="274"/>
  <c r="H96" i="274"/>
  <c r="I96" i="274"/>
  <c r="J96" i="274"/>
  <c r="K96" i="274"/>
  <c r="M96" i="274"/>
  <c r="D97" i="274"/>
  <c r="E97" i="274"/>
  <c r="F97" i="274"/>
  <c r="G97" i="274"/>
  <c r="H97" i="274"/>
  <c r="I97" i="274"/>
  <c r="J97" i="274"/>
  <c r="K97" i="274"/>
  <c r="M97" i="274"/>
  <c r="D98" i="274"/>
  <c r="E98" i="274"/>
  <c r="F98" i="274"/>
  <c r="G98" i="274"/>
  <c r="H98" i="274"/>
  <c r="I98" i="274"/>
  <c r="J98" i="274"/>
  <c r="K98" i="274"/>
  <c r="M98" i="274"/>
  <c r="D99" i="274"/>
  <c r="E99" i="274"/>
  <c r="F99" i="274"/>
  <c r="G99" i="274"/>
  <c r="H99" i="274"/>
  <c r="I99" i="274"/>
  <c r="J99" i="274"/>
  <c r="K99" i="274"/>
  <c r="M99" i="274"/>
  <c r="D101" i="274"/>
  <c r="E101" i="274"/>
  <c r="F101" i="274"/>
  <c r="G101" i="274"/>
  <c r="H101" i="274"/>
  <c r="I101" i="274"/>
  <c r="J101" i="274"/>
  <c r="K101" i="274"/>
  <c r="M101" i="274"/>
  <c r="O101" i="274"/>
  <c r="D131" i="274"/>
  <c r="E131" i="274"/>
  <c r="F131" i="274"/>
  <c r="G131" i="274"/>
  <c r="H131" i="274"/>
  <c r="I131" i="274"/>
  <c r="J131" i="274"/>
  <c r="D132" i="274"/>
  <c r="D9" i="242"/>
  <c r="H9" i="242"/>
  <c r="D10" i="242"/>
  <c r="H10" i="242"/>
  <c r="D11" i="242"/>
  <c r="H11" i="242"/>
  <c r="D12" i="242"/>
  <c r="H12" i="242"/>
  <c r="D13" i="242"/>
  <c r="H13" i="242"/>
  <c r="D14" i="242"/>
  <c r="H14" i="242"/>
  <c r="D16" i="242"/>
  <c r="D18" i="242"/>
  <c r="D20" i="242"/>
  <c r="D24" i="242"/>
  <c r="J14" i="66"/>
  <c r="L14" i="66"/>
  <c r="D11" i="303"/>
  <c r="D51" i="303"/>
  <c r="E51" i="303"/>
  <c r="F51" i="303"/>
  <c r="G51" i="303"/>
  <c r="H51" i="303"/>
  <c r="I51" i="303"/>
  <c r="J51" i="303"/>
  <c r="K51" i="303"/>
  <c r="D52" i="303"/>
  <c r="E52" i="303"/>
  <c r="F52" i="303"/>
  <c r="G52" i="303"/>
  <c r="H52" i="303"/>
  <c r="I52" i="303"/>
  <c r="J52" i="303"/>
  <c r="K52" i="303"/>
  <c r="D54" i="303"/>
  <c r="E54" i="303"/>
  <c r="F54" i="303"/>
  <c r="G54" i="303"/>
  <c r="H54" i="303"/>
  <c r="I54" i="303"/>
  <c r="J54" i="303"/>
  <c r="D55" i="303"/>
  <c r="E55" i="303"/>
  <c r="F55" i="303"/>
  <c r="G55" i="303"/>
  <c r="H55" i="303"/>
  <c r="I55" i="303"/>
  <c r="J55" i="303"/>
  <c r="D57" i="303"/>
  <c r="E57" i="303"/>
  <c r="F57" i="303"/>
  <c r="G57" i="303"/>
  <c r="H57" i="303"/>
  <c r="I57" i="303"/>
  <c r="J57" i="303"/>
  <c r="K57" i="303"/>
  <c r="D58" i="303"/>
  <c r="E58" i="303"/>
  <c r="F58" i="303"/>
  <c r="G58" i="303"/>
  <c r="H58" i="303"/>
  <c r="I58" i="303"/>
  <c r="J58" i="303"/>
  <c r="D60" i="303"/>
  <c r="E60" i="303"/>
  <c r="F60" i="303"/>
  <c r="G60" i="303"/>
  <c r="H60" i="303"/>
  <c r="I60" i="303"/>
  <c r="J60" i="303"/>
  <c r="K60" i="303"/>
  <c r="D92" i="303"/>
  <c r="E92" i="303"/>
  <c r="F92" i="303"/>
  <c r="G92" i="303"/>
  <c r="H92" i="303"/>
  <c r="I92" i="303"/>
  <c r="J92" i="303"/>
  <c r="K92" i="303"/>
  <c r="M92" i="303"/>
  <c r="D93" i="303"/>
  <c r="E93" i="303"/>
  <c r="F93" i="303"/>
  <c r="G93" i="303"/>
  <c r="H93" i="303"/>
  <c r="I93" i="303"/>
  <c r="J93" i="303"/>
  <c r="K93" i="303"/>
  <c r="M93" i="303"/>
  <c r="D94" i="303"/>
  <c r="E94" i="303"/>
  <c r="F94" i="303"/>
  <c r="G94" i="303"/>
  <c r="H94" i="303"/>
  <c r="I94" i="303"/>
  <c r="J94" i="303"/>
  <c r="K94" i="303"/>
  <c r="M94" i="303"/>
  <c r="D95" i="303"/>
  <c r="E95" i="303"/>
  <c r="F95" i="303"/>
  <c r="G95" i="303"/>
  <c r="H95" i="303"/>
  <c r="I95" i="303"/>
  <c r="J95" i="303"/>
  <c r="K95" i="303"/>
  <c r="M95" i="303"/>
  <c r="D96" i="303"/>
  <c r="E96" i="303"/>
  <c r="F96" i="303"/>
  <c r="G96" i="303"/>
  <c r="H96" i="303"/>
  <c r="I96" i="303"/>
  <c r="J96" i="303"/>
  <c r="K96" i="303"/>
  <c r="M96" i="303"/>
  <c r="D97" i="303"/>
  <c r="E97" i="303"/>
  <c r="F97" i="303"/>
  <c r="G97" i="303"/>
  <c r="H97" i="303"/>
  <c r="I97" i="303"/>
  <c r="J97" i="303"/>
  <c r="K97" i="303"/>
  <c r="M97" i="303"/>
  <c r="D98" i="303"/>
  <c r="E98" i="303"/>
  <c r="F98" i="303"/>
  <c r="G98" i="303"/>
  <c r="H98" i="303"/>
  <c r="I98" i="303"/>
  <c r="J98" i="303"/>
  <c r="K98" i="303"/>
  <c r="M98" i="303"/>
  <c r="D99" i="303"/>
  <c r="E99" i="303"/>
  <c r="F99" i="303"/>
  <c r="G99" i="303"/>
  <c r="H99" i="303"/>
  <c r="I99" i="303"/>
  <c r="J99" i="303"/>
  <c r="K99" i="303"/>
  <c r="M99" i="303"/>
  <c r="D101" i="303"/>
  <c r="E101" i="303"/>
  <c r="F101" i="303"/>
  <c r="G101" i="303"/>
  <c r="H101" i="303"/>
  <c r="I101" i="303"/>
  <c r="J101" i="303"/>
  <c r="K101" i="303"/>
  <c r="M101" i="303"/>
  <c r="O101" i="303"/>
  <c r="D131" i="303"/>
  <c r="E131" i="303"/>
  <c r="F131" i="303"/>
  <c r="G131" i="303"/>
  <c r="H131" i="303"/>
  <c r="I131" i="303"/>
  <c r="J131" i="303"/>
  <c r="D132" i="303"/>
  <c r="D9" i="304"/>
  <c r="H9" i="304"/>
  <c r="D10" i="304"/>
  <c r="H10" i="304"/>
  <c r="O10" i="304"/>
  <c r="D11" i="304"/>
  <c r="H11" i="304"/>
  <c r="D12" i="304"/>
  <c r="H12" i="304"/>
  <c r="Q12" i="304"/>
  <c r="D13" i="304"/>
  <c r="H13" i="304"/>
  <c r="Q13" i="304"/>
  <c r="D14" i="304"/>
  <c r="H14" i="304"/>
  <c r="J14" i="304"/>
  <c r="L14" i="304"/>
  <c r="D16" i="304"/>
  <c r="D18" i="304"/>
  <c r="D20" i="304"/>
  <c r="D24" i="304"/>
  <c r="D18" i="11"/>
  <c r="E18" i="11"/>
  <c r="F18" i="11"/>
  <c r="D20" i="11"/>
  <c r="E20" i="11"/>
  <c r="F20" i="11"/>
  <c r="D21" i="11"/>
  <c r="E21" i="11"/>
  <c r="F21" i="11"/>
  <c r="D22" i="11"/>
  <c r="E22" i="11"/>
  <c r="F22" i="11"/>
  <c r="D23" i="11"/>
  <c r="E23" i="11"/>
  <c r="F23" i="11"/>
  <c r="D25" i="11"/>
  <c r="E25" i="11"/>
  <c r="F25" i="11"/>
  <c r="D33" i="11"/>
  <c r="E33" i="11"/>
  <c r="F33" i="11"/>
  <c r="D35" i="11"/>
  <c r="E35" i="11"/>
  <c r="F35" i="11"/>
  <c r="D36" i="11"/>
  <c r="E36" i="11"/>
  <c r="F36" i="11"/>
  <c r="D38" i="11"/>
  <c r="E38" i="11"/>
  <c r="F38" i="11"/>
  <c r="D46" i="11"/>
  <c r="E46" i="11"/>
  <c r="F46" i="11"/>
  <c r="D48" i="11"/>
  <c r="E48" i="11"/>
  <c r="F48" i="11"/>
  <c r="D49" i="11"/>
  <c r="E49" i="11"/>
  <c r="F49" i="11"/>
  <c r="D51" i="11"/>
  <c r="E51" i="11"/>
  <c r="F51" i="11"/>
  <c r="D58" i="11"/>
  <c r="E58" i="11"/>
  <c r="F58" i="11"/>
  <c r="D60" i="11"/>
  <c r="E60" i="11"/>
  <c r="F60" i="11"/>
  <c r="D62" i="11"/>
  <c r="E62" i="11"/>
  <c r="F62" i="11"/>
  <c r="D64" i="11"/>
  <c r="E64" i="11"/>
  <c r="F64" i="11"/>
  <c r="D66" i="11"/>
  <c r="E66" i="11"/>
  <c r="F66" i="11"/>
  <c r="L21" i="73"/>
  <c r="N21" i="73"/>
  <c r="P21" i="73"/>
  <c r="D99" i="73"/>
  <c r="E99" i="73"/>
  <c r="F99" i="73"/>
  <c r="D102" i="73"/>
  <c r="E102" i="73"/>
  <c r="F102" i="73"/>
  <c r="J102" i="73"/>
  <c r="B108" i="73"/>
  <c r="D224" i="73"/>
  <c r="E224" i="73"/>
  <c r="F224" i="73"/>
  <c r="D225" i="73"/>
  <c r="D226" i="73"/>
  <c r="I9" i="1"/>
  <c r="I9" i="323"/>
  <c r="F9" i="4"/>
  <c r="F11" i="4"/>
  <c r="J12" i="4"/>
  <c r="F14" i="4"/>
  <c r="F17" i="4"/>
  <c r="J17" i="4"/>
  <c r="F19" i="4"/>
  <c r="D17" i="40"/>
  <c r="H17" i="40"/>
  <c r="H19" i="40"/>
  <c r="J19" i="40"/>
  <c r="D190" i="273"/>
  <c r="D191" i="273"/>
</calcChain>
</file>

<file path=xl/comments1.xml><?xml version="1.0" encoding="utf-8"?>
<comments xmlns="http://schemas.openxmlformats.org/spreadsheetml/2006/main">
  <authors>
    <author>Knowcraft Common</author>
  </authors>
  <commentList>
    <comment ref="C8" authorId="0" shapeId="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authors>
    <author>Ruchit Shah</author>
  </authors>
  <commentList>
    <comment ref="J20" authorId="0" shapeId="0">
      <text>
        <r>
          <rPr>
            <b/>
            <sz val="9"/>
            <color indexed="81"/>
            <rFont val="Tahoma"/>
            <family val="2"/>
          </rPr>
          <t>Ruchit Shah:</t>
        </r>
        <r>
          <rPr>
            <sz val="9"/>
            <color indexed="81"/>
            <rFont val="Tahoma"/>
            <family val="2"/>
          </rPr>
          <t xml:space="preserve">
Linked to Workpapers Sheet</t>
        </r>
      </text>
    </comment>
  </commentList>
</comments>
</file>

<file path=xl/comments3.xml><?xml version="1.0" encoding="utf-8"?>
<comments xmlns="http://schemas.openxmlformats.org/spreadsheetml/2006/main">
  <authors>
    <author>Dhawaj Bansal</author>
    <author>Manan Dave</author>
  </authors>
  <commentList>
    <comment ref="K33" authorId="0" shapeId="0">
      <text>
        <r>
          <rPr>
            <b/>
            <sz val="9"/>
            <color indexed="81"/>
            <rFont val="Tahoma"/>
            <family val="2"/>
          </rPr>
          <t>Dhawaj Bansal:</t>
        </r>
        <r>
          <rPr>
            <sz val="9"/>
            <color indexed="81"/>
            <rFont val="Tahoma"/>
            <family val="2"/>
          </rPr>
          <t xml:space="preserve">
As the raise date is post VD, hence the duration is null, due to which the duration of OPM exit for Series B tranches were different effecting the conversion point by $0.01, so linked it to the conversion point of Tranche I
</t>
        </r>
      </text>
    </comment>
    <comment ref="O36" authorId="1" shapeId="0">
      <text>
        <r>
          <rPr>
            <b/>
            <sz val="9"/>
            <color indexed="81"/>
            <rFont val="Tahoma"/>
            <family val="2"/>
          </rPr>
          <t>Manan Dave:</t>
        </r>
        <r>
          <rPr>
            <sz val="9"/>
            <color indexed="81"/>
            <rFont val="Tahoma"/>
            <family val="2"/>
          </rPr>
          <t xml:space="preserve">
Linked to Below</t>
        </r>
      </text>
    </comment>
    <comment ref="I50" authorId="1" shapeId="0">
      <text>
        <r>
          <rPr>
            <b/>
            <sz val="9"/>
            <color indexed="81"/>
            <rFont val="Tahoma"/>
            <family val="2"/>
          </rPr>
          <t>Manan Dave:</t>
        </r>
        <r>
          <rPr>
            <sz val="9"/>
            <color indexed="81"/>
            <rFont val="Tahoma"/>
            <family val="2"/>
          </rPr>
          <t xml:space="preserve">
$10.0&lt; came in July 2017 based on call notes. Assumed Additional $1.0M came in July only</t>
        </r>
      </text>
    </comment>
  </commentList>
</comments>
</file>

<file path=xl/comments4.xml><?xml version="1.0" encoding="utf-8"?>
<comments xmlns="http://schemas.openxmlformats.org/spreadsheetml/2006/main">
  <authors>
    <author>Ruchit Shah</author>
  </authors>
  <commentList>
    <comment ref="J20" authorId="0" shapeId="0">
      <text>
        <r>
          <rPr>
            <b/>
            <sz val="9"/>
            <color indexed="81"/>
            <rFont val="Tahoma"/>
            <family val="2"/>
          </rPr>
          <t>Ruchit Shah:</t>
        </r>
        <r>
          <rPr>
            <sz val="9"/>
            <color indexed="81"/>
            <rFont val="Tahoma"/>
            <family val="2"/>
          </rPr>
          <t xml:space="preserve">
Linked to Workpapers Sheet</t>
        </r>
      </text>
    </comment>
  </commentList>
</comments>
</file>

<file path=xl/comments5.xml><?xml version="1.0" encoding="utf-8"?>
<comments xmlns="http://schemas.openxmlformats.org/spreadsheetml/2006/main">
  <authors>
    <author>Arnav Shah</author>
    <author>Nishma Shah</author>
  </authors>
  <commentList>
    <comment ref="E48" authorId="0" shapeId="0">
      <text>
        <r>
          <rPr>
            <b/>
            <sz val="9"/>
            <color indexed="81"/>
            <rFont val="Tahoma"/>
            <family val="2"/>
          </rPr>
          <t>Arnav Shah:</t>
        </r>
        <r>
          <rPr>
            <sz val="9"/>
            <color indexed="81"/>
            <rFont val="Tahoma"/>
            <family val="2"/>
          </rPr>
          <t xml:space="preserve">
Change linking as per industry</t>
        </r>
      </text>
    </comment>
    <comment ref="B50" authorId="1" shapeId="0">
      <text>
        <r>
          <rPr>
            <b/>
            <sz val="9"/>
            <color indexed="81"/>
            <rFont val="Tahoma"/>
            <family val="2"/>
          </rPr>
          <t xml:space="preserve">No Workpapers to be shown in outline and not to be attached with the package </t>
        </r>
        <r>
          <rPr>
            <sz val="9"/>
            <color indexed="81"/>
            <rFont val="Tahoma"/>
            <family val="2"/>
          </rPr>
          <t xml:space="preserve">
</t>
        </r>
      </text>
    </comment>
  </commentList>
</comments>
</file>

<file path=xl/comments6.xml><?xml version="1.0" encoding="utf-8"?>
<comments xmlns="http://schemas.openxmlformats.org/spreadsheetml/2006/main">
  <authors>
    <author>Knowcraft Common</author>
  </authors>
  <commentList>
    <comment ref="B15" authorId="0" shapeId="0">
      <text>
        <r>
          <rPr>
            <b/>
            <sz val="9"/>
            <color indexed="81"/>
            <rFont val="Tahoma"/>
            <family val="2"/>
          </rPr>
          <t>Knowcraft Common:</t>
        </r>
        <r>
          <rPr>
            <sz val="9"/>
            <color indexed="81"/>
            <rFont val="Tahoma"/>
            <family val="2"/>
          </rPr>
          <t xml:space="preserve">
Group if PWERM WACC or CAPM WACC is used</t>
        </r>
      </text>
    </comment>
  </commentList>
</comments>
</file>

<file path=xl/comments7.xml><?xml version="1.0" encoding="utf-8"?>
<comments xmlns="http://schemas.openxmlformats.org/spreadsheetml/2006/main">
  <authors>
    <author>Manan Dave</author>
    <author>Dhawaj Bansal</author>
  </authors>
  <commentList>
    <comment ref="D27" authorId="0" shapeId="0">
      <text>
        <r>
          <rPr>
            <b/>
            <sz val="9"/>
            <color indexed="81"/>
            <rFont val="Tahoma"/>
            <family val="2"/>
          </rPr>
          <t>Manan Dave:</t>
        </r>
        <r>
          <rPr>
            <sz val="9"/>
            <color indexed="81"/>
            <rFont val="Tahoma"/>
            <family val="2"/>
          </rPr>
          <t xml:space="preserve">
Linkings to this cell have been changed to the sum of tranche wise accruded dividend calculations in the off-print section below.</t>
        </r>
      </text>
    </comment>
    <comment ref="F30" authorId="1" shapeId="0">
      <text>
        <r>
          <rPr>
            <b/>
            <sz val="9"/>
            <color indexed="81"/>
            <rFont val="Tahoma"/>
            <family val="2"/>
          </rPr>
          <t>Dhawaj Bansal:</t>
        </r>
        <r>
          <rPr>
            <sz val="9"/>
            <color indexed="81"/>
            <rFont val="Tahoma"/>
            <family val="2"/>
          </rPr>
          <t xml:space="preserve">
As the raise date is post VD, hence the duration is null, due to which the duration of OPM exit for Series B tranches were different effecting the conversion point by $0.01, so linked it to the conversion point of Tranche I
</t>
        </r>
      </text>
    </comment>
    <comment ref="J33" authorId="0" shapeId="0">
      <text>
        <r>
          <rPr>
            <b/>
            <sz val="9"/>
            <color indexed="81"/>
            <rFont val="Tahoma"/>
            <family val="2"/>
          </rPr>
          <t>Manan Dave:</t>
        </r>
        <r>
          <rPr>
            <sz val="9"/>
            <color indexed="81"/>
            <rFont val="Tahoma"/>
            <family val="2"/>
          </rPr>
          <t xml:space="preserve">
Linked to Below</t>
        </r>
      </text>
    </comment>
    <comment ref="O46" authorId="0" shapeId="0">
      <text>
        <r>
          <rPr>
            <b/>
            <sz val="9"/>
            <color indexed="81"/>
            <rFont val="Tahoma"/>
            <family val="2"/>
          </rPr>
          <t>Manan Dave:</t>
        </r>
        <r>
          <rPr>
            <sz val="9"/>
            <color indexed="81"/>
            <rFont val="Tahoma"/>
            <family val="2"/>
          </rPr>
          <t xml:space="preserve">
$10.0&lt; came in July 2017 based on call notes. Assumed Additional $1.0M came in July only</t>
        </r>
      </text>
    </comment>
  </commentList>
</comments>
</file>

<file path=xl/comments8.xml><?xml version="1.0" encoding="utf-8"?>
<comments xmlns="http://schemas.openxmlformats.org/spreadsheetml/2006/main">
  <authors>
    <author>Windows User</author>
  </authors>
  <commentList>
    <comment ref="I9" authorId="0" shapeId="0">
      <text>
        <r>
          <rPr>
            <b/>
            <sz val="9"/>
            <color indexed="81"/>
            <rFont val="Tahoma"/>
            <family val="2"/>
          </rPr>
          <t>Windows User:</t>
        </r>
        <r>
          <rPr>
            <sz val="9"/>
            <color indexed="81"/>
            <rFont val="Tahoma"/>
            <family val="2"/>
          </rPr>
          <t xml:space="preserve">
0</t>
        </r>
      </text>
    </comment>
  </commentList>
</comments>
</file>

<file path=xl/comments9.xml><?xml version="1.0" encoding="utf-8"?>
<comments xmlns="http://schemas.openxmlformats.org/spreadsheetml/2006/main">
  <authors>
    <author>Valuation Common</author>
  </authors>
  <commentList>
    <comment ref="B48" authorId="0" shapeId="0">
      <text>
        <r>
          <rPr>
            <b/>
            <sz val="9"/>
            <color indexed="81"/>
            <rFont val="Tahoma"/>
            <family val="2"/>
          </rPr>
          <t>Valuation Common:</t>
        </r>
        <r>
          <rPr>
            <sz val="9"/>
            <color indexed="81"/>
            <rFont val="Tahoma"/>
            <family val="2"/>
          </rPr>
          <t xml:space="preserve">
Given Oct 2012 in PPT(PBC-2016 Dec)</t>
        </r>
      </text>
    </comment>
  </commentList>
</comments>
</file>

<file path=xl/comments10.xml><?xml version="1.0" encoding="utf-8"?>
<comments xmlns="http://schemas.openxmlformats.org/spreadsheetml/2006/main">
  <authors>
    <author>KC</author>
  </authors>
  <commentList>
    <comment ref="B174" authorId="0" shapeId="0">
      <text>
        <r>
          <rPr>
            <b/>
            <sz val="9"/>
            <color indexed="81"/>
            <rFont val="Tahoma"/>
            <family val="2"/>
          </rPr>
          <t>KC:</t>
        </r>
        <r>
          <rPr>
            <sz val="9"/>
            <color indexed="81"/>
            <rFont val="Tahoma"/>
            <family val="2"/>
          </rPr>
          <t xml:space="preserve">
Company has become Private as of 02/28/17 (Closed Date)</t>
        </r>
      </text>
    </comment>
  </commentList>
</comments>
</file>

<file path=xl/comments11.xml><?xml version="1.0" encoding="utf-8"?>
<comments xmlns="http://schemas.openxmlformats.org/spreadsheetml/2006/main">
  <authors>
    <author>Knowcraft Common</author>
  </authors>
  <commentList>
    <comment ref="D189" authorId="0" shapeId="0">
      <text>
        <r>
          <rPr>
            <b/>
            <sz val="9"/>
            <color indexed="81"/>
            <rFont val="Tahoma"/>
            <family val="2"/>
          </rPr>
          <t>Knowcraft Common:</t>
        </r>
        <r>
          <rPr>
            <sz val="9"/>
            <color indexed="81"/>
            <rFont val="Tahoma"/>
            <family val="2"/>
          </rPr>
          <t xml:space="preserve">
Apply DLOM adjustment if applicable.</t>
        </r>
      </text>
    </comment>
  </commentList>
</comments>
</file>

<file path=xl/comments12.xml><?xml version="1.0" encoding="utf-8"?>
<comments xmlns="http://schemas.openxmlformats.org/spreadsheetml/2006/main">
  <authors>
    <author>Harpreet Singh</author>
    <author>Knowcraft Common</author>
  </authors>
  <commentList>
    <comment ref="M35" authorId="0" shapeId="0">
      <text>
        <r>
          <rPr>
            <sz val="9"/>
            <color indexed="81"/>
            <rFont val="Tahoma"/>
            <family val="2"/>
          </rPr>
          <t>Check formulae</t>
        </r>
      </text>
    </comment>
    <comment ref="D132"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3.xml><?xml version="1.0" encoding="utf-8"?>
<comments xmlns="http://schemas.openxmlformats.org/spreadsheetml/2006/main">
  <authors>
    <author>Harpreet Singh</author>
    <author>Knowcraft Common</author>
  </authors>
  <commentList>
    <comment ref="M35" authorId="0" shapeId="0">
      <text>
        <r>
          <rPr>
            <sz val="9"/>
            <color indexed="81"/>
            <rFont val="Tahoma"/>
            <family val="2"/>
          </rPr>
          <t>Check formulae</t>
        </r>
      </text>
    </comment>
    <comment ref="D132"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4.xml><?xml version="1.0" encoding="utf-8"?>
<comments xmlns="http://schemas.openxmlformats.org/spreadsheetml/2006/main">
  <authors>
    <author>Knowcraft Common</author>
  </authors>
  <commentList>
    <comment ref="A55" authorId="0" shapeId="0">
      <text>
        <r>
          <rPr>
            <b/>
            <sz val="9"/>
            <color indexed="81"/>
            <rFont val="Tahoma"/>
            <family val="2"/>
          </rPr>
          <t>Knowcraft Common:</t>
        </r>
        <r>
          <rPr>
            <sz val="9"/>
            <color indexed="81"/>
            <rFont val="Tahoma"/>
            <family val="2"/>
          </rPr>
          <t xml:space="preserve">
Update based on points mentioned below
</t>
        </r>
      </text>
    </comment>
  </commentList>
</comments>
</file>

<file path=xl/comments15.xml><?xml version="1.0" encoding="utf-8"?>
<comments xmlns="http://schemas.openxmlformats.org/spreadsheetml/2006/main">
  <authors>
    <author>RNA</author>
  </authors>
  <commentList>
    <comment ref="D9" authorId="0" shapeId="0">
      <text>
        <r>
          <rPr>
            <b/>
            <sz val="9"/>
            <color indexed="81"/>
            <rFont val="Tahoma"/>
            <family val="2"/>
          </rPr>
          <t>RNA:</t>
        </r>
        <r>
          <rPr>
            <sz val="9"/>
            <color indexed="81"/>
            <rFont val="Tahoma"/>
            <family val="2"/>
          </rPr>
          <t xml:space="preserve">
For each scenario, </t>
        </r>
      </text>
    </comment>
    <comment ref="D10" authorId="0" shapeId="0">
      <text>
        <r>
          <rPr>
            <b/>
            <sz val="9"/>
            <color indexed="81"/>
            <rFont val="Tahoma"/>
            <family val="2"/>
          </rPr>
          <t>RNA:</t>
        </r>
        <r>
          <rPr>
            <sz val="9"/>
            <color indexed="81"/>
            <rFont val="Tahoma"/>
            <family val="2"/>
          </rPr>
          <t xml:space="preserve">
Link to PWERM DR</t>
        </r>
      </text>
    </comment>
  </commentList>
</comments>
</file>

<file path=xl/comments16.xml><?xml version="1.0" encoding="utf-8"?>
<comments xmlns="http://schemas.openxmlformats.org/spreadsheetml/2006/main">
  <authors>
    <author>KC</author>
  </authors>
  <commentList>
    <comment ref="X7" authorId="0" shapeId="0">
      <text>
        <r>
          <rPr>
            <b/>
            <sz val="9"/>
            <color indexed="81"/>
            <rFont val="Tahoma"/>
            <family val="2"/>
          </rPr>
          <t>KC:</t>
        </r>
        <r>
          <rPr>
            <sz val="9"/>
            <color indexed="81"/>
            <rFont val="Tahoma"/>
            <family val="2"/>
          </rPr>
          <t xml:space="preserve">
Add Phase of lead drug</t>
        </r>
      </text>
    </comment>
  </commentList>
</comments>
</file>

<file path=xl/comments17.xml><?xml version="1.0" encoding="utf-8"?>
<comments xmlns="http://schemas.openxmlformats.org/spreadsheetml/2006/main">
  <authors>
    <author>Harpreet Singh</author>
  </authors>
  <commentList>
    <comment ref="T13" authorId="0" shapeId="0">
      <text>
        <r>
          <rPr>
            <b/>
            <sz val="9"/>
            <color indexed="81"/>
            <rFont val="Tahoma"/>
            <family val="2"/>
          </rPr>
          <t xml:space="preserve">Estimates
</t>
        </r>
      </text>
    </comment>
    <comment ref="U13" authorId="0" shapeId="0">
      <text>
        <r>
          <rPr>
            <b/>
            <sz val="9"/>
            <color indexed="81"/>
            <rFont val="Tahoma"/>
            <family val="2"/>
          </rPr>
          <t xml:space="preserve">Estimates
</t>
        </r>
      </text>
    </comment>
    <comment ref="AC13" authorId="0" shapeId="0">
      <text>
        <r>
          <rPr>
            <b/>
            <sz val="9"/>
            <color indexed="81"/>
            <rFont val="Tahoma"/>
            <family val="2"/>
          </rPr>
          <t xml:space="preserve">Estimates
</t>
        </r>
      </text>
    </comment>
    <comment ref="AD13" authorId="0" shapeId="0">
      <text>
        <r>
          <rPr>
            <b/>
            <sz val="9"/>
            <color indexed="81"/>
            <rFont val="Tahoma"/>
            <family val="2"/>
          </rPr>
          <t xml:space="preserve">Estimates
</t>
        </r>
      </text>
    </comment>
    <comment ref="AE13" authorId="0" shapeId="0">
      <text>
        <r>
          <rPr>
            <b/>
            <sz val="9"/>
            <color indexed="81"/>
            <rFont val="Tahoma"/>
            <family val="2"/>
          </rPr>
          <t xml:space="preserve">Estimates
</t>
        </r>
      </text>
    </comment>
  </commentList>
</comments>
</file>

<file path=xl/comments18.xml><?xml version="1.0" encoding="utf-8"?>
<comments xmlns="http://schemas.openxmlformats.org/spreadsheetml/2006/main">
  <authors>
    <author>Harpreet Singh</author>
    <author>Knowcraft Common</author>
  </authors>
  <commentList>
    <comment ref="M35" authorId="0" shapeId="0">
      <text>
        <r>
          <rPr>
            <sz val="9"/>
            <color indexed="81"/>
            <rFont val="Tahoma"/>
            <family val="2"/>
          </rPr>
          <t>Check formulae</t>
        </r>
      </text>
    </comment>
    <comment ref="D132"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9.xml><?xml version="1.0" encoding="utf-8"?>
<comments xmlns="http://schemas.openxmlformats.org/spreadsheetml/2006/main">
  <authors>
    <author>Dhara Shah</author>
    <author>Valuation Common</author>
    <author>Windows User</author>
  </authors>
  <commentList>
    <comment ref="AA8" authorId="0" shapeId="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0" authorId="1" shapeId="0">
      <text>
        <r>
          <rPr>
            <b/>
            <sz val="9"/>
            <color indexed="81"/>
            <rFont val="Tahoma"/>
            <family val="2"/>
          </rPr>
          <t>Valuation Common:</t>
        </r>
        <r>
          <rPr>
            <sz val="9"/>
            <color indexed="81"/>
            <rFont val="Tahoma"/>
            <family val="2"/>
          </rPr>
          <t xml:space="preserve">
Update if selected levered beta is not available or applicable</t>
        </r>
      </text>
    </comment>
    <comment ref="E58" authorId="2" shapeId="0">
      <text>
        <r>
          <rPr>
            <b/>
            <sz val="9"/>
            <color indexed="81"/>
            <rFont val="Tahoma"/>
            <family val="2"/>
          </rPr>
          <t>Windows User:</t>
        </r>
        <r>
          <rPr>
            <sz val="9"/>
            <color indexed="81"/>
            <rFont val="Tahoma"/>
            <family val="2"/>
          </rPr>
          <t xml:space="preserve">
MSCI emerging markets</t>
        </r>
      </text>
    </comment>
  </commentList>
</comments>
</file>

<file path=xl/sharedStrings.xml><?xml version="1.0" encoding="utf-8"?>
<sst xmlns="http://schemas.openxmlformats.org/spreadsheetml/2006/main" count="8501" uniqueCount="3370">
  <si>
    <t>(in thousands of USD)</t>
  </si>
  <si>
    <t>n/a</t>
  </si>
  <si>
    <t>Mean</t>
  </si>
  <si>
    <t>Median</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</si>
  <si>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</si>
  <si>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</si>
  <si>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</si>
  <si>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</si>
  <si>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</si>
  <si>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</si>
  <si>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</si>
  <si>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</si>
  <si>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</si>
  <si>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</si>
  <si>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</si>
  <si>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</si>
  <si>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</si>
  <si>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</si>
  <si>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</si>
  <si>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</si>
  <si>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</si>
  <si>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</si>
  <si>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</si>
  <si>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</si>
  <si>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</si>
  <si>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</si>
  <si>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</si>
  <si>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</si>
  <si>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</si>
  <si>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</si>
  <si>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</si>
  <si>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</si>
  <si>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</si>
  <si>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</si>
  <si>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</si>
  <si>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</si>
  <si>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</si>
  <si>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</si>
  <si>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</si>
  <si>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</si>
  <si>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</si>
  <si>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</si>
  <si>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</si>
  <si>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</si>
  <si>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</si>
  <si>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</si>
  <si>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</si>
  <si>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</si>
  <si>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</si>
  <si>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</si>
  <si>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</si>
  <si>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</si>
  <si>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</si>
  <si>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</si>
  <si>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Risk-Free Rates</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</si>
  <si>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</si>
  <si>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</si>
  <si>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</si>
  <si>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</si>
  <si>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</si>
  <si>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</si>
  <si>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</si>
  <si>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</si>
  <si>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</si>
  <si>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</si>
  <si>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</si>
  <si>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</si>
  <si>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</si>
  <si>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</si>
  <si>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</si>
  <si>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</si>
  <si>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</si>
  <si>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</si>
  <si>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</si>
  <si>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</si>
  <si>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Enterprise Value</t>
  </si>
  <si>
    <t>Equity Value</t>
  </si>
  <si>
    <t>Allocation of Value</t>
  </si>
  <si>
    <t>Common Stock</t>
  </si>
  <si>
    <t>PWERM</t>
  </si>
  <si>
    <t xml:space="preserve">Concluded Price Per Share (Non-Marketable, Minority) </t>
  </si>
  <si>
    <t>Allocation Methodology</t>
  </si>
  <si>
    <t>Historical Income Statement</t>
  </si>
  <si>
    <t>Historical Balance Sheet</t>
  </si>
  <si>
    <t>12 Months Ending December 31,</t>
  </si>
  <si>
    <t>Revenue</t>
  </si>
  <si>
    <t>Total</t>
  </si>
  <si>
    <t>Gross Profit</t>
  </si>
  <si>
    <t>Operating Expenses</t>
  </si>
  <si>
    <t>General &amp; Administrative</t>
  </si>
  <si>
    <t>Sales &amp; Marketing</t>
  </si>
  <si>
    <t>Research &amp; Development</t>
  </si>
  <si>
    <t>Other Expenses</t>
  </si>
  <si>
    <t>EBITDA</t>
  </si>
  <si>
    <t>EBIT</t>
  </si>
  <si>
    <t>Discount Factor</t>
  </si>
  <si>
    <t>Present Value</t>
  </si>
  <si>
    <t>Time in Period</t>
  </si>
  <si>
    <t>1 Year</t>
  </si>
  <si>
    <t>Operating Income</t>
  </si>
  <si>
    <t>Other Income/Expense, Net</t>
  </si>
  <si>
    <t>Pre-Tax Income (Loss)</t>
  </si>
  <si>
    <t>Income Taxes</t>
  </si>
  <si>
    <t>Net Income (Loss)</t>
  </si>
  <si>
    <t>Other Items:</t>
  </si>
  <si>
    <t>Capital Expenditures</t>
  </si>
  <si>
    <t>As of</t>
  </si>
  <si>
    <t>Assets</t>
  </si>
  <si>
    <t>Current Assets</t>
  </si>
  <si>
    <t>Cash &amp; Equivalents</t>
  </si>
  <si>
    <t>Prepaid Expenses</t>
  </si>
  <si>
    <t>Net Fixed Assets</t>
  </si>
  <si>
    <t>Other Assets</t>
  </si>
  <si>
    <t>Total Current Assets</t>
  </si>
  <si>
    <t>Total Assets</t>
  </si>
  <si>
    <t>Liabilities &amp; Shareholders' Equity</t>
  </si>
  <si>
    <t>Current Liabilities</t>
  </si>
  <si>
    <t>Accounts Payable</t>
  </si>
  <si>
    <t>Total Current Liabilities</t>
  </si>
  <si>
    <t>Common</t>
  </si>
  <si>
    <t xml:space="preserve">Preferred </t>
  </si>
  <si>
    <t>Additional Paid In Capital</t>
  </si>
  <si>
    <t>Retained Earnings</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</si>
  <si>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</si>
  <si>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</si>
  <si>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</si>
  <si>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</si>
  <si>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</si>
  <si>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</si>
  <si>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</si>
  <si>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</si>
  <si>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</si>
  <si>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</si>
  <si>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</si>
  <si>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</si>
  <si>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</si>
  <si>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</si>
  <si>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</si>
  <si>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</si>
  <si>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</si>
  <si>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</si>
  <si>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</si>
  <si>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</si>
  <si>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</si>
  <si>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Equity</t>
  </si>
  <si>
    <t>Tax Rate</t>
  </si>
  <si>
    <t>Unlevered Beta</t>
  </si>
  <si>
    <t>Applied</t>
  </si>
  <si>
    <t>(3)</t>
  </si>
  <si>
    <t>(4)</t>
  </si>
  <si>
    <t>(5)</t>
  </si>
  <si>
    <t>Index</t>
  </si>
  <si>
    <t>Frequency</t>
  </si>
  <si>
    <t>M</t>
  </si>
  <si>
    <t>W</t>
  </si>
  <si>
    <t>^SPX</t>
  </si>
  <si>
    <t>^FTSE</t>
  </si>
  <si>
    <t>^XTO</t>
  </si>
  <si>
    <t>Beta Lookback (Years)</t>
  </si>
  <si>
    <t>Levered Beta</t>
  </si>
  <si>
    <t>Start Date</t>
  </si>
  <si>
    <t>D/MVIC</t>
  </si>
  <si>
    <t>E/MVIC</t>
  </si>
  <si>
    <t>Beta Calculation</t>
  </si>
  <si>
    <t>Shares</t>
  </si>
  <si>
    <t>Price</t>
  </si>
  <si>
    <t>Value</t>
  </si>
  <si>
    <t>Rate</t>
  </si>
  <si>
    <t>Capital Structure Component</t>
  </si>
  <si>
    <t>Preferred (Debt-Like)</t>
  </si>
  <si>
    <t>Preferred (Equity-Like)</t>
  </si>
  <si>
    <t>Calculated WACC</t>
  </si>
  <si>
    <t>Expected VC Portfolio Return (Total Preferred)</t>
  </si>
  <si>
    <t>Applied WACC - Enterprise Level (Portfolio Basis)</t>
  </si>
  <si>
    <t>LTM-1</t>
  </si>
  <si>
    <t>LTM</t>
  </si>
  <si>
    <t>Calendar Year</t>
  </si>
  <si>
    <t>Multiples</t>
  </si>
  <si>
    <t>Implied Equity Value</t>
  </si>
  <si>
    <t>Less: Future Financing</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</si>
  <si>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</si>
  <si>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</si>
  <si>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</si>
  <si>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</si>
  <si>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</si>
  <si>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</si>
  <si>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</si>
  <si>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</si>
  <si>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</si>
  <si>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</si>
  <si>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</si>
  <si>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</si>
  <si>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</si>
  <si>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</si>
  <si>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</si>
  <si>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</si>
  <si>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</si>
  <si>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</si>
  <si>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</si>
  <si>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</si>
  <si>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</si>
  <si>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</si>
  <si>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 xml:space="preserve">Options Outstanding </t>
  </si>
  <si>
    <t>Option Pool Remaining</t>
  </si>
  <si>
    <t>Grand Total</t>
  </si>
  <si>
    <t>Conversion Ratio</t>
  </si>
  <si>
    <t>Common Stock Equivalents (CSEs)</t>
  </si>
  <si>
    <t>Redemption</t>
  </si>
  <si>
    <t xml:space="preserve">Dividend Rate </t>
  </si>
  <si>
    <t>Participating Preferred</t>
  </si>
  <si>
    <t>Anti-Dilution</t>
  </si>
  <si>
    <t>No</t>
  </si>
  <si>
    <t>Wtd. Avg.</t>
  </si>
  <si>
    <t>Date Raised</t>
  </si>
  <si>
    <t>Participation Cap Multiple</t>
  </si>
  <si>
    <t>DLOM</t>
  </si>
  <si>
    <t>Allocable Value</t>
  </si>
  <si>
    <t>Time to Liquidity (Years)</t>
  </si>
  <si>
    <t>Option Pricing Model Assumptions</t>
  </si>
  <si>
    <t>Breakpoint Calculations</t>
  </si>
  <si>
    <t>Liquidation Preference Seniority</t>
  </si>
  <si>
    <t>Series B Receives Liquidation Preference</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</si>
  <si>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</si>
  <si>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</si>
  <si>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</si>
  <si>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</si>
  <si>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</si>
  <si>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</si>
  <si>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</si>
  <si>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</si>
  <si>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</si>
  <si>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</si>
  <si>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</si>
  <si>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</si>
  <si>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</si>
  <si>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</si>
  <si>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</si>
  <si>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</si>
  <si>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</si>
  <si>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</si>
  <si>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</si>
  <si>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</si>
  <si>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</si>
  <si>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Option Pricing Method - Implied Value Per Share</t>
  </si>
  <si>
    <t>Valuation Date</t>
  </si>
  <si>
    <t>Implied Exit Date</t>
  </si>
  <si>
    <t>Time to Exit (Years)</t>
  </si>
  <si>
    <t>Exit Value</t>
  </si>
  <si>
    <t>Exit Date</t>
  </si>
  <si>
    <t>Exit Metric</t>
  </si>
  <si>
    <t>Exit Metric Value</t>
  </si>
  <si>
    <t>Exit Multiple</t>
  </si>
  <si>
    <t>Future Financing</t>
  </si>
  <si>
    <t>Amount Raised</t>
  </si>
  <si>
    <t>Expected Date of Raise</t>
  </si>
  <si>
    <t>Required Rate of Return</t>
  </si>
  <si>
    <t>[Round 2]</t>
  </si>
  <si>
    <t>[Round 3]</t>
  </si>
  <si>
    <t>Waterfall</t>
  </si>
  <si>
    <t>Value Allocable to Existing Investors</t>
  </si>
  <si>
    <t>Liquidation Preferences</t>
  </si>
  <si>
    <t>Remainder</t>
  </si>
  <si>
    <t>Shares (As Converted)</t>
  </si>
  <si>
    <t>Present Value Determination - Common</t>
  </si>
  <si>
    <t>Future Value Allocable</t>
  </si>
  <si>
    <t>Future Price Per Share</t>
  </si>
  <si>
    <t>Present Value Per Share</t>
  </si>
  <si>
    <t>Adjusted Present Value Per Share</t>
  </si>
  <si>
    <t>Present Value Determination - Preferred</t>
  </si>
  <si>
    <t>Remaining Allocable Value</t>
  </si>
  <si>
    <t>Exercise Proceeds</t>
  </si>
  <si>
    <t>Total Debt-Like Component</t>
  </si>
  <si>
    <t>Future Allocable Value</t>
  </si>
  <si>
    <t>Probability Weighted</t>
  </si>
  <si>
    <t>Total Equity-Like Component</t>
  </si>
  <si>
    <t>Debt-Like Component</t>
  </si>
  <si>
    <t>Equity-Like Component</t>
  </si>
  <si>
    <t>$/Share</t>
  </si>
  <si>
    <t>Latest Round of Preferred</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</si>
  <si>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</si>
  <si>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</si>
  <si>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</si>
  <si>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</si>
  <si>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</si>
  <si>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</si>
  <si>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</si>
  <si>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</si>
  <si>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</si>
  <si>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</si>
  <si>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</si>
  <si>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</si>
  <si>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</si>
  <si>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</si>
  <si>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</si>
  <si>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</si>
  <si>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</si>
  <si>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</si>
  <si>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</si>
  <si>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</si>
  <si>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</si>
  <si>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</si>
  <si>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</si>
  <si>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</si>
  <si>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EBITDA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</si>
  <si>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</si>
  <si>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</si>
  <si>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</si>
  <si>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</si>
  <si>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</si>
  <si>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</si>
  <si>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</si>
  <si>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</si>
  <si>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</si>
  <si>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</si>
  <si>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</si>
  <si>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</si>
  <si>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</si>
  <si>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</si>
  <si>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DLOM Term (Years)</t>
  </si>
  <si>
    <t>OPM Term (Years)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</si>
  <si>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</si>
  <si>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</si>
  <si>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</si>
  <si>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</si>
  <si>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</si>
  <si>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</si>
  <si>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</si>
  <si>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</si>
  <si>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</si>
  <si>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</si>
  <si>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</si>
  <si>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</si>
  <si>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</si>
  <si>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</si>
  <si>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</si>
  <si>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</si>
  <si>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</si>
  <si>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</si>
  <si>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</si>
  <si>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</si>
  <si>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</si>
  <si>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</si>
  <si>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</si>
  <si>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</si>
  <si>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</si>
  <si>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</si>
  <si>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</si>
  <si>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</si>
  <si>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</si>
  <si>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</si>
  <si>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</si>
  <si>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</si>
  <si>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</si>
  <si>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</si>
  <si>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</si>
  <si>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</si>
  <si>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</si>
  <si>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</si>
  <si>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</si>
  <si>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</si>
  <si>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</si>
  <si>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Select Type</t>
  </si>
  <si>
    <t>Expected Options Grant</t>
  </si>
  <si>
    <t>Yes</t>
  </si>
  <si>
    <t>Duration as of Valuation Date</t>
  </si>
  <si>
    <t>Dividend Inclusion</t>
  </si>
  <si>
    <t>Dividend Declaration</t>
  </si>
  <si>
    <t>Cumulative</t>
  </si>
  <si>
    <t>Non-Cumulative</t>
  </si>
  <si>
    <t>Not Declared</t>
  </si>
  <si>
    <t>Simple</t>
  </si>
  <si>
    <t>Compounding</t>
  </si>
  <si>
    <t>Total Investment</t>
  </si>
  <si>
    <t>Duration as of OPM Exit</t>
  </si>
  <si>
    <t>Total Liquidation Preference</t>
  </si>
  <si>
    <t>Liquidation Preference Per Share</t>
  </si>
  <si>
    <t>Shares Outstanding / Converted to Common Stock</t>
  </si>
  <si>
    <t>YTD</t>
  </si>
  <si>
    <t>Last Financial Year Ending</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</si>
  <si>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</si>
  <si>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</si>
  <si>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</si>
  <si>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</si>
  <si>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</si>
  <si>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</si>
  <si>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</si>
  <si>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</si>
  <si>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</si>
  <si>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</si>
  <si>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</si>
  <si>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</si>
  <si>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</si>
  <si>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</si>
  <si>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</si>
  <si>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</si>
  <si>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</si>
  <si>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</si>
  <si>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</si>
  <si>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</si>
  <si>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</si>
  <si>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</si>
  <si>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</si>
  <si>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</si>
  <si>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</si>
  <si>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</si>
  <si>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</si>
  <si>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</si>
  <si>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Management's Estimate for Exit</t>
  </si>
  <si>
    <t>Date of Completion</t>
  </si>
  <si>
    <t>Total Check</t>
  </si>
  <si>
    <t>Phase wise exit %</t>
  </si>
  <si>
    <t>Phase Ib</t>
  </si>
  <si>
    <t>Phase II</t>
  </si>
  <si>
    <t>Scenarios</t>
  </si>
  <si>
    <t>Summary of Probability at Each Development Phase</t>
  </si>
  <si>
    <t>Exit Scenario</t>
  </si>
  <si>
    <t>Phase</t>
  </si>
  <si>
    <t>Date</t>
  </si>
  <si>
    <t>Exit Value Type</t>
  </si>
  <si>
    <t>Probability</t>
  </si>
  <si>
    <t>Dissolution</t>
  </si>
  <si>
    <t>Phase I</t>
  </si>
  <si>
    <t>Phase III</t>
  </si>
  <si>
    <t>NDA/BLA Phase</t>
  </si>
  <si>
    <t>Total P1-Market</t>
  </si>
  <si>
    <t>Total PI-Market</t>
  </si>
  <si>
    <t>Done</t>
  </si>
  <si>
    <t>Total Value Allocable By Class</t>
  </si>
  <si>
    <t>Per Share Value Allocable By Class</t>
  </si>
  <si>
    <t>Price / Net Book Value Analysis</t>
  </si>
  <si>
    <t>Earnings</t>
  </si>
  <si>
    <t>Total Equity</t>
  </si>
  <si>
    <t>added more functionality such that n/a appears after last breakpoint. Need to test on live project</t>
  </si>
  <si>
    <t>Mergerstat data</t>
  </si>
  <si>
    <t>Please confirm if this needs to be added</t>
  </si>
  <si>
    <t>Outline</t>
  </si>
  <si>
    <t>Exhibit Number</t>
  </si>
  <si>
    <t>PWERM - Exit Probabilities</t>
  </si>
  <si>
    <t>PWERM - Probability of Technical Success</t>
  </si>
  <si>
    <t>Option Pricing Method - Breakpoints &amp; Allocation</t>
  </si>
  <si>
    <t>Notes &amp; Assumptions</t>
  </si>
  <si>
    <t>Section</t>
  </si>
  <si>
    <t>Importance</t>
  </si>
  <si>
    <t>Questions</t>
  </si>
  <si>
    <t>Response</t>
  </si>
  <si>
    <t>Notes/Assumptions</t>
  </si>
  <si>
    <t>Questions/Clarifications/Open Items</t>
  </si>
  <si>
    <t>Source</t>
  </si>
  <si>
    <t>Status</t>
  </si>
  <si>
    <t>Difference</t>
  </si>
  <si>
    <t>Difference %</t>
  </si>
  <si>
    <t>File Name</t>
  </si>
  <si>
    <t>DLOM Type</t>
  </si>
  <si>
    <t>OPM Details</t>
  </si>
  <si>
    <t>Asset Volatility</t>
  </si>
  <si>
    <t>Equity Volatility Selection Type</t>
  </si>
  <si>
    <t>PWERM Values</t>
  </si>
  <si>
    <t>PWERM Weighting</t>
  </si>
  <si>
    <t>Cash and Equivalents</t>
  </si>
  <si>
    <t>Ensure to update this --&gt;&gt;</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</si>
  <si>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</si>
  <si>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</si>
  <si>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</si>
  <si>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</si>
  <si>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</si>
  <si>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</si>
  <si>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</si>
  <si>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</si>
  <si>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</si>
  <si>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</si>
  <si>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Built for the art and science of the deal</t>
  </si>
  <si>
    <t>Series Seed</t>
  </si>
  <si>
    <t>Company ABC, Inc.</t>
  </si>
  <si>
    <t>Exit Type</t>
  </si>
  <si>
    <t>DO NOT DELETE</t>
  </si>
  <si>
    <t>Non-Structured</t>
  </si>
  <si>
    <t>Estimated Financing</t>
  </si>
  <si>
    <t>Event Date</t>
  </si>
  <si>
    <t>Amount</t>
  </si>
  <si>
    <t>Return</t>
  </si>
  <si>
    <t>&lt;- Input VC % over here, this flows to Future Financing in PWERM</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</si>
  <si>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</si>
  <si>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</si>
  <si>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</si>
  <si>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</si>
  <si>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</si>
  <si>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</si>
  <si>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</si>
  <si>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</si>
  <si>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</si>
  <si>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</si>
  <si>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Value based on balance sheet information provided by Management as of the Valuation Date.</t>
  </si>
  <si>
    <t>Rate based on our observations of the cost of debt for similar stage enterprises.</t>
  </si>
  <si>
    <t xml:space="preserve">Value calculated as the probability-weighted present value of liquidation preferences (or equivalent value to the extent preferred converts/participates) under the PWERM analysis.  </t>
  </si>
  <si>
    <t>The expected rate of return is based on SVB debt rates for venture debt, as well as our observations of subordinated (or mezzanine) debt rates.</t>
  </si>
  <si>
    <t>Value calculated as the probability-weighted present value of returns above and beyond liquidation preferences (or equivalent value to the extent preferred converts/participates).</t>
  </si>
  <si>
    <t>Price of Equity generally reconciles with the concluded price of the Subject Interest.</t>
  </si>
  <si>
    <t>Rate reflects consideration of an implied return to common stock (based on the probability of successful exits under the PWERM) higher than the implied return to preferred investors due to the higher risk profile of common stock relative to preferred stock.</t>
  </si>
  <si>
    <t>&lt;- input final value of common stock</t>
  </si>
  <si>
    <t>Exhibit Labeling</t>
  </si>
  <si>
    <t xml:space="preserve">Weighted Average Cost of Capital - PWERM-Based </t>
  </si>
  <si>
    <t xml:space="preserve">Rate of Return By Stage of Development </t>
  </si>
  <si>
    <t xml:space="preserve">Capitalization Table </t>
  </si>
  <si>
    <t xml:space="preserve">Economic Rights Summary </t>
  </si>
  <si>
    <t>Comparative Sheet</t>
  </si>
  <si>
    <t>Capex</t>
  </si>
  <si>
    <t>Net Working Capital</t>
  </si>
  <si>
    <t>Percentage change in Market</t>
  </si>
  <si>
    <t>Stock Price</t>
  </si>
  <si>
    <t>Stock price</t>
  </si>
  <si>
    <t>Prior valuation date</t>
  </si>
  <si>
    <t>Descending EV order for comps</t>
  </si>
  <si>
    <t>Update</t>
  </si>
  <si>
    <t>For the Period Ending December 31,</t>
  </si>
  <si>
    <t>As of December 31,</t>
  </si>
  <si>
    <t>Financial Performance (Actual &amp; Estimates)</t>
  </si>
  <si>
    <t>Actual</t>
  </si>
  <si>
    <t>Financial Performance (Actual)</t>
  </si>
  <si>
    <t>Market Trends since Previous Valuation</t>
  </si>
  <si>
    <t>Guideline Public Companies</t>
  </si>
  <si>
    <t>Previous Valuation</t>
  </si>
  <si>
    <t>Current Valuation</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</si>
  <si>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</si>
  <si>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</si>
  <si>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</si>
  <si>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</si>
  <si>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</si>
  <si>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</si>
  <si>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</si>
  <si>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</si>
  <si>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r>
      <t xml:space="preserve">Asset Vol. </t>
    </r>
    <r>
      <rPr>
        <sz val="10"/>
        <rFont val="Times New Roman"/>
        <family val="1"/>
      </rPr>
      <t>(1)</t>
    </r>
  </si>
  <si>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</si>
  <si>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</si>
  <si>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</si>
  <si>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</si>
  <si>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</si>
  <si>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</si>
  <si>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</si>
  <si>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</si>
  <si>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</si>
  <si>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</si>
  <si>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</si>
  <si>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</si>
  <si>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</si>
  <si>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</si>
  <si>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</si>
  <si>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</si>
  <si>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</si>
  <si>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</si>
  <si>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</si>
  <si>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</si>
  <si>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</si>
  <si>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</si>
  <si>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</si>
  <si>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</si>
  <si>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</si>
  <si>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</si>
  <si>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</si>
  <si>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</si>
  <si>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</si>
  <si>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</si>
  <si>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CY2016</t>
  </si>
  <si>
    <t>CY2017</t>
  </si>
  <si>
    <t>CY2018</t>
  </si>
  <si>
    <t>Comparable Public Companies (Primary)</t>
  </si>
  <si>
    <t>Year 1</t>
  </si>
  <si>
    <t>Year 2</t>
  </si>
  <si>
    <t>Year 3</t>
  </si>
  <si>
    <t>Year 4</t>
  </si>
  <si>
    <t>Year 5</t>
  </si>
  <si>
    <t>NasdaqGM</t>
  </si>
  <si>
    <t>NM</t>
  </si>
  <si>
    <t>NasdaqGS</t>
  </si>
  <si>
    <t>Comparable Public Companies (Secondary)</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</si>
  <si>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</si>
  <si>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</si>
  <si>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</si>
  <si>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</si>
  <si>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</si>
  <si>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</si>
  <si>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</si>
  <si>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</si>
  <si>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</si>
  <si>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</si>
  <si>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</si>
  <si>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</si>
  <si>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</si>
  <si>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</si>
  <si>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</si>
  <si>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</si>
  <si>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</si>
  <si>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</si>
  <si>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</si>
  <si>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</si>
  <si>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</si>
  <si>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</si>
  <si>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</si>
  <si>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</si>
  <si>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</si>
  <si>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AMEX</t>
  </si>
  <si>
    <t>NasdaqCM</t>
  </si>
  <si>
    <t>Biotechnology</t>
  </si>
  <si>
    <t>Start date</t>
  </si>
  <si>
    <t>Voyager Therapeutics, Inc.</t>
  </si>
  <si>
    <t>Cash</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</si>
  <si>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</si>
  <si>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</si>
  <si>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</si>
  <si>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</si>
  <si>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</si>
  <si>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</si>
  <si>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</si>
  <si>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</si>
  <si>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</si>
  <si>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</si>
  <si>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REV_CY2016</t>
  </si>
  <si>
    <t>REV_CY2017</t>
  </si>
  <si>
    <t>REV_CY2018</t>
  </si>
  <si>
    <t>REV_CY2019</t>
  </si>
  <si>
    <t xml:space="preserve"> NWC as % of Revenue</t>
  </si>
  <si>
    <t>Stockprice_EQ_PVD</t>
  </si>
  <si>
    <t>Marketcap_EQ_PVD</t>
  </si>
  <si>
    <t>Debt_EQ_PVD</t>
  </si>
  <si>
    <t>PFD_EQ_PVD</t>
  </si>
  <si>
    <t>MIN_INT_PVD</t>
  </si>
  <si>
    <t>Cash_EQ_PVD</t>
  </si>
  <si>
    <t>Probability of IPO Upon Exit</t>
  </si>
  <si>
    <t>DLOM (1)</t>
  </si>
  <si>
    <t>Acquirer</t>
  </si>
  <si>
    <t>EBITDA Margin</t>
  </si>
  <si>
    <t>EBIT Margin</t>
  </si>
  <si>
    <t>Net Income Margin</t>
  </si>
  <si>
    <t>Business Description</t>
  </si>
  <si>
    <t>Beta Look back year</t>
  </si>
  <si>
    <t>Moody's Bond Yield Avg - BAA Rated Corporates</t>
  </si>
  <si>
    <t>CIQ numbers</t>
  </si>
  <si>
    <t>Unlinked numbers</t>
  </si>
  <si>
    <t>CIQ Check</t>
  </si>
  <si>
    <t>M&amp;A</t>
  </si>
  <si>
    <t>Options (Treasury Method)</t>
  </si>
  <si>
    <t>Value to Options</t>
  </si>
  <si>
    <t>Prob. Wtd. Present Value</t>
  </si>
  <si>
    <t>Applied Probability Weightings</t>
  </si>
  <si>
    <t>Treasury Method - Options</t>
  </si>
  <si>
    <t>Line Items</t>
  </si>
  <si>
    <t>Count</t>
  </si>
  <si>
    <t>RNA Capital Advisors</t>
  </si>
  <si>
    <t>RNA developed a WACC taking into consideration the Company's capital structure.  RNA considered the associated rates (or costs of capital) for the purpose of determining valuation indications of the various securities comprising the Company's capital structure as part of a PWERM analysis.</t>
  </si>
  <si>
    <t>Source: "Valuation in Life Sciences", Bogdan and Villiger.</t>
  </si>
  <si>
    <t>Lead Optimization</t>
  </si>
  <si>
    <t>Preclinical</t>
  </si>
  <si>
    <t>Source: Biotechnology Industry Organization - February 15, 2011.</t>
  </si>
  <si>
    <t>Source: "Clinical Development Success Rates 2006-2015", Biotechnology Innovation Organization, Biomedtracker and Amplion, Page 9.</t>
  </si>
  <si>
    <t>Source: "Biotechnology Valuation-An Introductory Guide" Karl D. Keegan, Page 67.</t>
  </si>
  <si>
    <t>Source: "Clinical development success rates for investigational drugs" Hay et al., January 2014, Page 7.</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</si>
  <si>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</si>
  <si>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</si>
  <si>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</si>
  <si>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</si>
  <si>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</si>
  <si>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</si>
  <si>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</si>
  <si>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</si>
  <si>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</si>
  <si>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</si>
  <si>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</si>
  <si>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</si>
  <si>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</si>
  <si>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</si>
  <si>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</si>
  <si>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</si>
  <si>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</si>
  <si>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</si>
  <si>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</si>
  <si>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</si>
  <si>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</si>
  <si>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</si>
  <si>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</si>
  <si>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</si>
  <si>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</si>
  <si>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</si>
  <si>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</si>
  <si>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</si>
  <si>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ENXTPA</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</si>
  <si>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</si>
  <si>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</si>
  <si>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</si>
  <si>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</si>
  <si>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</si>
  <si>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</si>
  <si>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</si>
  <si>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</si>
  <si>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NasdaqGM:IMDZ</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</si>
  <si>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</si>
  <si>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</si>
  <si>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</si>
  <si>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</si>
  <si>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ASX</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</si>
  <si>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</si>
  <si>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</si>
  <si>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</si>
  <si>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</si>
  <si>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</si>
  <si>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</si>
  <si>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</si>
  <si>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</si>
  <si>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Outliers above</t>
  </si>
  <si>
    <t>Outliers below</t>
  </si>
  <si>
    <r>
      <t xml:space="preserve">The derivation of asset volatilities was estimated based on the methodologies outlined in Crosbie's paper entitled </t>
    </r>
    <r>
      <rPr>
        <i/>
        <sz val="10"/>
        <color theme="1"/>
        <rFont val="Times New Roman"/>
        <family val="1"/>
      </rPr>
      <t>Modeling Default Risk</t>
    </r>
    <r>
      <rPr>
        <sz val="10"/>
        <color theme="1"/>
        <rFont val="Times New Roman"/>
        <family val="1"/>
      </rPr>
      <t>.</t>
    </r>
  </si>
  <si>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</si>
  <si>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</si>
  <si>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</si>
  <si>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Based on information provided by Management.</t>
  </si>
  <si>
    <t>Completed Date</t>
  </si>
  <si>
    <t>Deal Type</t>
  </si>
  <si>
    <t>Licensee</t>
  </si>
  <si>
    <t>Licensor</t>
  </si>
  <si>
    <t>Stage of Development</t>
  </si>
  <si>
    <t>Deal Value</t>
  </si>
  <si>
    <t>Upfront Payment</t>
  </si>
  <si>
    <t>TRACON Pharmaceuticals, Inc.</t>
  </si>
  <si>
    <t>Madrigal Pharmaceuticals, Inc.</t>
  </si>
  <si>
    <t>AbbVie Inc.</t>
  </si>
  <si>
    <t>Merck &amp; Co., Inc.</t>
  </si>
  <si>
    <t>Celgene Corporation</t>
  </si>
  <si>
    <t>Astellas Pharma Inc.</t>
  </si>
  <si>
    <t>Chromocell Corporation</t>
  </si>
  <si>
    <t>Discovery</t>
  </si>
  <si>
    <t>Tobira Therapeutics, Inc.</t>
  </si>
  <si>
    <t>Boehringer Ingelheim GmbH</t>
  </si>
  <si>
    <t>Corvus Pharmaceuticals, Inc.</t>
  </si>
  <si>
    <t>Syndax Pharmaceuticals, Inc.</t>
  </si>
  <si>
    <t>Marketed</t>
  </si>
  <si>
    <t>NDA</t>
  </si>
  <si>
    <t>Blueprint Medicines Corporation</t>
  </si>
  <si>
    <t>Initial Public Offerings Data</t>
  </si>
  <si>
    <t>IPO - METRICS (BIOPHARMA)</t>
  </si>
  <si>
    <t>IPO</t>
  </si>
  <si>
    <t>Offering Price at IPO</t>
  </si>
  <si>
    <t>Price Range</t>
  </si>
  <si>
    <t>Trading Price after 1 month of listing</t>
  </si>
  <si>
    <t>Shares Offered</t>
  </si>
  <si>
    <t>Shares After IPO</t>
  </si>
  <si>
    <t>Pre-IPO 
Equity Value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</si>
  <si>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</si>
  <si>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</si>
  <si>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</si>
  <si>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</si>
  <si>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</si>
  <si>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</si>
  <si>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</si>
  <si>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</si>
  <si>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</si>
  <si>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</si>
  <si>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</si>
  <si>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</si>
  <si>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</si>
  <si>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</si>
  <si>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</si>
  <si>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</si>
  <si>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</si>
  <si>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</si>
  <si>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</si>
  <si>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</si>
  <si>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</si>
  <si>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</si>
  <si>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</si>
  <si>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</si>
  <si>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</si>
  <si>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</si>
  <si>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</si>
  <si>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</si>
  <si>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</si>
  <si>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</si>
  <si>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</si>
  <si>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</si>
  <si>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</si>
  <si>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</si>
  <si>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</si>
  <si>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</si>
  <si>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</si>
  <si>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</si>
  <si>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</si>
  <si>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</si>
  <si>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</si>
  <si>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</si>
  <si>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</si>
  <si>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</si>
  <si>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</si>
  <si>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</si>
  <si>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</si>
  <si>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</si>
  <si>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</si>
  <si>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</si>
  <si>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</si>
  <si>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</si>
  <si>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</si>
  <si>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</si>
  <si>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</si>
  <si>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</si>
  <si>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</si>
  <si>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</si>
  <si>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</si>
  <si>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</si>
  <si>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</si>
  <si>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</si>
  <si>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</si>
  <si>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</si>
  <si>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</si>
  <si>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</si>
  <si>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</si>
  <si>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</si>
  <si>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</si>
  <si>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</si>
  <si>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</si>
  <si>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</si>
  <si>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</si>
  <si>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</si>
  <si>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</si>
  <si>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</si>
  <si>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</si>
  <si>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</si>
  <si>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</si>
  <si>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</si>
  <si>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</si>
  <si>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</si>
  <si>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</si>
  <si>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</si>
  <si>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</si>
  <si>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</si>
  <si>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</si>
  <si>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</si>
  <si>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</si>
  <si>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</si>
  <si>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</si>
  <si>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</si>
  <si>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</si>
  <si>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</si>
  <si>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</si>
  <si>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</si>
  <si>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</si>
  <si>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</si>
  <si>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</si>
  <si>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</si>
  <si>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</si>
  <si>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</si>
  <si>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</si>
  <si>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</si>
  <si>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</si>
  <si>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</si>
  <si>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</si>
  <si>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</si>
  <si>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</si>
  <si>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</si>
  <si>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</si>
  <si>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</si>
  <si>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</si>
  <si>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</si>
  <si>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</si>
  <si>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</si>
  <si>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</si>
  <si>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</si>
  <si>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</si>
  <si>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</si>
  <si>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</si>
  <si>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</si>
  <si>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</si>
  <si>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</si>
  <si>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</si>
  <si>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</si>
  <si>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</si>
  <si>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</si>
  <si>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</si>
  <si>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</si>
  <si>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</si>
  <si>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</si>
  <si>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</si>
  <si>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</si>
  <si>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</si>
  <si>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</si>
  <si>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</si>
  <si>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</si>
  <si>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</si>
  <si>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</si>
  <si>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</si>
  <si>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</si>
  <si>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</si>
  <si>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</si>
  <si>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</si>
  <si>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</si>
  <si>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</si>
  <si>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</si>
  <si>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</si>
  <si>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</si>
  <si>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</si>
  <si>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</si>
  <si>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</si>
  <si>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</si>
  <si>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</si>
  <si>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</si>
  <si>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</si>
  <si>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</si>
  <si>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</si>
  <si>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</si>
  <si>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</si>
  <si>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</si>
  <si>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</si>
  <si>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</si>
  <si>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</si>
  <si>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</si>
  <si>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</si>
  <si>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</si>
  <si>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</si>
  <si>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</si>
  <si>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</si>
  <si>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</si>
  <si>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</si>
  <si>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</si>
  <si>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</si>
  <si>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</si>
  <si>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</si>
  <si>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</si>
  <si>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</si>
  <si>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</si>
  <si>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</si>
  <si>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</si>
  <si>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</si>
  <si>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</si>
  <si>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</si>
  <si>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</si>
  <si>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</si>
  <si>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</si>
  <si>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</si>
  <si>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</si>
  <si>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</si>
  <si>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</si>
  <si>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</si>
  <si>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</si>
  <si>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</si>
  <si>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</si>
  <si>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</si>
  <si>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</si>
  <si>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</si>
  <si>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</si>
  <si>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</si>
  <si>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</si>
  <si>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</si>
  <si>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</si>
  <si>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</si>
  <si>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</si>
  <si>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</si>
  <si>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</si>
  <si>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</si>
  <si>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</si>
  <si>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</si>
  <si>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</si>
  <si>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</si>
  <si>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</si>
  <si>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</si>
  <si>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</si>
  <si>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</si>
  <si>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</si>
  <si>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</si>
  <si>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</si>
  <si>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</si>
  <si>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</si>
  <si>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</si>
  <si>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</si>
  <si>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</si>
  <si>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</si>
  <si>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</si>
  <si>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</si>
  <si>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</si>
  <si>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</si>
  <si>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</si>
  <si>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</si>
  <si>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</si>
  <si>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</si>
  <si>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</si>
  <si>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</si>
  <si>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</si>
  <si>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</si>
  <si>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</si>
  <si>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</si>
  <si>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</si>
  <si>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</si>
  <si>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</si>
  <si>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</si>
  <si>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</si>
  <si>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</si>
  <si>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</si>
  <si>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</si>
  <si>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</si>
  <si>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</si>
  <si>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</si>
  <si>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</si>
  <si>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</si>
  <si>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</si>
  <si>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</si>
  <si>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</si>
  <si>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</si>
  <si>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</si>
  <si>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</si>
  <si>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</si>
  <si>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NasdaqGM:BLCM</t>
  </si>
  <si>
    <t>NasdaqGS:JUNO</t>
  </si>
  <si>
    <t>Phase IIa</t>
  </si>
  <si>
    <t>ENXTAM:PBD</t>
  </si>
  <si>
    <t>NasdaqGM:PRTO</t>
  </si>
  <si>
    <t>BOVESPA:OFSA3</t>
  </si>
  <si>
    <t>NasdaqGS:ATRA</t>
  </si>
  <si>
    <t>NasdaqGS:DERM</t>
  </si>
  <si>
    <t>NasdaqGS:CALA</t>
  </si>
  <si>
    <t>NasdaqGM:VBLT</t>
  </si>
  <si>
    <t>NasdaqGM:VTAE</t>
  </si>
  <si>
    <t>NasdaqGM:TKAI</t>
  </si>
  <si>
    <t>NasdaqGM:AFMD</t>
  </si>
  <si>
    <t>NasdaqGM:OTIC</t>
  </si>
  <si>
    <t>NasdaqGM:EARS</t>
  </si>
  <si>
    <t>NasdaqGM:LOXO</t>
  </si>
  <si>
    <t>NasdaqGM:MRNS</t>
  </si>
  <si>
    <t>NasdaqGM:ORPN</t>
  </si>
  <si>
    <t>NasdaqCM:CFRX</t>
  </si>
  <si>
    <t>NasdaqGM:OCUL</t>
  </si>
  <si>
    <t>AMEX:PFNX</t>
  </si>
  <si>
    <t>NasdaqGM:XENT</t>
  </si>
  <si>
    <t>NasdaqGM:SAGE</t>
  </si>
  <si>
    <t>NasdaqGM:ROKA</t>
  </si>
  <si>
    <t>NasdaqGM:CDNA</t>
  </si>
  <si>
    <t>NasdaqCM:GBIM</t>
  </si>
  <si>
    <t>NasdaqGM:NERV</t>
  </si>
  <si>
    <t>NasdaqGS:AMPH</t>
  </si>
  <si>
    <t>NasdaqGS:KITE</t>
  </si>
  <si>
    <t>NasdaqGM:ARDX</t>
  </si>
  <si>
    <t>NasdaqGM:PARN</t>
  </si>
  <si>
    <t>NasdaqGS:ZFGN</t>
  </si>
  <si>
    <t>NasdaqGM:RDUS</t>
  </si>
  <si>
    <t>NasdaqGM:AGRX</t>
  </si>
  <si>
    <t>NasdaqGM:ALDR</t>
  </si>
  <si>
    <t>NasdaqGM:SCYX</t>
  </si>
  <si>
    <t>NasdaqCM:ALDX</t>
  </si>
  <si>
    <t>NasdaqGM:CERU</t>
  </si>
  <si>
    <t>NasdaqGM:ADMS</t>
  </si>
  <si>
    <t>NasdaqGM:CORI</t>
  </si>
  <si>
    <t>NasdaqGM:AGTC</t>
  </si>
  <si>
    <t>NasdaqGM:MDWD</t>
  </si>
  <si>
    <t>NasdaqGS:VSAR</t>
  </si>
  <si>
    <t>NasdaqGM:AKBA</t>
  </si>
  <si>
    <t>NasdaqCM:DPRX</t>
  </si>
  <si>
    <t>NasdaqCM:GLMD</t>
  </si>
  <si>
    <t>NasdaqGM:AKAO</t>
  </si>
  <si>
    <t>NasdaqGS:VWR</t>
  </si>
  <si>
    <t>NasdaqGM:AAVL</t>
  </si>
  <si>
    <t>NYSE:CTLT</t>
  </si>
  <si>
    <t>NasdaqGM:ZSPH</t>
  </si>
  <si>
    <t>OIP</t>
  </si>
  <si>
    <t>Implied Value</t>
  </si>
  <si>
    <t>Backsolve --&gt;</t>
  </si>
  <si>
    <t>Label Format #6</t>
  </si>
  <si>
    <t>(in USD or Shares)</t>
  </si>
  <si>
    <t>Concluded Common Stock Price</t>
  </si>
  <si>
    <t>Methodology Summary</t>
  </si>
  <si>
    <t>Primary Methodology</t>
  </si>
  <si>
    <t>Confirming Methodology</t>
  </si>
  <si>
    <t>Event Timings</t>
  </si>
  <si>
    <t xml:space="preserve">Preferred (Debt-Like Component) </t>
  </si>
  <si>
    <t xml:space="preserve">Preferred (Equity-Like Component) </t>
  </si>
  <si>
    <t xml:space="preserve">Equity (Common + Granted Options/Warrants) </t>
  </si>
  <si>
    <t>Cost of Capital (Enterprise Level - Portfolio)</t>
  </si>
  <si>
    <t>Most Recent Round</t>
  </si>
  <si>
    <t>Round Date</t>
  </si>
  <si>
    <t>Most Recent Round Price</t>
  </si>
  <si>
    <t>Most Recent Raise</t>
  </si>
  <si>
    <t>Most Recent Pre-Money Valuation</t>
  </si>
  <si>
    <t>Most Recent Post-Money Valuation</t>
  </si>
  <si>
    <t>Total Shares Outstanding</t>
  </si>
  <si>
    <t>Last Options Granted Strike Price</t>
  </si>
  <si>
    <t>Common as a % of Latest Preferred Round</t>
  </si>
  <si>
    <t>OPM Term to Exit (Years)</t>
  </si>
  <si>
    <t>OPM Term to Exit (Date)</t>
  </si>
  <si>
    <t>Updated upto:</t>
  </si>
  <si>
    <t>Less: Debt as of Exit Date</t>
  </si>
  <si>
    <t>#</t>
  </si>
  <si>
    <t>Exit Scenario wise exit %</t>
  </si>
  <si>
    <t>Do Not Delete</t>
  </si>
  <si>
    <t>IND</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</si>
  <si>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</si>
  <si>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</si>
  <si>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</si>
  <si>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</si>
  <si>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</si>
  <si>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</si>
  <si>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</si>
  <si>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</si>
  <si>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</si>
  <si>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</si>
  <si>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</si>
  <si>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</si>
  <si>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</si>
  <si>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</si>
  <si>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</si>
  <si>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</si>
  <si>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</si>
  <si>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</si>
  <si>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</si>
  <si>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</si>
  <si>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</si>
  <si>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</si>
  <si>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</si>
  <si>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</si>
  <si>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</si>
  <si>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</si>
  <si>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</si>
  <si>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</si>
  <si>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Common Stock Equity</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</si>
  <si>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</si>
  <si>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</si>
  <si>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</si>
  <si>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</si>
  <si>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</si>
  <si>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</si>
  <si>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</si>
  <si>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</si>
  <si>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</si>
  <si>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</si>
  <si>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</si>
  <si>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</si>
  <si>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</si>
  <si>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</si>
  <si>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</si>
  <si>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</si>
  <si>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</si>
  <si>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</si>
  <si>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</si>
  <si>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</si>
  <si>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</si>
  <si>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</si>
  <si>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</si>
  <si>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</si>
  <si>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</si>
  <si>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</si>
  <si>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</si>
  <si>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</si>
  <si>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</si>
  <si>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</si>
  <si>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</si>
  <si>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</si>
  <si>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</si>
  <si>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</si>
  <si>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</si>
  <si>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Probability of Dissolution (captured in OPM)</t>
  </si>
  <si>
    <t>Year 6</t>
  </si>
  <si>
    <t>Year 7</t>
  </si>
  <si>
    <t>Year 8</t>
  </si>
  <si>
    <t>Outline - Workpapers</t>
  </si>
  <si>
    <t>Workpaper Number</t>
  </si>
  <si>
    <t>Workpaper Labeling</t>
  </si>
  <si>
    <t>Latest Preferred Round</t>
  </si>
  <si>
    <t xml:space="preserve">Common </t>
  </si>
  <si>
    <t>Value From OPM</t>
  </si>
  <si>
    <t>Discount Factor (3)</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</si>
  <si>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</si>
  <si>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</si>
  <si>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</si>
  <si>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</si>
  <si>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</si>
  <si>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</si>
  <si>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</si>
  <si>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</si>
  <si>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</si>
  <si>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</si>
  <si>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</si>
  <si>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</si>
  <si>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</si>
  <si>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</si>
  <si>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</si>
  <si>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</si>
  <si>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</si>
  <si>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</si>
  <si>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</si>
  <si>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</si>
  <si>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</si>
  <si>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</si>
  <si>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</si>
  <si>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</si>
  <si>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</si>
  <si>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</si>
  <si>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</si>
  <si>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</si>
  <si>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</si>
  <si>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</si>
  <si>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</si>
  <si>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</si>
  <si>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</si>
  <si>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</si>
  <si>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</si>
  <si>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</si>
  <si>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</si>
  <si>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</si>
  <si>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</si>
  <si>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</si>
  <si>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</si>
  <si>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</si>
  <si>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</si>
  <si>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</si>
  <si>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</si>
  <si>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</si>
  <si>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</si>
  <si>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</si>
  <si>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</si>
  <si>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</si>
  <si>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</si>
  <si>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</si>
  <si>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</si>
  <si>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</si>
  <si>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</si>
  <si>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</si>
  <si>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</si>
  <si>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Offer Date</t>
  </si>
  <si>
    <t>NasdaqGM:AVGR</t>
  </si>
  <si>
    <t>NasdaqGM:ENTL</t>
  </si>
  <si>
    <t>First Pricing Date</t>
  </si>
  <si>
    <t>Hybrid OPM</t>
  </si>
  <si>
    <t>Hybrid Scenario</t>
  </si>
  <si>
    <t>Present Value Per Common Stock Share</t>
  </si>
  <si>
    <t>Total Value</t>
  </si>
  <si>
    <t>Present Value Per Series B Share</t>
  </si>
  <si>
    <t>Present Value of Equity Value</t>
  </si>
  <si>
    <t>Probability Adjusted Present Value</t>
  </si>
  <si>
    <t>Series B OIP</t>
  </si>
  <si>
    <t>Backsolve &gt;&gt;</t>
  </si>
  <si>
    <t>&lt;&lt;-- Link this to latest series raise</t>
  </si>
  <si>
    <t>Option Pricing Method - Breakpoints &amp; Allocation (Hybrid OPM)</t>
  </si>
  <si>
    <t>Option Pricing Method - Implied Value Per Share (Hybrid OPM)</t>
  </si>
  <si>
    <t>Interpolation - Hybrid OPM</t>
  </si>
  <si>
    <t>Hybrid DLOM</t>
  </si>
  <si>
    <t>Reasons (if any)</t>
  </si>
  <si>
    <t>List of Checks</t>
  </si>
  <si>
    <t>Value Check</t>
  </si>
  <si>
    <t>Hist BS</t>
  </si>
  <si>
    <t>DO NOT DELETE -&gt;&gt;</t>
  </si>
  <si>
    <t>Check for Balance sheet total match</t>
  </si>
  <si>
    <t>Update this if not taking median</t>
  </si>
  <si>
    <t>Asset Vol - Hybrid OPM</t>
  </si>
  <si>
    <t>Hybrid OPM Asset Vol Check</t>
  </si>
  <si>
    <t>All CIQ Checks</t>
  </si>
  <si>
    <t>Time to Exit</t>
  </si>
  <si>
    <t>Additional Time for IPO Lockup</t>
  </si>
  <si>
    <t>Additional Time to Cash Flow</t>
  </si>
  <si>
    <t>Duration</t>
  </si>
  <si>
    <t>Less: DLOM</t>
  </si>
  <si>
    <t>Check for difference in tranche value in OPM1 and value assigned in OPM2</t>
  </si>
  <si>
    <t>Non-Marketable Price Per Share</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</si>
  <si>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</si>
  <si>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</si>
  <si>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</si>
  <si>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</si>
  <si>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</si>
  <si>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</si>
  <si>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</si>
  <si>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</si>
  <si>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</si>
  <si>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</si>
  <si>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</si>
  <si>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</si>
  <si>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</si>
  <si>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</si>
  <si>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</si>
  <si>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OPM 1</t>
  </si>
  <si>
    <t>Check for difference between allocable value and total value after tranche allocation</t>
  </si>
  <si>
    <t>Value of Hybrid OPM</t>
  </si>
  <si>
    <t>Shares Pre-IPO</t>
  </si>
  <si>
    <t>Gross Proceeds</t>
  </si>
  <si>
    <t>Development Phase</t>
  </si>
  <si>
    <t>NasdaqGM:AXSM</t>
  </si>
  <si>
    <t>LTM Revenue</t>
  </si>
  <si>
    <t>LTM EBITDA</t>
  </si>
  <si>
    <t>EV/LTM Revenue</t>
  </si>
  <si>
    <t>EV/LTM EBITDA</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</si>
  <si>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</si>
  <si>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</si>
  <si>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</si>
  <si>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</si>
  <si>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</si>
  <si>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</si>
  <si>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</si>
  <si>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</si>
  <si>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</si>
  <si>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</si>
  <si>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</si>
  <si>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</si>
  <si>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</si>
  <si>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</si>
  <si>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</si>
  <si>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</si>
  <si>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</si>
  <si>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</si>
  <si>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</si>
  <si>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</si>
  <si>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</si>
  <si>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</si>
  <si>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</si>
  <si>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</si>
  <si>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</si>
  <si>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</si>
  <si>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</si>
  <si>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</si>
  <si>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</si>
  <si>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</si>
  <si>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</si>
  <si>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</si>
  <si>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</si>
  <si>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</si>
  <si>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</si>
  <si>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</si>
  <si>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</si>
  <si>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</si>
  <si>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</si>
  <si>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</si>
  <si>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</si>
  <si>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</si>
  <si>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</si>
  <si>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</si>
  <si>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</si>
  <si>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</si>
  <si>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</si>
  <si>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</si>
  <si>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</si>
  <si>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</si>
  <si>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</si>
  <si>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</si>
  <si>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</si>
  <si>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</si>
  <si>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</si>
  <si>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</si>
  <si>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</si>
  <si>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</si>
  <si>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</si>
  <si>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</si>
  <si>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</si>
  <si>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</si>
  <si>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</si>
  <si>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</si>
  <si>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</si>
  <si>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</si>
  <si>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</si>
  <si>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</si>
  <si>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</si>
  <si>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</si>
  <si>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</si>
  <si>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</si>
  <si>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</si>
  <si>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</si>
  <si>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</si>
  <si>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</si>
  <si>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</si>
  <si>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</si>
  <si>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</si>
  <si>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</si>
  <si>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</si>
  <si>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</si>
  <si>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</si>
  <si>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</si>
  <si>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</si>
  <si>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</si>
  <si>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</si>
  <si>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</si>
  <si>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</si>
  <si>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</si>
  <si>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</si>
  <si>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</si>
  <si>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</si>
  <si>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</si>
  <si>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</si>
  <si>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</si>
  <si>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</si>
  <si>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</si>
  <si>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</si>
  <si>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</si>
  <si>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</si>
  <si>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</si>
  <si>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</si>
  <si>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</si>
  <si>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</si>
  <si>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</si>
  <si>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</si>
  <si>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</si>
  <si>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</si>
  <si>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</si>
  <si>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</si>
  <si>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</si>
  <si>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</si>
  <si>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</si>
  <si>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</si>
  <si>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</si>
  <si>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</si>
  <si>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</si>
  <si>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</si>
  <si>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</si>
  <si>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</si>
  <si>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</si>
  <si>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</si>
  <si>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</si>
  <si>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</si>
  <si>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</si>
  <si>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</si>
  <si>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</si>
  <si>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</si>
  <si>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</si>
  <si>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</si>
  <si>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</si>
  <si>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</si>
  <si>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Phase III, NDA Filed and Marketed</t>
  </si>
  <si>
    <t>scPharmaceuticals Inc.</t>
  </si>
  <si>
    <t>NasdaqGS:SCPH</t>
  </si>
  <si>
    <t>IQTR541328196</t>
  </si>
  <si>
    <t>IQ247375245</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</si>
  <si>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</si>
  <si>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</si>
  <si>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</si>
  <si>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</si>
  <si>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</si>
  <si>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</si>
  <si>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</si>
  <si>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</si>
  <si>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</si>
  <si>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</si>
  <si>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</si>
  <si>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</si>
  <si>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</si>
  <si>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</si>
  <si>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</si>
  <si>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</si>
  <si>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</si>
  <si>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&lt;- Check</t>
  </si>
  <si>
    <t>Backsolve</t>
  </si>
  <si>
    <t>Hybrid OPM Backsolve</t>
  </si>
  <si>
    <t xml:space="preserve">Comparable Indication/Technology </t>
  </si>
  <si>
    <t>Phase of the Comparable Product</t>
  </si>
  <si>
    <t>Comp.1 and Trans. 1</t>
  </si>
  <si>
    <t>Added columns for comparable technology and Phases</t>
  </si>
  <si>
    <t>Added Class Volatility checks</t>
  </si>
  <si>
    <t>Added check for Hybrid OPM backsolve</t>
  </si>
  <si>
    <t>WACC</t>
  </si>
  <si>
    <t>Updated D&amp;P studies for 2018</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</si>
  <si>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</si>
  <si>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</si>
  <si>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</si>
  <si>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</si>
  <si>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</si>
  <si>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</si>
  <si>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</si>
  <si>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</si>
  <si>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</si>
  <si>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</si>
  <si>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</si>
  <si>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</si>
  <si>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</si>
  <si>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</si>
  <si>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</si>
  <si>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</si>
  <si>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</si>
  <si>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</si>
  <si>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</si>
  <si>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</si>
  <si>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</si>
  <si>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</si>
  <si>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Latest Pref Series</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</si>
  <si>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</si>
  <si>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</si>
  <si>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</si>
  <si>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</si>
  <si>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</si>
  <si>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</si>
  <si>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</si>
  <si>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</si>
  <si>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</si>
  <si>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</si>
  <si>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</si>
  <si>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</si>
  <si>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</si>
  <si>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</si>
  <si>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</si>
  <si>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</si>
  <si>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</si>
  <si>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</si>
  <si>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</si>
  <si>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</si>
  <si>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</si>
  <si>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</si>
  <si>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</si>
  <si>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Hybrid OPM 1</t>
  </si>
  <si>
    <t>Same edits as above</t>
  </si>
  <si>
    <t>IPO Biopharma_Old</t>
  </si>
  <si>
    <t>Deleted this tab</t>
  </si>
  <si>
    <t>Added footnotes #3 and #4</t>
  </si>
  <si>
    <t>Longstaff Lookback Put Analysis</t>
  </si>
  <si>
    <t>Put Value (i)</t>
  </si>
  <si>
    <t>Calculated DLOM (ii) = (i) / (1 + i )</t>
  </si>
  <si>
    <t>Rows 53-66</t>
  </si>
  <si>
    <t>Added Longstaff DLOM formula</t>
  </si>
  <si>
    <t>Updated alignment for the headers</t>
  </si>
  <si>
    <t>Pliant Therapeutics, Inc.</t>
  </si>
  <si>
    <t>Balance Sheets</t>
  </si>
  <si>
    <t>(unaudited)</t>
  </si>
  <si>
    <t>CALCULATIONS</t>
  </si>
  <si>
    <t>May 31</t>
  </si>
  <si>
    <t>December 31</t>
  </si>
  <si>
    <t>#1</t>
  </si>
  <si>
    <t>#2</t>
  </si>
  <si>
    <t>Jul 2015</t>
  </si>
  <si>
    <t>Aug 2015</t>
  </si>
  <si>
    <t>Sep 2015</t>
  </si>
  <si>
    <t>Oct 2015</t>
  </si>
  <si>
    <t>Nov 2015</t>
  </si>
  <si>
    <t>Dec 2015</t>
  </si>
  <si>
    <t>Jan 2016</t>
  </si>
  <si>
    <t>Feb 2016</t>
  </si>
  <si>
    <t>Mar 2016</t>
  </si>
  <si>
    <t>Apr 2016</t>
  </si>
  <si>
    <t>May 2016</t>
  </si>
  <si>
    <t>Jun 2016</t>
  </si>
  <si>
    <t>Jul 2016</t>
  </si>
  <si>
    <t>Aug 2016</t>
  </si>
  <si>
    <t>Sep 2016</t>
  </si>
  <si>
    <t>Oct 2016</t>
  </si>
  <si>
    <t>Nov 2016</t>
  </si>
  <si>
    <t>Dec 2016</t>
  </si>
  <si>
    <t>Jan 2017</t>
  </si>
  <si>
    <t>Feb 2017</t>
  </si>
  <si>
    <t>Mar 2017</t>
  </si>
  <si>
    <t>Apr 2017</t>
  </si>
  <si>
    <t>May 2017</t>
  </si>
  <si>
    <t>Jun 2017</t>
  </si>
  <si>
    <t>Jul 2017</t>
  </si>
  <si>
    <t>Aug 2017</t>
  </si>
  <si>
    <t>Sep 2017</t>
  </si>
  <si>
    <t>Oct 2017</t>
  </si>
  <si>
    <t>Nov 2017</t>
  </si>
  <si>
    <t>Dec 2017</t>
  </si>
  <si>
    <t>Jan 2018</t>
  </si>
  <si>
    <t>Feb 2018</t>
  </si>
  <si>
    <t>Mar 2018</t>
  </si>
  <si>
    <t>Apr 2018</t>
  </si>
  <si>
    <t>May 2018</t>
  </si>
  <si>
    <t>ASSETS</t>
  </si>
  <si>
    <t>Adjustment</t>
  </si>
  <si>
    <t>QUICKBOOKS</t>
  </si>
  <si>
    <t>('000)</t>
  </si>
  <si>
    <t>Cash and cash equivalents</t>
  </si>
  <si>
    <t>Prepaid expense &amp; other current assets</t>
  </si>
  <si>
    <t>Property and equipment, net</t>
  </si>
  <si>
    <t>Other assets</t>
  </si>
  <si>
    <t>TOTAL ASSETS</t>
  </si>
  <si>
    <t xml:space="preserve">LIABILITIES AND SHAREHOLDERS' EQUITY </t>
  </si>
  <si>
    <t>Liabilities:</t>
  </si>
  <si>
    <t>Accounts payable</t>
  </si>
  <si>
    <t>Other current liabilities</t>
  </si>
  <si>
    <t>Other long-term liabilities</t>
  </si>
  <si>
    <t>Total liabilities</t>
  </si>
  <si>
    <t>Shareholders' equity:</t>
  </si>
  <si>
    <t>Accumulated deficit</t>
  </si>
  <si>
    <t>Net income</t>
  </si>
  <si>
    <t xml:space="preserve">TOTAL LIABILITIES &amp; SHAREHOLDERS' EQUITY </t>
  </si>
  <si>
    <t>Note: These financial statements are unaudited as of the date of this report and are subject to certain non-cash accounting entries in accordance with U.S. GAAP (e.g. ASC 718 Share-based Compensation Awards)</t>
  </si>
  <si>
    <t>Board Format</t>
  </si>
  <si>
    <t>Statements of Operations</t>
  </si>
  <si>
    <t>Q1</t>
  </si>
  <si>
    <t>Q2</t>
  </si>
  <si>
    <t>Q3</t>
  </si>
  <si>
    <t>Q4</t>
  </si>
  <si>
    <t>May 31, 2018</t>
  </si>
  <si>
    <t>Operating Expenses:</t>
  </si>
  <si>
    <t>Compensation and Benefits</t>
  </si>
  <si>
    <t>Travel &amp; Entertainment</t>
  </si>
  <si>
    <t>R&amp;D Outside Services</t>
  </si>
  <si>
    <t>R&amp;D Equipment &amp; Supplies</t>
  </si>
  <si>
    <t>G&amp;A Outside Services</t>
  </si>
  <si>
    <t>Licensing Fees</t>
  </si>
  <si>
    <t>Facilities and Other Administrative</t>
  </si>
  <si>
    <t>Net Other Income</t>
  </si>
  <si>
    <t>Other Income</t>
  </si>
  <si>
    <t>Other Expense</t>
  </si>
  <si>
    <t>Net Loss</t>
  </si>
  <si>
    <t>Net Income/(Loss)</t>
  </si>
  <si>
    <t>check</t>
  </si>
  <si>
    <t>check Operating Expenses</t>
  </si>
  <si>
    <t>2017 Statements of Operations by Quarter</t>
  </si>
  <si>
    <t>R&amp;D Spending</t>
  </si>
  <si>
    <t>G&amp;A Spending</t>
  </si>
  <si>
    <t>Facilities and Other Admin</t>
  </si>
  <si>
    <t>Net Other Exp / (Inc)</t>
  </si>
  <si>
    <t>Operating Income (Loss)</t>
  </si>
  <si>
    <t>Cash Spend:</t>
  </si>
  <si>
    <t>OpSpend vs All Cash Spend</t>
  </si>
  <si>
    <t xml:space="preserve">Capital spending: </t>
  </si>
  <si>
    <t>Lease Deposit</t>
  </si>
  <si>
    <t>AP paydown</t>
  </si>
  <si>
    <t>extra equity</t>
  </si>
  <si>
    <t>Comp &amp; Ben</t>
  </si>
  <si>
    <t>R&amp;D</t>
  </si>
  <si>
    <t>G&amp;A</t>
  </si>
  <si>
    <t>License Fees</t>
  </si>
  <si>
    <t>Facilities and Other</t>
  </si>
  <si>
    <t>Budget vs. Actual Results Analysis</t>
  </si>
  <si>
    <t>Budget</t>
  </si>
  <si>
    <t>Fav (Unfav.)</t>
  </si>
  <si>
    <t>$ Variance</t>
  </si>
  <si>
    <t>% Variance</t>
  </si>
  <si>
    <t>Revenues:</t>
  </si>
  <si>
    <t>Cost of Revenue</t>
  </si>
  <si>
    <t>Net Revenue</t>
  </si>
  <si>
    <t>Other Personnel Costs</t>
  </si>
  <si>
    <t>G&amp;A Consulting</t>
  </si>
  <si>
    <t>Causes this cash variance</t>
  </si>
  <si>
    <t>Beginning Cash</t>
  </si>
  <si>
    <t>same</t>
  </si>
  <si>
    <t>Other Income (Expense), net</t>
  </si>
  <si>
    <t>YE</t>
  </si>
  <si>
    <t>Ap and ST liab</t>
  </si>
  <si>
    <t>AP decreased</t>
  </si>
  <si>
    <t>act</t>
  </si>
  <si>
    <t>budg</t>
  </si>
  <si>
    <t>Spending Var</t>
  </si>
  <si>
    <t>Underspending</t>
  </si>
  <si>
    <t>Increase in Deposits</t>
  </si>
  <si>
    <t>Cash Balance</t>
  </si>
  <si>
    <t>Budget variance in Equity cash in</t>
  </si>
  <si>
    <t>expected cash varianc</t>
  </si>
  <si>
    <t>Actual cash variance</t>
  </si>
  <si>
    <t>Version BOD Budget 02 08 2018</t>
  </si>
  <si>
    <t>Company View</t>
  </si>
  <si>
    <t>Headcount</t>
  </si>
  <si>
    <t>Operating Activities</t>
  </si>
  <si>
    <t>R&amp;D Outside Spend</t>
  </si>
  <si>
    <t>G&amp;A Outside Spend</t>
  </si>
  <si>
    <t>Licensing Costs</t>
  </si>
  <si>
    <t>Facilities &amp; Other</t>
  </si>
  <si>
    <t>Total Operating Activities</t>
  </si>
  <si>
    <t>Total Cash Spend</t>
  </si>
  <si>
    <t>Interest Income</t>
  </si>
  <si>
    <t>Equity Cash Flows - Common Stock</t>
  </si>
  <si>
    <t>Equity Cash Flows - Preferred Stock</t>
  </si>
  <si>
    <t>Partnering Cash Flows - UF &amp; MS</t>
  </si>
  <si>
    <t>Program View</t>
  </si>
  <si>
    <t>Program Spend</t>
  </si>
  <si>
    <t>avb6</t>
  </si>
  <si>
    <t>avb6 bu</t>
  </si>
  <si>
    <t>CADH11</t>
  </si>
  <si>
    <t>a6b1</t>
  </si>
  <si>
    <t>mTORC2</t>
  </si>
  <si>
    <t>a7b1</t>
  </si>
  <si>
    <t>TGFb</t>
  </si>
  <si>
    <t>kCa3.1</t>
  </si>
  <si>
    <t>newTBD</t>
  </si>
  <si>
    <t>avb1</t>
  </si>
  <si>
    <t>ProductEngine</t>
  </si>
  <si>
    <t>Total Program Spend</t>
  </si>
  <si>
    <t>Overhead Spend</t>
  </si>
  <si>
    <t>Compensation &amp; Benefits - R&amp;D</t>
  </si>
  <si>
    <t>Compensation &amp; Benefits - G&amp;A</t>
  </si>
  <si>
    <t>G&amp;A Consulting &amp; Outside Spend</t>
  </si>
  <si>
    <t>R&amp;D Consulting &amp; Outside Spend</t>
  </si>
  <si>
    <t>Internal Lab Costs</t>
  </si>
  <si>
    <t>Facilities</t>
  </si>
  <si>
    <t>Other Administrative</t>
  </si>
  <si>
    <t>Total Overhead</t>
  </si>
  <si>
    <t>Total Spend Excluding Collaborations</t>
  </si>
  <si>
    <t>Collab Spending</t>
  </si>
  <si>
    <t>Pliant Therapeutics, inc.</t>
  </si>
  <si>
    <t>Balance Sheet</t>
  </si>
  <si>
    <t>Sort Codes</t>
  </si>
  <si>
    <t>As of May 31, 2018</t>
  </si>
  <si>
    <t>Jun 2018</t>
  </si>
  <si>
    <t>July 2018</t>
  </si>
  <si>
    <t>Aug 2018</t>
  </si>
  <si>
    <t>Sept 2018</t>
  </si>
  <si>
    <t>Oct 2018</t>
  </si>
  <si>
    <t>Nov 2018</t>
  </si>
  <si>
    <t>Dec 2018</t>
  </si>
  <si>
    <t xml:space="preserve">   Current Assets</t>
  </si>
  <si>
    <t xml:space="preserve">      Bank Accounts</t>
  </si>
  <si>
    <t xml:space="preserve">         1000 Cash and cash equivalents</t>
  </si>
  <si>
    <t xml:space="preserve">            1001 Checking - Silicon Valley Bank</t>
  </si>
  <si>
    <t xml:space="preserve">            1020 US Bank - CAG</t>
  </si>
  <si>
    <t xml:space="preserve">               1021 US Bank-CAG - Cash</t>
  </si>
  <si>
    <t xml:space="preserve">               1022 US Bank-CAG - S\T</t>
  </si>
  <si>
    <t xml:space="preserve">            Total 1020 US Bank - CAG</t>
  </si>
  <si>
    <t xml:space="preserve">         Total 1000 Cash and cash equivalents</t>
  </si>
  <si>
    <t xml:space="preserve">      Total Bank Accounts</t>
  </si>
  <si>
    <t xml:space="preserve">      Other Current Assets</t>
  </si>
  <si>
    <t xml:space="preserve">         1050 Investments - CAG</t>
  </si>
  <si>
    <t xml:space="preserve">         1060 Interest Receivable</t>
  </si>
  <si>
    <t xml:space="preserve">         1210 Deposits - ST</t>
  </si>
  <si>
    <t xml:space="preserve">         1240 Suspense Account</t>
  </si>
  <si>
    <t xml:space="preserve">         1300 Prepaid Expenses</t>
  </si>
  <si>
    <t xml:space="preserve">         1399 Undeposited Funds</t>
  </si>
  <si>
    <t xml:space="preserve">      Total Other Current Assets</t>
  </si>
  <si>
    <t xml:space="preserve">   Total Current Assets</t>
  </si>
  <si>
    <t xml:space="preserve">   Fixed Assets</t>
  </si>
  <si>
    <t xml:space="preserve">      1500 Fixed Assets</t>
  </si>
  <si>
    <t xml:space="preserve">         1510 Leasehold Improvements</t>
  </si>
  <si>
    <t xml:space="preserve">         1520 Laboratory Equipment</t>
  </si>
  <si>
    <t xml:space="preserve">         1530 Furniture &amp; Fixtures</t>
  </si>
  <si>
    <t xml:space="preserve">         1540 G&amp;A Equipment</t>
  </si>
  <si>
    <t xml:space="preserve">         1599 Construction in Process</t>
  </si>
  <si>
    <t xml:space="preserve">      Total 1500 Fixed Assets</t>
  </si>
  <si>
    <t xml:space="preserve">   Total Fixed Assets</t>
  </si>
  <si>
    <t xml:space="preserve">   Other Assets</t>
  </si>
  <si>
    <t xml:space="preserve">      1710 Deposits - LT</t>
  </si>
  <si>
    <t xml:space="preserve">   Total Other Assets</t>
  </si>
  <si>
    <t>LIABILITIES AND EQUITY</t>
  </si>
  <si>
    <t xml:space="preserve">   Liabilities</t>
  </si>
  <si>
    <t xml:space="preserve">      Current Liabilities</t>
  </si>
  <si>
    <t xml:space="preserve">         Accounts Payable</t>
  </si>
  <si>
    <t xml:space="preserve">            2000 Accounts Payable</t>
  </si>
  <si>
    <t xml:space="preserve">         Total Accounts Payable</t>
  </si>
  <si>
    <t xml:space="preserve">         Credit Cards</t>
  </si>
  <si>
    <t xml:space="preserve">            2100 Credit Card Payable</t>
  </si>
  <si>
    <t xml:space="preserve">         Total Credit Cards</t>
  </si>
  <si>
    <t xml:space="preserve">      Total Current Liabilities</t>
  </si>
  <si>
    <t xml:space="preserve">   Total Liabilities</t>
  </si>
  <si>
    <t xml:space="preserve">   Equity</t>
  </si>
  <si>
    <t xml:space="preserve">      3100 Common Stock - Par Value</t>
  </si>
  <si>
    <t xml:space="preserve">      3200 Preferred Stock - Par Value</t>
  </si>
  <si>
    <t xml:space="preserve">      3300 APIC - CS Cash</t>
  </si>
  <si>
    <t xml:space="preserve">      3350 APIC - PS Cash</t>
  </si>
  <si>
    <t xml:space="preserve">      3360 APIC - PS Issuance Costs</t>
  </si>
  <si>
    <t xml:space="preserve">      3390 Unrealized ST Inv</t>
  </si>
  <si>
    <t xml:space="preserve">      3400 Accumulated Deficit</t>
  </si>
  <si>
    <t xml:space="preserve">      Net Income</t>
  </si>
  <si>
    <t xml:space="preserve">   Total Equity</t>
  </si>
  <si>
    <t>TOTAL LIABILITIES AND EQUITY</t>
  </si>
  <si>
    <t>Profit and Loss</t>
  </si>
  <si>
    <t>July 2015 - May 2018</t>
  </si>
  <si>
    <t>Inception to date</t>
  </si>
  <si>
    <t>Year to Date</t>
  </si>
  <si>
    <t>Income</t>
  </si>
  <si>
    <t>Total Income</t>
  </si>
  <si>
    <t>Expenses</t>
  </si>
  <si>
    <t xml:space="preserve">   6000 Compensation and Benefits</t>
  </si>
  <si>
    <t xml:space="preserve">   6010 Salaries &amp; Wages</t>
  </si>
  <si>
    <t xml:space="preserve">   6020 Bonuses</t>
  </si>
  <si>
    <t xml:space="preserve">   6030 Employer Payroll Tax</t>
  </si>
  <si>
    <t xml:space="preserve">   6040 PTO - Vacation &amp; Sick Leave</t>
  </si>
  <si>
    <t xml:space="preserve">   6050 Employee Benefits Costs</t>
  </si>
  <si>
    <t xml:space="preserve">   6100 Other Personnel Costs</t>
  </si>
  <si>
    <t xml:space="preserve">   6110 Development, Education &amp; Training</t>
  </si>
  <si>
    <t xml:space="preserve">   6120 Employee Recruiting</t>
  </si>
  <si>
    <t xml:space="preserve">   6130 Employee Relocation Costs</t>
  </si>
  <si>
    <t xml:space="preserve">   6140 Employee Internal Meals</t>
  </si>
  <si>
    <t xml:space="preserve">   6150 Kitchen Supplies</t>
  </si>
  <si>
    <t xml:space="preserve">   6200 Travel &amp; Entertainment</t>
  </si>
  <si>
    <t xml:space="preserve">   6210 Conferences &amp; Seminars</t>
  </si>
  <si>
    <t xml:space="preserve">   6220 Travel Transport, Lodging, Parking, &amp; Incidentals</t>
  </si>
  <si>
    <t xml:space="preserve">   6240 Travel Meals for employees</t>
  </si>
  <si>
    <t xml:space="preserve">   6250 Meals &amp; Entertainment</t>
  </si>
  <si>
    <t xml:space="preserve">   6299 Unclassified Expense</t>
  </si>
  <si>
    <t xml:space="preserve">   6340 Marketing &amp; Advertising</t>
  </si>
  <si>
    <t xml:space="preserve">   6350 Investor Relations</t>
  </si>
  <si>
    <t xml:space="preserve">   6360 Legal Fees</t>
  </si>
  <si>
    <t xml:space="preserve">   6361 Legal Fees - Corporate</t>
  </si>
  <si>
    <t xml:space="preserve">   6362 Legal Fees - IP</t>
  </si>
  <si>
    <t xml:space="preserve">   6400 G&amp;A Consulting Services</t>
  </si>
  <si>
    <t xml:space="preserve">   6405 G&amp;A Consultant Expenses</t>
  </si>
  <si>
    <t xml:space="preserve">   6410 Finance &amp; Corporate Development</t>
  </si>
  <si>
    <t xml:space="preserve">   6430 Information Technology Services</t>
  </si>
  <si>
    <t xml:space="preserve">   6440 Board of Directors Costs</t>
  </si>
  <si>
    <t xml:space="preserve">   6450 R&amp;D Consulting Services</t>
  </si>
  <si>
    <t xml:space="preserve">   6455 R&amp;D Consultant Expenses</t>
  </si>
  <si>
    <t xml:space="preserve">   6470 SAB Consultants</t>
  </si>
  <si>
    <t xml:space="preserve">   6500 R&amp;D Outside Services</t>
  </si>
  <si>
    <t xml:space="preserve">   6510 Research Studies</t>
  </si>
  <si>
    <t xml:space="preserve">   6520 Development Services</t>
  </si>
  <si>
    <t xml:space="preserve">   6530 Animal Studies</t>
  </si>
  <si>
    <t xml:space="preserve">   6540 Toxicology</t>
  </si>
  <si>
    <t xml:space="preserve">   6580 Clinical Trial Costs</t>
  </si>
  <si>
    <t xml:space="preserve">   6581 CRO - Direct Costs</t>
  </si>
  <si>
    <t xml:space="preserve">   6582 CRO - PTC Costs</t>
  </si>
  <si>
    <t xml:space="preserve">   6590 CMC Costs</t>
  </si>
  <si>
    <t xml:space="preserve">   6600 R&amp;D Equipment &amp; Supplies (&lt;5000)</t>
  </si>
  <si>
    <t xml:space="preserve">   6630 Equipment Rental</t>
  </si>
  <si>
    <t xml:space="preserve">   6640 R&amp;D Software</t>
  </si>
  <si>
    <t xml:space="preserve">   6700 License Fees</t>
  </si>
  <si>
    <t xml:space="preserve">   6710 Upfront License Fees</t>
  </si>
  <si>
    <t xml:space="preserve">   6720 Milestone License Fees</t>
  </si>
  <si>
    <t xml:space="preserve">   6730 License - Legal PTC</t>
  </si>
  <si>
    <t xml:space="preserve">   6800 Rent &amp; Facilities</t>
  </si>
  <si>
    <t xml:space="preserve">   6810 Rent &amp; CAM Expense - SQF</t>
  </si>
  <si>
    <t xml:space="preserve">   6830 Facilities R&amp;M - SQF</t>
  </si>
  <si>
    <t xml:space="preserve">   6840 Equipment R&amp;M - RD</t>
  </si>
  <si>
    <t xml:space="preserve">   6850 EH&amp;S - RD</t>
  </si>
  <si>
    <t xml:space="preserve">   6860 Utilities &amp; Telecom - SQF</t>
  </si>
  <si>
    <t xml:space="preserve">   6890 Office Equipment &amp; Supplies (&lt;5000)</t>
  </si>
  <si>
    <t xml:space="preserve">   6910 Service Fees and Charges</t>
  </si>
  <si>
    <t xml:space="preserve">   6920 Business Insurance</t>
  </si>
  <si>
    <t xml:space="preserve">   6930 Dues &amp; Subscriptions</t>
  </si>
  <si>
    <t xml:space="preserve">   6940 G&amp;A Software</t>
  </si>
  <si>
    <t xml:space="preserve">   6950 Charitable Donation</t>
  </si>
  <si>
    <t>Total Expenses</t>
  </si>
  <si>
    <t>Net Operating Income</t>
  </si>
  <si>
    <t xml:space="preserve">   7000 Other Income</t>
  </si>
  <si>
    <t xml:space="preserve">   7100 Interest Income</t>
  </si>
  <si>
    <t xml:space="preserve">   7200 Gain on FX</t>
  </si>
  <si>
    <t xml:space="preserve">   7300 Gain on Sale/Disposal</t>
  </si>
  <si>
    <t xml:space="preserve">      7400 Accretion Income</t>
  </si>
  <si>
    <t>Total Other Income</t>
  </si>
  <si>
    <t xml:space="preserve">   8000 Other Expense</t>
  </si>
  <si>
    <t xml:space="preserve">   8100 Interest Expense</t>
  </si>
  <si>
    <t xml:space="preserve">   8200 Loss on FX</t>
  </si>
  <si>
    <t xml:space="preserve">   8300 Loss on Sale/Disposal</t>
  </si>
  <si>
    <t xml:space="preserve">   8400 Penalties &amp; Settlements</t>
  </si>
  <si>
    <t xml:space="preserve">   8500 Tax Expense</t>
  </si>
  <si>
    <t xml:space="preserve">   9100 Depreciation Expense</t>
  </si>
  <si>
    <t xml:space="preserve">   9200 Amortization</t>
  </si>
  <si>
    <t xml:space="preserve">   9300 SBC - Employee</t>
  </si>
  <si>
    <t xml:space="preserve">   9400 SBC - Nonemployee/Consultant</t>
  </si>
  <si>
    <t>x</t>
  </si>
  <si>
    <t xml:space="preserve">   9900 Reconciliation Discrepancies</t>
  </si>
  <si>
    <t xml:space="preserve">   9992 PLACEHOLDER2 (deleted)</t>
  </si>
  <si>
    <t xml:space="preserve">   9993 PLACEHOLDER3 (deleted)</t>
  </si>
  <si>
    <t xml:space="preserve">   9994 PLACEHOLDER4 (deleted)</t>
  </si>
  <si>
    <t xml:space="preserve">   9995 PLACEHOLDER5 (deleted)</t>
  </si>
  <si>
    <t xml:space="preserve">   9996 PLACEHOLDER6 (deleted)</t>
  </si>
  <si>
    <t xml:space="preserve">   9997 PLACEHOLDER7 (deleted)</t>
  </si>
  <si>
    <t xml:space="preserve">   9998 PLACEHOLDER8 (deleted)</t>
  </si>
  <si>
    <t>Total Other Expenses</t>
  </si>
  <si>
    <t>Net Inc</t>
  </si>
  <si>
    <t>source date</t>
  </si>
  <si>
    <t>Wednesday, Oct 04, 2017 10:07:43 AM GMT-7 - Accrual Basis</t>
  </si>
  <si>
    <t>Diff from Aug wb</t>
  </si>
  <si>
    <t>Check (TA-TL) &gt;&gt;</t>
  </si>
  <si>
    <t>Net Loss/Gain</t>
  </si>
  <si>
    <t>Recurring</t>
  </si>
  <si>
    <t>6 Months</t>
  </si>
  <si>
    <t>5 Months</t>
  </si>
  <si>
    <t>Preferred</t>
  </si>
  <si>
    <t>Additional Capital</t>
  </si>
  <si>
    <t>Unrealized SI Investment</t>
  </si>
  <si>
    <t>Unrealized Gain</t>
  </si>
  <si>
    <t>Common Size</t>
  </si>
  <si>
    <t>Financial Projections</t>
  </si>
  <si>
    <t>2018</t>
  </si>
  <si>
    <t>2019</t>
  </si>
  <si>
    <t>2020</t>
  </si>
  <si>
    <t>2021</t>
  </si>
  <si>
    <t>Total Cash Spend Excl Collaborations</t>
  </si>
  <si>
    <t>Total Spend</t>
  </si>
  <si>
    <t>2018+2019</t>
  </si>
  <si>
    <t>2018 - 2021</t>
  </si>
  <si>
    <t>avb6/avb1</t>
  </si>
  <si>
    <t>Charting area - please don't alter</t>
  </si>
  <si>
    <t>backup</t>
  </si>
  <si>
    <t>avb6/avb1 + backup</t>
  </si>
  <si>
    <t>TGFb Pathway Target</t>
  </si>
  <si>
    <t>TGFb Pathway Targets</t>
  </si>
  <si>
    <t>Integrin Target</t>
  </si>
  <si>
    <t>Discovery Programs</t>
  </si>
  <si>
    <t>Integrin Targets</t>
  </si>
  <si>
    <t>Total Operating Expenses</t>
  </si>
  <si>
    <t>Post Closing</t>
  </si>
  <si>
    <t>Capitalization Table</t>
  </si>
  <si>
    <t>Post-Closing Cap Table</t>
  </si>
  <si>
    <t>Series A $</t>
  </si>
  <si>
    <t>Series A Shares</t>
  </si>
  <si>
    <t>Series B $</t>
  </si>
  <si>
    <t>Series B Shares</t>
  </si>
  <si>
    <t>Common Options</t>
  </si>
  <si>
    <t>Phantom Stock</t>
  </si>
  <si>
    <t>Total (Outstanding)</t>
  </si>
  <si>
    <t>Total (Fully Diluted)</t>
  </si>
  <si>
    <t>% Outstanding</t>
  </si>
  <si>
    <t>% FD</t>
  </si>
  <si>
    <t>Cowen Healthcare Investments</t>
  </si>
  <si>
    <t>Eventide Asset Management</t>
  </si>
  <si>
    <t xml:space="preserve">Schroder Adveq </t>
  </si>
  <si>
    <t>Menlo Ventures</t>
  </si>
  <si>
    <t>Agent Capital</t>
  </si>
  <si>
    <t>TRV Access</t>
  </si>
  <si>
    <t>Harvard</t>
  </si>
  <si>
    <t>Bessemer</t>
  </si>
  <si>
    <t>S-Cubed</t>
  </si>
  <si>
    <t>Pilot House</t>
  </si>
  <si>
    <t xml:space="preserve">Sobrato Capital </t>
  </si>
  <si>
    <t>Portland Pliant</t>
  </si>
  <si>
    <t xml:space="preserve">Management </t>
  </si>
  <si>
    <t>Coulie/Leyman Family Trust</t>
  </si>
  <si>
    <t>Hans Hull</t>
  </si>
  <si>
    <t>Katerina Leftheris</t>
  </si>
  <si>
    <t>Scott Turner</t>
  </si>
  <si>
    <t>David Morgans</t>
  </si>
  <si>
    <t>Patrick Andre</t>
  </si>
  <si>
    <t>Sharon E. Tetlow Trust</t>
  </si>
  <si>
    <t>Sam Zucker</t>
  </si>
  <si>
    <t>Hari Kumar</t>
  </si>
  <si>
    <t>Harold Chapman</t>
  </si>
  <si>
    <t>Rik Derynk</t>
  </si>
  <si>
    <t>Second Closing</t>
  </si>
  <si>
    <t>Common Shares</t>
  </si>
  <si>
    <t>Options Outstanding</t>
  </si>
  <si>
    <t>Options Pool (available)</t>
  </si>
  <si>
    <t>Option Pool (expansion)</t>
  </si>
  <si>
    <t>Pre-Money Valuation</t>
  </si>
  <si>
    <t>Price Per Share</t>
  </si>
  <si>
    <t>Consolidated</t>
  </si>
  <si>
    <t>Breakpoints</t>
  </si>
  <si>
    <t xml:space="preserve">Series A Receives Liquidation Preference </t>
  </si>
  <si>
    <t>Series A Converts</t>
  </si>
  <si>
    <t>Dividends</t>
  </si>
  <si>
    <t>LP + Dividends</t>
  </si>
  <si>
    <t>Options</t>
  </si>
  <si>
    <t>CY2020</t>
  </si>
  <si>
    <t>CY2021</t>
  </si>
  <si>
    <t>REV_CY2020</t>
  </si>
  <si>
    <t>REV_CY2021</t>
  </si>
  <si>
    <t>EBITDA_2019</t>
  </si>
  <si>
    <t>EBITDA_2020</t>
  </si>
  <si>
    <t>NasdaqGS:FGEN</t>
  </si>
  <si>
    <t>IQ28484</t>
  </si>
  <si>
    <t>FibroGen, Inc.</t>
  </si>
  <si>
    <t>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t>
  </si>
  <si>
    <t>NasdaqCM:MDGL</t>
  </si>
  <si>
    <t>IQ144939852</t>
  </si>
  <si>
    <t>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t>
  </si>
  <si>
    <t>ENXTAM:GLPG</t>
  </si>
  <si>
    <t>IQ1716658</t>
  </si>
  <si>
    <t>Galapagos NV</t>
  </si>
  <si>
    <t>ENXTAM</t>
  </si>
  <si>
    <t>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t>
  </si>
  <si>
    <t>NasdaqGS:ICPT</t>
  </si>
  <si>
    <t>IQ11382658</t>
  </si>
  <si>
    <t>Intercept Pharmaceuticals, Inc.</t>
  </si>
  <si>
    <t>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t>
  </si>
  <si>
    <t>NasdaqGS:INSM</t>
  </si>
  <si>
    <t>IQ29978</t>
  </si>
  <si>
    <t>Insmed Incorporated</t>
  </si>
  <si>
    <t>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t>
  </si>
  <si>
    <t>ENXTPA:GNFT</t>
  </si>
  <si>
    <t>IQ9683234</t>
  </si>
  <si>
    <t>Genfit SA</t>
  </si>
  <si>
    <t>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t>
  </si>
  <si>
    <t>NasdaqGS:TBIO</t>
  </si>
  <si>
    <t>IQ143808159</t>
  </si>
  <si>
    <t>Translate Bio, Inc.</t>
  </si>
  <si>
    <t>Translate Bio, Inc., a messenger RNA therapeutics company, engages in developing medicines to treat diseases caused by protein or gene dysfunction. It is developing MRT5005 that is in Phase I/II clinical trial for the treatment of cystic fibrosis; and MRT5201 for the treatment of ornithine transcarbamylase deficiency. It has strategic alliances with Sanofi Pasteur. The company was formerly known as RaNA Therapeutics, Inc. and changed its name to Translate Bio, Inc. in June 2017. Translate Bio, Inc. was founded in 2011 and is headquartered in Lexington, Massachusetts.</t>
  </si>
  <si>
    <t>Kadmon Holdings, Inc.</t>
  </si>
  <si>
    <t>NYSE</t>
  </si>
  <si>
    <t>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t>
  </si>
  <si>
    <t>NasdaqGS:SRRK</t>
  </si>
  <si>
    <t>IQ548810128</t>
  </si>
  <si>
    <t>Scholar Rock Holding Corporation</t>
  </si>
  <si>
    <t>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t>
  </si>
  <si>
    <t>NasdaqGS:SVRA</t>
  </si>
  <si>
    <t>IQ59211637</t>
  </si>
  <si>
    <t>Savara Inc.</t>
  </si>
  <si>
    <t>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t>
  </si>
  <si>
    <t>NasdaqGM:MNOV</t>
  </si>
  <si>
    <t>IQ9262264</t>
  </si>
  <si>
    <t>MediciNova, Inc.</t>
  </si>
  <si>
    <t>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t>
  </si>
  <si>
    <t>NasdaqCM:GALT</t>
  </si>
  <si>
    <t>IQ1065415</t>
  </si>
  <si>
    <t>Galectin Therapeutics, Inc.</t>
  </si>
  <si>
    <t>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t>
  </si>
  <si>
    <t>IQ114779940</t>
  </si>
  <si>
    <t>Galmed Pharmaceuticals Ltd.</t>
  </si>
  <si>
    <t>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t>
  </si>
  <si>
    <t>NasdaqGM:CRBP</t>
  </si>
  <si>
    <t>IQ254045988</t>
  </si>
  <si>
    <t>Corbus Pharmaceuticals Holdings, Inc.</t>
  </si>
  <si>
    <t>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t>
  </si>
  <si>
    <t>NasdaqGM:PRQR</t>
  </si>
  <si>
    <t>IQ224193775</t>
  </si>
  <si>
    <t>ProQR Therapeutics N.V.</t>
  </si>
  <si>
    <t>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t>
  </si>
  <si>
    <t>NasdaqCM:MGEN</t>
  </si>
  <si>
    <t>IQ45015663</t>
  </si>
  <si>
    <t>Miragen Therapeutics, Inc.</t>
  </si>
  <si>
    <t>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t>
  </si>
  <si>
    <t>NasdaqGM:CNAT</t>
  </si>
  <si>
    <t>IQ30828389</t>
  </si>
  <si>
    <t>Conatus Pharmaceuticals Inc.</t>
  </si>
  <si>
    <t>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t>
  </si>
  <si>
    <t>ASX:IMC</t>
  </si>
  <si>
    <t>IQ7687411</t>
  </si>
  <si>
    <t>Immuron Limited</t>
  </si>
  <si>
    <t>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t>
  </si>
  <si>
    <t>NasdaqGM:PULM</t>
  </si>
  <si>
    <t>IQ26897567</t>
  </si>
  <si>
    <t>Pulmatrix, Inc.</t>
  </si>
  <si>
    <t>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t>
  </si>
  <si>
    <t>AMEX:APHB</t>
  </si>
  <si>
    <t>IQ35106</t>
  </si>
  <si>
    <t>AmpliPhi Biosciences Corporation</t>
  </si>
  <si>
    <t>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t>
  </si>
  <si>
    <t>Gilead Sciences, Inc.</t>
  </si>
  <si>
    <t>Nimbus Apollo, Inc.</t>
  </si>
  <si>
    <t>Life Sciences Tools and Services</t>
  </si>
  <si>
    <t>IQTR330031184</t>
  </si>
  <si>
    <t>Nimbus Apollo, Inc. research and develops drugs that treats non-alcoholic steatohepatitis. The company was incorporated in 2010 and is based in Cambridge, Massachusetts. Nimbus Apollo, Inc. operates as a subsidiary of Nimbus Therapeutics, Inc. As per the transaction announced on April 4, 2016, Nimbus Apollo, Inc. operates as a subsidiary of Gilead Sciences Inc.</t>
  </si>
  <si>
    <t xml:space="preserve">Gilead Sciences Inc. (NasdaqGS:GILD) signed a definitive agreement to acquire Nimbus Apollo, Inc. from Nimbus Therapeutics, Inc. for $1.2 billion on April 4, 2016. Under the terms of the agreement, Nimbus Therapeutics will receive an upfront payment of $400 million, with the potential to receive an additional $800 million in development-related milestones over time. Post-acquisition, Nimbus Apollo, Inc. will become a wholly-owned subsidiary of Gilead Sciences Inc. Graham Robinson, Clifford Aronson, Erica Schohn, Eric Sensenbrenner and Matthew Zisk of Skadden Arps Slate Meagher &amp; Flom LLP acted as legal advisor for Gilead Sciences and Mitch Bloom, Art McGivern, Sarah Solomon, Dan Karelitz, Kathleen Kean, Bill Collins, Erini Svokos, Gabriela Morales-Rivera and Benjamin Piper of Goodwin Procter LLP acted as legal advisor for Nimbus Therapeutics, LLC._x000D_
</t>
  </si>
  <si>
    <t>Impact Biomedicines, Inc.</t>
  </si>
  <si>
    <t>IQTR548704819</t>
  </si>
  <si>
    <t>Impact Biomedicines, Inc. engages in the development of cancer treatments. It engages in the development of fedratinib, a potent and highly selective oral small molecule JAK2 kinase inhibitor for the treatment of myelofibrosis and polycythemia vera. The company was founded in 2016 and is headquartered in San Diego, California. As of February 28, 2018, Impact Biomedicines, Inc. operates as a subsidiary of Celgene Corporation.</t>
  </si>
  <si>
    <t xml:space="preserve">Celgene Corporation (NASDAQ:CELG) signed a definitive agreement to acquire Impact Biomedicines, Inc. from Medicxi Ventures, Oberland Capital Management LLC and others for $7 billion on January 7, 2018. Under the terms of the agreement, Celgene will make upfront cash payment of $1.1 billion. In addition, Impact Biomedicines's shareholders are eligible to receive contingent payments based on regulatory approval and sales-based milestones. The maximum aggregate amount payable for regulatory approval milestones is $1.4 billion relating to approvals for myelofibrosis and other indications. Starting from global annual net sales of $1 billion, aggregate tiered sales-based milestone payments could total maximum of $4.5 billion if global annual net sales exceed $5 billion. The transaction is subject to regulatory approval, customary closing conditions and applicable waiting period under the Hart Scott Rodino Antitrust Improvements Act. As on January 29, 2018, the transaction has received early termination of waiting period from Federal Trade Commission. The transaction is expected to close in the first quarter of 2018. Credit Suisse (USA), Inc. acted as financial advisor and Hogan Lovells US LLP acted as legal advisor to Celgene. PJT Partners Inc. (NYSE:PJT) acted as financial advisor and Latham &amp; Watkins LLP acted as legal advisor to Impact Biomedicines._x000D_
</t>
  </si>
  <si>
    <t>Bristol-Myers Squibb Company</t>
  </si>
  <si>
    <t>Vertex Pharmaceuticals (Europe) Limited</t>
  </si>
  <si>
    <t>Concert Pharmaceuticals Inc., CT-656 Drug &amp; Related Assets</t>
  </si>
  <si>
    <t>Pharmaceuticals</t>
  </si>
  <si>
    <t>IQTR531920507</t>
  </si>
  <si>
    <t>As of July 25, 2017, CT-656 Drug &amp; Related Assets of Concert Pharmaceuticals Inc. was acquired by Vertex Pharmaceuticals (Europe) Limited. CT-656 Drug &amp; Related Assets of Concert Pharmaceuticals Inc. comprises drugs and related assets for the treatment of of cystic fibrosis. The asset is located in the United States.</t>
  </si>
  <si>
    <t xml:space="preserve">Vertex Pharmaceuticals (Europe) Limited entered into an asset purchase agreement to acquire the CT-656 Drug and related assets from Concert Pharmaceuticals, Inc. (NasdaqGM:CNCE) for $250 million on March 3, 2017. Vertex Pharmaceuticals (Europe) Limited (‘Vertex‘) will pay $160 million in cash consideration, with $16 million of such consideration to initially be held in escrow. Additionally, upon the achievement of certain milestone events, Vertex will pay an aggregate of up to $90 million after the closing. Of this amount, $50 million will become payable upon receipt of marketing approval for a combination treatment regimen containing CTP-656 for patients with cystic fibrosis in the U.S., and $40 million will become payable upon completion of a pricing and reimbursement agreement in the first of the United Kingdom, Germany or France with respect to a combination treatment regimen containing CTP-656 for patients with cystic fibrosis. Concert Pharmaceuticals (‘Concert’) has agreed to pay a termination fee of $6.4 million to Vertex in specified circumstances._x000D_
_x000D_
The agreement is subject to approval by Concert’s shareholders and various regulatory approvals including expiration of the waiting period under the Hart-Scott-Rodino Antitrust Improvements Act, Concert’s Board of Directors unanimously supports the transaction and recommend that Concert shareholders vote in favor of it. On May 19, 2017, the United States Federal Trade Commission (‘FTC’) issued a request for additional information in connection with the acquisition. On May 24, 2017, the transaction is approved by Concert Pharmaceuticals shareholders. On July 21, 2017, the transaction received an early termination notice from FTC. The transaction is expected to be completed by October 31, 2017._x000D_
_x000D_
Citibank N.A. will serve as the escrow agent on the deal. Daniel G Dufner Jr. and Michael A. Deyong from White &amp; Case LLP served as legal advisors to Vertex Pharmaceuticals Incorporated (NasdaqGS:VRTX), the parent company of Vertex Pharmaceuticals (Europe) Limited. John M. Mutkoski and Andrew H. Goodman from Goodwin Procter LLP served as legal advisors to Concert. Kathryn Morris of The Yates Network acted as public relations advisor for Concert Pharmaceuticals._x000D_
</t>
  </si>
  <si>
    <t>Alpine Immune Sciences, Inc.</t>
  </si>
  <si>
    <t>IQTR428101034</t>
  </si>
  <si>
    <t>As of July 24, 2017, Nivalis Therapeutics, Inc. was acquired by Alpine Immune Sciences Inc. in a reverse merger transaction. Nivalis Therapeutics, Inc., a pharmaceutical company, focuses on the discovery and development of product candidates for patients with cystic fibrosis in the United States. Its lead product candidate is N91115, a small molecule inhibitor, which is in Phase II clinical trial that addresses a defect in cystic fibrosis transmembrane conductance regulator resulting from mutations. The company was formerly known as N30 Pharmaceuticals, Inc. and changed its name to Nivalis Therapeutics, Inc. in February 2015. Nivalis Therapeutics, Inc. was founded in 2007 and is headquartered in Boulder, Colorado.</t>
  </si>
  <si>
    <t>Alpine Immune Sciences Inc. (‘Alpine’) entered into a definitive agreement to acquire Nivalis Therapeutics, Inc. (NasdaqGM:NVLS) (‘Nivalis’) in a reverse merger transaction on April 18, 2017. The transaction is structured as the acquisition by Nivalis of Aplpine in exchange for common stock. The exchange ratio is based on a valuation of Nivalis equal to $50 million, which includes approximately $44 million in cash expected to be held by Nivalis at the time of closing. The issuance of Nivalis shares to Alpine stockholders is expected to result in a change of control of Nivalis with current Alpine shareholders owning approximately 74% of the combined company. Frazier Healthcare Partners, Alpine BioVentures and OrbiMed Advisors will invest a combined additional $17 million into Alpine prior to the close of the transaction. The combined company is expected to have approximately $90 million in cash and cash equivalents at closing. Upon closing of the transaction, the name of the combined company will become Alpine Immune Sciences Inc. and shares of the combined company’s common stock will trade on the NASDAQ Global Market. The agreement contains certain termination rights for both Nivalis and Alpine whereby either party may be required to pay the other party a termination fee of $2.5 million, or in some circumstances reimburse the other party’s expenses up to a maximum of $1 million.
Mitchell H. Gold, Alpine’s Executive Chairman and Chief Executive Officer (‘CEO’), will become the Chairman and CEO of the combined company. Following the merger, the Board of Directors of the combined company will expand to seven seats with two representatives from Nivalis, four representatives by Alpine and an independent director designated by a majority of the other members of the Nivalis Board of Directors. The post-merger company will be based in Seattle.
The transaction is subject to the approval of the stockholders of each company, effectiveness of registration statements, satisfaction of minimum net cash thresholds by each of Nivalis and Alpine, approval of the listing of additional shares of Nivalis common stock on NASDAQ, acquisition of Alpine stock to be consummated prior to the closing with aggregate gross cash proceeds of at least $17 million, consummation of pre-closing financing, execution of lock-up agreement, termination of investor agreements between Alpine and its stockholders and the satisfaction or waiver of other customary conditions. The transaction has been approved by the board of directors of both companies with Nivalis’ board of directors unanimously approving the transaction. On July 19, 2017, Nivalis shareholders approved the deal. Certain executive officers, directors and stockholders of Alpine and Nivalis have entered into support agreements with Nivalis and Alpine to vote all of their shares of Alpine capital stock in favor of adoption of the merger agreement. The merger is expected to close in the third quarter of 2017. On July 20, 2017, it was announced that the transaction is expected to close on July 24, 2017.
Ladenburg Thalmann &amp; Co. Inc. acted as financial advisor and Alan Mendelson and Chad Rolston Latham &amp; Watkins LLP and Carin M. Cutler of Ballard Spahr LLP acted as legal advisors for Nivalis. Sam Zucker of Sidley Austin LLP and Van Katzman of Ascent Law Partners LLP acted as legal advisors for Alpine. Courtney Dugan from Pure Brand Communications and Jennifer Paganelli from W2O Group acted as public relations contacts on the deal.</t>
  </si>
  <si>
    <t>Allergan plc</t>
  </si>
  <si>
    <t>Akarna Therapeutics Ltd.</t>
  </si>
  <si>
    <t>IQTR402034569</t>
  </si>
  <si>
    <t>Akarna Therapeutics Ltd., a biopharmaceutical company, develops small molecule therapeutics that target inflammatory and fibrotic diseases. It offers non-bile acid FXR agonist, a therapeutic for the treatment of nonalcoholic steatohepatitis and fatty-liver diseases. The company was incorporated in 2014 and is based in Cambridge, United Kingdom with an additional office in San Diego, California. As of September 20, 2016, Akarna Therapeutics Ltd. operates as a subsidiary of Allergan plc.</t>
  </si>
  <si>
    <t xml:space="preserve">Allergan plc (NYSE:AGN) acquired Akarna Therapeutics Ltd. from New Science Ventures, LLC, Third Point Ventures L.P. and Forbion Capital Partners for $50 million on September 20, 2016. Under the terms, Allergan acquired Akarna Therapeutics for an upfront cash payment of $50 million, subject to certain adjustments, and success-based development, regulatory and sales milestones. As part of the acquisition, Allergan obtains rights to AKN-083. In addition to AKN-083, the acquisition also includes a portfolio of additional development-stage Farnesoid X receptor (FXR) compounds. Moelis &amp; Company LLC acted as financial advisor and Wilson Sonsini Goodrich &amp; Rosati LLP acted as legal advisor to Akarna._x000D_
</t>
  </si>
  <si>
    <t>IQTR401979689</t>
  </si>
  <si>
    <t>Tobira Therapeutics, Inc., a clinical-stage biopharmaceutical company, focuses on the development and commercialization of therapeutics to treat liver disease, inflammation, fibrosis, and HIV. Its lead product candidate includes cenicriviroc, an immunomodulator and dual inhibitor of CCR2 and CCR5, which is in Phase 2a study for the treatment of primary sclerosing cholangitis and non-alcoholic steatohepatitis disease; and Phase 2b study for HIV. The company was founded in 2006 and is headquartered in South San Francisco, California. As of November 1, 2016, Tobira Therapeutics, Inc. operates as a subsidiary of Allergan plc.</t>
  </si>
  <si>
    <t xml:space="preserve">Allergan plc (NYSE:AGN) signed definitive agreement to acquire Tobira Therapeutics, Inc. (NasdaqCM:TBRA) for $1.5 billion September 19, 2016. Under the terms of the merger agreement, a subsidiary of Allergan will commence a cash tender offer to purchase all of the outstanding shares of Tobira common stock for $28.35 per share, plus one Contingent Value Right to receive up to $49.84 per share in future payments based on the successful completion of certain development, regulatory and commercial milestones. Holders of approximately 36 percent of the outstanding shares of Tobira common stock have entered into an agreement to tender their shares into the tender offer. In case of termination, Tobira will pay $19.34 million as termination fee. The merger agreement contemplates that Allergan will acquire any shares of Tobira that are not tendered into the offer through a second-step merger, which will be completed as soon as practicable following the closing of the tender offer._x000D_
_x000D_
The closing of the tender offer is subject to customary closing conditions, including U.S. antitrust clearance and the tender of a majority of the outstanding shares of Tobira common stock. The Boards of Directors of Tobira Therapeutics, Inc. (NasdaqCM:TBRA) and Allergan plc (NYSE:AGN) have unanimously approved the transaction. The tender offer will commence no later than October 3, 2016. The deal is expected to be completed by the end of 2016. As of October 18, 2016, Federal Trade Commission granted early termination of the waiting period under the Hart-Scott Rodino Antitrust Improvements Act of 1976._x000D_
_x000D_
Andrew Ment, Bud Jerke, Adele Faure and Megan Woodford of Covington &amp; Burling LLP acted as legal advisor to Allergan plc. Mark Robinson of Centerview Partners LLC and Chris Hite of Citigroup Global Markets Inc. acted as financial advisor to Tobira Therapeutics, Inc. and Graham Robinson, Laura Knoll, Matthew Zisk, Clifford Aronson, Moshe Spinowitz and Jennifer Bragg of Skadden, Arps, Slate, Meagher &amp; Flom LLP and Jay K. Hachigian and Andrew Y. Luh of Gunderson Dettmer Stough Villeneuve Franklin &amp; Hachigian, LLP acted as legal advisors to Tobira Therapeutics, Inc. Brianne Kucerik, Steve Newborn and Ann Malester of Weil Gotshal &amp; Manges LLP acted as legal advisors for Allergan. Tobira has agreed to pay Centerview an aggregate fee of approximately $16.2 million, for its services as a financial advisor in connection with the merger. Tobira has also agreed to pay Citi an aggregate fee of approximately $10.8 million, for its services as a financial advisor._x000D_
</t>
  </si>
  <si>
    <t>Roche Holding AG</t>
  </si>
  <si>
    <t>Adheron Therapeutics, Inc.</t>
  </si>
  <si>
    <t>IQTR313251877</t>
  </si>
  <si>
    <t>Adheron Therapeutics, Inc. develops pharmaceuticals for the treatment of rheumatoid arthritis and fibrotic diseases. Its product SDP051, is a Cad-11 antagonist that acts as an adhesive between cells and changes in these Cad-11 interactions can induce the cells to produce many proteins that influence the cellular environment positively or adversely. The company's product is used in pulmonary fibrosis and skin fibrosis. Adheron Therapeutics, Inc. was formerly known as Synovex Corporation. The company was incorporated in 2003 and is based in Berkeley, California. As of October, 2015, Adheron Therapeutics, Inc. operates as a subsidiary of Roche Holding AG.</t>
  </si>
  <si>
    <t xml:space="preserve">Roche Holding AG (SWX:ROG) agreed to acquire Adheron Therapeutics, Inc. for $580 million on October 9, 2015. The consideration comprised of an upfront cash payment of $105 million in cash and additional contingent payments of up to $475 based on achievement of certain predetermined milestones. The deal is subject to customary conditions and it is expected to close shortly. Jean M. McLoughlin, John H. Butler, Darren M. Schweiger, Ethan H. Anderson, Pritesh P. Shah, David R. Bauer, Jeffrey P. Crandall, Jean M. McLoughlin, Veronica M. Wissel, Michael Mollerus and Ethan R. Goldman from Davis Polk &amp; Wardwell LLP acted as the legal advisors to Roche Holding AG., Lewis &amp; Bockius LLP acted as legal advisor for Adheron._x000D_
</t>
  </si>
  <si>
    <t>AstraZeneca PLC</t>
  </si>
  <si>
    <t>Corridor Pharmaceuticals, Inc.</t>
  </si>
  <si>
    <t>IQTR286410736</t>
  </si>
  <si>
    <t>Corridor Pharmaceuticals, Inc. develops small molecule inhibitors of arginase and serotonin to treat pulmonary diseases associated with inflammation, fibrosis, and endothelial dysfunction. Its products include C-201, a small molecule arginase inhibitor that inhibits Arginase I and II in the single nanomolar range, and increases no production in human pulmonary artery endothelial cells; and C-301, a novel arginase inhibitor for the treatment of pulmonary disorders such as PAH, COPD, and IPF. The company was formerly known as Arginetix, Inc. and changed its name to Corridor Pharmaceuticals, Inc. in June, 2010. The company was founded in 2007 and is based in Towson, Maryland. As of December 31, 2014, Corridor Pharmaceuticals, Inc. operates as a subsidiary of AstraZeneca PLC.</t>
  </si>
  <si>
    <t>AstraZeneca PLC (LSE:AZN) acquired Corridor Pharmaceuticals, Inc. from Acidophil, LLC, MedImmune Ventures, Inc. and other investors in 2014.</t>
  </si>
  <si>
    <t>InterMune, Inc.</t>
  </si>
  <si>
    <t>IQTR270789584</t>
  </si>
  <si>
    <t>InterMune, Inc., a biotechnology company, focuses on the research, development, and commercialization of therapies for pulmonology and orphan fibrotic diseases in North America and Europe. The company develops therapies for the treatment of idiopathic pulmonary fibrosis (IPF), a progressive, irreversible, and fatal lung disease. It markets and sells pirfenidone, an orally active, anti-fibrotic agent that inhibits the synthesis of TGF-beta and TNF-alpha under the Esbriet name for the treatment of adults with mild to moderate IPF in the European Union and Canada. The company’s pirfenidone has also completed three Phase III clinical trials for the treatment of IPF in the United States. The company provides pirfenidone under the Pirespa trade name for the treatment of IPF in Japan and South Korea; and is also approved for the treatment of IPF in China, India, Argentina, and Mexico. Its research programs are focused on the discovery of targeted, small-molecule therapeutics and biomarkers to treat and monitor serious pulmonary and fibrotic diseases. The company was formerly known as InterMune Pharmaceuticals, Inc. and changed its name to InterMune, Inc. in April 2001. InterMune, Inc. was founded in 1998 and is headquartered in Brisbane, California. As of September 29, 2014, InterMune, Inc. operates as a subsidiary of Roche Holding AG.</t>
  </si>
  <si>
    <t xml:space="preserve">Roche Holding AG (SWX:ROG) signed a definitive agreement to acquire InterMune, Inc. (NasdaqGS:ITMN) for $8.1 billion in cash on August 22, 2014. Under the terms of the agreement, Roche will commence a tender offer no later than August 29, 2014, to acquire all outstanding shares of InterMune common stock, and InterMune will file a recommendation statement containing the unanimous recommendation of the InterMune board that InterMune’s shareholders tender their shares to Roche. Following completion of the tender offer, Roche will acquire all remaining shares at the same price of $74 per share through a second step merger. Financing is not a condition to the offer. Roche will finance the transaction by a combination of available funds, commerical paper lines and newly issued bonds. InterMune, Inc. would pay $266 million as termination fee to Roche._x000D_
_x000D_
The merger agreement has been approved by the boards of InterMune and Roche. The transaction is subject to closing of tender offer of a number of shares that represents a majority of the total number of outstanding shares on a fully diluted basis and is subject to the expiration or termination of the waiting period under the Hart-Scott-Rodino Antitrust Improvements Act of 1976 and other customary conditions. The transaction is expected to close by end of 2014. The offer will remain open till September 26, 2014. The transaction is expected to be neutral to core earnings per share in 2015 and accretive from 2016 onwards. Centerview Partners LLC and Goldman, Sachs &amp; Co provided their opinion to InterMune, Inc. that the offer price of $74 per share is fair from a financial point of view. Financial impact expected to be neutral to Core EPS in 2015 and accretive from 2016. No material impact expected in 2014. As on September 29, 2014, Roche accepted for payment all shares validly tendered. The tender expired on September 26, 2014, and was not extended. As of the expiration of the tender offer, a total of approximately 96.362877 million shares of InterMune common stock were validly tendered and not withdrawn, representing approximately 79.42% of InterMune's outstanding shares on a fully diluted basis. Later on September 29, 2014, Roche intends to complete the acquisition of InterMune through a merger without a vote or meeting of InterMune's shareholders. In the merger, all shares of InterMune not owned by InterMune, Roche will be converted into the right to receive the same cash consideration per share, less any applicable withholding taxes, as was paid in the tender offer. Following completion of the merger, InterMune will become a wholly owned subsidiary of Roche and InterMune's shares will cease to be traded on NASDAQ Stock Market._x000D_
_x000D_
Chris Hite from Citi Group and Evercore Partners Inc. (NYSE:EVR) acted as financial advisors to Roche. Alan Hartman and Mark Robinson from Centerview Partners and Jack Levy, David Woodhouse, Jim Katzman and Bartosz Ostenda from Goldman Sachs acted as financial advisors to InterMune. Faiza J. Saeed, Ting S. Chen, Michael L. Schler, Eric W. Hilfers, Christine A. Varney, Amanda R. Fenster, Jennifer L. Tanaka, Jennifer Uren, Jay S. Gill, Nicole F. Foster, Julia L. Onorato, Margaret Segall D’Amico, Benjamin D. Landry and David J. Kappos of Cravath, Swaine &amp; Moore LLP acted as legal advisors for InterMune, Inc. Arthur F. Golden, Marc O. Williams, Lee Hochbaum, Brian J. Snyder, Zain Ur Rehman, Jean M. McLoughlin, Edmond T. FitzGerald, Gillian Emmett Moldowan, Ronan P. Harty and Michael Mollerus of Davis Polk &amp; Wardwell LLP acted as legal advisors to Roche Holding. Frank Aquila, Brian Hamilton, William J. Magnuson and Krishna Veeraraghava of Sullivan &amp; Cromwell LLP acted as legal advisors for Centerview Partners. Gibson, Dunn &amp; Crutcher LLP acted as legal advisor for The Goldman Sachs Group, Inc. InterMune has agreed to pay Goldman Sachs a fee of approximately $35.5 million and Centerview an aggregate fee of approximately $35.5 million. Cathrin Petty of JPMorgan Chase &amp; Co. (NYSE:JPM) acted as financial advisor for Roche Holding._x000D_
</t>
  </si>
  <si>
    <t>Oncothyreon Inc (nka:Cascadian Therapeutics, Inc.)</t>
  </si>
  <si>
    <t>Alpine Biosciences, Inc.</t>
  </si>
  <si>
    <t>IQTR270111368</t>
  </si>
  <si>
    <t>Alpine Biosciences, Inc. develops therapies for cancer and rare diseases using nanoparticles and drug development. It develops its products based on protocell technology for the development of product candidates in oncology, immunotherapy, and rare diseases. The company’s therapeutic areas include lysosomal storage, oncology, and cystic fibrosis. The company was founded in 2012 and is based in Seattle, Washington. As of August 8, 2014, Alpine Biosciences, Inc. operates as a subsidiary of Oncothyreon Inc.</t>
  </si>
  <si>
    <t xml:space="preserve">Oncothyreon Inc. (NASDAQ: ONTY) acquired Alpine Biosciences, Inc. for $27.1 million in stock on August 8, 2014. Upon closing of the transaction, Oncothyreon issued approximately 9.3 million shares of Oncothyreon common stock in exchange for all of the outstanding stock of Alpine Biosciences. The shares are subject to certain resale restrictions. An amount of stock equal to 12.5% of the consideration was placed in escrow as security for the indemnification obligations. Alpine Biosciences shall continue as the surviving corporation and shall become a wholly-owned subsidiary of Oncothyreon. 
Jay Venkatesan, Managing Director, Co-Founder and Chief Executive Officer of Alpine, will join Oncothyreon as Executive Vice President and General Manager with primary responsibility for the protocell development program. The Board of Directors of Oncothyreon and Alpine Biosciences have unanimously approved the merger. The transaction is subject to approval from Alpine Biosciences's shareholders, approval, order or authorization of governmental entity, resignations from each of the Directors and each of the officers of Alpine Biosciences, all third party consents, execution of employment agreement, registration rights agreement, non-competition and escrow agreement. The closing of the transactions shall take place within two business days following the satisfaction or waiver of the closing conditions. David W. Healy of Fenwick &amp; West LLP acted as legal advisor to Oncothyreon, Inc. and Patrick Pohlen and Brian Cuneo of Latham &amp; Watkins LLP acted as legal advisor to Alpine Biosciences, Inc. Julie Rathbun of Rathbun Communication acted as Investor and Media Relations advisor to Oncothyreon and Nadia Hasan of WCG acted as Media Relations advisor for Alpine Biosciences. Judith Hasko, Jay Metz and Grace Chen of Latham &amp; Watkins LLP acted as legal advisor for Alpine Biosciences and Brian Cuneo, John Harrison, Benjamin Liss, Isabel Chon, and Una Au. of Fenwick &amp; West LLP also acted as legal advisor for Oncothyreon Inc. Wilson Sonsini Goodrich &amp; Rosati acted as legal advisor to Alpine Biosciences. </t>
  </si>
  <si>
    <t>Stratus Media Group, Inc. (nka:Restorgenex Corporation)</t>
  </si>
  <si>
    <t>Paloma Pharmaceuticals, Inc.</t>
  </si>
  <si>
    <t>IQTR259985962</t>
  </si>
  <si>
    <t>Paloma Pharmaceuticals, Inc. operates as a drug development company that manufactures and commercializes drugs against diseases involving aberrant up-regulation of the PI3K/Akt/mTOR pathway. Its portfolio includes Palomids, the non-steroidal small molecule drugs for the treatment of cancer; ocular diseases, such as macular degeneration and diabetic retinopathy; arthritis; fibrotic diseases that include renal and pulmonary fibrosis; skin diseases, such as psoriasis, atopic dermatitis, and photodamage/wrinkling; antiviral diseases, including HIV/AIDS; and central nervous system disorders that include epilepsy and neurodegenerative diseases. The company was founded in 2005 and is based in Jamaica Plain, Massachusetts. As of March 28, 2014, Paloma Pharmaceuticals, Inc. operates as a subsidiary of Restorgenex Corporation.</t>
  </si>
  <si>
    <t>Stratus Media Group, Inc. (OTCPK:SMDI) entered into a merger agreement to acquire Paloma Pharmaceuticals, Inc. from David Sherris and other shareholders for $7.4 million in stock and assumption of debt on February 25, 2014. The other shareholders include Alan Abrams, Cameron Bailey, Eric Billingsley, William Boyce, Jason B. Capitel, Robert I. Chaikin, Hactor D’Amato, Thomas Dean, Mike Farrell, Craig Godwin, James Gramlich, Howard King, Gregory Jhoston, Steven lubars, Ryan Mosley, Michael Petrokansy, Ronal Russel, Daniel M. Zitter and Chritopher Carra. Stratus Media will issue its 250 million shares and assume promissory notes of Paloma of approximately $1.13 million is which to be paid on the first anniversary of the closing of transaction. Stratus Media will put 129 million shares in escrow. In a related transaction, Stratus Media Group entered into a merger agreement to acquire VasculoMedics Inc. for $0.01 million in stock on March 3, 2014. Post the transaction, Stratus will be renamed to RestorGenex. , Paloma Founder and Chief Executive Officer, David Sherris will join the RestorGenex Board of Directors and will serve as Chief Scientific Officer of RestorGenex, and President of the Paloma and VasculoMedics divisions of the company.
The deal is subject to a non-competition agreement, an employment agreement, the Board of Directors of Stratus shall have been reconstituted, Stratus and the Paloma Stockholders shall have entered into the Registration Rights Agreement, exercise or cancellation of the derivative securities of Paloma, Paloma shareholder approval, minimum balance sheet condition for liabilities of Paloma and Stratus or a subsidiary of Stratus shall have acquired all of the capital stock of VasculoMedics. The transaction is subject to certain closing conditions including agreement with promissory note holders regarding extension of the maturity of the notes to first anniversary of the closing of transaction. The transaction was approved by Board of Directors of Stratus Media and Paloma Pharmaceuticals. Peter B. Finn of Rubin and Rudman LLP acted as legal advisor to Paloma Pharmaceuticals. David L. Ficksman of TroyGould PC acted as legal advisor to Stratus Media.</t>
  </si>
  <si>
    <t>Mast Therapeutics, Inc.</t>
  </si>
  <si>
    <t>Aires Pharmaceuticals, Inc.</t>
  </si>
  <si>
    <t>IQTR256683655</t>
  </si>
  <si>
    <t>Aires Pharmaceuticals, Inc. operates a clinical stage pharmaceutical company and develops therapies to treat pulmonary disorders. The company offers Aironite, an inhaled drug that is used to treat adult and pediatric pulmonary hypertension, cystic fibrosis, pneumonia, and other respiratory infections. Its products are also used in transplantation, heart failure, and other cardiovascular indications. The company also provides a delivery device, a hand-held and portable nebulizer that delivers a targeted mist into the patient’s lungs. The company was founded in 2006 and is based in San Diego, California. As of February 27, 2014, Aires Pharmaceuticals, Inc. operates as a subsidiary of Mast Therapeutics, Inc.</t>
  </si>
  <si>
    <t>Mast Therapeutics, Inc. (AMEX:MSTX) entered into a definitive agreement to acquire Aires Pharmaceuticals, Inc. from MPM Capital, ProQuest Investments III, L.P., fund managed by ProQuest Investments and other shareholders for $5.1 million in stock on February 7, 2014. As consideration, Mast Therapeutics will issue 6 million shares of Mast Therapeutics. Approximately 80% of the shares that constitute the consideration (the “Holdback Amount”) will be held back from issuance for a period of six months from the closing time for the benefit of Mast Therapeutics to satisfy the indemnification obligations of Aires stockholders pursuant to the agreement. Under the terms of transaction, Aires would become a wholly-owned subsidiary of Mast Therapeutics, Inc. There are no milestone obligations payable to Aires. Mast expects that five of Aires current employees, including its Chief Medical Officer, will continue with the surviving corporation following the closing of the transaction.
The consummation of the transaction is subject to certain customary conditions, including, approval by Aires shareholders, Aires stock option plan shall have been terminated, Aires stock options and capital stock equivalents shall have been terminated, listing of new shares, resignations from the directors of Aires, employment agreements and regulatory approvals. The Board of Directors of Mast Therapeutics and Aires approved the transaction. On February 7, 2014, Mast Therapeutics and Aires and stockholders holding all of the outstanding shares of the preferred stock and approximately 90% of the Common Stock of Aires approved the transaction. The acquisition is expected to close in February 2014. Faye Russell of Latham &amp; Watkins LLP acted as legal advisor for Aires. Michael Kagnoff of DLA Piper LLP (US) acted as legal advisor to Mast Therapeutics, Inc.</t>
  </si>
  <si>
    <t>Forest Laboratories, LLC</t>
  </si>
  <si>
    <t>Aptalis Holdings Inc.</t>
  </si>
  <si>
    <t>IQTR253877203</t>
  </si>
  <si>
    <t>Aptalis Holdings Inc. develops, manufactures, licenses, and markets therapies for cystic fibrosis (CF) and gastrointestinal disorders. Its principal products include ZENPEP and ULTRESA for the treatment of exocrine pancreatic insufficiency (EPI) due to CF or other conditions; VIOKACE for the treatment of EPI due to chronic pancreatitis or pancreatectomy in adults; PANZYTRAT for the treatment of EPI and pancreatic enzyme deficiency; and RECTIV for the treatment of moderate to severe pain associated with chronic anal fissure. The company’s products also comprise CARAFATE for the short-term treatment of active duodenal ulcers; PYLERA for the treatment of patients with helicobacter pylori, infection, and duodenal ulcer disease; CANASA for t.he short-term treatment of mild to moderately active ulcerative proctitis (UC); and SALOFALK for the treatment of acute UC, management of distal UC, and prevention of relapse of distal UC. In addition, it develops APT-1026, which has completed Phase III study to treat chronic lung infection with pseudomonas aeruginosa in CF; APT-1008 that is in Phase III study to treat EPI; APT-1016, which has completed Phase II study for use as a bowel cleansing preparation for colonoscopy; and APT-1011 that has completed Phase I/II clinical study to treat eosinophilic esophagitis. Further, the company formulates and clinically develops enhanced pharmaceutical and biopharmaceutical products using its proprietary technology platforms, including bioavailability enhancement of poorly soluble drugs, custom release profiles, and taste-masking/orally disintegration tablet formulations. The company was formerly known as Axcan Holdings Inc. and changed its name to Aptalis Holdings Inc. in February, 2011. The company was incorporated in 2008 and is based in Bridgewater, New Jersey. As of January 31, 2014, Aptalis Holdings Inc. operates as a subsidiary of Allergan plc.</t>
  </si>
  <si>
    <t>Forest Laboratories Inc. (NYSE:FRX) entered into a definitive agreement to acquire Aptalis Holdings Inc. from a group of shareholders for $2.9 billion in cash on January 7, 2014. The selling shareholders include Investor Growth Capital; TPG Biotech; HSBC Capital (USA) Inc.; Graycliff Partners; TPG Partners V, L.P. fund of TPG Capital, L.P.; TPG Biotechnology Partners II, L.P. fund of TPG Growth and other shareholders. As consideration, Forest Laboratories will acquire Aptalis at an enterprise value of $2.9 billion. As part of consideration, Forest Laboratories will pay off debt of Aptalis. Forest Laboratories will also pay off in the options of Aptalis. Forest expects to use a combination of cash on hand and debt to fund the transaction. Forest has secured commitment with Morgan Stanley Senior Funding, Inc. for a $1.9 billion bridge facility. On completion, Aptalis will operate as a wholly owned subsidiary of Forest. The transaction is subject to approval of anti-trust authorities in the US i.e. HSR Act and Canada and also regulatory approval. On January 7, 2014, holders representing more than 85% of the outstanding shares of Aptalis common stock delivered a written consent approving and adopting the agreement. The transaction got the approval of the Board of Forest and Aptalis. The transaction is expected to close in the first half of 2014 and it is expected to be accretive to Forest's FY2015 non-GAAP EPS.
Andrew L. Bab, Gary Friedman, Pierre Maugue, Andrew Levine, Judith Church, Kristin Kiehn, Carl Riehl, Kamal Agrawal, Michael Duignan, Andrew M. Hirsch, Meir D. Katz and Daniel T. Rothberg of Debevoise &amp; Plimpton LLP and Cleary, Gottlieb, Steen &amp; Hamilton LLP acted as legal advisors and Morgan Stanley (NYSE:MS) acted as financial advisor to Forest Laboratories. William M. Shields, C. Michael Roh, Patrick O'Brien, Loretta Richard, Michael McFalls, Jay Kim, Alexander Zeltser and Christopher Green of Ropes &amp; Gray LLP acted as legal advisors to Aptalis and TPG Capital, L.P. J.P. Morgan Securities LLC and Evercore Group, L.L.C acted as financial advisors to Aptalis Holdings. Vince Imerti, Dean Kraus, Lawson Hunter, Susan Hutton, Marisa Mutchnik, Stewart Sutcliffe, Matthew Hunt, and Mario Paura of Stikeman Elliott LLP acted as legal advisor for Forest Laboratories. Michael Benjamin, Maura O’Sullivan, Samuel Waxman, Merritt Johnson, Ethan Siller, Christopher Tomlinson, Dan Smith, Corey Reis, Michael Jokic, Joshua Steinberger, Benjamin Petersen, Jacob Bitton, Jenny Ding and Michael Steinberg of Shearman &amp; Sterling LLP acted as legal advisor to Morgan Stanley. Weil, Gotshal &amp; Manges LLP acted as legal advisor for Forest Laboratories, Inc.</t>
  </si>
  <si>
    <t>Biogen Idec Inc. (nka:Biogen Inc.)</t>
  </si>
  <si>
    <t>Stromedix, Inc.</t>
  </si>
  <si>
    <t>IQTR170229386</t>
  </si>
  <si>
    <t>As of March 8, 2012, Stromedix, Inc. was acquired by Biogen Idec Inc. Stromedix, Inc. develops drugs to treat fibrotic organ failure. The company offers STX-100, a humanized monoclonal antibody that provides anti-fibrotic activity in preclinical models of lung, kidney, and liver diseases. Stromedix, Inc. was founded in 2005 and is based in Cambridge, Massachusetts.</t>
  </si>
  <si>
    <t>Biogen Idec Inc. (NasdaqGS:BIIB) entered into a definitive agreement to acquire remaining 95% stake in Stromedix, Inc. from Atlas Venture L.P., Frazier Healthcare Ventures and its fund Frazier Healthcare V L.P., New Leaf Venture Partners, Bessemer Venture Partners, Red Abbey Venture Partners, LLC and others for approximately $560 million on February 14, 2012. Under the terms of the agreement, Biogen will make an upfront cash payment of $75 million and additional contingent value payments of up to $487.5 million based on the achievement of certain development and approval milestones across multiple indications. Michael Gilman, Founder and Chief Executive Officer of Stromedix, and his team will join Biogen. The transaction is subject to customary closing conditions. Maureen L. Suda of Suda Communications LLC acted as PR advisor for Stromedix. Christopher D. Comeau of Ropes &amp; Gray acted as legal advisor for Biogen. David E. Redlick of Wilmer Cutler Pickering Hale and Dorr LLP and Mcandrews, Held &amp; Malloy acted as the legal advisor for Stromedix.</t>
  </si>
  <si>
    <t>Amira Pharmaceuticals, Inc.</t>
  </si>
  <si>
    <t>IQTR138251462</t>
  </si>
  <si>
    <t>Amira Pharmaceuticals, Inc. develops small molecular drugs to treat inflammatory and fibrotic/respiratory diseases related to bioactive lipid pathways. The company builds insights into various bioactive lipid pathways, such as leukotriene, prostaglandin, and lysophospholipid, as well as complex signaling processes that control chronic obstructive pulmonary, cardiovascular, and fibrotic diseases, as well as asthma. The company offers AM103/AM803, which are oral inhibitors of 5-lipoxygenase-activating protein. The company was founded in 2005 and is based in San Diego, California. As of September 7, 2011, Amira Pharmaceuticals, Inc. operates as a subsidiary of Bristol-Myers Squibb Company.</t>
  </si>
  <si>
    <t>Bristol-Myers Squibb Company (NYSE: BMY) signed a definitive agreement to acquire Amira Pharmaceuticals, Inc. from Avalon Ventures, Versant Ventures, Prospect Venture Partners, Novo A/S and other investors for approximately $480 million in cash on July 21, 2011. Under the terms of agreement, Bristol-Myers Squibb will acquire all of Amira Pharmaceuticals’ issued and outstanding shares of capital stock and stock equivalents in an all-cash transaction for $325 million upfront and potential additional payments totaling $150 million based on certain development and sales-based milestones. Bristol-Myers Squibb plans to retain Amira Pharmaceuticals’ scientists who work on both of these programs and they will remain located in San Diego.
The transaction is subject to customary regulatory approvals. J.P. Morgan Securities LLC acted as the exclusive financial advisor, Thomas Coll, Barbara Borden, Daniel Meehan, Thomas Welk, and Francis Fryscak and Rama Padmanabhan of Cooley LLP acted as the legal advisor and Ian Stone of Russo Partners acted as the PR advisor for Amira Pharmaceuticals. Andrew Ment, Matthew Fox, Andrew Hall, Patrick Manchester, Michael Francese, William Woolston, Jessica Milner, Michael Labson, Amalia Fenton and Robert Heller of Covington &amp; Burling LLP acted as the legal advisor for Bristol-Myers Squibb.</t>
  </si>
  <si>
    <t>Arresto Biosciences, Inc.</t>
  </si>
  <si>
    <t>IQTR117291465</t>
  </si>
  <si>
    <t>Invested Capital</t>
  </si>
  <si>
    <t>Adjusted Present Value Per Common Stock Share</t>
  </si>
  <si>
    <t>Implied Equity Value - Current Capital Structure (Excludes Future Tranche Series B)</t>
  </si>
  <si>
    <t>Less: Future Series B Tranche</t>
  </si>
  <si>
    <t>Total to Current Capital Structure</t>
  </si>
  <si>
    <t>Conversion Price</t>
  </si>
  <si>
    <t>Series B Converts</t>
  </si>
  <si>
    <t>Present Value of Equity Value - Current Capital Structure</t>
  </si>
  <si>
    <t>Equity Value - Current Capital Structure</t>
  </si>
  <si>
    <t>Financial Statements</t>
  </si>
  <si>
    <t>IPO Asset Vol Check</t>
  </si>
  <si>
    <t>Asset Vol - IPO</t>
  </si>
  <si>
    <t>Asset Volatility - Hybrid OPM</t>
  </si>
  <si>
    <t>Homology Medicines, Inc.</t>
  </si>
  <si>
    <t>NasdaqGS:FIXX</t>
  </si>
  <si>
    <t>IQTR554696496</t>
  </si>
  <si>
    <t>IQ321461593</t>
  </si>
  <si>
    <t>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t>
  </si>
  <si>
    <t>Cue Biopharma, Inc.</t>
  </si>
  <si>
    <t>NasdaqCM:CUE</t>
  </si>
  <si>
    <t>IQTR538222664</t>
  </si>
  <si>
    <t>IQ417883814</t>
  </si>
  <si>
    <t>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a collaboration agreement with Merck &amp; Co. for the research and development of its proprietary biologics that target autoimmune disease indications. The company was formerly known as Imagen Biopharma, Inc. and changed its name to Cue Biopharma, Inc. in October 2016. Cue Biopharma, Inc. was incorporated in 2014 and is based in Cambridge, Massachusetts.</t>
  </si>
  <si>
    <t>Metrics for Discovery /IND / Preclinical</t>
  </si>
  <si>
    <t>Neon Therapeutics, Inc.</t>
  </si>
  <si>
    <t>IQTR569105830</t>
  </si>
  <si>
    <t>Neon Therapeutics, Inc., a clinical-stage immuno-oncology company, engages in developing neoantigen-targeted therapies for cancers in the United States. It is developing NEO-PV-01, a neoantigen vaccine that is in Phase Ib clinical trial in combination with nivolumab for the treatment of metastatic melanoma, non-small cell lung cancer, and bladder cancer; NEO-PTC-01, a neoantigen T cell therapy for the treatment of solid tumors; and NEO-SV-01, a neoantigen vaccine for the treatment of estrogen-receptor-positive breast cancer. The company was founded in 2013 and is headquartered in Cambridge, Massachusetts.</t>
  </si>
  <si>
    <t>Autolus Therapeutics Plc</t>
  </si>
  <si>
    <t>NasdaqGS:AUTL</t>
  </si>
  <si>
    <t>IQTR562895955</t>
  </si>
  <si>
    <t>IQ562879769</t>
  </si>
  <si>
    <t>Autolus Therapeutics Plc, a clinical-stage biopharmaceutical company, is developing next-generation programmed T cell therapies. It has a pipeline of product candidates in development for the treatment of haematological malignancies and solid tumours. The company was incorporated in 2018 and is headquartered in London, the United Kingdom.</t>
  </si>
  <si>
    <t>Kezar Life Sciences, Inc.</t>
  </si>
  <si>
    <t>NasdaqGS:KZR</t>
  </si>
  <si>
    <t>IQTR567430748</t>
  </si>
  <si>
    <t>IQ304157325</t>
  </si>
  <si>
    <t>Kezar Life Sciences, Inc., a clinical-stage biotechnology company, engages in the discovery and development of small molecule therapeutics to treat unmet needs in autoimmunity and cancer in the United States. Its lead product candidate, KZR-616, a selective immunoproteasome inhibitor that is in Phase 1b/2 clinical trials in lupus and lupus nephritis The company was incorporated in 2015 and is headquartered in South San Francisco, California.</t>
  </si>
  <si>
    <t>MeiraGTx Holdings plc</t>
  </si>
  <si>
    <t>NasdaqGS:MGTX</t>
  </si>
  <si>
    <t>IQTR564767083</t>
  </si>
  <si>
    <t>IQ404780252</t>
  </si>
  <si>
    <t>MeiraGTx Holdings plc focuses on operating as a holding company for MeiraGTx Limited that operates as a clinical stage gene therapy company. The company develops various novel gene therapy treatments for a range of inherited and acquired disorders. Its products include AAV-CNGB3 that is in Phase I/II clinical trials for the treatment of achromatopsia in adult and pediatric patients; AAV-CNGA3 that is in pre-clinical trials for the treatment of achromatopsia in adult and pediatric patients; AAV-RPE65, which is in Phase I/II clinical trials for the treatment of RPE65-deficiency in adult and pediatric patients; AAV-RPGR, which is in Phase I/II clinical trials to treat x-linked retinitis pigmentosa in adult and pediatric patients; AAV-AQP1, which is in Phase I/II clinical trials for the treatment of grade 2 or 3 xerostomia; and AAV-UPF1 that is in pre-clinical studies to treat amyotrophic lateral sclerosis. Its products also comprise AAV-AIPL1 to treat leber congenital amaurosis 4. The company also has clinical and preclinical programs for various other indications, such as neovascular age related macular degeneration, geographic atrophy age related macular degeneration, and Alzheimer’s disease, as well as for gene regulation. MeiraGTx Holdings plc was founded in 2015 and is based in New York, New York.</t>
  </si>
  <si>
    <t>IQTR560753952</t>
  </si>
  <si>
    <t>Evelo Biosciences, Inc.</t>
  </si>
  <si>
    <t>NasdaqGS:EVLO</t>
  </si>
  <si>
    <t>IQTR559179993</t>
  </si>
  <si>
    <t>IQ331329033</t>
  </si>
  <si>
    <t>Evelo Biosciences, Inc., a biotechnology company, focuses on the development of monocolonal microbials for the treatment of inflammatory diseases and cancer. It is involved in developing EDP1066 and EDP1815 for patients with psoriasis and atopic dermatitis, rheumatoid arthritis, and ulcerative colitis/crohn’s colitis; and EDP1503 for the treatment of colorectal cancer, renal cell carcinoma, and melanoma, as well as patients who have relapsed on prior PD-1/L1 inhibitor treatment across multiple tumor types. The company was founded in 2014 and is headquartered in Cambridge, Massachusetts.</t>
  </si>
  <si>
    <t>Unity Biotechnology, Inc.</t>
  </si>
  <si>
    <t>NasdaqGS:UBX</t>
  </si>
  <si>
    <t>IQTR558272470</t>
  </si>
  <si>
    <t>IQ324565060</t>
  </si>
  <si>
    <t>Unity Biotechnology, Inc., a preclinical biotechnology company, engages in the research and development of therapeutics to extend human health span. The company’s lead drug candidates include UBX0101 for musculoskeletal disease with an initial focus on osteoarthritis; and UBX1967 for ophthalmologic diseases. It is also developing programs in pulmonary disorders. The company was formerly known as Forge, Inc. and changed its name to Unity Biotechnology, Inc. in January 2015. Unity Biotechnology, Inc. was founded in 2009 and is headquartered in Brisbane, California.</t>
  </si>
  <si>
    <t>Surface Oncology, Inc.</t>
  </si>
  <si>
    <t>NasdaqGM:SURF</t>
  </si>
  <si>
    <t>IQTR557089595</t>
  </si>
  <si>
    <t>IQ281487796</t>
  </si>
  <si>
    <t>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t>
  </si>
  <si>
    <t>Unum Therapeutics Inc.</t>
  </si>
  <si>
    <t>NasdaqGS:UMRX</t>
  </si>
  <si>
    <t>IQTR554696707</t>
  </si>
  <si>
    <t>IQ274894404</t>
  </si>
  <si>
    <t>Unum Therapeutics Inc., a clinical stage biopharmaceutical company, develops and commercializes immunotherapy products designed to harness the power of a patient’s immune system to cure cancer. Its lead product candidate is the ACTR087 used in combination with rituximab, which is in Phase I clinical trials to treat adult patients with relapsed or refractory non-Hodgkin lymphoma. The company’s product portfolio also includes ACTR707 used in combination with rituximab that is in Phase I clinical trials to treat adult patients with r/r B cell non-Hodgkin lymphoma; ACTR087 used in combination with SEA-BCMA, which is in Phase I clinical trials for treating patients with r/r multiple myeloma; and ACTR707 used in combination with trastuzumab, which is in late preclinical development phase for treating HER2+ solid tumor cancers. It has strategic collaboration with Seattle Genetics, Inc. to identify, research, develop, and commercialize antibody-coupled T cell receptor therapies. The company was founded in 2014 and is headquartered in Cambridge, Massachusetts.</t>
  </si>
  <si>
    <t>Arcus Biosciences, Inc.</t>
  </si>
  <si>
    <t>NYSE:RCUS</t>
  </si>
  <si>
    <t>IQTR553167792</t>
  </si>
  <si>
    <t>IQ325435188</t>
  </si>
  <si>
    <t>Arcus Biosciences, Inc., a clinical-stage biopharmaceutical company, engages in developing and commercializing cancer immunotherapies in the United States. It is developing various products for treating solid tumors, including AB928, an adenosine receptor antagonist that is in Phase I clinical trial; AB680, a CD73 inhibitor; AB122, an anti-PD-1 antibody that is Phase I clinical trial; and AB154, an anti-TIGIT antibody. The company was founded in 2015 and is headquartered in Hayward, California.</t>
  </si>
  <si>
    <t>BioXcel Therapeutics, Inc.</t>
  </si>
  <si>
    <t>NasdaqCM:BTAI</t>
  </si>
  <si>
    <t>IQTR552679153</t>
  </si>
  <si>
    <t>IQ543567629</t>
  </si>
  <si>
    <t>BioXcel Therapeutics, Inc., a clinical stage biopharmaceutical company, focuses on novel artificial intelligence-based drug development in the fields of neuroscience and immuno-oncology in the United States. The company is involved in developing BXCL501, a sublingual thin film formulation of dexmedetomidine designed for acute treatment of agitation resulting from neurological and psychiatric disorders; and BXCL701, an immuno-oncology agent designed for the treatment of prostate and pancreatic cancers. It is also developing BXCL502, a novel approach to the treatment of symptoms resulting from neurological disorders; and BXCL702, an immuno-oncology agent for hematological malignancies. The company was founded in 2017 and is headquartered in Branford, Connecticut. BioXcel Therapeutics, Inc. is a subsidiary of BioXcel Corporation.</t>
  </si>
  <si>
    <t>Solid Biosciences Inc.</t>
  </si>
  <si>
    <t>NasdaqGS:SLDB</t>
  </si>
  <si>
    <t>IQTR548047650</t>
  </si>
  <si>
    <t>IQ315986912</t>
  </si>
  <si>
    <t>Solid Biosciences Inc. engages in identifying and developing therapies for duchenne muscular dystrophy in the United States. Its lead product candidate includes SGT-001, a gene therapy that is in Phase I/II clinical trials to restore functional dystrophin protein expression in patients’ muscles. The company’s product candidates also comprise SB-001, a monoclonal antibody to reduce fibrosis and inflammation. In addition, it is developing soft wearable assistive devices that have functional and therapeutic benefits to DMD patients. The company was founded in 2013 and is headquartered in Cambridge, Massachusetts.</t>
  </si>
  <si>
    <t>Mtetrics for Phase I / I/Ib / I/IIa / Ib / Ib/II</t>
  </si>
  <si>
    <t>AVROBIO, Inc.</t>
  </si>
  <si>
    <t>NasdaqGS:AVRO</t>
  </si>
  <si>
    <t>IQTR567724127</t>
  </si>
  <si>
    <t>IQ326042490</t>
  </si>
  <si>
    <t>AVROBIO, Inc., a clinical stage gene therapy company, focuses on developing potentially curative ex vivo lentiviral-based gene therapies to treat rare diseases following a single dose. It lead product candidate in AVR-RD-01, which is in Phase 1 clinical trial for the treatment of Fabry disease. The company is also developing AVR-RD-02 for the treatment of Gaucher disease; AVR-RD-03 for the treatment of Pompe disease; and AVR-RD-04 for the treatment of cystinosis. AVROBIO, Inc. was founded in 2015 and is headquartered in Cambridge, Massachusetts.</t>
  </si>
  <si>
    <t>Magenta Therapeutics, Inc.</t>
  </si>
  <si>
    <t>NasdaqGM:MGTA</t>
  </si>
  <si>
    <t>IQTR567417136</t>
  </si>
  <si>
    <t>IQ409918376</t>
  </si>
  <si>
    <t>Magenta Therapeutics, Inc., a clinical-stage biopharmaceutical company, engages in developing medicines to bring the curative power of bone marrow transplant to patients. It is developing C100, C200, and C300 targeted antibody-drug conjugates for transplant conditioning; MGTA-145, a stem cell mobilization product candidate to control stem cell mobilization; MGTA-456, an allogeneic stem cell therapy to control stem cell growth; E478, a small molecule aryl hydrocarbon receptor antagonist for the expansion of gene-modified stem cells; and G100, an ADC program to prevent acute graft and host diseases. The company was formerly known as HSCTCo Therapeutics, Inc. and changed its name to Magenta Therapeutics, Inc. in February 2016. Magenta Therapeutics, Inc. was incorporated in 2015 and is based in Cambridge, Massachusetts.</t>
  </si>
  <si>
    <t>Aptinyx Inc.</t>
  </si>
  <si>
    <t>NasdaqGS:APTX</t>
  </si>
  <si>
    <t>IQTR567144607</t>
  </si>
  <si>
    <t>IQ336341295</t>
  </si>
  <si>
    <t>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t>
  </si>
  <si>
    <t>Eidos Therapeutics, Inc.</t>
  </si>
  <si>
    <t>NasdaqGS:EIDX</t>
  </si>
  <si>
    <t>IQTR567724324</t>
  </si>
  <si>
    <t>IQ539024074</t>
  </si>
  <si>
    <t>Eidos Therapeutics, Inc., a clinical stage biopharmaceutical company, focuses on developing drugs to treat diseases caused by transthyretin (TTR) amyloidosis (ATTR). It is developing AG10, an orally-administered small molecule designed to stabilize tetrameric TTR, thereby halting at its outset the series of molecular events that give rise to ATTR. The company was incorporated in 2013 and is headquartered in San Francisco, California. Eidos Therapeutics, Inc. is a subsidiary of BridgeBio Pharma LLC.</t>
  </si>
  <si>
    <t>Kiniksa Pharmaceuticals, Ltd.</t>
  </si>
  <si>
    <t>NasdaqGS:KNSA</t>
  </si>
  <si>
    <t>IQTR560752737</t>
  </si>
  <si>
    <t>IQ558211765</t>
  </si>
  <si>
    <t>Kiniksa Pharmaceuticals, Ltd., a clinical-stage biopharmaceutical company, focuses on the discovering, acquiring, developing, and commercializing therapeutic medicines for patients suffering from debilitating diseases with significant unmet medical need worldwide. Its clinical-stage product candidates include Rilonacept, which is in Phase II clinical trials for the treatment of recurrent pericarditis, a debilitating inflammatory cardiovascular disease; Mavrilimumab, a monoclonal antibody for the treatment of giant cell arteritis; and KPL-716, a monoclonal antibody, which is in Phase 1a/1b clinical trial for the treatment of prurigo nodularis and atopic dermatitis. Kiniksa Pharmaceuticals, Ltd. was founded in 2015 and is based in Hamilton, Bermuda.</t>
  </si>
  <si>
    <t>Genprex, Inc.</t>
  </si>
  <si>
    <t>NasdaqCM:GNPX</t>
  </si>
  <si>
    <t>IQTR531599159</t>
  </si>
  <si>
    <t>IQ225557674</t>
  </si>
  <si>
    <t>Genprex, Inc., a clinical stage gene therapy company, develops drugs to treat cancer. Its lead product candidate is Oncoprex, an active anti-cancer agent that is in Phase II clinical trials for the treatment of non-small cell lung cancer (NSCLC). It also conducts preclinical research for developing Oncoprex to be administered with immunotherapies in NSCLC; and research into other tumor suppressor genes associated with chromosome. Genprex, Inc. was founded in 2009 and is based in Austin, Texas.</t>
  </si>
  <si>
    <t>Sol-Gel Technologies Ltd.</t>
  </si>
  <si>
    <t>NasdaqGM:SLGL</t>
  </si>
  <si>
    <t>IQTR535864295</t>
  </si>
  <si>
    <t>IQ621569</t>
  </si>
  <si>
    <t>Sol-Gel Technologies Ltd., a clinical-stage specialty pharmaceutical company, focuses on developing and commercializing topical dermatological drug products based on its proprietary microencapsulation delivery system in Israel. The company’s lead product candidates include TWIN and SIRS-T, which has completed Phase II clinical trials for the treatment of acne vulgaris; and VERED that has completed Phase II clinical trials for the treatment of papulopustular rosacea. It is also involved in the development of generic dermatological drug products. Sol-Gel Technologies Ltd. has collaboration with Perrigo; and Douglas Pharmaceuticals for the development and commercialization of a generic product candidate. The company was founded in 1997 and is headquartered in Ness Ziona, Israel.</t>
  </si>
  <si>
    <t>resTORbio, Inc.</t>
  </si>
  <si>
    <t>NasdaqGS:TORC</t>
  </si>
  <si>
    <t>IQTR548091684</t>
  </si>
  <si>
    <t>IQ427650761</t>
  </si>
  <si>
    <t>resTORbio, Inc., a clinical-stage biopharmaceutical company, focuses on the development and commercialization of novel therapeutics for the treatment of aging-related diseases. Its lead program is targeting the selective inhibition of TORC1, an evolutionary conserved pathway that contributes to the decline in function of multiple organ systems, including the immune, cardiac, and neurologic systems. The company’s lead drug candidate RTB101 is a selective, orally administered, TORC1 inhibitor, which is being tested in a Phase 2b clinical trial as a first in-class immunotherapy for reducing the incidence of respiratory tract infections in the elderly by enhancing the function of the immune system. It also intends to develop RTB101 for additional aging-related indications, such as heart failure or neurodegenerative diseases. The company was founded in 2016 and is based in Boston, Massachusetts.</t>
  </si>
  <si>
    <t>Menlo Therapeutics Inc.</t>
  </si>
  <si>
    <t>NasdaqGS:MNLO</t>
  </si>
  <si>
    <t>IQTR547921857</t>
  </si>
  <si>
    <t>IQ225807943</t>
  </si>
  <si>
    <t>Menlo Therapeutics Inc., a late-stage biopharmaceutical company, focuses on the development and commercialization of serlopitant for the treatment of pruritus associated with dermatologic conditions in the United States. The company has completed Phase II clinical trials in pruritus associated with prurigo nodularis. It is also developing products that are in Phase II clinical trials to treat pruritus associated with psoriasis, atopic dermatitis, and refractory chronic cough. The company was formerly known as Tigercat Pharma, Inc. and changed its name to Menlo Therapeutics Inc. in May 2016. Menlo Therapeutics Inc. was founded in 2011 and is headquartered in Redwood City, California.</t>
  </si>
  <si>
    <t>Eyenovia, Inc.</t>
  </si>
  <si>
    <t>NasdaqCM:EYEN</t>
  </si>
  <si>
    <t>IQTR547072256</t>
  </si>
  <si>
    <t>IQ291491698</t>
  </si>
  <si>
    <t>Eyenovia, Inc., a clinical stage biopharmaceutical company, engages in developing a pipeline of ophthalmology products in the United States. It is developing MicroProst, which is in Phase III clinical trials for the treatment of chronic angle closure glaucoma; MicroStat, which is in Phase III clinical trials for the treatment of mydriasis; MicroTears for the treatment of dry eye; and MicroPine for the treatment of myopia. The company was formerly known as PGP Holdings V, Inc. and changed its name to Eyenovia, Inc. in May 2014. Eyenovia, Inc. was founded in 2014 and is based in New York, New York.</t>
  </si>
  <si>
    <t>Metrics for Phase II / IIa / IIb / II/III</t>
  </si>
  <si>
    <t>Xeris Pharmaceuticals, Inc.</t>
  </si>
  <si>
    <t>NasdaqGS:XERS</t>
  </si>
  <si>
    <t>IQTR567429675</t>
  </si>
  <si>
    <t>IQ105901792</t>
  </si>
  <si>
    <t>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t>
  </si>
  <si>
    <t>Verrica Pharmaceuticals Inc.</t>
  </si>
  <si>
    <t>NasdaqGM:VRCA</t>
  </si>
  <si>
    <t>IQTR566799008</t>
  </si>
  <si>
    <t>IQ319720251</t>
  </si>
  <si>
    <t>Verrica Pharmaceuticals Inc. develops and commercializes dermatological treatments in the United States. The company is advancing its lead product VP-102, a proprietary topical therapy, in various common skin indications, including Molluscum contagiosum and Verruca Vulgaris. It is also developing 2 Phase 3 trials in molluscum contagiosum under NCT03377803 and NCT03377790. The company is headquartered in West Chester, Pennsylvania.</t>
  </si>
  <si>
    <t>Iterum Therapeutics plc</t>
  </si>
  <si>
    <t>NasdaqGM:ITRM</t>
  </si>
  <si>
    <t>IQTR561403199</t>
  </si>
  <si>
    <t>IQ318354064</t>
  </si>
  <si>
    <t>Iterum Therapeutics plc, a clinical-stage pharmaceutical company, engages in developing anti-infectives for multi-drug resistant pathogens in Ireland and the United States. The company is developing sulopenem, a penem anti-infective compound with oral and IV formulations that is in Phase III clinical trials for the treatment of adults in uncomplicated urinary tract infections, complicated urinary tract infections, and complicated intra-abdominal infections. Iterum Therapeutics plc was founded in 2015 and is headquartered in Dublin, Ireland.</t>
  </si>
  <si>
    <t>Acacia Pharma Group Plc</t>
  </si>
  <si>
    <t>ENXTBR:ACPH</t>
  </si>
  <si>
    <t>NDA filed</t>
  </si>
  <si>
    <t>IQTR553740237</t>
  </si>
  <si>
    <t>IQ65044643</t>
  </si>
  <si>
    <t>Acacia Pharma Group Limited, a pharmaceutical company, focuses on the development and commercialization of hospital products for surgical and cancer patients in the United States and internationally. The company’s lead product includes BAREMSIS, an intravenous formulation of amisulpride that has completed Phase III clinical trials for the treatment and prophylaxis of post-operative nausea and vomiting. Its products also comprise APD403 that has completed Phase II clinical trials for the chemotherapy-induced nausea and vomiting treatment. The company was founded in 2007 and is based in Cambridge, the United Kingdom.</t>
  </si>
  <si>
    <t>ARMO BioSciences, Inc.</t>
  </si>
  <si>
    <t>NasdaqGS:ARMO</t>
  </si>
  <si>
    <t>IQTR548062212</t>
  </si>
  <si>
    <t>IQ225199094</t>
  </si>
  <si>
    <t>ARMO BioSciences, Inc., an immuno-oncology company, develops a pipeline of novel product candidates that activate the immune system of cancer patients to recognize and eradicate tumors in the United States. Its lead product candidate is AM0010, a long acting form of human interleukin-10 that is in Phase III randomized pivotal clinical trial for the treatment of pancreatic ductal adenocarcinoma. The company is also developing AM0010 that has completed Phase I/Ib clinical trial for the treatment of non-small cell lung cancer, renal cell carcinoma, colorectal cancer, and melanoma and breast cancer. In addition, it is developing AM0001, a monoclonal antibody against programmed cell death protein-1 checkpoint inhibitor; AM0015, a recombinant human interleukin-15; AM0012, a recombinant human Interleukin-12; and AM0003, a monoclonal antibody against leukocyte activating gene-3 protein program. The company was formerly known as Targenics, Inc. and changed its name to ARMO BioSciences, Inc. in December 2012. ARMO BioSciences, Inc. was incorporated in 2010 and is headquartered in Redwood City, California.</t>
  </si>
  <si>
    <t>scPharmaceuticals Inc., a clinical-stage pharmaceutical company, engages in the development and commercialization of various pharmaceutical products. The company’s lead product candidate is Furoscix, a drug-device combination product that is under development for treatment of worsening or decompensated heart failure outside of the inpatient setting. Its product pipeline also includes scFurosemide, a loop diuretic for the management of edema in patients with decompensated heart failure; scCeftriaxone, an antibiotic to treat infections caused by gram-positive and gram-negative organisms; and scCarbapenem program, an antibiotic for treating infections caused by gram-negative organisms. The company was founded in 2013 and is headquartered in Burlington, Massachusetts.</t>
  </si>
  <si>
    <t>IQ83652421</t>
  </si>
  <si>
    <t>IQ145617165</t>
  </si>
  <si>
    <t>Metrics for Phase III, NDA Filed and Marketed</t>
  </si>
  <si>
    <t>Data Source from Apexigen VD 6/30/18</t>
  </si>
  <si>
    <t>IQTR415611815</t>
  </si>
  <si>
    <t>As of April 27, 2017, Mast Therapeutics, Inc. was acquired by Savara Inc., in a reverse merger transaction. Mast Therapeutics, Inc., a clinical-stage biopharmaceutical company, develops therapies for serious or life-threatening diseases with significant unmet needs. Its lead product candidate is AIR001, a sodium nitrite solution for inhalation through nebulization, which is in Phase II clinical stage for the treatment of heart failure with preserved ejection fraction, as well as in Phase I/II study in patients with cystic fibrosis. The company was formerly known as ADVENTRX Pharmaceuticals, Inc. and changed its name to Mast Therapeutics, Inc. in March 2013. Mast Therapeutics, Inc. was founded in 1995 and is headquartered in San Diego, California.</t>
  </si>
  <si>
    <t xml:space="preserve">Savara Inc. signed a definitive merger agreement to acquire Mast Therapeutics, Inc. (AMEX:MSTX) from Hercules Capital, Inc. (NYSE:HTGC) and other shareholders in a reverse merger transaction on January 6, 2017. Under the terms of the transaction, current stockholders of Mast Therapeutics will collectively own approximately 24% stake and Savara stockholders will own approximately 76% stake of the combined company. Each outstanding share of Savara common stock will be converted into the right to receive 0.5860 of a share of Mast common stock as adjusted for the reverse stock split being affected immediately prior to the closing of the merger. On completion, combined company is expected to be named Savara Inc. which will trade on the NYSE MKT under a new ticker symbol of SVRA. Mast's common stock is expected to continue to trade on the NYSE MKT until completion of the merger.  Mast has provided notification to the NYSE MKT of its intent to voluntarily withdraw its common stock from listing and trading on NYSE MKT in connection with the completion of the merger and the move to NASDAQ. The combined company will be led by Rob Neville, Savara's Chief Executive Officer together with its current management team. David Lowrance, Chief Financial Officer of Savara will serve as Chief Financial Officer of the combined company. The Board of Directors is expected to consist of seven members, including five members of Savara's current Board and two members of Mast Therapeutics' current Board. The combined company will be headquartered in Austin, TX. _x000D_
_x000D_
The transaction is subject to customary closing conditions including approval by the stockholders of Mast Therapeutics and Savara. The transaction is also contingent upon the reverse stock split and name change proposals. The transaction is also subject to expiration of waiting period under the HSR Act, effectiveness of Form S-4 Registration Statement, approval for listing of shares issued by Mast Therapeutics in the transaction, holders of no more than five percent of the shares of Mast’s capital stock will have demanded and not lost or withdrawn appraisal rights, Mast’s Board of Directors providing their resignation letter, execution of dissident’s rights, Savara’s appointees being elected to the Board of Directors of the combined company and reverse split becoming effective. The transaction has been unanimously approved by the Board of Directors of Savara and Mast Therapeutics. As of March 16, 2017, Mast Therapeutics sets date of April 21, 2017, for special meeting of stockholders to vote on merger with Savara. The special meeting of Mast Therapeutics shareholders is rescheduled on April 27, 2017. The transaction is expected to close by the second quarter of 2017. Under certain cases, Mast Therapeutics will be required to pay a termination fee of $1.8 million to Savara or Savara may be required to pay a termination fee of $2.5 million to Mast Therapeutics. The transaction is expected to close promptly after the Mast special meeting scheduled for April 21, 2017._x000D_
_x000D_
Roth Capital Partners, LLC acted as financial advisor and Michael Kagnoff and Larry W. Nishnick of DLA Piper LLP (US) acted as legal advisors for Mast Therapeutics. Canaccord Genuity Inc. acted as financial advisor and J. Robert Suffoletta and Robert T. Ishii of Wilson Sonsini Goodrich &amp; Rosati, Professional Corporation acted as legal advisors for Savara._x000D_
</t>
  </si>
  <si>
    <t>Afferent Pharmaceuticals, Inc.</t>
  </si>
  <si>
    <t>IQTR347591591</t>
  </si>
  <si>
    <t>Afferent Pharmaceuticals, Inc. researches and develops drugs for the treatment of debilitating neurogenic disorders. It develops P2X3, a purinergic receptor that plays a role in the sensitization of nerves; AF-219, a selective P2X3 antagonist for the treatment of pathologic cough; and P2X3 antagonist that blocks P2X3 in the carotid body. It offers programs in the areas of respiratory diseases, resistant hypertension, P2X3 biology, cardiovascular diseases, and chronic pain and other indications; and clinical trials. The company was founded in 2009 and is based in San Mateo, California. As of July 26, 2016, Afferent Pharmaceuticals, Inc. operates as a subsidiary of Merck &amp; Co., Inc.</t>
  </si>
  <si>
    <t xml:space="preserve">Merck &amp; Co. Inc. (NYSE:MRK) signed a definitive agreement to acquire Afferent Pharmaceuticals, Inc. from a group of sellers for $1.3 billion on June 9, 2016. Under the terms, Merck will acquire all outstanding stock of Afferent in exchange for an upfront payment of $500 million in cash and Afferent shareholders will be eligible to receive a total of up to an additional $750 million associated with the attainment of certain clinical development and commercial milestones for multiple indications and candidates, including AF-219. The closing of the transaction will be subject to certain conditions, including the expiration of the waiting period under the Hart-Scott-Rodino Antitrust Improvements Act and other customary conditions. The transaction is expected to close in the third quarter of 2016. David Shine and Claudia Simon, Rachel Harrison, Jordan Goldman, Tan Chua, Natasha Chua Tan, Carolyn Nguyen, Sam Waxman, Mike Vargas, Eric Keller, Kate Robinson, Kristen Winckler, Dan Greenwald and Scott Hataway of Paul, Hastings acted as legal advisors to Merck. Lazard &amp; Co. Ltd. acted as financial advisor and Patrick Pohlen, Benjamin Potter, Luke Bergstrom, Mark Bekheit, Riley Lochridge, Samuel Jones, Joshua Holian, James Metz, Ashley Wagner, Grace Chen, Jessica Chen, Judith Hasko, Josh Manthei and Amy Speros of Latham &amp; Watkins LLP acted as legal advisors to Afferent._x000D_
</t>
  </si>
  <si>
    <t>Shire plc</t>
  </si>
  <si>
    <t>Lumena Pharmaceuticals, Inc.</t>
  </si>
  <si>
    <t>IQTR263707289</t>
  </si>
  <si>
    <t>Lumena Pharmaceuticals, Inc. develops and commercializes oral therapeutics for cholestatic liver diseases and metabolic disorders. The company’s lead product candidate includes LUM001, an orally-administered, potent, and selective apical sodium-dependent bile acid transporter (ASBT) inhibitor that is in Phase II clinical trials in children for the treatment of orphan cholestatic liver diseases comprising Alagille syndrome and progressive familial intrahepatic cholestasis, as well as is in Phase II clinical trials in adults for the treatment of primary biliary cirrhosis and primary sclerosing cholangitis. It also develops LUM002, orally-administered, potent, and selective ASBT inhibitor has completed Phase I clinical trials for the treatment of nonalcoholic steatohepatitis. The company was founded in 2011 and is based in San Diego, California. As of June 11, 2014, Lumena Pharmaceuticals, Inc. operates as a subsidiary of Shire plc.</t>
  </si>
  <si>
    <t>Shire plc (LSE:SHP) agreed to acquire Lumena Pharmaceuticals, Inc. from Pappas Ventures, RiverVest Venture Partners, LLC, Alta Partners LP, New Enterprise Associates, Adage Capital Management, L.P. and RA Capital Management, LLC for $260 million in cash and earnout payments on May 12, 2014. Shire will pay $260 million in cash, net cash payment at cloisng and near-term contingent milestone payments related to ongoing clinical trials. Shire does not expect the acquisition of Lumena to result in a change to its previously stated earnings guidance for 2014. Citigroup Inc. (NYSE:C) acted as the financial advisor for Lumena Pharmaceuticals, Inc. Heidi Chokeir of Canale Communications acted as the public relations advisor for Lumena Pharmaceuticals. George R. Bason Jr, William J. Chudd, Nina S. Assouline, Andrew D. Krause, Nikita A. Tuckett, Pritesh P. Shah, Natalie A. Thomas, David He, Kyoko Takahashi Lin and Andrew Blauo of Davis Polk &amp; Wardwell LLP acted as legal advisors to Shire plc. Barclays PLC acted as the financial advisor to Shire plc.</t>
  </si>
  <si>
    <t>NasdaqGS:VRTX</t>
  </si>
  <si>
    <t>IQ36235</t>
  </si>
  <si>
    <t>Vertex Pharmaceuticals Incorporated</t>
  </si>
  <si>
    <t>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t>
  </si>
  <si>
    <t>Entera Bio Ltd.</t>
  </si>
  <si>
    <t>NasdaqCM:ENTX</t>
  </si>
  <si>
    <t>IQTR531321920</t>
  </si>
  <si>
    <t>IQ106997294</t>
  </si>
  <si>
    <t>Entera Bio Ltd., a clinical-stage biopharmaceutical company, focuses on the development and commercialization of orally delivered large molecule therapeutics for unmet medical needs. The company’s lead product includes the EB612, an oral parathyroid hormone product candidate that has completed a Phase IIa clinical trial for hypoparathyroidism. It is also developing EB613 that has completed Phase I clinical trials for the treatment of osteoporosis and non-union bone fractures; and other platform modules. The company was founded in 2010 and is headquartered in Jerusalem, Israel.</t>
  </si>
  <si>
    <t>Forty Seven, Inc.</t>
  </si>
  <si>
    <t>NasdaqGS:NTGN</t>
  </si>
  <si>
    <t>NasdaqGS:FTSV</t>
  </si>
  <si>
    <t>IQTR569390027</t>
  </si>
  <si>
    <t>IQ326556338</t>
  </si>
  <si>
    <t>Forty Seven Inc., a clinical-stage immuno-oncology company, focuses on developing therapies to activate macrophages for the treatment of cancer. It is developing 5F9, a humanized IgG4 subclass monoclonal antibody against CD47 that is in Phase 1b/2 clinical trials used for the treatment of cancer; and FSI-189, an antibody that binds to SIRPa for the treatment of solid tumors. The company was formerly known as CD47 Sciences, Inc. Forty Seven Inc. was incorporated in 2014 and is headquartered in Menlo Park, California.</t>
  </si>
  <si>
    <t>IQTR569377088</t>
  </si>
  <si>
    <t>Tricida, Inc.</t>
  </si>
  <si>
    <t>NasdaqGS:TCDA</t>
  </si>
  <si>
    <t>IQTR569705317</t>
  </si>
  <si>
    <t>IQ254955910</t>
  </si>
  <si>
    <t>Tricida, Inc., a late-stage pharmaceutical company, focuses on developing therapeutics to address renal, metabolic, and cardiovascular disease. Its lead product candidate, TRC101, a non-absorbed orally-administered polymer drug that is in Phase III clinical trials used to treat metabolic acidosis in patients with chronic kidney disease. The company was founded in 2013 and is headquartered in South San Francisco, California.</t>
  </si>
  <si>
    <t>Total exclusive of Phantom Stock</t>
  </si>
  <si>
    <t>Series B Tranche I</t>
  </si>
  <si>
    <t>Series B Tranche II</t>
  </si>
  <si>
    <t>Common Starts Receiving Value</t>
  </si>
  <si>
    <t>Check&gt;&gt;</t>
  </si>
  <si>
    <t>Check &gt;&gt;</t>
  </si>
  <si>
    <t>Option Pricing Method</t>
  </si>
  <si>
    <t>Hybrid Option Pricing Model</t>
  </si>
  <si>
    <t>Guideline Comparables Analysis</t>
  </si>
  <si>
    <t>Guideline Transaction Analysis</t>
  </si>
  <si>
    <t>Orphan Drug Status</t>
  </si>
  <si>
    <t>LUM002, NASH</t>
  </si>
  <si>
    <t>Pliant Therapeutics, Inc. IRC 409a VD 09.30.16 Final Exhibits 2017.04.13</t>
  </si>
  <si>
    <t>Probability-Weighted Multi-Scenario Method</t>
  </si>
  <si>
    <t>Per Share Value Summary (Primary Methodology)</t>
  </si>
  <si>
    <t>Per Share Value Summary (Confirming Methodology)</t>
  </si>
  <si>
    <t>Series A Tranche Ic</t>
  </si>
  <si>
    <t>Concluded DLOM - OPM</t>
  </si>
  <si>
    <t>Concluded DLOM - IPO</t>
  </si>
  <si>
    <t>Probability Weighting</t>
  </si>
  <si>
    <t>Raise Additional Funding - PWERM</t>
  </si>
  <si>
    <t>Common as % of preferred</t>
  </si>
  <si>
    <t>Low Sale</t>
  </si>
  <si>
    <t>All Drugs</t>
  </si>
  <si>
    <t>Respiratory</t>
  </si>
  <si>
    <t>Total P1-Approval</t>
  </si>
  <si>
    <t>Probability of Technical Success (4)</t>
  </si>
  <si>
    <t>Snapshot from Call Notes</t>
  </si>
  <si>
    <t>Future Opex.</t>
  </si>
  <si>
    <t>Series B - Tranche I</t>
  </si>
  <si>
    <t>Series B - Tranche II</t>
  </si>
  <si>
    <t>Weighted-Average Term</t>
  </si>
  <si>
    <t>M&amp;A (High)</t>
  </si>
  <si>
    <t>M&amp;A (Low)</t>
  </si>
  <si>
    <t>Term to Exit</t>
  </si>
  <si>
    <t>WAT</t>
  </si>
  <si>
    <t>Conversion Point</t>
  </si>
  <si>
    <t>M&amp;A-Low</t>
  </si>
  <si>
    <t>M&amp;A-High</t>
  </si>
  <si>
    <t>Duration from Raise to Exit</t>
  </si>
  <si>
    <t>Implied Latest Preferred Round - Series B Tranche I</t>
  </si>
  <si>
    <t>Implied Equity Value - Current Capital Structure (Excludes Future Series B Tranche II)</t>
  </si>
  <si>
    <t>Probability-Weighted Expected Return Method</t>
  </si>
  <si>
    <t>Debt reflects senior debt based on the balance sheet as of the Valuation Date plus the value of liquidation preferences under the PWERM for preferred stock.</t>
  </si>
  <si>
    <t>Particulars</t>
  </si>
  <si>
    <t xml:space="preserve"> </t>
  </si>
  <si>
    <t>Preferred Stock</t>
  </si>
  <si>
    <t>Amount Payable at End of Term</t>
  </si>
  <si>
    <t>Holding Term (years)</t>
  </si>
  <si>
    <t>(i)</t>
  </si>
  <si>
    <t>(ii)</t>
  </si>
  <si>
    <t>% Difference - (ii) / (i)</t>
  </si>
  <si>
    <t>Selected Rate</t>
  </si>
  <si>
    <t>Based on probability weighted term to exit in PWERM scenarios.</t>
  </si>
  <si>
    <t>As noted above, required rate of return reflects consideration of an implied return to common stockholders (based on the probability of successful exits), about 2.0x to 4.0x cost of capital differential from preferred investors due to the higher risk profile of common stock relative to preferred stock.</t>
  </si>
  <si>
    <t>IPO - Phase Ib</t>
  </si>
  <si>
    <t>Low Sale - Phase Ib</t>
  </si>
  <si>
    <t>Low Sale - Phase IIa</t>
  </si>
  <si>
    <t>Implied Latest Preferred Round Series B Tranche I</t>
  </si>
  <si>
    <t>Fibrosis Companies' IPO Data</t>
  </si>
  <si>
    <t>(in USD or shares)</t>
  </si>
  <si>
    <t>IPO - METRICS (FIBROSIS)</t>
  </si>
  <si>
    <t>References</t>
  </si>
  <si>
    <t>http://seekingalpha.com/article/3991521-remain-cautious-kadmon-ipo-early-stage</t>
  </si>
  <si>
    <t>http://seekingalpha.com/news/3089716-proteostasis-therapeutics-deck-ipo.</t>
  </si>
  <si>
    <t>http://www.xconomy.com/boulder-denver/2015/06/17/cystic-fibrosis-drug-maker-nivalis-therapeutics-has-77m-ipo/#</t>
  </si>
  <si>
    <t>http://ir.traconpharma.com/phoenix.zhtml?c=253885&amp;p=irol-newsArticle&amp;ID=2210295</t>
  </si>
  <si>
    <t>FibroGen, Inc., a research-based biopharmaceutical company, discovers, develops, and commercializes therapeutic agents to treat serious unmet medical needs. It is developing roxadustat, or FG-4592, an oral small molecule inhibitor of hypoxia inducible factor prolyl hydroxylases (HIF-PHs) that is in Phase III clinical development for the treatment of anemia in chronic kidney disease; FG-3019, a monoclonal antibody in Phase II clinical development for the treatment of idiopathic pulmonary fibrosis, pancreatic cancer, and liver fibrosis; and FG-5200 for the treatment of corneal blindness resulting from partial thickness corneal damage. It has collaboration agreements with Astellas Pharma Inc. and AstraZeneca AB. The company was incorporated in 1993 and is headquartered in San Francisco, California.</t>
  </si>
  <si>
    <t>http://seekingalpha.com/article/2739535-fibrogen-for-one-of-the-more-promising-biotechs-a-new-chance-to-buy-in?page=2</t>
  </si>
  <si>
    <t>IQ27978054</t>
  </si>
  <si>
    <t>Concert Pharmaceuticals, Inc., a clinical stage biopharmaceutical company, discovers and develops small molecule drugs for genetic diseases, inflammatory disease, and neurologic disorders. The company’s clinical-stage product candidates include AVP-786, which is in Phase 2 and Phase 3 clinical trials for the treatment of neurologic and psychiatric disorders, including Alzheimer’s agitation, depressive disorders, and residual schizophrenia; and CTP-656, which is in Phase I clinical trial to treat cystic fibrosis. It also has completed the Phase 1 clinical trial of CTP-730 for the treatment of inflammation or cancer; and JZP-386 for the treatment of excessive daytime sleepiness and cataplexy. The company has strategic collaborations with Celgene Pharmaceuticals, Inc.; Celgene International Sarl; Celgene Corporation; Avanir Pharmaceuticals, Inc.; and Jazz Pharmaceuticals, Inc. Concert Pharmaceuticals, Inc. was founded in 2006 and is headquartered in Lexington, Massachusetts.</t>
  </si>
  <si>
    <t>http://www.concertpharma.com/news/documents/ConcertCorporateFactSheet.pdf</t>
  </si>
  <si>
    <t>NYSE:NVTA</t>
  </si>
  <si>
    <t>NasdaqGM:LENS</t>
  </si>
  <si>
    <t>NasdaqGM:CNXR</t>
  </si>
  <si>
    <t>NasdaqGM:HSGX</t>
  </si>
  <si>
    <t>NasdaqGM:NEOT</t>
  </si>
  <si>
    <t>NasdaqGM:NDRM</t>
  </si>
  <si>
    <t>NasdaqGS:PRAH</t>
  </si>
  <si>
    <t>SEHK:6118</t>
  </si>
  <si>
    <t>NasdaqGS:INCR</t>
  </si>
  <si>
    <t>NasdaqGM:CHRS</t>
  </si>
  <si>
    <t>NasdaqGM:XENE</t>
  </si>
  <si>
    <t>NasdaqGM:AQXP</t>
  </si>
  <si>
    <t>NasdaqCM:REPH</t>
  </si>
  <si>
    <t>NasdaqGM:CNCE</t>
  </si>
  <si>
    <t>NasdaqGM:EGRX</t>
  </si>
  <si>
    <t>NasdaqGM:FLXN</t>
  </si>
  <si>
    <t>NasdaqCM:NRX</t>
  </si>
  <si>
    <t>NasdaqGM:ARGS</t>
  </si>
  <si>
    <t>NasdaqGM:EGLT</t>
  </si>
  <si>
    <t>NasdaqGM:EBIO</t>
  </si>
  <si>
    <t>NasdaqGM:RVNC</t>
  </si>
  <si>
    <t>NasdaqGS:QURE</t>
  </si>
  <si>
    <t>IQ44495162</t>
  </si>
  <si>
    <t>NasdaqCM:BIOC</t>
  </si>
  <si>
    <t>NasdaqGM:GNCA</t>
  </si>
  <si>
    <t>NasdaqGS:TRVN</t>
  </si>
  <si>
    <t>NasdaqGM:CARA</t>
  </si>
  <si>
    <t>NasdaqGS:RARE</t>
  </si>
  <si>
    <t>NasdaqGS:DRNA</t>
  </si>
  <si>
    <t>NasdaqGM:GLYC</t>
  </si>
  <si>
    <t>IQTR273709680</t>
  </si>
  <si>
    <t>Concert Pharmaceuticals, Inc.</t>
  </si>
  <si>
    <t>IQTR254077108</t>
  </si>
  <si>
    <t>Discount for Lack of Marketability - Hybrid OPM</t>
  </si>
  <si>
    <t>Total Capital Structure</t>
  </si>
  <si>
    <t>Discount for Lack of Marketability - PWERM</t>
  </si>
  <si>
    <t>Debt reflects senior debt based on the balance sheet as of the Valuation Date plus the value of liquidation preferences under the Hybrid OPM for preferred stock.</t>
  </si>
  <si>
    <t>Asset Volatility - OPM</t>
  </si>
  <si>
    <t>Check for difference in remaining allocable value and total value allocable by class</t>
  </si>
  <si>
    <t>Asset Vol - M&amp;A</t>
  </si>
  <si>
    <t>M&amp;A Asset Vol Check</t>
  </si>
  <si>
    <t>Asset Vol Check</t>
  </si>
  <si>
    <t>M&amp;A - High - Phase IIa</t>
  </si>
  <si>
    <t>M&amp;A - Low - Phase IIa</t>
  </si>
  <si>
    <t>Hybrid OPM (Confirming Methodology)</t>
  </si>
  <si>
    <t>Hybrid OPM Term to Exit (Years)</t>
  </si>
  <si>
    <t>Hybrid OPM Term to Exit (Date)</t>
  </si>
  <si>
    <t>Probability Weightings</t>
  </si>
  <si>
    <t>Discount Rates (Primary Methodology)</t>
  </si>
  <si>
    <t>Comps Added</t>
  </si>
  <si>
    <t>Comps Removed</t>
  </si>
  <si>
    <t>Rationale</t>
  </si>
  <si>
    <t>Develops therapies for treatment of Cystics fibrosis</t>
  </si>
  <si>
    <t>Develops therapies for various fibrosis</t>
  </si>
  <si>
    <t>It has been acquired by Alpine immune Sciences</t>
  </si>
  <si>
    <t>https://www.alpineimmunesciences.com/nivalis/</t>
  </si>
  <si>
    <t>Rubius Therapeutics, Inc.</t>
  </si>
  <si>
    <t>IND Enabling</t>
  </si>
  <si>
    <t>NasdaqGS:RUBY</t>
  </si>
  <si>
    <t>IQ318913818</t>
  </si>
  <si>
    <t>Rubius Therapeutics, Inc. focuses on the development of red cell therapeutics (RCTs) for the treatment of patients with severe diseases through its rubius erythrocyte design cellular therapy platform. The company is developing various RCTs, such as RTX-134 for treatment of classic and moderate phenylketonuria; RTX-Uricase/URAT1 for treatment of chronic refractory gout; RTX-CBS for treatment of homocystinuria; RTX-OxOx for the treatment of second-line hyperoxaluria; and RTX-ALAD for the treatment of acute intermittent porphyria. It is also developing RTX-212 and RTX-4-1BBL for treatment of solid tumors; RTX-212 for hematological cancer; RTX-aAPC to treat solid and hematological cancers; and other product candidates for autoimmune disorders. The company was founded in 2013 and is based in Cambridge, Massachusetts.</t>
  </si>
  <si>
    <t>Crinetics Pharmaceuticals, Inc.</t>
  </si>
  <si>
    <t>NasdaqGS:CRNX</t>
  </si>
  <si>
    <t>IQTR571659630</t>
  </si>
  <si>
    <t>Crinetics Pharmaceuticals, Inc., a clinical stage pharmaceutical company, focuses on the discovery, development, and commercialization of therapeutics for rare endocrine diseases and endocrine-related tumors. Its lead product candidate is CRN00808, an oral selective nonpeptide somatostatin receptor type 2 biased agonist, which is in Phase I clinical trials used for the treatment of acromegaly. The company is also developing CRN02481, an oral selective nonpeptide somatostatin type 5 receptor agonist used for the treatment of congenital hyperinsulinism; and CRN01941, an oral, selective nonpeptide sst2 biased agonist designed for the treatment of neuroendocrine tumors. Crinetics Pharmaceuticals, Inc. was incorporated in 2008 and is headquartered in San Diego, California.</t>
  </si>
  <si>
    <t>IQ280584191</t>
  </si>
  <si>
    <t>Accrued Dividend at OPM Exit</t>
  </si>
  <si>
    <t>Accrued Dividend as of Valuation Date (3)</t>
  </si>
  <si>
    <t>&lt;&lt; Check</t>
  </si>
  <si>
    <t>Detailed Capitalization</t>
  </si>
  <si>
    <t>As of 5/16/2018</t>
  </si>
  <si>
    <t>Issued/Outstanding Shares</t>
  </si>
  <si>
    <t>SSN/Tax ID = Excluded</t>
  </si>
  <si>
    <t>Holder Name</t>
  </si>
  <si>
    <t>SERIES A PREFERRED
Outstanding</t>
  </si>
  <si>
    <t>Total Classes/Series Outstanding Shares</t>
  </si>
  <si>
    <t>% of Total Classes/Series Outstanding Shares*</t>
  </si>
  <si>
    <t>Options/SPRs Issued and/or Committed for Issuance</t>
  </si>
  <si>
    <t>Total Outstanding Shares</t>
  </si>
  <si>
    <t>% of Total Outstanding Shares*</t>
  </si>
  <si>
    <t>Andre, Patrick</t>
  </si>
  <si>
    <t>Bailey, Christopher</t>
  </si>
  <si>
    <t>Bernard Coulie and Barbara Leyman, as Trustees of The Coulie/Leyman Family Trust under agreement dated April 20, 2018</t>
  </si>
  <si>
    <t>Brenner, David</t>
  </si>
  <si>
    <t>Bruhn, Suzanne</t>
  </si>
  <si>
    <t>Cha, Jacob</t>
  </si>
  <si>
    <t>Chapman, Hal</t>
  </si>
  <si>
    <t>Chen, Chun</t>
  </si>
  <si>
    <t>Cortes, Rowena</t>
  </si>
  <si>
    <t>Curnutte M.D., John T.</t>
  </si>
  <si>
    <t>Decaris, Martin</t>
  </si>
  <si>
    <t>DeGrado, Bill</t>
  </si>
  <si>
    <t>Derynck, Rik</t>
  </si>
  <si>
    <t>Dong, Chengguo</t>
  </si>
  <si>
    <t>Finkelstein, Darren</t>
  </si>
  <si>
    <t>Fridlib, Marina</t>
  </si>
  <si>
    <t>Garcia, Christine</t>
  </si>
  <si>
    <t>Gaster, Richard</t>
  </si>
  <si>
    <t>Hom, Timothy</t>
  </si>
  <si>
    <t>Homcy, Charles</t>
  </si>
  <si>
    <t>Hooi, Lisa</t>
  </si>
  <si>
    <t>Huang, Shaoyi</t>
  </si>
  <si>
    <t>Huh M.D., Hoyoung</t>
  </si>
  <si>
    <t>Hull, Johannes</t>
  </si>
  <si>
    <t>Ireland, Diane</t>
  </si>
  <si>
    <t>Jiang, Lan</t>
  </si>
  <si>
    <t>Kaminski, Naftali</t>
  </si>
  <si>
    <t>Karsen, Perry</t>
  </si>
  <si>
    <t>Kotak, Prerna</t>
  </si>
  <si>
    <t>Kumar, Hari</t>
  </si>
  <si>
    <t>Lee, Gail</t>
  </si>
  <si>
    <t>Leftheris, Katerina</t>
  </si>
  <si>
    <t>Lepist, Eve-Irene</t>
  </si>
  <si>
    <t>Li, Hui</t>
  </si>
  <si>
    <t>Manohar, Rohan</t>
  </si>
  <si>
    <t>Martin, Shamra</t>
  </si>
  <si>
    <t>Morgans PhD, David</t>
  </si>
  <si>
    <t>Munoz, Manuel</t>
  </si>
  <si>
    <t>Noble, Paul</t>
  </si>
  <si>
    <t>pH Pharma Co., Ltd.</t>
  </si>
  <si>
    <t>Phillips, David</t>
  </si>
  <si>
    <t>Reilly, Maureen</t>
  </si>
  <si>
    <t>Rexhepaj, Megi</t>
  </si>
  <si>
    <t>Rock PhD, Fernando</t>
  </si>
  <si>
    <t>Schaub PhD, Johanna</t>
  </si>
  <si>
    <t>Schwartz, David</t>
  </si>
  <si>
    <t>Sheppard, Dean</t>
  </si>
  <si>
    <t>Tetlow, Sharon</t>
  </si>
  <si>
    <t>Third Rock Ventures III, L.P.</t>
  </si>
  <si>
    <t>Third Rock Ventures IV, L.P.</t>
  </si>
  <si>
    <t>Tokushige, Duayne</t>
  </si>
  <si>
    <t>Turner, Scott</t>
  </si>
  <si>
    <t>Unger, Steve</t>
  </si>
  <si>
    <t>Wu, Jianfeng</t>
  </si>
  <si>
    <t>Shares Remaining for Issuance under Plan(s):</t>
  </si>
  <si>
    <t>2015 EIP</t>
  </si>
  <si>
    <r>
      <t xml:space="preserve">* </t>
    </r>
    <r>
      <rPr>
        <sz val="8"/>
        <color rgb="FF990000"/>
        <rFont val="Arial"/>
        <family val="2"/>
      </rPr>
      <t>Percentage shown as "0" reflects a true percentage value of less than 0.0001.</t>
    </r>
  </si>
  <si>
    <t>"Outstanding" shares reflect the number of shares issued and outstanding "As Of" the date of the report, without applying the appropriate conversion ratio or aggregation/rounding parameters designated for each class/series.</t>
  </si>
  <si>
    <t>All Preferred Series shares showing a "conversion ratio" column heading reflect the Common Stock issuable after (a) the appropriate conversion ratio is applied with regard to parameters set for aggregation/rounding for each class/series; and (b) such converted securities are aggregated by type (options, stock, warrants and CPNs) for the securityholder.</t>
  </si>
  <si>
    <t>If the Series includes a layered conversion, i.e., it converts into another Series, and that other Series ultimately converts into Common Stock, please note that the Conversion Ratio reflects the layering.</t>
  </si>
  <si>
    <t>The "Relation" will cover only the following "Roles" assigned: Employee, Consultant, Officer, Director (Board Member), Transferee.</t>
  </si>
  <si>
    <t>Common Stock Starts Receiving Value</t>
  </si>
  <si>
    <t>LP</t>
  </si>
  <si>
    <t>Applied Probabilities - PLN-74809</t>
  </si>
  <si>
    <r>
      <t xml:space="preserve">Applied Probabilities - </t>
    </r>
    <r>
      <rPr>
        <b/>
        <sz val="10"/>
        <color theme="1"/>
        <rFont val="Calibri"/>
        <family val="2"/>
      </rPr>
      <t>αvβ</t>
    </r>
    <r>
      <rPr>
        <b/>
        <i/>
        <sz val="10"/>
        <color theme="1"/>
        <rFont val="Times New Roman"/>
        <family val="1"/>
      </rPr>
      <t>1</t>
    </r>
  </si>
  <si>
    <t>PLN-74809 - Phase Ib / αvβ1 - IND</t>
  </si>
  <si>
    <t>PLN-74809 - Phase IIa / αvβ1 - Phase Ib</t>
  </si>
  <si>
    <t>Based on the PWERM scenarios</t>
  </si>
  <si>
    <t>Opening Cash Balance as of the VD</t>
  </si>
  <si>
    <t>Less: Cash Outflow</t>
  </si>
  <si>
    <t>Add: Cash Inflow</t>
  </si>
  <si>
    <t>Closing Balance</t>
  </si>
  <si>
    <t>Forecasts</t>
  </si>
  <si>
    <t>Check for Projections</t>
  </si>
  <si>
    <t>Structured</t>
  </si>
  <si>
    <t>Pliant Therapeutics, Inc. IRC 409a VD 07.31.18 Draft Exhibits_2018.07.26</t>
  </si>
  <si>
    <t>IPO - Phase IIa</t>
  </si>
  <si>
    <t>IPO - Phase IIb</t>
  </si>
  <si>
    <t>M&amp;A - High - Phase IIb</t>
  </si>
  <si>
    <t>M&amp;A - Low - Phase IIb</t>
  </si>
  <si>
    <t>Low Sale - IND</t>
  </si>
  <si>
    <t>Low Sale - Phase I</t>
  </si>
  <si>
    <t>Low Sale - Phase IIb</t>
  </si>
  <si>
    <t>Allakos Inc.</t>
  </si>
  <si>
    <t>NasdaqGS:ALLK</t>
  </si>
  <si>
    <t>IQTR571661774</t>
  </si>
  <si>
    <t xml:space="preserve"> IQ225312313 </t>
  </si>
  <si>
    <t>Allakos Inc., a clinical stage biopharmaceutical company, focuses on developing therapeutic antibodies targeting allergic, inflammatory, and proliferative diseases. The company is developing AK002 for the treatment of eosinophilic gastritis and eosinophilic gastroenteritis, urticaria, indolent systemic mastocytosis, and severe allergic conjunctivitis. Allakos Inc. was founded in 2012 and is headquartered in San Carlos, California.</t>
  </si>
  <si>
    <t>Provention Bio, Inc.</t>
  </si>
  <si>
    <t>Aquestive Therapeutics, Inc.</t>
  </si>
  <si>
    <t>NasdaqGM:AQST</t>
  </si>
  <si>
    <t>NasdaqGS:REPL</t>
  </si>
  <si>
    <t>NasdaqCM:PRVB</t>
  </si>
  <si>
    <t>IQTR563610930</t>
  </si>
  <si>
    <t>IQTR572162633</t>
  </si>
  <si>
    <t>Aquestive Therapeutics, Inc. operates as a specialty pharmaceutical company that specializes in the drug delivery technology. The company offers PharmFilm, a drug delivery platform/pharmaceutical dosage form that delivers existing prescription products directly to the bloodstream. It develops, manufactures, and commercializes pharmaceutical films, individual film doses, and finished products for patients, physicians, and caregivers. Aquestive Therapeutics, Inc. was formerly known as MonoSol Rx Inc. and changed its name to Aquestive Therapeutics, Inc. in November 2017. The company was founded in 2000 and is headquartered in Warren, New Jersey. Aquestive Therapeutics, Inc. operates as a subsidiary of MonoSol, LLC.</t>
  </si>
  <si>
    <t>IQ8142504</t>
  </si>
  <si>
    <t>IQ429733643</t>
  </si>
  <si>
    <t>Provention Bio, Inc., a clinical stage biopharmaceutical company, focuses on the development and commercialization of novel therapeutics and cutting-edge solutions to intercept and prevent immune-mediated diseases. Its products candidates include PRV-031 teplizumab and monoclonal antibodies (mAb) that is in Phase III clinical trial for the interception of type one diabetes (T1D); PRV-6527, oral CSF-1R inhibitor, which is in Phase 2a clinical trial for the treatment of Crohn’s disease; PRV-300, anti-TLR3 mAb, which is in Phase 1b clinical trial for the treatment of ulcerative colitis; PRV-3279 for the treatment of lupus; and PRV-101, a multivalent coxsackie virus vaccine for the prevention of acute Coxsackie Virus B Vaccine and the prevention of the onset of T1D. The company was incorporated in 2016 and is based in Oldwick, New Jersey.</t>
  </si>
  <si>
    <t>Constellation Pharmaceuticals, Inc.</t>
  </si>
  <si>
    <t>Replimune Group, Inc.</t>
  </si>
  <si>
    <t>NasdaqGS:CNST</t>
  </si>
  <si>
    <t>IQTR571660953</t>
  </si>
  <si>
    <t>IQTR571664561</t>
  </si>
  <si>
    <t>Replimune Group, Inc., a clinical-stage biotechnology company, focuses on the development of oncolytic immunotherapies to treat cancer. The company uses its proprietary Immulytic platform to design and develop product candidates that are intended to activate the immune system against cancer. Its lead product candidate is RP1, a selectively replicating version of herpes simplex virus 1 that is in Phase I/II clinical trials for a range of solid tumors. The company is also developing RP2, which is in Preclinical trials to express an anti-CTLA-4 antibody-like protein in order to block the inhibition of the immune response otherwise caused by CTLA-4; and RP3 that is in Preclinical trials to express immune-activating proteins that stimulate T cells. Replimune Group, Inc. was founded in 2015 and is headquartered in Woburn, Massachusetts.</t>
  </si>
  <si>
    <t xml:space="preserve"> IQ571664452 </t>
  </si>
  <si>
    <t>Constellation Pharmaceuticals, Inc., a clinical-stage biopharmaceutical company, focuses on discovering and developing therapeutics that address serious unmet medical needs in patients with cancers associated with abnormal gene expression or drug resistance. The company’s lead product candidate CPI-1205 that is in Phase Ib/II clinical trials for the treatment of metastatic castration-resistant prostate cancer in combination with androgen receptor signaling inhibitors, as well as for the treatment of solid tumors in combination with immune checkpoint inhibitors. It is also developing CPI-0209, which is in preclinical trials for the treatment of solid tumors and/or hematological malignancies; and CPI-0610 that is in Phase II clinical trials for the treatment of patients with myelofibrosis in combination with ruxolitinib. The company was formerly known as Epigenetix, Inc. and changed its name to Constellation Pharmaceuticals, Inc. in March 2008. Constellation Pharmaceuticals, Inc. was founded in 2008 and is based in Cambridge, Massachusetts.</t>
  </si>
  <si>
    <t xml:space="preserve"> IQ44234400 </t>
  </si>
  <si>
    <t>IQTR571659871</t>
  </si>
  <si>
    <t>KC Check from 2016 file (not PBC)</t>
  </si>
  <si>
    <t>Assumed 2016 value conclusion</t>
  </si>
  <si>
    <t>Confirmed from 2016 file</t>
  </si>
  <si>
    <t>Series A and Series B can redeem their shares after 5-year anniversary of Series B raise. For the purposes of this analysis, we considered exit before the 5-year anniversary. As such, we assumed no impact of the redemption clause in our analysis.</t>
  </si>
  <si>
    <t xml:space="preserve">Additional Term for Preferred </t>
  </si>
  <si>
    <t xml:space="preserve">Additional Term for Common </t>
  </si>
  <si>
    <t>Additional Term for Equity Value</t>
  </si>
  <si>
    <t>&lt;&lt; Latest Preferred</t>
  </si>
  <si>
    <t>&lt;&lt; Common</t>
  </si>
  <si>
    <t>According to the amended and restated certificate of incorporation of the Company, the dividends accrued on Series A prior to Series B issuance were deemed cancelled.</t>
  </si>
  <si>
    <t>Link to VD financials, when we receive</t>
  </si>
  <si>
    <t>Compared to $60M in previous, this is sufficient given the Company closed double the amount expected in Series B in previous</t>
  </si>
  <si>
    <t>Additional term to cash flows for the stockholders has been considered based on Section 2.4.4 of the Amended and Restated Certificate of Incorporation of the Company. We have kept this term consistent with the Previous Valuation.</t>
  </si>
  <si>
    <t>PoTS for Lead Indication same as Previous Valuation</t>
  </si>
  <si>
    <t>PoTS for Secondary Indication same as Lead</t>
  </si>
  <si>
    <t>% Less than OIP</t>
  </si>
  <si>
    <t>Ref Project: TruCode Gene Repair</t>
  </si>
  <si>
    <t>For 5 Months Ending,</t>
  </si>
  <si>
    <t>Rate reflects a back solve in order to achieve approximately 15%-20% venture capital portfolio returns (across the total preferred investment). Such expected VC Portfolio Returns are generally consistent with observations of historical venture capital returns.</t>
  </si>
  <si>
    <t>Selected IPO</t>
  </si>
  <si>
    <t>Series B PWERM</t>
  </si>
  <si>
    <t>Backsolved based on the latest round of financing</t>
  </si>
  <si>
    <t>Based on the weighted-average exits in the PWERM</t>
  </si>
  <si>
    <t>Total Invested Capital (As of the Valuation Date)</t>
  </si>
  <si>
    <t>Additional Closing within 90 days</t>
  </si>
  <si>
    <t>Series B Per Share Value</t>
  </si>
  <si>
    <t>Previous Valuation Methodology Summary</t>
  </si>
  <si>
    <t xml:space="preserve">Probability-Weighted Multi-Scenario Method </t>
  </si>
  <si>
    <t xml:space="preserve">PWERM Scenarios </t>
  </si>
  <si>
    <t>DLOM - Hybrid</t>
  </si>
  <si>
    <t>DLOM - PWERM</t>
  </si>
  <si>
    <t xml:space="preserve">Equity Value </t>
  </si>
  <si>
    <t>Licensing Deals</t>
  </si>
  <si>
    <t>Milestones</t>
  </si>
  <si>
    <t>Links</t>
  </si>
  <si>
    <t>License</t>
  </si>
  <si>
    <t xml:space="preserve">Biogen Inc. </t>
  </si>
  <si>
    <t>Inventiva Pharma</t>
  </si>
  <si>
    <t>"Pliant_Bplan Dec 2016 (post avb1 failure)", slide 108/136</t>
  </si>
  <si>
    <t>Moderna Therapeutics</t>
  </si>
  <si>
    <t>Vertex Pharmaceuticals</t>
  </si>
  <si>
    <t>Research project</t>
  </si>
  <si>
    <t>ProductDeals- By Technology -Active excel file</t>
  </si>
  <si>
    <t>https://www.boehringer-ingelheim.com/press-release/boehringer-ingelheim-and-inventiva-collaborate-develop</t>
  </si>
  <si>
    <t>Cystic Fibrosis Foundation</t>
  </si>
  <si>
    <t>http://ir.editasmedicine.com/phoenix.zhtml?c=254265&amp;p=irol-newsArticle&amp;ID=2168479</t>
  </si>
  <si>
    <t>Collaboration</t>
  </si>
  <si>
    <t>Northern Biologics</t>
  </si>
  <si>
    <t>http://northernbiologics.com/wp-content/uploads/2015/12/NB-CG_press_release.pdf</t>
  </si>
  <si>
    <t>Inception Sciences Inc</t>
  </si>
  <si>
    <t>http://www.businesswire.com/news/home/20151210005539/en/Inception-Celgene-Enter-Strategic-Collaboration-Advance-Therapeutics</t>
  </si>
  <si>
    <t xml:space="preserve">Bristol-Myers Squibb Company </t>
  </si>
  <si>
    <t>http://www.kyorin-pharm.co.jp/en/news/docs/BMS%E3%83%A9%E3%82%A4%E3%82%BB%E3%83%B3%E3%82%B9%EF%BC%88%E8%8B%B1%E8%AA%9E%EF%BC%89.pdf</t>
  </si>
  <si>
    <t xml:space="preserve">Teva Pharmaceutical Industries Ltd. </t>
  </si>
  <si>
    <t>Heptares Therapeutics</t>
  </si>
  <si>
    <t>http://www.tevapharm.com/news/teva_and_heptares_enter_agreement_to_discover_and_develop_novel_small_molecule_cgrp_antagonists_for_treatment_of_migraine_11_15.aspx</t>
  </si>
  <si>
    <t>X-Rx, Inc.</t>
  </si>
  <si>
    <t>http://www.businesswire.com/news/home/20151111005581/en/X-Rx-Announces-Autotaxin-Inhibitor-Collaboration-Gilead-Sciences</t>
  </si>
  <si>
    <t>CRISPR Therapeutics</t>
  </si>
  <si>
    <t>cf_edited excel file</t>
  </si>
  <si>
    <t>http://www.businesswire.com/news/home/20151026005392/en/Vertex-CRISPR-Therapeutics-Establish-Collaboration-CRISPR-Cas9-Gene</t>
  </si>
  <si>
    <t>Raptor Pharmaceutical</t>
  </si>
  <si>
    <t>Tripex Pharmaceuticals</t>
  </si>
  <si>
    <t>Approved</t>
  </si>
  <si>
    <t>https://globenewswire.com/news-release/2015/10/05/773382/10151612/en/Raptor-Pharmaceutical-Completes-Acquisition-of-Quinsair-TM.html</t>
  </si>
  <si>
    <t>XOMA Corporation</t>
  </si>
  <si>
    <t>http://investors.xoma.com/releasedetail.cfm?ReleaseID=934675</t>
  </si>
  <si>
    <t>http://www.prnewswire.com/news-releases/astellas-and-chromocell-announce-license-and-collaboration-agreement-to-develop-and-commercialize-new-therapies-to-treat-neuropathic-pain-300150266.html</t>
  </si>
  <si>
    <t>Bristol-Myers Squibb</t>
  </si>
  <si>
    <t>Promedior, Inc</t>
  </si>
  <si>
    <t>http://news.bms.com/press-release/rd-news/bristol-myers-squibb-enters-agreement-providing-exclusive-right-acquire-promed</t>
  </si>
  <si>
    <t>Parion Sciences</t>
  </si>
  <si>
    <t>http://investors.vrtx.com/releasedetail.cfm?ReleaseID=916591</t>
  </si>
  <si>
    <t>Pharmaxis Ltd.</t>
  </si>
  <si>
    <t>http://www.fiercebiotech.com/biotech/boehringer-strikes-250m-deal-for-phase-i-nash-drug</t>
  </si>
  <si>
    <t>Option</t>
  </si>
  <si>
    <t>Abide Therapeutics</t>
  </si>
  <si>
    <t>http://www.fiercebiotech.com/r-d/celgene-gambles-50m-on-abide-and-its-r-d-work-on-enzyme-superfamily</t>
  </si>
  <si>
    <t>Rigel Pharmaceuticals, Inc.</t>
  </si>
  <si>
    <t>http://news.bms.com/press-release/rd-news/rigel-and-bristol-myers-squibb-announce-research-and-development-collaboration</t>
  </si>
  <si>
    <t>UCB SA</t>
  </si>
  <si>
    <t>Neuropore Therapies Inc.</t>
  </si>
  <si>
    <t>http://www.ucb.com/_up/ucb_com_partners/documents/Neuropore%20and%20UCB.pdf</t>
  </si>
  <si>
    <t>Phenex Pharmaceuticals AG</t>
  </si>
  <si>
    <t>http://www.gilead.com/news/press-releases/2015/1/gilead-sciences-announces-acquisition-of-phenex-pharmaceuticals-development-program-for-nonalcoholic-steatohepatitis-nash-and-other-liver-diseases</t>
  </si>
  <si>
    <t>Chiesi Farmaceutici S.p.A.</t>
  </si>
  <si>
    <t>http://www.pharmaxis.com.au/investor-centre/news/view/pharmaxis-announces-significant-business-milestones-141223</t>
  </si>
  <si>
    <t>Galecto Biotech AB</t>
  </si>
  <si>
    <t>http://investor.bms.com/investors/news-and-events/press-releases/press-release-details/2014/Bristol-Myers-Squibb-Signs-Exclusive-Option-Agreement-to-Acquire-Galecto-Biotech-AB-and-Its-Novel-Galectin-3-Inhibitor-in-Development-for-Idiopathic-Pulmonary-Fibrosis/default.aspx</t>
  </si>
  <si>
    <t>PharmAkea, Inc</t>
  </si>
  <si>
    <t>http://www.fiercebiotech.com/partnering/celgene-forges-35m-cancer-fibrosis-discovery-pact-pharmakea</t>
  </si>
  <si>
    <t>https://news.abbvie.com/news/abbvie-and-galapagos-to-co-develop-cystic-fibrosis-therapies.htm</t>
  </si>
  <si>
    <t>Vectura Group plc</t>
  </si>
  <si>
    <t>Array Biopharma</t>
  </si>
  <si>
    <t>Clincial Trails</t>
  </si>
  <si>
    <t>http://www.fiercebiotech.com/partnering/celgene-inks-11m-inflammation-deal-array-biopharma</t>
  </si>
  <si>
    <t>Five Prime Therapeutics, Inc.</t>
  </si>
  <si>
    <t>http://investor.fiveprime.com/releasedetail.cfm?releaseid=786122</t>
  </si>
  <si>
    <t>Cornerstone Therapeutics</t>
  </si>
  <si>
    <t>http://www.marketwired.com/press-release/cornerstone-therapeutics-acquires-exclusive-us-rights-chiesi-farmaceutici-spas-bethkisr-nasdaq-crtx-1723237.htm</t>
  </si>
  <si>
    <t>Ambrx</t>
  </si>
  <si>
    <t>ipf_edited excel file</t>
  </si>
  <si>
    <t>http://ambrx.com/bristol-myers-squibb-and-ambrx-announce-collaboration-for-novel-biologics-programs-in-diabetes-and-heart-failure/</t>
  </si>
  <si>
    <t>Acceleron Pharma, Inc.</t>
  </si>
  <si>
    <t>Intiate Phase I</t>
  </si>
  <si>
    <t>http://investor.acceleronpharma.com/releasedetail.cfm?ReleaseID=785710</t>
  </si>
  <si>
    <t>ACE-536 TGF-b  inhibitor for anemia and option to future Acceleron anemia programs</t>
  </si>
  <si>
    <t xml:space="preserve">Glenmark Pharmaceuticals S.A </t>
  </si>
  <si>
    <t>http://www.prnewswire.com/news-releases/glenmark-pharmaceuticals-out-licenses-novel-monoclonal-antibody-gbr-500-to-sanofi-121889273.html</t>
  </si>
  <si>
    <t>mAb against integrin for Crohn's disease</t>
  </si>
  <si>
    <t>KaloBios Pharmaceuticals</t>
  </si>
  <si>
    <t>Evaluate Ltd. -Not found</t>
  </si>
  <si>
    <t>http://ir.kalobios.com/releasedetail.cfm?releaseid=728001</t>
  </si>
  <si>
    <t>Exhibit H.5</t>
  </si>
  <si>
    <t>Refer to Workpaper #5 and Workpaper #6.</t>
  </si>
  <si>
    <t>https://www.businessinsider.in/Allergan-just-struck-another-billion-dollar-deal/articleshow/54660723.cms</t>
  </si>
  <si>
    <t>ASX:1AD</t>
  </si>
  <si>
    <t>IQ61120709</t>
  </si>
  <si>
    <t>AdAlta Limited</t>
  </si>
  <si>
    <t>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t>
  </si>
  <si>
    <t>(Invalid Identifier)</t>
  </si>
  <si>
    <t>IVACAFTOR, Cystic Fibrosis ("CF")</t>
  </si>
  <si>
    <t>PAMREVLUMAB, Idiopathic Pulmonary Fibrosis ("IPF")</t>
  </si>
  <si>
    <t>IPF</t>
  </si>
  <si>
    <t>MGL-3196, Non-Alcoholic Steatohepatitis ("NASH")</t>
  </si>
  <si>
    <t>NASH</t>
  </si>
  <si>
    <t>Elafibranor (GFT505), NASH</t>
  </si>
  <si>
    <t>KD025, IPF</t>
  </si>
  <si>
    <t>MN-001, NASH and IPF</t>
  </si>
  <si>
    <t>Molgradex, Pulmonary Alveolar Proteinosis</t>
  </si>
  <si>
    <t>Aramchol™, NASH</t>
  </si>
  <si>
    <t>Lenabasum, CF</t>
  </si>
  <si>
    <t>GR-MD-02, NASH Cirrhosis</t>
  </si>
  <si>
    <t>Eluforsen, CF</t>
  </si>
  <si>
    <t>MRG-201, Cutaneous Fibrosis and IPF</t>
  </si>
  <si>
    <t>Emricasan, NASH Fibrosis</t>
  </si>
  <si>
    <t>IMM-124E, NASH</t>
  </si>
  <si>
    <t>PhaseII</t>
  </si>
  <si>
    <t>AD-214, IPF</t>
  </si>
  <si>
    <t>PUR0200, Chronic Obstructive Pulmonary Disease</t>
  </si>
  <si>
    <t>AB-PA01, CF</t>
  </si>
  <si>
    <t>https://www.vrtx.com/pipeline-medicines/investigational-medicines-pipeline</t>
  </si>
  <si>
    <t>http://www.fibrogen.com/pipeline/</t>
  </si>
  <si>
    <t>http://www.glpg.com/clinical-pipelines</t>
  </si>
  <si>
    <t>https://www.madrigalpharma.com/ourapproach/pipeline/</t>
  </si>
  <si>
    <t>https://www.interceptpharma.com/wp-content/uploads/2018/01/pipeline.png</t>
  </si>
  <si>
    <t>http://www.insmed.com/pipeline/</t>
  </si>
  <si>
    <t>http://www.genfit.com/pipeline/elafibranor/</t>
  </si>
  <si>
    <t>http://kadmon.com/research-development/pipeline/</t>
  </si>
  <si>
    <t>http://medicinova.com/clinical-development/development-pipeline/</t>
  </si>
  <si>
    <t>https://savarapharma.com/development/pipeline/</t>
  </si>
  <si>
    <t>http://galmedpharma.com/phase-iib/</t>
  </si>
  <si>
    <t>https://www.corbuspharma.com/pipeline/overview</t>
  </si>
  <si>
    <t>http://galectintherapeutics.com/what-we-do/develop-proprietary-compounds-for-disease/pipeline/</t>
  </si>
  <si>
    <t>http://www.proqr.com/pipeline/</t>
  </si>
  <si>
    <t>http://www.miragen.com/pipeline/</t>
  </si>
  <si>
    <t>https://www.conatuspharma.com/programs/</t>
  </si>
  <si>
    <t>https://www.immuron.com.au/product-pipeline/</t>
  </si>
  <si>
    <t>http://adalta.com.au/pipeline/fibrosis/</t>
  </si>
  <si>
    <t>http://pulmatrix.com/pipeline.html</t>
  </si>
  <si>
    <t>http://www.ampliphibio.com/pipeline/</t>
  </si>
  <si>
    <t>Financial Performance (Estimates)</t>
  </si>
  <si>
    <t>For the purposes of this analysis, we considered Phantom Stock as options and assumed the strike price as the concluded value of Common Stock, since the Phantom Stock generally has rights similar to options.</t>
  </si>
  <si>
    <t>http://investor.insmed.com/news-releases/news-release-details/insmed-announces-worldwide-license-agreement-astrazeneca-oral</t>
  </si>
  <si>
    <t>University of California San Francisco</t>
  </si>
  <si>
    <t>Johnson &amp; Johnson</t>
  </si>
  <si>
    <t>Nektar Therapeutics</t>
  </si>
  <si>
    <t>Pre-clinical</t>
  </si>
  <si>
    <t>https://www.businesswire.com/news/home/20160505005745/en/WAVE-Life-Sciences-Enters-Collaboration-Pfizer-Develop</t>
  </si>
  <si>
    <t>http://investor.theravance.com/news-releases/news-release-details/theravance-biopharma-enters-global-collaboration-janssen-td-1473</t>
  </si>
  <si>
    <t>https://www.hemoshear.com/press-releases/takeda_partnership</t>
  </si>
  <si>
    <t>https://www.destinypharma.com/2017/12/01/china-medical-system-holdings-limited-invests-3-0-million-in-destiny-pharma/</t>
  </si>
  <si>
    <t>https://www.streetinsider.com/Corporate+News/Vertex+Pharma+%28VRTX%29%2C+Concert+Pharmaceuticals+%28CNCE%29+Complete+Asset+Purchase+Agreement+for+CTP-656/13128032.html</t>
  </si>
  <si>
    <t>https://www.prnewswire.com/news-releases/lilly-and-nektar-therapeutics-announce-alliance-to-develop-and-commercialize-nktr-358-a-novel-autoimmune-therapy-300492703.html</t>
  </si>
  <si>
    <t>https://www.prnewswire.com/news-releases/protagonist-therapeutics-enters-into-worldwide-agreement-with-janssen-to-co-develop-and-commercialize-ptg-200-for-inflammatory-bowel-disease-300465102.html</t>
  </si>
  <si>
    <t>https://www.astrazeneca.com/media-centre/press-releases/2017/astrazeneca-and-pieris-pharmaceuticals-collaborate-to-develop-and-commercialise-anticalin-based-inhaled-treatments-for-respiratory-diseases-03052017.html</t>
  </si>
  <si>
    <t>https://www.prnewswire.com/news-releases/vanda-and-ucsf-announce-license-agreement-for-cftr-activators-and-inhibitors-300431506.html</t>
  </si>
  <si>
    <t>http://ir.conatuspharma.com/news-releases/news-release-details/conatus-announces-exclusive-worldwide-option-collaboration-and</t>
  </si>
  <si>
    <t>https://www.prnewswire.com/news-releases/pharmakea-extends-collaboration-with-celgene-corporation-300365729.html</t>
  </si>
  <si>
    <t>Deals+Technology+%26+Tx+Area (34)</t>
  </si>
  <si>
    <t>Hematech Biotherapeutics</t>
  </si>
  <si>
    <t>ProMetic Life Sciences</t>
  </si>
  <si>
    <t>http://www.marketwired.com/press-release/prometic-hematech-biotherapeutics-close-10-million-orphan-drug-license-strategic-tsx-pli-1653623.htm</t>
  </si>
  <si>
    <t>https://www.fiercebiotech.com/partnering/celgene-forges-35m-cancer-fibrosis-discovery-pact-pharmakea</t>
  </si>
  <si>
    <t>https://globenewswire.com/news-release/2018/05/10/1499995/0/en/Aquinox-and-Astellas-Announce-Exclusive-Licensing-Agreement-for-Rosiptor-in-the-Asia-Pacific-Region-Including-Japan.html</t>
  </si>
  <si>
    <t>https://news.bms.com/press-release/partnering-news/bristol-myers-squibb-signs-exclusive-worldwide-license-agreement-nitto</t>
  </si>
  <si>
    <t>Merck &amp; Co</t>
  </si>
  <si>
    <t>https://www.thepharmaletter.com/article/aspen-signs-1-billion-deal-with-merck-co-for-api-manufacturing-business</t>
  </si>
  <si>
    <t>Pulmonary+fibrosis_+idiopathic_</t>
  </si>
  <si>
    <t>Apeiron Biologics</t>
  </si>
  <si>
    <t>https://www.apeiron-biologics.com/images/news/Apeiron_GSK_Press_Release.pdf</t>
  </si>
  <si>
    <t>Liver+fibrosis_</t>
  </si>
  <si>
    <t>Nitto Denko Corporation</t>
  </si>
  <si>
    <t>Aspen Pharmacare Holdings Ltd.</t>
  </si>
  <si>
    <t>Boehringer Ingelheim Corporation</t>
  </si>
  <si>
    <t>Inventiva S.A</t>
  </si>
  <si>
    <t>PharmAkea, Inc.</t>
  </si>
  <si>
    <t>Conatus Pharmaceuticals, Inc.</t>
  </si>
  <si>
    <t>Pieris Pharmaceuticals, Inc.</t>
  </si>
  <si>
    <t>Destiny Pharma plc</t>
  </si>
  <si>
    <t>Takeda Pharmaceuticals Co. Ltd.</t>
  </si>
  <si>
    <t>Theravance Biopharma, Inc.</t>
  </si>
  <si>
    <t>Aquinox Pharmaceuticals, Inc.</t>
  </si>
  <si>
    <t>Pfizer Inc.</t>
  </si>
  <si>
    <t>HemoShear Therapeutics, LLC</t>
  </si>
  <si>
    <t>China Medical System Holdings Ltd.</t>
  </si>
  <si>
    <t>Eli Lilly and Company</t>
  </si>
  <si>
    <t>Vanda Pharmaceuticals Inc.</t>
  </si>
  <si>
    <t>NDI-010976,NASH</t>
  </si>
  <si>
    <t>Aironite (AIR001)</t>
  </si>
  <si>
    <t>As of January 14, 2011, Arresto Biosciences, Inc. was acquired by Gilead Sciences Inc. Arresto Biosciences, Inc., a biotechnology company, develops medicines to treat cancer and fibrotic diseases by targeting molecules from the extracellular matrix. The company was founded in 2007 and is based in Palo Alto, California.</t>
  </si>
  <si>
    <t>Waterfall Analysis</t>
  </si>
  <si>
    <t>Gilead Sciences Inc. (NasdaqGS: GILD) signed a definitive agreement to acquire Arresto Biosciences, Inc. from Kleiner, Perkins, Caufield &amp; Byers, HealthCare Ventures VIII, L.P of HealthCare Ventures LLC, Northgate Capital Group, L.L.C., DAG Ventures, LLC, Abbott Biotech Ventures Inc. and others for approximately $230 million on December 19, 2010. Under the terms of the agreement, Gilead will acquire Arresto for $225 million and potential future payments based on achievement of certain sales levels. Gilead plans to finance the acquisition through available cash on hand.
The transaction is subject to satisfaction of certain closing conditions. The transaction has been approved by the Boards of Directors of Gilead and Arresto as well as by the stockholders of Arresto. The transaction does not require the approval of Gilead’s stockholders and will not require filings or clearance under the Hart-Scott-Rodino Antitrust Improvements Act of 1976. Gilead anticipates that the deal would close in the first quarter of 2011.</t>
  </si>
  <si>
    <t>Pirfenidone, IPF</t>
  </si>
  <si>
    <t>http://www.gilead.com/news/press-releases/2016/4/gilead-sciences-announces-acquisition-of-nimbus-therapeutics-acetylcoa-carboxylase-acc-program-for-nash-and-other-liver-diseases</t>
  </si>
  <si>
    <t>http://ir.celgene.com/releasedetail.cfm?releaseid=1053509</t>
  </si>
  <si>
    <t>https://www.alpineimmunesciences.com/alpine-immune-sciences-inc-completes-merger-with-nivalis-therapeutics-inc/</t>
  </si>
  <si>
    <t>https://www.prnewswire.com/news-releases/savara-announces-closing-of-merger-with-mast-therapeutics-300447355.html</t>
  </si>
  <si>
    <t>https://www.allergan.com/news/news/thomson-reuters/allergan-successfully-completes-tobira-therapeutic</t>
  </si>
  <si>
    <t>https://www.allergan.com/news/news/thomson-reuters/allergan-acquires-akarna-therapeutics-adding-to-it</t>
  </si>
  <si>
    <t>http://investors.merck.com/news/press-release-details/2016/Merck-to-Acquire-Afferent-Pharmaceuticals/default.aspx</t>
  </si>
  <si>
    <t>https://www.prnewswire.com/news-releases/adheron-therapeutics-to-be-acquired-by-roche-300156996.html</t>
  </si>
  <si>
    <t>https://www.businesswire.com/news/home/20100617005245/en/Arginetix-Immune-Control-Merge-Form-Corridor-Pharmaceuticals</t>
  </si>
  <si>
    <t>https://www.roche.com/media/releases/med-cor-2014-08-24.htm</t>
  </si>
  <si>
    <t>http://ir.cascadianrx.com/releasedetail.cfm?releaseid=865585</t>
  </si>
  <si>
    <t>https://www.prnewswire.com/news-releases/shire-adds-to-rare-disease-portfolio-with-acquisition-of-lumena-pharmaceuticals-bringing-late-stage-compounds-for-rare-gihepatic-conditions-258880511.html</t>
  </si>
  <si>
    <t>https://globenewswire.com/news-release/2014/03/06/616193/10071475/en/Stratus-Media-Group-Acquires-Paloma-Pharmaceuticals-Inc-and-VasculoMedics-Inc.html</t>
  </si>
  <si>
    <t>https://www.prnewswire.com/news-releases/mast-therapeutics-signs-definitive-agreement-to-acquire-aires-pharmaceuticals-inc-244700481.html</t>
  </si>
  <si>
    <t>https://www.businesswire.com/news/home/20140108005656/en/Forest-Laboratories-Acquire-Aptalis-2.9-Billion-Cash</t>
  </si>
  <si>
    <t>https://www.businesswire.com/news/home/20120214005232/en/Biogen-Idec-Acquire-Stromedix</t>
  </si>
  <si>
    <t>https://news.bms.com/press-release/partnering-news/bristol-myers-squibb-acquire-amira-pharmaceuticals</t>
  </si>
  <si>
    <t>http://investors.gilead.com/phoenix.zhtml?c=69964&amp;p=irol-newsArticle&amp;ID=1509319</t>
  </si>
  <si>
    <t>PhaseI/II</t>
  </si>
  <si>
    <t>Total Liquidation Preference plus Dividend</t>
  </si>
  <si>
    <t>As of the Valuaiton Date, the deal was not closed, however, it was announced. As such, we considered the deal in our analysis.</t>
  </si>
  <si>
    <t>Assumes that all remaining options expected to be granted prior to exit term contemplated under the PWERM.</t>
  </si>
  <si>
    <t>Licensing</t>
  </si>
  <si>
    <t>Fibrosis</t>
  </si>
  <si>
    <t>Research Project</t>
  </si>
  <si>
    <t>NASH, Liver Disease</t>
  </si>
  <si>
    <t>Product Acquisition</t>
  </si>
  <si>
    <t>CF</t>
  </si>
  <si>
    <t>CFTR Activators</t>
  </si>
  <si>
    <t>Novartis AG</t>
  </si>
  <si>
    <t>Fibrotic Diseases</t>
  </si>
  <si>
    <t>Pulmonary</t>
  </si>
  <si>
    <t>KYORIN Pharmaceutical Co., Ltd</t>
  </si>
  <si>
    <t>Sanofi SA</t>
  </si>
  <si>
    <t>GlaxSmithKline plc</t>
  </si>
  <si>
    <t>Based on information provided by Management as well as from multiple sources including Globaldata, EvaluatePharma.</t>
  </si>
  <si>
    <t>Series B Tranche I - Per Share Value Conclusion</t>
  </si>
  <si>
    <t>Series B Tranche I - Value Per Share Calculation</t>
  </si>
  <si>
    <t>No. of Series B Tranche I Shares</t>
  </si>
  <si>
    <t>Average of Mean and Third Quartile</t>
  </si>
  <si>
    <t>Average of Finnerty and Asian Put</t>
  </si>
  <si>
    <t>Average of Finnerty, Protective and Asian Put</t>
  </si>
  <si>
    <t>Develops therapies for treatment of IPF. Provided by Client</t>
  </si>
  <si>
    <t>Fedratinib, Myelofibrosis</t>
  </si>
  <si>
    <t>CTP-656, CF</t>
  </si>
  <si>
    <t>https://investors.vrtx.com/news-releases/news-release-details/vertex-and-concert-pharmaceuticals-complete-asset-purchase</t>
  </si>
  <si>
    <t>Variant Immunoglobulin Domain (vlgD) Platform</t>
  </si>
  <si>
    <t>Cenicriviroc (CF) and Evogliptin (NASH)</t>
  </si>
  <si>
    <t>AKN-083, NASH</t>
  </si>
  <si>
    <t>AF-219, IPF</t>
  </si>
  <si>
    <t>SDP051, Fibrotic Diseases</t>
  </si>
  <si>
    <t>C-301, PAH, IPF</t>
  </si>
  <si>
    <t>INS1009 Pulmonary Arterial Hypertension ("PAH")</t>
  </si>
  <si>
    <t>Protocell Technology</t>
  </si>
  <si>
    <t> Palomid 529 (P529), Pulmonary Fibrosis</t>
  </si>
  <si>
    <t>STX-100, Fibrosis</t>
  </si>
  <si>
    <t>AM152, IPF</t>
  </si>
  <si>
    <t>AB0024, IPF</t>
  </si>
  <si>
    <t xml:space="preserve"> n/a </t>
  </si>
  <si>
    <t xml:space="preserve"> (Invalid Identifier) </t>
  </si>
  <si>
    <t xml:space="preserve"> - </t>
  </si>
  <si>
    <t>27.01x</t>
  </si>
  <si>
    <t xml:space="preserve"> NM </t>
  </si>
  <si>
    <t>14769.94x</t>
  </si>
  <si>
    <t>23.88x</t>
  </si>
  <si>
    <t>34.29x</t>
  </si>
  <si>
    <t>-42.05x</t>
  </si>
  <si>
    <t>(Invalid Transaction Id)</t>
  </si>
  <si>
    <t xml:space="preserve"> (Invalid Transaction Id) </t>
  </si>
  <si>
    <t>BioLineRx</t>
  </si>
  <si>
    <t>Hadassah Medical Center</t>
  </si>
  <si>
    <t>Samil Pharmaceutical</t>
  </si>
  <si>
    <t>Galmed Pharmaceuticals</t>
  </si>
  <si>
    <t>Blade Therapeutics</t>
  </si>
  <si>
    <t>http://ir.biolinerx.com/phoenix.zhtml?c=208785&amp;p=RssLanding_pf&amp;cat=news&amp;id=2191294</t>
  </si>
  <si>
    <t>https://www.prnewswire.com/news-releases/galmed-pharmaceuticals-and-samil-pharm-sign-a-license-agreement-for-the-commercialization-of-aramchol-in-korea-300305399.html</t>
  </si>
  <si>
    <t>NGM Biopharmaceuticals</t>
  </si>
  <si>
    <t>http://www.merck.com/licensing/our-partnership/ngm-and-merck.html</t>
  </si>
  <si>
    <t>Viking Therapeutics</t>
  </si>
  <si>
    <t>Ligand Pharmaceuticals</t>
  </si>
  <si>
    <t>Biogen</t>
  </si>
  <si>
    <t>Galapagos</t>
  </si>
  <si>
    <t>https://www.ligand.com/news-events/press-releases/detail/216/ligand-licenses-five-programs-to-viking-therapeutics</t>
  </si>
  <si>
    <t>http://www.fiercebiotech.com/biotech/galapagos-subsidiary-biofocus-signs-agreement-biogen-idec-scleroderma</t>
  </si>
  <si>
    <t>Tobira Therapeutics</t>
  </si>
  <si>
    <t>Dong-A ST</t>
  </si>
  <si>
    <t>https://www.prnewswire.com/news-releases/tobira-therapeutics-and-dong-a-st-enter-into-license-agreements-for-evogliptin-and-cenicriviroc-300248967.html</t>
  </si>
  <si>
    <t>Islet Sciences</t>
  </si>
  <si>
    <t>BHV Pharma</t>
  </si>
  <si>
    <t>https://globenewswire.com/news-release/2015/03/03/711924/10122985/en/Islet-Sciences-Enters-Into-Exclusive-License-Agreement-for-Phase-2-SGLT2-Inhibitor-Remogliflozin-Etabonate.html</t>
  </si>
  <si>
    <t>Dainippon Sumitomo Pharma Co, Ltd.</t>
  </si>
  <si>
    <t>http://www.ds-pharma.com/ir/news/2011/20110330-03.html and Client's file "f103cullity-page-5"</t>
  </si>
  <si>
    <t>Upfront Payment As a % of Total Deal Value</t>
  </si>
  <si>
    <t>IRC 409A and ASC 718 Common Stock Independent Appraisal</t>
  </si>
  <si>
    <t>Additional Adjustment Factor Calculation</t>
  </si>
  <si>
    <t>Additional Adjustment Factor</t>
  </si>
  <si>
    <t>Less: Additional Adjustment Factor (4)</t>
  </si>
  <si>
    <t>get rid of ipo 2a - low</t>
  </si>
  <si>
    <t>Cumulative Probability of Exit</t>
  </si>
  <si>
    <t>Cumulative Probability of No Exit</t>
  </si>
  <si>
    <t>M&amp;A - Phase Iia</t>
  </si>
  <si>
    <t>Milestone Cumulative Probability</t>
  </si>
  <si>
    <t>Products / Indications</t>
  </si>
  <si>
    <t>PLN-74809</t>
  </si>
  <si>
    <t>αvβ1</t>
  </si>
  <si>
    <t>Lead</t>
  </si>
  <si>
    <t>Second</t>
  </si>
  <si>
    <t>Milestone 1</t>
  </si>
  <si>
    <t>Milestone 2</t>
  </si>
  <si>
    <t>IPO - Early</t>
  </si>
  <si>
    <t>IPO - Late</t>
  </si>
  <si>
    <t>M&amp;A - Late</t>
  </si>
  <si>
    <t>Low Sale - Early</t>
  </si>
  <si>
    <t>Low Sale - Late</t>
  </si>
  <si>
    <t>Success</t>
  </si>
  <si>
    <t>Exit Cumulative Probability</t>
  </si>
  <si>
    <t>Fail</t>
  </si>
  <si>
    <t>Early</t>
  </si>
  <si>
    <t>Late</t>
  </si>
  <si>
    <t>Exit Time</t>
  </si>
  <si>
    <t>Product Phase</t>
  </si>
  <si>
    <t>At least One Success</t>
  </si>
  <si>
    <t>M&amp;A / Sale Probability Split</t>
  </si>
  <si>
    <t>Only One Success</t>
  </si>
  <si>
    <t>Early Exit</t>
  </si>
  <si>
    <t>Late Exit</t>
  </si>
  <si>
    <t>Option Pricing Method - Breakpoints &amp; Allocation (OPM Backsolve)</t>
  </si>
  <si>
    <t>Option Pricing Method - Implied Value Per Share (OPM Backsolve)</t>
  </si>
  <si>
    <t>Asset Volatility - OPM Backsolve</t>
  </si>
  <si>
    <t>Discount for Lack of Marketability - OPM Backsolve</t>
  </si>
  <si>
    <t>Series B OPM</t>
  </si>
  <si>
    <t>Structured Exit</t>
  </si>
  <si>
    <t>Interpolation - Early</t>
  </si>
  <si>
    <t>Interpolation - Late</t>
  </si>
  <si>
    <t>Interpolation - Structured</t>
  </si>
  <si>
    <t>Given the early stage of development of the Company compared to well-capitalized Guideline Public Companies, volatility selection at higher end is warranted. As such, we considered a value between the mean and the third quartile of the range exhibited by the Guideline Public Companies.</t>
  </si>
  <si>
    <t>Prior Milestone Cumulative Probability</t>
  </si>
  <si>
    <t>Asset Vol.</t>
  </si>
  <si>
    <t>The Low Sale exit multiple selection considers the continued development of additional programs currently in Discovery phase, as well as new programs resulting from ongoing R&amp;D, not explicitly considered in the "success" scenarios.</t>
  </si>
  <si>
    <t>Series A (Tranche Ia)</t>
  </si>
  <si>
    <t>Series A (Tranche Ib)</t>
  </si>
  <si>
    <t>Series A (Tranche Ic)</t>
  </si>
  <si>
    <t>Series A - Tranche II</t>
  </si>
  <si>
    <t>Series A - Tranche III</t>
  </si>
  <si>
    <t>Equity value</t>
  </si>
  <si>
    <t>Series A Implied Price</t>
  </si>
  <si>
    <t>Common/Pref</t>
  </si>
  <si>
    <t>AwABTANVU0QBSP////8BRv8HAABGQ0lRLk5BU0RBUUdTOkZHRU4uSVFfVE9UQUxfUkVWXzNZUl9BTk5fQ0FHUi4yMDAwLjcvMzEvMjAxOC5MRlIuRi5VU0QuSAEAAABEbwAAAgAAAActMS45Njc2AQgAAAAFAAAAATEBAAAACjE4ODc2Njk1NDMDAAAAAzE2MAIAAAAENDIyMAQAAAABMAcAAAAJNy8zMS8yMDE4CAAAAAkzLzMxLzIwMTgJAAAAATAEopi7oVTWCLZxob+hVNYIRkNJUS5OQVNEQVFHTTpDUkJQLklRX1RPVEFMX1JFVl8zWVJfQU5OX0NBR1IuMjAwMC43LzMxLzIwMTguTEZSLkYuVVNELkgBAAAAJG8kDwMAAAAAADfWxrqhVNYIlea2v6FU1ggnQ0lRLkVOWFRBTTpHTFBHLklRX0JVU0lORVNTX0RFU0NSSVBUSU9OAQAAALIxGgADAAAAnwhHYWxhcGFnb3MgTlYsIGEgY2xpbmljYWwtc3RhZ2UgYmlvdGVjaG5vbG9neSBjb21wYW55LCBkaXNjb3ZlcnMsIGRldmVsb3BzLCBhbmQgY29tbWVyY2lhbGl6ZXMgbm92ZWwgbWVkaWNpbmVzLiBJdHMgY2xpbmljYWwgc3RhZ2UgcHJvZ3JhbXMgaW5jbHVkZSBmaWxnb3RpbmliLCB3aGljaCBpcyBpbiBQaGFzZSBJSUkgY2xpbmljYWwgdHJpYWxzIGZvciB0aGUgdHJlYXRtZW50IG9mIHJoZXVtYXRvaWQgYXJ0aHJpdGlzIGFuZCBDcm9obuKAmXMgZGlzZWFzZSwgUGhhc2UgMi8zIHRyaWFscyBmb3IgdWxjZXJhdGl2ZSBjb2xpdGlzLCBhbmQgUGhhc2UgSUkg</t>
  </si>
  <si>
    <t>dHJpYWxzIGZvciBtdWx0aXBsZSBhZGRpdGlvbmFsIGluZGljYXRpb25zOyBHTFBHMTY5MCwgYW4gYXV0b3RheGluIGluaGliaXRvciwgd2hpY2ggaXMgaW4gUGhhc2UgSUlJIGNsaW5pY2FsIHRyaWFsIGZvciB0aGUgdHJlYXRtZW50IG9mIGlkaW9wYXRoaWMgcHVsbW9uYXJ5IGZpYnJvc2lzOyBHTFBHMTk3MiB0aGF0IGNvbXBsZXRlZCBQaGFzZSAxYiBjbGluaWNhbCB0cmlhbCBmb3IgdGhlIHRyZWF0bWVudCBvZiBvc3Rlb2FydGhyaXRpczsgYW5kIE1PUjEwNiwgd2hpY2ggaXMgaW4gUGhhc2UgSUkgdHJpYWxzIGZvciBhdG9waWMgZGVybWF0aXRpcyBwYXRpZW50cy4gVGhlIGNvbXBhbnkgaGFzIGNvbGxhYm9yYXRpb24gYWdyZWVtZW50IHdpdGggR2lsZWFkIFNjaWVuY2VzLCBJbmMuIGZvciB0aGUgZGV2ZWxvcG1lbnQgb2YgZmlsZ290aW5pYiBmb3IgaW5mbGFtbWF0b3J5IGluZGljYXRpb25zOyBTZXJ2aWVyIHRvIGRldmVsb3AgR0xQRzE5NzI7IGFuZCBBYmJWaWUgZm9yIHRoZSBkaXNjb3ZlcnksIGRldmVsb3BtZW50LCBhbmQgY29tbWVyY2lhbGl6YXRpb24gb2YgcG90ZW50aWF0b3IgYW5kIGNvcnJlY3RvciBtb2xlY3VsZXMgZm9yIHRoZSB0cmVhdG1lbnQgb2YgY3lzdGljIGZpYnJvc2lzLCBhcyB3ZWxsIGFzIHdpdGggTW9ycGhvU3lzIGZvciBNT1IxMDYuIEdhbGFwYWdvcyBOViB3YXMg</t>
  </si>
  <si>
    <t>Zm91bmRlZCBpbiAxOTk5IGFuZCBpcyBoZWFkcXVhcnRlcmVkIGluIE1lY2hlbGVuLCBCZWxnaXVtLgCqQZa7oVTWCA9MT72hVNYIMENJUS4uSVFfUkVWRU5VRV9FU1QuQ1kyMDE4LjcvMzEvMjAxOC5DT04uRi5VU0QuSAUAAAABAAAACAAAABQoSW52YWxpZCBJZGVudGlmaWVyKRysub6hVNYIHKy5vqFU1gg2Q0lRLk5BU0RBUUdNOlBSUVIuSVFfRUJJVERBLjIwMDAuNy8zMS8yMDE4LkxGUi5GLlVTRC5IAQAAAO/sXA0CAAAACi00Ny40MTExNDMBCAAAAAUAAAABMQEAAAAKMTg4MDk4MTkwNwMAAAADMTYwAgAAAAQ0MDUxBAAAAAEwBwAAAAk3LzMxLzIwMTgIAAAACjEyLzMxLzIwMTcJAAAAATA31sa6oVTWCNpIub+hVNYIPENJUS5OQVNEQVFHTTpQUlFSLklRX0VCSVREQV9FU1QuQ1kyMDE4LjcvMzEvMjAxOC5DT04uRi5VU0QuSAEAAADv7FwNAwAAAAAAN9bGuqFU1gjaSLm/oVTWCDVDSVEuTkFTREFRR006UFJRUi5JUV9DQVBFWC4xOTk2LjcvMzEvMjAxOC5MRlIuRi5VU0QuSAEAAADv7FwNAgAAAAktMi42ODAyNDkBCAAAAAUAAAABMQEAAAAKMTg4MDk4MTk5OAMAAAADMTYwAgAAAAQyMDIxBAAAAAEwBwAAAAk3LzMxLzIwMTgIAAAACjEyLzMxLzIwMTYJAAAAATA31sa6oVTWCNpIub+hVNYIIkNJUS5JUVRSNDAxOTc5Njg5LklRX1RSX1RPVEFMX0NBU0gBAAAAKbn1FwIAAAAKNTMzLjU4MTg5OQEGAAAA</t>
  </si>
  <si>
    <t>BQAAAAI1NAEAAAAGMTAxMDU2AgAAAAk0MDE5Nzk2ODkDAAAACTQwMTk4MDU5NwQAAAADMTYwBgAAAAVGYWxzZQI/2rehVNYIMtkavaFU1ggpQ0lRLk5BU0RBUUNNOkdMTUQuSVFfQlVTSU5FU1NfREVTQ1JJUFRJT04BAAAAJGfXBgMAAADGBUdhbG1lZCBQaGFybWFjZXV0aWNhbHMgTHRkLiwgYSBjbGluaWNhbC1zdGFnZSBiaW9waGFybWFjZXV0aWNhbCBjb21wYW55LCBmb2N1c2VzIG9uIHRoZSBkZXZlbG9wbWVudCBvZiB0aGVyYXBldXRpY3MgZm9yIHRoZSB0cmVhdG1lbnQgb2YgbGl2ZXIgZGlzZWFzZXMuIFRoZSBjb21wYW55IGlzIGRldmVsb3BzIEFyYW1jaG9sLCBhbiBvcmFsIHRoZXJhcHksIHdoaWNoIGlzIGluIEFSUkVTVCBzdHVkeSwgYSBQaGFzZSBJSWIgY2xpbmljYWwgc3R1ZHkgZm9yIHRoZSB0cmVhdG1lbnQgb2YgcGF0aWVudHMgd2l0aCBvdmVyd2VpZ2h0IG9yIG9iZXNpdHksIGFuZCB3aG8gYXJlIHByZS1kaWFiZXRpYyBvciB0eXBlLUlJLWRpYWJldGljIHdpdGggbm9uLWFsY29ob2xpYyBzdGVhdG8taGVwYXRpdGlzLiBJdCBhbHNvIGV2YWx1YXRlcyBBcmFtY2hvbCB0aHJvdWdoIEFSUklWRSBTdHVkeSwgYSBwcm9vZi1vZi1jb25jZXB0IFBoYXNlIElJYSBjbGluaWNhbCB0cmlhbCwgd2l0aCBISVYtYXNzb2NpYXRlZCBub24tYWxjb2hvbGljIGZhdHR5IGxpdmVyIGRpc2Vhc2Ug</t>
  </si>
  <si>
    <t>YW5kIGxpcG9keXN0cm9waHkuIFRoZSBjb21wYW55IHdhcyBmb3VuZGVkIGluIDIwMDAgYW5kIGlzIGhlYWRxdWFydGVyZWQgaW4gVGVsIEF2aXYsIElzcmFlbC4gR2FsbWVkIFBoYXJtYWNldXRpY2FscyBMdGQuIGlzIGEgc3Vic2lkaWFyeSBvZiBHYWxtZWQgSW50ZXJuYXRpb25hbCBMdGQuADfWxrqhVNYIGHNWvaFU1ghDQ0lRLkFNRVg6QVBIQi5JUV9NSU5PUklUWV9JTlRFUkVTVF9UT1RBTC4yMDAwLjkvMzAvMjAxNi5MRlIuRi5VU0QuSAEAAAAiiQAAAwAAAAAASjyLuqFU1gjtNMW/oVTWCCJDSVEuSVFUUjEzODI1MTQ2Mi5JUV9UUl9UT1RBTF9DQVNIAQAAAMaMPQgCAAAAAzMyNQEGAAAABQAAAAI1NAEAAAAGMTAxMDU2AgAAAAkxMzgyNTE0NjIDAAAACTEzODI1MTgxOQQAAAADMTYwBgAAAAVGYWxzZQI/2rehVNYIYWIkvaFU1ghBQ0lRLihJTlZBTElEIElERU5USUZJRVIpLklRX0VBUk5JTkdfQ08uMjAwMC43LzMxLzIwMTguTEZSLkYuVVNELkgFAAAAAAAAAAgAAAAUKEludmFsaWQgSWRlbnRpZmllcilKPIu6oVTWCMe77b+hVNYIJ0NJUS5OQVNEQVFDTTpHQUxULklRX0JFVEFfMVlSLjcvMzEvMjAxOAEAAADHQRAAAgAAABAxLjgwMDk4MjU5MTQ5NzE4ADfWxrqhVNYIR4S0v6FU1ggpQ0lRLkFNRVg6QVBIQi5JUV9ESVZJREVORF9ZSUVMRC43LzMxLzIwMTgBAAAAIokAAAMAAAAAAEo8i7qhVNYI</t>
  </si>
  <si>
    <t>7TTFv6FU1ggfQ0lRLklRMjY2ODY0Mi5JUV9MQVNUU0FMRVBSSUNFLgEAAABiuCgAAgAAAAQ1LjIzAKpBlruhVNYIqkGWu6FU1ggiQ0lRLkFTWDoxQUQuSVFfVEVWLjcvMzEvMjAxOC5VU0QuSAEAAADFoKQDAgAAAAgyMS44NDU0OQEGAAAABQAAAAExAQAAAAoxODc2MTg1MzE3AwAAAAMxNjACAAAABjEwMDA2MAQAAAABMAcAAAAJNy8zMS8yMDE4SjyLuqFU1gjMb8C/oVTWCBlDSVEuMC5JUV9UUl9NQUpfTUlOX1NUQUtFBQAAAAAAAAAIAAAAGChJbnZhbGlkIFRyYW5zYWN0aW9uIElkKQI/2rehVNYIxZ0fvaFU1ggiQ0lRLklRVFI1MzE5MjA1MDcuSVFfVFJfUENUX1NPVUdIVAEAAAB7drQfAgAAAAMxMDAAAj/at6FU1ghhYiS9oVTWCBtDSVEuLklRX1RFVi43LzMxLzIwMTguVVNELkgFAAAAAQAAAAgAAAAUKEludmFsaWQgSWRlbnRpZmllcikcrLm+oVTWCBysub6hVNYIOUNJUS5OWVNFOktETU4uSVFfUkVWRU5VRV9FU1QuQ1kyMDE4LjcvMzEvMjAxOC5DT04uRi5VU0QuSAEAAABTyNkGAgAAAAYzLjE5MTUBDgAAAAUAAAACMTEBAAAAATACAAAACjEwMDM0ODE3NDkDAAAABjEwMDE4MAQAAAABMgYAAAABMAcAAAADMTYwCAAAAAEwCQAAAAExCgAAAAEwCwAAAAsxMDg4NjcwNzA1MwwAAAABNw0AAAAIOC8xLzIwMTgQAAAACTcvMzEvMjAxODfWxrqhVNYI8Pqqv6FU1gg0Q0lRLkVOWFRBTTpHTFBHLklRX0VC</t>
  </si>
  <si>
    <t>SVREQS4xOTkyLjcvMzEvMjAxOC5MRlIuRi5VU0QuSAEAAACyMRoAAgAAAAstMTAxLjIxODYwOQEIAAAABQAAAAExAQAAAAoxODM4Nzc2NTI1AwAAAAMxNjACAAAABDQwNTEEAAAAATAHAAAACTcvMzEvMjAxOAgAAAAJMy8zMS8yMDE2CQAAAAEwBKKYu6FU1gi2caG/oVTWCCtDSVEuSVFUUjEzODI1MTQ2Mi5JUV9UUl9UT1RBTF9HUk9TU19UVi4uVVNEAQAAAMaMPQgCAAAAAzQ3NQEGAAAABQAAAAI1NAEAAAAGMTAyMDg4AgAAAAkxMzgyNTE0NjIDAAAACTEzODI1MTgxOQQAAAADMTYwBgAAAAVGYWxzZQI/2rehVNYIusQmvaFU1gg3Q0lRLk5BU0RBUUdTOklDUFQuSVFfUEVSSU9EREFURV9JUy4yMDAwLjcvMzEvMjAxOC5MRlIuRgEAAACCr60ABQAAAAkzLzMxLzIwMTgABKKYu6FU1ghWNqa/oVTWCDRDSVEuQVNYOjFBRC5JUV9UT1RBTF9ERUJULjIwMDAuOS8zMC8yMDE2LkxGUi5GLlVTRC5IAQAAAMWgpAMCAAAAATABCAAAAAUAAAABMQEAAAAKMTgxMTU4MjAzMQMAAAADMTYwAgAAAAQ0MTczBAAAAAEwBwAAAAk5LzMwLzIwMTYIAAAACTYvMzAvMjAxNgkAAAABMEo8i7qhVNYIzG/Av6FU1ggnQ0lRLk5BU0RBUUdTOklOU00uSVFfQkVUQV8xWVIuNy8zMS8yMDE4AQAAABp1AAACAAAAEDEuMDQ2NjI4NDA0NTg5MzUAN9bGuqFU1gibmKi/oVTWCDhDSVEuTllTRTpLRE1OLklRX1RPVEFMX0VRVUlUWS4yMDAw</t>
  </si>
  <si>
    <t>LjcvMzEvMjAxOC5MRlIuRi5VU0QuSAEAAABTyNkGAgAAAAU3LjkzMgEIAAAABQAAAAExAQAAAAoxODg3NDQ1MzU1AwAAAAMxNjACAAAABDEyNzUEAAAAATAHAAAACTcvMzEvMjAxOAgAAAAJMy8zMS8yMDE4CQAAAAEwN9bGuqFU1ghVXa2/oVTWCDtDSVEuTkFTREFRR006UFJRUi5JUV9FQklUX01BUkdJTi4yMDAwLjcvMzEvMjAxOC5MRlIuRi5VU0QuSAEAAADv7FwNAwAAAAJOTQEIAAAABQAAAAExAQAAAAoxODgwOTgxOTA3AwAAAAI1MAIAAAAENDA1MwQAAAABMAcAAAAJNy8zMS8yMDE4CAAAAAoxMi8zMS8yMDE3CQAAAAEwN9bGuqFU1gjaSLm/oVTWCENDSVEuKElOVkFMSUQgSURFTlRJRklFUikuSVFfRUJJVERBX0VTVC5DWTIwMTkuNy8zMS8yMDE4LkNPTi5GLlVTRC5IBQAAAAAAAAAIAAAAFChJbnZhbGlkIElkZW50aWZpZXIpSjyLuqFU1gjHu+2/oVTWCDBDSVEuTkFTREFRR1M6SUNQVC5JUV9MQVNUU0FMRVBSSUNFLjcvMzEvMjAxOC5VU0QBAAAAgq+tAAIAAAAFOTEuMTQAqkGWu6FU1ghWNqa/oVTWCD1DSVEuTkFTREFRR1M6SUNQVC5JUV9FQklUREFfTUFSR0lOLjIwMDAuNy8zMS8yMDE4LkxGUi5GLlVTRC5IAQAAAIKvrQACAAAACS0yMTcuMTg5MQEIAAAABQAAAAExAQAAAAoxODg4NjE1NTQwAwAAAAMxNjACAAAABDQwNDcEAAAAATAHAAAACTcvMzEvMjAxOAgAAAAJMy8zMS8yMDE4CQAAAAEw</t>
  </si>
  <si>
    <t>BKKYu6FU1ghWNqa/oVTWCDtDSVEuTkFTREFRR1M6U1ZSQS5JUV9FQklUX01BUkdJTi4yMDAwLjcvMzEvMjAxOC5MRlIuRi5VU0QuSAEAAAB1f4cDAwAAAAAAN9bGuqFU1gikv6+/oVTWCDtDSVEuTkFTREFRR006TU5PVi5JUV9FQklUX01BUkdJTi4yMDAwLjcvMzEvMjAxOC5MRlIuRi5VU0QuSAEAAAC4VI0AAwAAAAAAN9bGuqFU1ghVXa2/oVTWCD9DSVEuTkFTREFRQ006R0xNRC5JUV9ORVRfV09SS0lOR19DQVAuMTk5Mi43LzMxLzIwMTguTEZSLkYuVVNELkgBAAAAJGfXBgIAAAAGLTIuNzY4AQgAAAAFAAAAATEBAAAACjE4NDQ3NjMxODQDAAAAAzE2MAIAAAAEMTMxMQQAAAABMAcAAAAJNy8zMS8yMDE4CAAAAAkzLzMxLzIwMTYJAAAAATA31sa6oVTWCPIhsr+hVNYIFUNJUS4uSVFfVFJfVEFSR0VUTkFNRQUAAAABAAAACAAAABQoSW52YWxpZCBJZGVudGlmaWVyKapBlruhVNYIqkGWu6FU1ggqQ0lRLklRVFI0MTU2MTE4MTUuSVFfVFJfVEFSR0VUX0VCSVQuLlVTRC5IAQAAAKe7xRgCAAAABy0yOS4zMDYBBgAAAAUAAAACMzcBAAAACjE4MzA2MDcyMzUCAAAABTIxNjc1AwAAAAMxNjAEAAAAATAHAAAACDEvMS8xOTAwAj/at6FU1ggy2Rq9oVTWCDlDSVEuTkFTREFRR006Q1JCUC5JUV9UT1RBTF9SRVYuMTk5Ni43LzMxLzIwMTguTEZSLkYuVVNELkgBAAAAJG8kDwIAAAAIMi44MDg1MjMBCAAAAAUAAAAB</t>
  </si>
  <si>
    <t>MQEAAAAKMTg4ODU5MDM2MwMAAAADMTYwAgAAAAIyOAQAAAABMAcAAAAJNy8zMS8yMDE4CAAAAAkzLzMxLzIwMTcJAAAAATA31sa6oVTWCJXmtr+hVNYIKUNJUS5JUVRSNTMxOTIwNTA3LklRX1RSX0lNUExJRURfRVFfTklfTFRNAQAAAHt2tB8CAAAAAAACP9q3oVTWCIQ7Hb2hVNYIRkNJUS5OQVNEQVFHUzpJTlNNLklRX1RPVEFMX1JFVl81WVJfQU5OX0NBR1IuMjAwMC43LzMxLzIwMTguTEZSLkYuVVNELkgBAAAAGnUAAAMAAAAAADfWxrqhVNYIm5iov6FU1ghGQ0lRLk5BU0RBUUNNOlBVTE0uSVFfVE9UQUxfUkVWXzNZUl9BTk5fQ0FHUi4yMDAwLjcvMzEvMjAxOC5MRlIuRi5VU0QuSAEAAACfbJoBAgAAAAYyLjgxNTMBCAAAAAUAAAABMQEAAAAKMTg4ODExNjIyNwMAAAADMTYwAgAAAAQ0MjIwBAAAAAEwBwAAAAk3LzMxLzIwMTgIAAAACTMvMzEvMjAxOAkAAAABMEo8i7qhVNYIF9LCv6FU1gg8Q0lRLk5BU0RBUUNNOk1ER0wuSVFfR1JPU1NfTUFSR0lOLjIwMDAuNy8zMS8yMDE4LkxGUi5GLlVTRC5IAQAAAEybowgDAAAAAAAEopi7oVTWCAHUo7+hVNYINUNJUS5OQVNEQVFDTTpHTE1ELklRX0RBX0NGLjIwMDAuNy8zMS8yMDE4LkxGUi5GLlVTRC5IAQAAACRn1wYCAAAABTAuMjM4AQgAAAAFAAAAATEBAAAACjE4ODg0OTIzOTMDAAAAAzE2MAIAAAAEMjE2MAQAAAABMAcAAAAJNy8zMS8yMDE4CAAAAAkz</t>
  </si>
  <si>
    <t>LzMxLzIwMTgJAAAAATA31sa6oVTWCEeEtL+hVNYIOkNJUS5OQVNEQVFHUzpTVlJBLklRX0VBUk5JTkdfQ08uMjAwMC43LzMxLzIwMTguTEZSLkYuVVNELkgBAAAAdX+HAwIAAAAHLTUxLjY3MgEIAAAABQAAAAExAQAAAAoxODg3NzYzMDc1AwAAAAMxNjACAAAAATcEAAAAATAHAAAACTcvMzEvMjAxOAgAAAAJMy8zMS8yMDE4CQAAAAEwN9bGuqFU1gikv6+/oVTWCDRDSVEuRU5YVFBBOkdORlQuSVFfRUJJVERBLjE5OTYuNy8zMS8yMDE4LkxGUi5GLlVTRC5IAQAAACLBkwACAAAACi0zNS4zOTMyMjMBCAAAAAUAAAABMQEAAAAKMTg5MDYxOTYxMQMAAAADMTYwAgAAAAQ0MDUxBAAAAAEwBwAAAAk3LzMxLzIwMTgIAAAACjEyLzMxLzIwMTYJAAAAATA31sa6oVTWCPD6qr+hVNYIMENJUS5JUVRSNDE1NjExODE1LklRX1RSX1RBUkdFVF9FQklUREFfRVNULi5VU0QuSAEAAACnu8UYAgAAAAAAAj/at6FU1giEOx29oVTWCD1DSVEuRU5YVFBBOkdORlQuSVFfTkVUX1dPUktJTkdfQ0FQLjIwMDAuNy8zMS8yMDE4LkxGUi5GLlVTRC5IAQAAACLBkwACAAAACi0xNy4wNDAxMDYBCAAAAAUAAAABMQEAAAAKMTg5MDYxOTY0OAMAAAADMTYwAgAAAAQxMzExBAAAAAEwBwAAAAk3LzMxLzIwMTgIAAAACjEyLzMxLzIwMTcJAAAAATA31sa6oVTWCPD6qr+hVNYIMENJUS5JUVRSMjU2NjgzNjU1LklRX1RSX1RBUkdFVF9FQklU</t>
  </si>
  <si>
    <t>REFfRVNULi5VU0QuSAEAAACHrkwPAgAAAAAAAj/at6FU1gi6xCa9oVTWCDlDSVEuTkFTREFRR1M6RkdFTi5JUV9UT1RBTF9SRVYuMTk5Mi43LzMxLzIwMTguTEZSLkYuVVNELkgBAAAARG8AAAIAAAAHMTkyLjgxMgEIAAAABQAAAAExAQAAAAoxODQwOTM0NjY5AwAAAAMxNjACAAAAAjI4BAAAAAEwBwAAAAk3LzMxLzIwMTgIAAAACTMvMzEvMjAxNgkAAAABMASimLuhVNYIbw+fv6FU1ggjQ0lRLklRVFIyNjM3MDcyODkuSVFfVFJfQ0xPU0VEX0RBVEUBAAAAmdq3DwUAAAAJNi8xMS8yMDE0AAI/2rehVNYIxZ0fvaFU1ggWQ0lRLi5JUV9UUl9DTE9TRURfREFURQUAAAABAAAACAAAABQoSW52YWxpZCBJZGVudGlmaWVyKapBlruhVNYIqkGWu6FU1gg+Q0lRLihJTlZBTElEIElERU5USUZJRVIpLklRX1BFUklPRERBVEVfSVMuMjAwMC43LzMxLzIwMTguTEZSLkYFAAAAAAAAAAgAAAAUKEludmFsaWQgSWRlbnRpZmllcilKPIu6oVTWCMe77b+hVNYIIENJUS5JUVRSMTM4MjUxNDYyLklRX1RSX0VBUk5PVVRTAQAAAMaMPQgCAAAAAzE1MAEGAAAABQAAAAI1NAEAAAAGMTAxNDAzAgAAAAkxMzgyNTE0NjIDAAAACTEzODI1MTgxOQQAAAADMTYwBgAAAAVGYWxzZQI/2rehVNYIxZ0fvaFU1gg8Q0lRLkVOWFRQQTpHTkZULklRX1RPVEFMX0VRVUlUWS5DWTIwMTYuNy8zMS8yMDE4LkxGUi5GLlVTRC5IAQAAACLBkwAC</t>
  </si>
  <si>
    <t>AAAACjE1MC43NDEwNTQBCAAAAAUAAAABMQEAAAAKMTg5MDYxOTYxMQMAAAADMTYwAgAAAAQxMjc1BAAAAAEwBwAAAAk3LzMxLzIwMTgIAAAACjEyLzMxLzIwMTYJAAAAATA31sa6oVTWCPD6qr+hVNYIK0NJUS5JUVRSNTQ4NzA0ODE5LklRX1RSX0lNUExJRURfRVZfRUJJVF9GV0QBAAAAM5K0IAIAAAAAAAI/2rehVNYIYWIkvaFU1ggnQ0lRLk5BU0RBUUdTOlNWUkEuSVFfQkVUQV8yWVIuNy8zMS8yMDE4AQAAAHV/hwMCAAAAETAuNTIxMzcwMTMwNzUzODAxADfWxrqhVNYIpL+vv6FU1ghDQ0lRLk5BU0RBUUdNOk1OT1YuSVFfRUJJVERBXzVZUl9BTk5fQ0FHUi4yMDAwLjcvMzEvMjAxOC5MRlIuRi5VU0QuSAEAAAC4VI0AAwAAAAJOTQEIAAAABQAAAAExAQAAAAoxODk2NzY2MTkxAwAAAAMxNjACAAAABDQyMzUEAAAAATAHAAAACTcvMzEvMjAxOAgAAAAJNi8zMC8yMDE4CQAAAAEwN9bGuqFU1gikv6+/oVTWCDxDSVEuTkFTREFRR006TU5PVi5JUV9HUk9TU19NQVJHSU4uMjAwMC43LzMxLzIwMTguTEZSLkYuVVNELkgBAAAAuFSNAAMAAAAAADfWxrqhVNYIVV2tv6FU1gg2Q0lRLkFTWDpJTUMuSVFfVE9UQUxfRVFVSVRZLjIwMDAuNy8zMS8yMDE4LkxGUi5GLlVTRC5IAQAAAPNMdQACAAAACDMuODkzMjc1AQgAAAAFAAAAATEBAAAACjE4Nzc2NTAwOTYDAAAAAzE2MAIAAAAEMTI3NQQAAAABMAcAAAAJNy8z</t>
  </si>
  <si>
    <t>MS8yMDE4CAAAAAoxMi8zMS8yMDE3CQAAAAEwSjyLuqFU1gjMb8C/oVTWCCNDSVEuSVFUUjI3MDExMTM2OC5JUV9UUl9DTE9TRURfREFURQEAAACIkhkQBQAAAAg4LzgvMjAxNAACP9q3oVTWCBoAIr2hVNYIR0NJUS5OQVNEQVFHUzpJTlNNLklRX01JTk9SSVRZX0lOVEVSRVNUX1RPVEFMLjIwMDAuOS8zMC8yMDE2LkxGUi5GLlVTRC5IAQAAABp1AAADAAAAAAA31sa6oVTWCJuYqL+hVNYIIENJUS5JUTM2MTgzODE5LklRX0xBU1RTQUxFUFJJQ0UuAQAAAAsfKAICAAAABDIuNTQAqkGWu6FU1giqQZa7oVTWCDFDSVEuSVFUUjI1OTk4NTk2Mi5JUV9UUl9UQVJHRVRfUkVWRU5VRV9FU1QuLlVTRC5IAQAAACoSfw8CAAAAAAACP9q3oVTWCMWdH72hVNYIOUNJUS5OQVNEQVFDTTpQVUxNLklRX1RPVEFMX1JFVi4xOTkyLjcvMzEvMjAxOC5MRlIuRi5VU0QuSAEAAACfbJoBAgAAAAUxLjQ5MgEIAAAABQAAAAExAQAAAAoxODQwMjUxNzg0AwAAAAMxNjACAAAAAjI4BAAAAAEwBwAAAAk3LzMxLzIwMTgIAAAACTMvMzEvMjAxNgkAAAABMEo8i7qhVNYIF9LCv6FU1ggwQ0lRLi5JUV9FQklUREFfTUFSR0lOLjIwMDAuNy8zMS8yMDE4LkxGUi5GLlVTRC5IBQAAAAEAAAAIAAAAFChJbnZhbGlkIElkZW50aWZpZXIpHKy5vqFU1ggcrLm+oVTWCC5DSVEuTkFTREFRQ006TURHTC5JUV9NQVJLRVRDQVAuNy8zMS8yMDE4LlVT</t>
  </si>
  <si>
    <t>RC5IAQAAAEybowgCAAAACzM5MTcuNzI1Nzk5AQYAAAAFAAAAATEBAAAACjE4ODc4MTM2OTQDAAAAAzE2MAIAAAAGMTAwMDU0BAAAAAEwBwAAAAk3LzMxLzIwMTiqQZa7oVTWCAHUo7+hVNYIOENJUS5OQVNEQVFHTTpQUlFSLklRX0VCSVREQS5DWTIwMTcuNy8zMS8yMDE4LkxGUi5GLlVTRC5IAQAAAO/sXA0CAAAACi00Ny40MTExNDMBCAAAAAUAAAABMQEAAAAKMTg4MDk4MTkwNwMAAAADMTYwAgAAAAQ0MDUxBAAAAAEwBwAAAAk3LzMxLzIwMTgIAAAACjEyLzMxLzIwMTcJAAAAATA31sa6oVTWCNpIub+hVNYINUNJUS5OQVNEQVFHUzpJTlNNLklRX0NBUEVYLjIwMDAuNy8zMS8yMDE4LkxGUi5GLlVTRC5IAQAAABp1AAACAAAABi03Ljk0OQEIAAAABQAAAAExAQAAAAoxODg2MDQyMzI4AwAAAAMxNjACAAAABDIwMjEEAAAAATAHAAAACTcvMzEvMjAxOAgAAAAJMy8zMS8yMDE4CQAAAAEwN9bGuqFU1gibmKi/oVTWCDBDSVEuSVFUUjI3MDExMTM2OC5JUV9UUl9UQVJHRVRfRUJJVERBX0VTVC4uVVNELkgBAAAAiJIZEAIAAAAAAAI/2rehVNYIGgAivaFU1gg2Q0lRLk5ZU0U6S0RNTi5JUV9FQVJOSU5HX0NPLjIwMDAuNy8zMS8yMDE4LkxGUi5GLlVTRC5IAQAAAFPI2QYCAAAABy04Mi42NDgBCAAAAAUAAAABMQEAAAAKMTg4NzQ0NTM1NQMAAAADMTYwAgAAAAE3BAAAAAEwBwAAAAk3LzMxLzIwMTgIAAAACTMv</t>
  </si>
  <si>
    <t>MzEvMjAxOAkAAAABMDfWxrqhVNYIVV2tv6FU1ggpQ0lRLk5BU0RBUUdNOk1OT1YuSVFfQlVTSU5FU1NfREVTQ1JJUFRJT04BAAAAuFSNAAMAAADuB01lZGljaU5vdmEsIEluYy4sIGEgYmlvcGhhcm1hY2V1dGljYWwgY29tcGFueSwgZm9jdXNlcyBvbiBhY3F1aXJpbmcgYW5kIGRldmVsb3Bpbmcgbm92ZWwgYW5kIHNtYWxsIG1vbGVjdWxlIHRoZXJhcGV1dGljcyBmb3IgdGhlIHRyZWF0bWVudCBvZiBzZXJpb3VzIGRpc2Vhc2VzIHdpdGggdW5tZXQgbWVkaWNhbCBuZWVkcyBpbiB0aGUgVW5pdGVkIFN0YXRlcy4gVGhlIGNvbXBhbnnigJlzIHByb2R1Y3QgY2FuZGlkYXRlIGluY2x1ZGVzIE1OLTE2NiAoaWJ1ZGlsYXN0KSwgYW4gb3JhbCBhbnRpLWluZmxhbW1hdG9yeSBhbmQgbmV1cm9wcm90ZWN0aXZlIGFnZW50IGZvciB0aGUgdHJlYXRtZW50IG9mIG5ldXJvbG9naWNhbCBkaXNvcmRlcnMgY29uc2lzdGluZyBvZiBwcmltYXJ5IGFuZCBzZWNvbmRhcnkgcHJvZ3Jlc3NpdmUgbXVsdGlwbGUgc2NsZXJvc2lzOyBhbXlvdHJvcGhpYyBsYXRlcmFsIHNjbGVyb3NpczsgYW5kIHN1YnN0YW5jZSBkZXBlbmRlbmNlIGFuZCBhZGRpY3Rpb24uIEl0cyBwcm9kdWN0IHBpcGVsaW5lIGFsc28gY29tcHJpc2VzIE1OLTIyMSAoYmVkb3JhZHJpbmUpLCBhIHNlbGVjdGl2ZSAtYWRyZW5lcmdpYyByZWNlcHRvciBh</t>
  </si>
  <si>
    <t>Z29uaXN0IGZvciB0aGUgdHJlYXRtZW50IG9mIGFjdXRlIGV4YWNlcmJhdGlvbnMgb2YgYXN0aG1hOyBNTi0wMDEgKHRpcGVsdWthc3QpLCBhbiBvcmFsbHkgYmlvYXZhaWxhYmxlIHNtYWxsIG1vbGVjdWxlIGNvbXBvdW5kIHRvIHRyZWF0IGZpYnJvdGljIGRpc2Vhc2VzLCBpbmNsdWRpbmcgbm9uYWxjb2hvbGljIHN0ZWF0b2hlcGF0aXRpcywgaWRpb3BhdGhpYyBwdWxtb25hcnkgZmlicm9zaXMsIGFuZCBvdGhlciBmaWJyb3RpYyBkaXNlYXNlczsgYW5kIE1OLTAyOSAoZGVuaWJ1bGluKSwgYSB0dWJ1bGluIGJpbmRpbmcgYWdlbnQgdG8gdHJlYXQgc29saWQgdHVtb3IgY2FuY2Vycy4gVGhlIGNvbXBhbnkgd2FzIGZvdW5kZWQgaW4gMjAwMCBhbmQgaXMgaGVhZHF1YXJ0ZXJlZCBpbiBMYSBKb2xsYSwgQ2FsaWZvcm5pYS4AN9bGuqFU1gjP1zm9oVTWCD1DSVEuTkFTREFRQ006TURHTC5JUV9SRVZFTlVFX0VTVC5DWTIwMTkuNy8zMS8yMDE4LkNPTi5GLlVTRC5IAQAAAEybowgCAAAAATABDgAAAAUAAAACMTEBAAAAATACAAAACjEwMDM1OTA0NzkDAAAABjEwMDE4MAQAAAABMgYAAAABMAcAAAADMTYwCAAAAAEwCQAAAAExCgAAAAEwCwAAAAsxMDk0NTU3MzA0NAwAAAABNw0AAAAIOC8xLzIwMTgQAAAACTcvMzEvMjAxOASimLuhVNYIAdSjv6FU1ghGQ0lRLk5BU0RBUUNNOkdBTFQuSVFfVE9UQUxfUkVW</t>
  </si>
  <si>
    <t>XzJZUl9BTk5fQ0FHUi4yMDAwLjcvMzEvMjAxOC5MRlIuRi5VU0QuSAEAAADHQRAAAwAAAAAAN9bGuqFU1ghHhLS/oVTWCDxDSVEuRU5YVFBBOkdORlQuSVFfVE9UQUxfRVFVSVRZLkNZMjAxNy43LzMxLzIwMTguTEZSLkYuVVNELkgBAAAAIsGTAAIAAAAKMTI1LjE1NDg5OQEIAAAABQAAAAExAQAAAAoxODkwNjE5NjQ4AwAAAAMxNjACAAAABDEyNzUEAAAAATAHAAAACTcvMzEvMjAxOAgAAAAKMTIvMzEvMjAxNwkAAAABMDfWxrqhVNYI8Pqqv6FU1ggzQ0lRLkVOWFRBTTpHTFBHLklRX0NBUEVYLjE5OTIuNy8zMS8yMDE4LkxGUi5GLlVTRC5IAQAAALIxGgACAAAACS03LjYyMTQzNAEIAAAABQAAAAExAQAAAAoxODM4Nzc2NTI1AwAAAAMxNjACAAAABDIwMjEEAAAAATAHAAAACTcvMzEvMjAxOAgAAAAJMy8zMS8yMDE2CQAAAAEwBKKYu6FU1gi2caG/oVTWCE5DSVEuKElOVkFMSUQgSURFTlRJRklFUikuSVFfTUlOT1JJVFlfSU5URVJFU1RfVE9UQUwuMjAwMC45LzMwLzIwMTYuTEZSLkYuVVNELkgFAAAAAAAAAAgAAAAUKEludmFsaWQgSWRlbnRpZmllcilKPIu6oVTWCBYe8L+hVNYIL0NJUS5JUVRSMTcwMjI5Mzg2LklRX1RSX0lNUExJRURfRVZfRklOQUwuLlVTRC5IAQAAAIp+JQoCAAAACjU2Ni40NDczNjgBBgAAAAUAAAACNTQBAAAABjEwMjA0NQIAAAAJMTcwMjI5Mzg2AwAAAAkxNzAyMjk0MTAEAAAA</t>
  </si>
  <si>
    <t>AzE2MAYAAAAFRmFsc2UCP9q3oVTWCGFiJL2hVNYIOkNJUS5OQVNEQVFHUzpWUlRYLklRX1RPVEFMX0RFQlQuMjAwMC43LzMxLzIwMTguTEZSLkYuVVNELkgBAAAAi40AAAIAAAAHNTkyLjczNQEIAAAABQAAAAExAQAAAAoxODk3MjkzNTkwAwAAAAMxNjACAAAABDQxNzMEAAAAATAHAAAACTcvMzEvMjAxOAgAAAAJNi8zMC8yMDE4CQAAAAEwqkGWu6FU1ggMrZy/oVTWCD9DSVEuTkFTREFRR1M6SUNQVC5JUV9ORVRfV09SS0lOR19DQVAuMjAwMC43LzMxLzIwMTguTEZSLkYuVVNELkgBAAAAgq+tAAIAAAAHLTQxLjY5MwEIAAAABQAAAAExAQAAAAoxODg4NjE1NTQwAwAAAAMxNjACAAAABDEzMTEEAAAAATAHAAAACTcvMzEvMjAxOAgAAAAJMy8zMS8yMDE4CQAAAAEwBKKYu6FU1ghWNqa/oVTWCEFDSVEuQVNYOklNQy5JUV9NSU5PUklUWV9JTlRFUkVTVF9UT1RBTC4yMDAwLjcvMzEvMjAxOC5MRlIuRi5VU0QuSAEAAADzTHUAAwAAAAAAN9bGuqFU1gh3Db6/oVTWCDdDSVEuQU1FWDpBUEhCLklRX1BSRUZfRVFVSVRZLjIwMDAuOS8zMC8yMDE2LkxGUi5GLlVTRC5IAQAAACKJAAADAAAAAABKPIu6oVTWCO00xb+hVNYIF0NJUS5BU1g6SU1DLklRX0VYQ0hBTkdFAQAAAPNMdQADAAAAA0FTWAA31sa6oVTWCJw5PL2hVNYIGUNJUS5BTUVYOkFQSEIuSVFfRVhDSEFOR0UBAAAAIokAAAMAAAAEQU1FWABKPIu6oVTW</t>
  </si>
  <si>
    <t>CCtKbr2hVNYIGENJUS4uSVFfRklSU1RQUklDSU5HREFURQUAAAAAAAAACAAAABQoSW52YWxpZCBJZGVudGlmaWVyKapBlruhVNYI53YYvaFU1gg5Q0lRLk5BU0RBUUdNOkNOQVQuSVFfVE9UQUxfUkVWLjIwMDAuNy8zMS8yMDE4LkxGUi5GLlVTRC5IAQAAAGVn1gECAAAACTM4LjExNTc5NgEIAAAABQAAAAExAQAAAAoxODg2NjE3MzQwAwAAAAMxNjACAAAAAjI4BAAAAAEwBwAAAAk3LzMxLzIwMTgIAAAACTMvMzEvMjAxOAkAAAABMDfWxrqhVNYIIqu7v6FU1gg9Q0lRLk5BU0RBUUdNOkNOQVQuSVFfUkVWRU5VRV9FU1QuQ1kyMDIwLjcvMzEvMjAxOC5DT04uRi5VU0QuSAEAAABlZ9YBAgAAAAgzNC44MzMzMwEOAAAABQAAAAIxMQEAAAABMAIAAAAKMTAwMTkxMzE0NQMAAAAGMTAwMTgwBAAAAAEyBgAAAAEwBwAAAAMxNjAIAAAAATAJAAAAATEKAAAAATALAAAACzEwODY0MzM4NjI4DAAAAAE3DQAAAAg4LzEvMjAxOBAAAAAJNy8zMS8yMDE4N9bGuqFU1ggiq7u/oVTWCBpDSVEuLklRX0JFVEFfMVlSLjcvMzEvMjAxOAUAAAABAAAACAAAABQoSW52YWxpZCBJZGVudGlmaWVyKRysub6hVNYIHKy5vqFU1ggvQ0lRLklRVFI0MDIwMzQ1NjkuSVFfVFJfSU1QTElFRF9FVl9GSU5BTC4uVVNELkgBAAAAiY/2FwIAAAACNTABBgAAAAUAAAACNTQBAAAABjEwMjA0NQIAAAAJNDAyMDM0NTY5AwAAAAk0MDIwMzQ5NDAE</t>
  </si>
  <si>
    <t>AAAAAzE2MAYAAAAFRmFsc2UCP9q3oVTWCDLZGr2hVNYIO0NJUS5BTUVYOkFQSEIuSVFfTkVUX1dPUktJTkdfQ0FQLjE5OTYuNy8zMS8yMDE4LkxGUi5GLlVTRC5IAQAAACKJAAACAAAABS0xLjkyAQgAAAAFAAAAATEBAAAACjE4ODkwMTg4NDIDAAAAAzE2MAIAAAAEMTMxMQQAAAABMAcAAAAJNy8zMS8yMDE4CAAAAAkzLzMxLzIwMTcJAAAAATBKPIu6oVTWCO00xb+hVNYIPENJUS5OQVNEQVFHTTpDUkJQLklRX0VCSVREQV9FU1QuQ1kyMDE5LjcvMzEvMjAxOC5DT04uRi5VU0QuSAEAAAAkbyQPAgAAAAYtNTAuNDgBDgAAAAUAAAACMTEBAAAAATACAAAACjEwMDMxNzg1MzQDAAAABjEwMDE4NwQAAAABMgYAAAABMAcAAAADMTYwCAAAAAEwCQAAAAExCgAAAAEwCwAAAAsxMDkxNTE1Nzg1NwwAAAABNw0AAAAIOC8xLzIwMTgQAAAACTcvMzEvMjAxODfWxrqhVNYIlea2v6FU1gghQ0lRLk5BU0RBUUNNOkdBTFQuSVFfQ09NUEFOWV9OQU1FAQAAAMdBEAADAAAAG0dhbGVjdGluIFRoZXJhcGV1dGljcywgSW5jLgA31sa6oVTWCPTna72hVNYIKkNJUS5JUVRSNDAyMDM0NTY5LklRX1RSX1RBUkdFVF9FQklULi5VU0QuSAEAAACJj/YXAgAAAAAAAj/at6FU1ggaACK9oVTWCCJDSVEuSVFUUjE3MDIyOTM4Ni5JUV9UUl9UT1RBTF9DQVNIAQAAAIp+JQoCAAAAAjc1AQYAAAAFAAAAAjU0AQAAAAYxMDEwNTYCAAAACTE3</t>
  </si>
  <si>
    <t>MDIyOTM4NgMAAAAJMTcwMjI5NDEwBAAAAAMxNjAGAAAABUZhbHNlAj/at6FU1ghhYiS9oVTWCEdDSVEuTkFTREFRR1M6VlJUWC5JUV9NSU5PUklUWV9JTlRFUkVTVF9UT1RBTC4yMDAwLjkvMzAvMjAxNi5MRlIuRi5VU0QuSAEAAACLjQAAAgAAAAcxODcuNDkxAQgAAAAFAAAAATEBAAAACjE4MDEzMDYwNzMDAAAAAzE2MAIAAAAEMTMxMgQAAAABMAcAAAAJOS8zMC8yMDE2CAAAAAk2LzMwLzIwMTYJAAAAATAEopi7oVTWCAytnL+hVNYIPENJUS5OQVNEQVFHTTpDUkJQLklRX0dST1NTX01BUkdJTi4yMDAwLjcvMzEvMjAxOC5MRlIuRi5VU0QuSAEAAAAkbyQPAwAAAAJOTQEIAAAABQAAAAExAQAAAAoxODg4NTkwMzgxAwAAAAMxNjACAAAABDQwNzQEAAAAATAHAAAACTcvMzEvMjAxOAgAAAAJMy8zMS8yMDE4CQAAAAEwN9bGuqFU1giV5ra/oVTWCD1DSVEuTkFTREFRR006TU5PVi5JUV9SRVZFTlVFX0VTVC5DWTIwMTguNy8zMS8yMDE4LkNPTi5GLlVTRC5IAQAAALhUjQACAAAAATABDgAAAAUAAAACMTEBAAAAATACAAAACjEwMDA1OTM2MTQDAAAABjEwMDE4MAQAAAABMgYAAAABMAcAAAADMTYwCAAAAAEwCQAAAAExCgAAAAEwCwAAAAsxMTAwNjI5MTI2NAwAAAABNw0AAAAIOC8xLzIwMTgQAAAACTcvMzEvMjAxODfWxrqhVNYIVV2tv6FU1ggxQ0lRLkFNRVg6QVBIQi5JUV9DQVBFWC4xOTk2LjcvMzEvMjAx</t>
  </si>
  <si>
    <t>OC5MRlIuRi5VU0QuSAEAAAAiiQAAAgAAAAYtMC4xNzIBCAAAAAUAAAABMQEAAAAKMTg4OTAxODg0MgMAAAADMTYwAgAAAAQyMDIxBAAAAAEwBwAAAAk3LzMxLzIwMTgIAAAACTMvMzEvMjAxNwkAAAABMEo8i7qhVNYI7TTFv6FU1gg7Q0lRLk5BU0RBUUNNOkdMTUQuSVFfUFJFRl9FUVVJVFkuMjAwMC45LzMwLzIwMTYuTEZSLkYuVVNELkgBAAAAJGfXBgMAAAAAADfWxrqhVNYI8iGyv6FU1gg1Q0lRLk5BU0RBUUNNOlBVTE0uSVFfQ0FQRVguMTk5Mi43LzMxLzIwMTguTEZSLkYuVVNELkgBAAAAn2yaAQIAAAAFLTAuMzIBCAAAAAUAAAABMQEAAAAKMTg0MDI1MTc4NAMAAAADMTYwAgAAAAQyMDIxBAAAAAEwBwAAAAk3LzMxLzIwMTgIAAAACTMvMzEvMjAxNgkAAAABMEo8i7qhVNYIF9LCv6FU1gg5Q0lRLk5ZU0U6S0RNTi5JUV9SRVZFTlVFX0VTVC5DWTIwMTkuNy8zMS8yMDE4LkNPTi5GLlVTRC5IAQAAAFPI2QYCAAAABDQuOTUBDgAAAAUAAAACMTEBAAAAATACAAAACjEwMDM0ODE4NzcDAAAABjEwMDE4MAQAAAABMgYAAAABMAcAAAADMTYwCAAAAAEwCQAAAAExCgAAAAEwCwAAAAsxMDg4NjcwNTIzMQwAAAABNw0AAAAIOC8xLzIwMTgQAAAACTcvMzEvMjAxODfWxrqhVNYI8Pqqv6FU1gg+Q0lRLk5BU0RBUUNNOk1ER0wuSVFfQ0FTSF9TVF9JTlZFU1QuMjAwMC45LzMwLzIwMTYuTEZSLkYuVVNELkgBAAAA</t>
  </si>
  <si>
    <t>TJujCAIAAAAIMC42MTc5MDcBCAAAAAUAAAABMQEAAAAKMTgwODQ2OTQ2NgMAAAADMTYwAgAAAAQxMDAyBAAAAAEwBwAAAAk5LzMwLzIwMTYIAAAACTMvMzEvMjAxNgkAAAABMASimLuhVNYIAdSjv6FU1ggsQ0lRLk5BU0RBUUdNOkNSQlAuSVFfTEFTVFNBTEVQUklDRS45LzMwLzIwMTYBAAAAJG8kDwIAAAAENi43OQA31sa6oVTWCJXmtr+hVNYINUNJUS5BU1g6MUFELklRX1BSRUZfRVFVSVRZLjIwMDAuOS8zMC8yMDE2LkxGUi5GLlVTRC5IAQAAAMWgpAMCAAAACDIuMjM0ODg1AQgAAAAFAAAAATEBAAAACjE4MTE1ODIwMzEDAAAAAzE2MAIAAAAEMTAwNQQAAAABMAcAAAAJOS8zMC8yMDE2CAAAAAk2LzMwLzIwMTYJAAAAATBKPIu6oVTWCMxvwL+hVNYIPENJUS5OQVNEQVFHUzpWUlRYLklRX1RPVEFMX0VRVUlUWS4yMDAwLjcvMzEvMjAxOC5MRlIuRi5VU0QuSAEAAACLjQAAAgAAAAgyNzE0Ljg4MwEIAAAABQAAAAExAQAAAAoxODk3MjkzNTkwAwAAAAMxNjACAAAABDEyNzUEAAAAATAHAAAACTcvMzEvMjAxOAgAAAAJNi8zMC8yMDE4CQAAAAEwBKKYu6FU1ggMrZy/oVTWCCtDSVEuSVFUUjQyODEwMTAzNC5JUV9UUl9JTVBMSUVEX0VWX0VCSVRfRldEAQAAAKpNhBkCAAAAAAACP9q3oVTWCIQ7Hb2hVNYIO0NJUS5OQVNEQVFDTTpQVUxNLklRX0VCSVRfTUFSR0lOLjIwMDAuNy8zMS8yMDE4LkxGUi5GLlVT</t>
  </si>
  <si>
    <t>RC5IAQAAAJ9smgEDAAAAAk5NAQgAAAAFAAAAATEBAAAACjE4ODgxMTYyMjcDAAAAAzE2MAIAAAAENDA1MwQAAAABMAcAAAAJNy8zMS8yMDE4CAAAAAkzLzMxLzIwMTgJAAAAATBKPIu6oVTWCBfSwr+hVNYIPENJUS5OQVNEQVFDTTpNREdMLklRX0VCSVREQV9FU1QuQ1kyMDIwLjcvMzEvMjAxOC5DT04uRi5VU0QuSAEAAABMm6MIAgAAAAgtMTIxLjIxMwEOAAAABQAAAAIxMQEAAAABMAIAAAAKMTAwMzU5MDQ4NAMAAAAGMTAwMTg3BAAAAAEyBgAAAAEwBwAAAAMxNjAIAAAAATAJAAAAATEKAAAAATALAAAACzEwOTA2MjgwNDE4DAAAAAE3DQAAAAg4LzEvMjAxOBAAAAAJNy8zMS8yMDE4BKKYu6FU1ggB1KO/oVTWCD5DSVEuTkFTREFRQ006R0FMVC5JUV9DQVNIX1NUX0lOVkVTVC4yMDAwLjcvMzEvMjAxOC5MRlIuRi5VU0QuSAEAAADHQRAAAgAAAAUzLjk4OAEIAAAABQAAAAExAQAAAAoxODg4MjQyMzk2AwAAAAMxNjACAAAABDEwMDIEAAAAATAHAAAACTcvMzEvMjAxOAgAAAAJMy8zMS8yMDE4CQAAAAEwN9bGuqFU1ghHhLS/oVTWCD5DSVEuTkFTREFRR006TU5PVi5JUV9DQVNIX1NUX0lOVkVTVC4yMDAwLjkvMzAvMjAxNi5MRlIuRi5VU0QuSAEAAAC4VI0AAgAAAAkyNi41NjU0MjMBCAAAAAUAAAABMQEAAAAKMTgwMDM4MDA0MAMAAAADMTYwAgAAAAQxMDAyBAAAAAEwBwAAAAk5LzMwLzIwMTYIAAAACTYv</t>
  </si>
  <si>
    <t>MzAvMjAxNgkAAAABMDfWxrqhVNYIpL+vv6FU1gg8Q0lRLk5BU0RBUUdNOkNSQlAuSVFfVE9UQUxfRVFVSVRZLjE5OTYuNy8zMS8yMDE4LkxGUi5GLlVTRC5IAQAAACRvJA8CAAAACTQzLjU4NjA1NwEIAAAABQAAAAExAQAAAAoxODg4NTkwMzYzAwAAAAMxNjACAAAABDEyNzUEAAAAATAHAAAACTcvMzEvMjAxOAgAAAAJMy8zMS8yMDE3CQAAAAEwN9bGuqFU1giV5ra/oVTWCD1DSVEuTkFTREFRQ006TUdFTi5JUV9FQklUREFfTUFSR0lOLjIwMDAuNy8zMS8yMDE4LkxGUi5GLlVTRC5IAQAAAG/irgICAAAACS0yODcuMTgzMQEIAAAABQAAAAExAQAAAAoxODg3Njc2OTM1AwAAAAMxNjACAAAABDQwNDcEAAAAATAHAAAACTcvMzEvMjAxOAgAAAAJMy8zMS8yMDE4CQAAAAEwN9bGuqFU1ggiq7u/oVTWCCxDSVEuSVFUUjUzMTkyMDUwNy5JUV9UUl9UT1RBTF9HUk9TU19UVi5VU0QuSAUAAAAAAAAACAAAABooSW52YWxpZCBDdXJyZW5jeSBSZXF1ZXN0KQI/2rehVNYIYWIkvaFU1gg5Q0lRLk5BU0RBUUdNOlBSUVIuSVFfVE9UQUxfUkVWLjIwMDAuNy8zMS8yMDE4LkxGUi5GLlVTRC5IAQAAAO/sXA0CAAAACDEuMDQ0NjY5AQgAAAAFAAAAATEBAAAACjE4ODA5ODE5MDcDAAAAAzE2MAIAAAACMjgEAAAAATAHAAAACTcvMzEvMjAxOAgAAAAKMTIvMzEvMjAxNwkAAAABMDfWxrqhVNYIlea2v6FU1gg4Q0lRLk5BU0RB</t>
  </si>
  <si>
    <t>UUdTOlZSVFguSVFfRUJJVERBLkNZMjAxNi43LzMxLzIwMTguTEZSLkYuVVNELkgBAAAAi40AAAIAAAAGNzIuNTk2AQgAAAAFAAAAATEBAAAACjE4NzQ1MzEzNTYDAAAAAzE2MAIAAAAENDA1MQQAAAABMAcAAAAJNy8zMS8yMDE4CAAAAAoxMi8zMS8yMDE2CQAAAAEwBKKYu6FU1ggMrZy/oVTWCDxDSVEuRU5YVEFNOkdMUEcuSVFfVE9UQUxfRVFVSVRZLkNZMjAxNy43LzMxLzIwMTguTEZSLkYuVVNELkgBAAAAsjEaAAIAAAALMTIxNS4xNTczMDEBCAAAAAUAAAABMQEAAAAKMTg3OTgxODcwNAMAAAADMTYwAgAAAAQxMjc1BAAAAAEwBwAAAAk3LzMxLzIwMTgIAAAACjEyLzMxLzIwMTcJAAAAATAEopi7oVTWCLZxob+hVNYINkNJUS5BU1g6MUFELklRX0VBUk5JTkdfQ08uQ1kyMDE3LjcvMzEvMjAxOC5MRlIuRi5VU0QuSAEAAADFoKQDAgAAAAktMy4xMDYwNjkBCAAAAAUAAAABMQEAAAAKMTg3NjE4NTc5MQMAAAADMTYwAgAAAAE3BAAAAAEwBwAAAAk3LzMxLzIwMTgIAAAACjEyLzMxLzIwMTcJAAAAATBKPIu6oVTWCMxvwL+hVNYIIkNJUS5JUVRSNDAyMDM0NTY5LklRX1RSX1RBUkdFVE5BTUUBAAAAiY/2FwMAAAAYQWthcm5hIFRoZXJhcGV1dGljcyBMdGQuAAI/2rehVNYIhDsdvaFU1gglQ0lRLklRVFI0MTU2MTE4MTUuSVFfUFJJTUFSWV9JTkRVU1RSWQEAAAAZWR4AAwAAAA1CaW90ZWNobm9sb2d5AAI/</t>
  </si>
  <si>
    <t>2rehVNYIGgAivaFU1gg+Q0lRLk5BU0RBUUdTOklOU00uSVFfVE9UQUxfRVFVSVRZLkNZMjAxNi43LzMxLzIwMTguTEZSLkYuVVNELkgBAAAAGnUAAAIAAAAHMTU0LjQ4MwEIAAAABQAAAAExAQAAAAoxODc2MDQ0OTQ4AwAAAAMxNjACAAAABDEyNzUEAAAAATAHAAAACTcvMzEvMjAxOAgAAAAKMTIvMzEvMjAxNgkAAAABMDfWxrqhVNYIm5iov6FU1ggxQ0lRLklRVFIxMTcyOTE0NjUuSVFfVFJfVEFSR0VUX1JFVkVOVUVfRVNULi5VU0QuSAEAAADJuf0GAgAAAAAAAj/at6FU1giEOx29oVTWCENDSVEuTkFTREFRR006Q1JCUC5JUV9FQklUREFfNVlSX0FOTl9DQUdSLjIwMDAuNy8zMS8yMDE4LkxGUi5GLlVTRC5IAQAAACRvJA8DAAAAAAA31sa6oVTWCJXmtr+hVNYIJENJUS5OQVNEQVFHUzpJQ1BULklRX0VGRkVDVF9UQVhfUkFURQEAAACCr60AAwAAAAAABKKYu6FU1ghWNqa/oVTWCEZDSVEuTkFTREFRR006TU5PVi5JUV9UT1RBTF9SRVZfM1lSX0FOTl9DQUdSLjIwMDAuNy8zMS8yMDE4LkxGUi5GLlVTRC5IAQAAALhUjQADAAAAAAA31sa6oVTWCKS/r7+hVNYIJUNJUS5JUVRSNTMxOTIwNTA3LklRX1RSX01BSl9NSU5fU1RBS0UBAAAAe3a0HwMAAAAITWFqb3JpdHkAAj/at6FU1ggaACK9oVTWCC5DSVEuSVFUUjMxMzI1MTg3Ny5JUV9UUl9UQVJHRVRfU1RPQ0tQUkVNSVVNXzFNAQAAACXYqxICAAAAAAAC</t>
  </si>
  <si>
    <t>P9q3oVTWCBoAIr2hVNYIJENJUS5OQVNEQVFHTTpDUkJQLklRX0VGRkVDVF9UQVhfUkFURQEAAAAkbyQPAwAAAAAAN9bGuqFU1giV5ra/oVTWCD1DSVEuRU5YVEFNOkdMUEcuSVFfTkVUX1dPUktJTkdfQ0FQLjE5OTIuNy8zMS8yMDE4LkxGUi5GLlVTRC5IAQAAALIxGgACAAAACi04NS44MTk3MTQBCAAAAAUAAAABMQEAAAAKMTgzODc3NjUyNQMAAAADMTYwAgAAAAQxMzExBAAAAAEwBwAAAAk3LzMxLzIwMTgIAAAACTMvMzEvMjAxNgkAAAABMASimLuhVNYItnGhv6FU1ggqQ0lRLklRVFIyNTk5ODU5NjIuSVFfVFJfVEFSR0VUX0VCSVQuLlVTRC5IAQAAACoSfw8CAAAACS0wLjQ3NjE2OQEGAAAABQAAAAIzNwEAAAAKMTY4NTk5NzMyMwIAAAAFMjE2NzUDAAAAAzE2MAQAAAABMAcAAAAIMS8xLzE5MDACP9q3oVTWCIQ7Hb2hVNYIJENJUS5OQVNEQVFDTTpHQUxULklRX0VGRkVDVF9UQVhfUkFURQEAAADHQRAAAwAAAAAAN9bGuqFU1ghHhLS/oVTWCDZDSVEuTkFTREFRQ006R0FMVC5JUV9FQklUREEuMTk5Ni43LzMxLzIwMTguTEZSLkYuVVNELkgBAAAAx0EQAAIAAAAHLTIwLjQ4NAEIAAAABQAAAAExAQAAAAoxODg4MjQyMzg3AwAAAAMxNjACAAAABDQwNTEEAAAAATAHAAAACTcvMzEvMjAxOAgAAAAJMy8zMS8yMDE3CQAAAAEwN9bGuqFU1ghHhLS/oVTWCB5DSVEuQVNYOklNQy5JUV9FRkZFQ1RfVEFYX1JB</t>
  </si>
  <si>
    <t>VEUBAAAA80x1AAMAAAAAAEo8i7qhVNYIzG/Av6FU1gggQ0lRLklRVFIyNTM4NzcyMDMuSVFfVFJfRUFSTk9VVFMBAAAA09shDwIAAAAAAAI/2rehVNYIusQmvaFU1ggwQ0lRLklRVFI0MDE5Nzk2ODkuSVFfVFJfVEFSR0VUX0VCSVREQV9FU1QuLlVTRC5IAQAAACm59RcCAAAAAAACP9q3oVTWCIQ7Hb2hVNYIOkNJUS5OQVNEQVFHTTpDUkJQLklRX0VBUk5JTkdfQ08uMjAwMC43LzMxLzIwMTguTEZSLkYuVVNELkgBAAAAJG8kDwIAAAAKLTM2LjY1MTU1OAEIAAAABQAAAAExAQAAAAoxODg4NTkwMzgxAwAAAAMxNjACAAAAATcEAAAAATAHAAAACTcvMzEvMjAxOAgAAAAJMy8zMS8yMDE4CQAAAAEwN9bGuqFU1giV5ra/oVTWCD9DSVEuTkFTREFRQ006TUdFTi5JUV9ORVRfV09SS0lOR19DQVAuMTk5Mi43LzMxLzIwMTguTEZSLkYuVVNELkgBAAAAb+KuAgIAAAAGLTEuNzE1AQgAAAAFAAAAATEBAAAACjE4MzQ3MTcxMzkDAAAAAzE2MAIAAAAEMTMxMQQAAAABMAcAAAAJNy8zMS8yMDE4CAAAAAoxMi8zMS8yMDE1CQAAAAEwN9bGuqFU1ggiq7u/oVTWCD5DSVEuTkFTREFRQ006R0xNRC5JUV9UT1RBTF9FUVVJVFkuQ1kyMDE3LjcvMzEvMjAxOC5MRlIuRi5VU0QuSAEAAAAkZ9cGAgAAAAYxNS43OTUBCAAAAAUAAAABMQEAAAAKMTg3ODA4ODU2NAMAAAADMTYwAgAAAAQxMjc1BAAAAAEwBwAAAAk3LzMxLzIwMTgI</t>
  </si>
  <si>
    <t>AAAACjEyLzMxLzIwMTcJAAAAATA31sa6oVTWCPIhsr+hVNYIO0NJUS5OQVNEQVFHTTpDTkFULklRX1RPVEFMX1JFVi5DWTIwMTYuNy8zMS8yMDE4LkxGUi5GLlVTRC5IAQAAAGVn1gECAAAACDAuNzk5MDQ2AQgAAAAFAAAAATEBAAAACjE4Nzc2MTQxODADAAAAAzE2MAIAAAACMjgEAAAAATAHAAAACTcvMzEvMjAxOAgAAAAKMTIvMzEvMjAxNgkAAAABMDfWxrqhVNYIIqu7v6FU1gg2Q0lRLkFNRVg6QVBIQi5JUV9FQVJOSU5HX0NPLjE5OTIuNy8zMS8yMDE4LkxGUi5GLlVTRC5IAQAAACKJAAACAAAABjEwLjg2NQEIAAAABQAAAAExAQAAAAoxODQyMjgyNzc2AwAAAAMxNjACAAAAATcEAAAAATAHAAAACTcvMzEvMjAxOAgAAAAJMy8zMS8yMDE2CQAAAAEwSjyLuqFU1gjtNMW/oVTWCC9DSVEuLklRX0VCSVREQV9FU1QuQ1kyMDIwLjcvMzEvMjAxOC5DT04uRi5VU0QuSAUAAAABAAAACAAAABQoSW52YWxpZCBJZGVudGlmaWVyKRysub6hVNYIHKy5vqFU1gglQ0lRLk5BU0RBUUNNOkdMTUQuSVFfRklSU1RQUklDSU5HREFURQEAAAAkZ9cGBQAAAAkzLzE0LzIwMTQAN9bGuqFU1gjJEFS9oVTWCCVDSVEuSVFUUjI3MDc4OTU4NC5JUV9UUl9NQUpfTUlOX1NUQUtFAQAAANDrIxADAAAACE1ham9yaXR5AAI/2rehVNYIGgAivaFU1gg4Q0lRLk5BU0RBUUdTOklDUFQuSVFfRUJJVERBLkNZMjAxNi43LzMxLzIwMTgu</t>
  </si>
  <si>
    <t>TEZSLkYuVVNELkgBAAAAgq+tAAIAAAAILTM1My43MDcBCAAAAAUAAAABMQEAAAAKMTg3NzAxMTQ2MAMAAAADMTYwAgAAAAQ0MDUxBAAAAAEwBwAAAAk3LzMxLzIwMTgIAAAACjEyLzMxLzIwMTYJAAAAATAEopi7oVTWCFY2pr+hVNYII0NJUS5JUVRSMjcwNzg5NTg0LklRX1RSX0NMT1NFRF9EQVRFAQAAANDrIxAFAAAACTkvMjkvMjAxNAACP9q3oVTWCLrEJr2hVNYIIUNJUS5BU1g6SU1DLklRX1BFUklPRERBVEVfSVMuMTAwMAEAAADzTHUABQAAAAk2LzMwLzIwMTgAN9bGuqFU1gh3Db6/oVTWCDlDSVEuTkFTREFRR006Q1JCUC5JUV9UT1RBTF9SRVYuMTk5Mi43LzMxLzIwMTguTEZSLkYuVVNELkgBAAAAJG8kDwIAAAAHMS4wNDQ5OAEIAAAABQAAAAExAQAAAAoxODQwODQ2Mzk1AwAAAAMxNjACAAAAAjI4BAAAAAEwBwAAAAk3LzMxLzIwMTgIAAAACTMvMzEvMjAxNgkAAAABMDfWxrqhVNYIlea2v6FU1ggnQ0lRLk5BU0RBUUNNOkdBTFQuSVFfQkVUQV81WVIuNy8zMS8yMDE4AQAAAMdBEAACAAAAEDIuMjk4MjAyNjgwMTc1NDcAN9bGuqFU1ghHhLS/oVTWCD5DSVEuTkFTREFRR1M6RkdFTi5JUV9UT1RBTF9FUVVJVFkuQ1kyMDE2LjcvMzEvMjAxOC5MRlIuRi5VU0QuSAEAAABEbwAAAgAAAAcxNzUuMTA5AQgAAAAFAAAAATEBAAAACjE4NzYxMzQ0NjkDAAAAAzE2MAIAAAAEMTI3NQQAAAABMAcAAAAJNy8z</t>
  </si>
  <si>
    <t>MS8yMDE4CAAAAAoxMi8zMS8yMDE2CQAAAAEwBKKYu6FU1ghvD5+/oVTWCCNDSVEuSVFUUjExNzI5MTQ2NS5JUV9UUl9UT1RBTF9TVE9DSwEAAADJuf0GAgAAAAAAAj/at6FU1ghhYiS9oVTWCDxDSVEuTkFTREFRR1M6SUNQVC5JUV9UT1RBTF9FUVVJVFkuMjAwMC43LzMxLzIwMTguTEZSLkYuVVNELkgBAAAAgq+tAAIAAAAHLTUyLjI3NQEIAAAABQAAAAExAQAAAAoxODg4NjE1NTQwAwAAAAMxNjACAAAABDEyNzUEAAAAATAHAAAACTcvMzEvMjAxOAgAAAAJMy8zMS8yMDE4CQAAAAEwBKKYu6FU1ghWNqa/oVTWCBtDSVEuRU5YVFBBOkdORlQuSVFfRVhDSEFOR0UBAAAAIsGTAAMAAAAGRU5YVFBBADfWxrqhVNYIAScpvaFU1ggwQ0lRLk5BU0RBUUdNOk1OT1YuSVFfTEFTVFNBTEVQUklDRS43LzMxLzIwMTguVVNEAQAAALhUjQACAAAABDkuNDYAN9bGuqFU1ghVXa2/oVTWCDVDSVEuKElOVkFMSUQgSURFTlRJRklFUikuSVFfTUFSS0VUQ0FQLjkvMzAvMjAxNi5VU0QuSAUAAAAAAAAACAAAABQoSW52YWxpZCBJZGVudGlmaWVyKUo8i7qhVNYIFh7wv6FU1gglQ0lRLklRVFI0MjgxMDEwMzQuSVFfVFJfTUFKX01JTl9TVEFLRQEAAACqTYQZAwAAAAhNYWpvcml0eQACP9q3oVTWCIQ7Hb2hVNYILkNJUS5JUVRSMTcwMjI5Mzg2LklRX1RSX1RBUkdFVF9TVE9DS1BSRU1JVU1fMU0BAAAAin4lCgIAAAAAAAI/2reh</t>
  </si>
  <si>
    <t>VNYIYWIkvaFU1ggeQ0lRLklRMzYxODM4NDMuSVFfQ09NUEFOWV9OQU1FAQAAACMfKAIDAAAAMlVuaXRlZCBTdGF0ZXMgVHJlYXN1cnkgQ29uc3RhbnQgTWF0dXJpdHkgLSAzMCBZZWFyAAI/2rehVNYImOlHuKFU1ggsQ0lRLklRVFIyNTM4NzcyMDMuSVFfVFJfVE9UQUxfR1JPU1NfVFYuVVNELkgFAAAAAAAAAAgAAAAaKEludmFsaWQgQ3VycmVuY3kgUmVxdWVzdCkCP9q3oVTWCMWdH72hVNYIMkNJUS5BU1g6SU1DLklRX0VCSVREQS5DWTIwMTcuNy8zMS8yMDE4LkxGUi5GLlVTRC5IAQAAAPNMdQACAAAACS01LjgyMDEzNgEIAAAABQAAAAExAQAAAAoxODc3NjUwMDk2AwAAAAMxNjACAAAABDQwNTEEAAAAATAHAAAACTcvMzEvMjAxOAgAAAAKMTIvMzEvMjAxNwkAAAABMDfWxrqhVNYIdw2+v6FU1ghAQ0lRLihJTlZBTElEIElERU5USUZJRVIpLklRX1RPVEFMX1JFVi4yMDAwLjcvMzEvMjAxOC5MRlIuRi5VU0QuSAUAAAAAAAAACAAAABQoSW52YWxpZCBJZGVudGlmaWVyKUo8i7qhVNYIx7vtv6FU1gggQ0lRLklRVFI0MDE5Nzk2ODkuSVFfVFJfRUFSTk9VVFMBAAAAKbn1FwIAAAAKOTM4LjA1MDE1MwEGAAAABQAAAAI1NAEAAAAGMTAxNDAzAgAAAAk0MDE5Nzk2ODkDAAAACTQwMTk4MDU5NwQAAAADMTYwBgAAAAVGYWxzZQI/2rehVNYIhDsdvaFU1ggoQ0lRLklRMjY2ODY0Mi5JUV9MQVNUU0FMRVBSSUNF</t>
  </si>
  <si>
    <t>LjcvMzEvMjAxOAEAAABiuCgAAgAAAAQ0Ljc5AAI/2rehVNYIhDsdvaFU1ggwQ0lRLi5JUV9SRVZFTlVFX0VTVC5DWTIwMjAuNy8zMS8yMDE4LkNPTi5GLlVTRC5IBQAAAAEAAAAIAAAAFChJbnZhbGlkIElkZW50aWZpZXIpHKy5vqFU1ggcrLm+oVTWCDpDSVEuRU5YVFBBOkdORlQuSVFfRUFSTklOR19DTy5DWTIwMTcuNy8zMS8yMDE4LkxGUi5GLlVTRC5IAQAAACLBkwACAAAACi03MC4zNjk4MzcBCAAAAAUAAAABMQEAAAAKMTg5MDYxOTY0OAMAAAADMTYwAgAAAAE3BAAAAAEwBwAAAAk3LzMxLzIwMTgIAAAACjEyLzMxLzIwMTcJAAAAATA31sa6oVTWCPD6qr+hVNYIRkNJUS5OQVNEQVFDTTpHTE1ELklRX1RPVEFMX1JFVl8zWVJfQU5OX0NBR1IuMjAwMC43LzMxLzIwMTguTEZSLkYuVVNELkgBAAAAJGfXBgMAAAAAADfWxrqhVNYIR4S0v6FU1ghDQ0lRLk5BU0RBUUdTOlNWUkEuSVFfRUJJVERBXzNZUl9BTk5fQ0FHUi4yMDAwLjcvMzEvMjAxOC5MRlIuRi5VU0QuSAEAAAB1f4cDAwAAAAAAN9bGuqFU1gjyIbK/oVTWCDtDSVEuTkFTREFRR006Q05BVC5JUV9UT1RBTF9SRVYuQ1kyMDE3LjcvMzEvMjAxOC5MRlIuRi5VU0QuSAEAAABlZ9YBAgAAAAkzNS4zNzY3OTYBCAAAAAUAAAABMQEAAAAKMTg3NzYxNDE0NAMAAAADMTYwAgAAAAIyOAQAAAABMAcAAAAJNy8zMS8yMDE4CAAAAAoxMi8zMS8yMDE3CQAA</t>
  </si>
  <si>
    <t>AAEwN9bGuqFU1ggiq7u/oVTWCD9DSVEuTkFTREFRR1M6VlJUWC5JUV9ORVRfV09SS0lOR19DQVAuMjAwMC43LzMxLzIwMTguTEZSLkYuVVNELkgBAAAAi40AAAIAAAAILTI3Mi41NzIBCAAAAAUAAAABMQEAAAAKMTg5NzI5MzU5MAMAAAADMTYwAgAAAAQxMzExBAAAAAEwBwAAAAk3LzMxLzIwMTgIAAAACTYvMzAvMjAxOAkAAAABMASimLuhVNYIDK2cv6FU1gg7Q0lRLkFNRVg6QVBIQi5JUV9ORVRfV09SS0lOR19DQVAuMTk5Mi43LzMxLzIwMTguTEZSLkYuVVNELkgBAAAAIokAAAIAAAAGLTIuMDcxAQgAAAAFAAAAATEBAAAACjE4NDIyODI3NzYDAAAAAzE2MAIAAAAEMTMxMQQAAAABMAcAAAAJNy8zMS8yMDE4CAAAAAkzLzMxLzIwMTYJAAAAATBKPIu6oVTWCO00xb+hVNYINUNJUS5OQVNEQVFHUzpTVlJBLklRX0NBUEVYLjE5OTYuNy8zMS8yMDE4LkxGUi5GLlVTRC5IAQAAAHV/hwMCAAAABi0wLjA2NAEIAAAABQAAAAExAQAAAAoxODg3NzYzMDc0AwAAAAMxNjACAAAABDIwMjEEAAAAATAHAAAACTcvMzEvMjAxOAgAAAAJMy8zMS8yMDE3CQAAAAEwN9bGuqFU1gikv6+/oVTWCDFDSVEuLklRX0NBU0hfU1RfSU5WRVNULjIwMDAuOS8zMC8yMDE2LkxGUi5GLlVTRC5IBQAAAAEAAAAIAAAAFChJbnZhbGlkIElkZW50aWZpZXIpHKy5vqFU1ggcrLm+oVTWCCVDSVEuRU5YVEFNOkdMUEcuSVFfQkVUQV8yWVIu</t>
  </si>
  <si>
    <t>Ny8zMS8yMDE4AQAAALIxGgACAAAADzEuMDMwNzY1MDcyMzA2NgAEopi7oVTWCLZxob+hVNYIQ0NJUS5OQVNEQVFDTTpNREdMLklRX0VCSVREQV8zWVJfQU5OX0NBR1IuMjAwMC43LzMxLzIwMTguTEZSLkYuVVNELkgBAAAATJujCAMAAAAAAASimLuhVNYIAdSjv6FU1gg8Q0lRLk5BU0RBUUNNOk1HRU4uSVFfRUFSTklOR19DTy5DWTIwMTYuNy8zMS8yMDE4LkxGUi5GLlVTRC5IAQAAAG/irgICAAAABy0xNy4yNzQBCAAAAAUAAAABMQEAAAAKMTg3ODU2NDA0MQMAAAADMTYwAgAAAAE3BAAAAAEwBwAAAAk3LzMxLzIwMTgIAAAACjEyLzMxLzIwMTYJAAAAATA31sa6oVTWCCKru7+hVNYIMENJUS5JUVRSMjUzODc3MjAzLklRX1RSX1RBUkdFVF9FQklUREFfRVNULi5VU0QuSAEAAADT2yEPAgAAAAAAAj/at6FU1ghhYiS9oVTWCDVDSVEuTkFTREFRQ006TURHTC5JUV9DQVBFWC4xOTk2LjcvMzEvMjAxOC5MRlIuRi5VU0QuSAEAAABMm6MIAgAAAAYtMC4wMDUBCAAAAAUAAAABMQEAAAAKMTg4NzgxNDA5MgMAAAADMTYwAgAAAAQyMDIxBAAAAAEwBwAAAAk3LzMxLzIwMTgIAAAACTMvMzEvMjAxNwkAAAABMASimLuhVNYIAdSjv6FU1ggiQ0lRLklRVFIxMzgyNTE0NjIuSVFfVFJfVEFSR0VUTkFNRQEAAADGjD0IAwAAABtBbWlyYSBQaGFybWFjZXV0aWNhbHMsIEluYy4AAj/at6FU1ghhYiS9oVTWCCJDSVEuSVFU</t>
  </si>
  <si>
    <t>UjM0NzU5MTU5MS5JUV9UUl9UT1RBTF9DQVNIAQAAAKfTtxQCAAAAAzUwMAEGAAAABQAAAAI1NAEAAAAGMTAxMDU2AgAAAAkzNDc1OTE1OTEDAAAACTM0NzU5MjgxNQQAAAADMTYwBgAAAAVGYWxzZQI/2rehVNYIGgAivaFU1ggnQ0lRLk5BU0RBUUdNOkNSQlAuSVFfQkVUQV8xWVIuNy8zMS8yMDE4AQAAACRvJA8CAAAAEDIuMTI1NjQ1OTE1NjcxOTUAN9bGuqFU1giV5ra/oVTWCCJDSVEuSVFUUjI1OTk4NTk2Mi5JUV9UUl9UQVJHRVROQU1FAQAAACoSfw8DAAAAHFBhbG9tYSBQaGFybWFjZXV0aWNhbHMsIEluYy4AAj/at6FU1ggaACK9oVTWCCBDSVEuSVEzNjE4MzgyNS5JUV9MQVNUU0FMRVBSSUNFLgEAAAARHygCAgAAAAQyLjg0AKpBlruhVNYIqkGWu6FU1ggsQ0lRLk5BU0RBUUNNOk1HRU4uSVFfTEFTVFNBTEVQUklDRS45LzMwLzIwMTYBAAAAb+KuAgMAAAAAADfWxrqhVNYIIqu7v6FU1ggvQ0lRLklRVFIyNzAxMTEzNjguSVFfVFJfVEFSR0VUX1RPVEFMX1JFVi4uVVNELkgBAAAAiJIZEAIAAAAAAAI/2rehVNYIMtkavaFU1gg5Q0lRLk5BU0RBUUdTOlNWUkEuSVFfVE9UQUxfUkVWLjIwMDAuNy8zMS8yMDE4LkxGUi5GLlVTRC5IAQAAAHV/hwMDAAAAAAA31sa6oVTWCKS/r7+hVNYIOkNJUS5OQVNEQVFHUzpJQ1BULklRX0VBUk5JTkdfQ08uMTk5Ni43LzMxLzIwMTguTEZSLkYuVVNELkgBAAAAgq+t</t>
  </si>
  <si>
    <t>AAIAAAAILTM3Ni4wODYBCAAAAAUAAAABMQEAAAAKMTg4ODYxNTUxOQMAAAADMTYwAgAAAAE3BAAAAAEwBwAAAAk3LzMxLzIwMTgIAAAACTMvMzEvMjAxNwkAAAABMASimLuhVNYIVjamv6FU1gg6Q0lRLkVOWFRQQTpHTkZULklRX1RPVEFMX0VRVUlUWS4xOTk2LjcvMzEvMjAxOC5MRlIuRi5VU0QuSAEAAAAiwZMAAgAAAAoxNTAuNzQxMDU0AQgAAAAFAAAAATEBAAAACjE4OTA2MTk2MTEDAAAAAzE2MAIAAAAEMTI3NQQAAAABMAcAAAAJNy8zMS8yMDE4CAAAAAoxMi8zMS8yMDE2CQAAAAEwN9bGuqFU1gjw+qq/oVTWCDZDSVEuQVNYOjFBRC5JUV9FQklUREFfRVNULkNZMjAyMC43LzMxLzIwMTguQ09OLkYuVVNELkgBAAAAxaCkAwMAAAAAAEo8i7qhVNYIzG/Av6FU1ggtQ0lRLk5BU0RBUUdTOlNWUkEuSVFfRElWSURFTkRfWUlFTEQuNy8zMS8yMDE4AQAAAHV/hwMDAAAAAAA31sa6oVTWCKS/r7+hVNYIOUNJUS4uSVFfVE9UQUxfUkVWXzVZUl9BTk5fQ0FHUi4yMDAwLjcvMzEvMjAxOC5MRlIuRi5VU0QuSAUAAAABAAAACAAAABQoSW52YWxpZCBJZGVudGlmaWVyKRysub6hVNYIHKy5vqFU1gg7Q0lRLkVOWFRBTTpHTFBHLklRX0VCSVREQV9NQVJHSU4uMjAwMC43LzMxLzIwMTguTEZSLkYuVVNELkgBAAAAsjEaAAIAAAAHLTY2LjM5NQEIAAAABQAAAAExAQAAAAoxODg1NDg0NzU1AwAAAAI1MAIAAAAENDA0</t>
  </si>
  <si>
    <t>NwQAAAABMAcAAAAJNy8zMS8yMDE4CAAAAAkzLzMxLzIwMTgJAAAAATAEopi7oVTWCLZxob+hVNYIM0NJUS5BU1g6MUFELklRX05JX01BUkdJTi4yMDAwLjcvMzEvMjAxOC5MRlIuRi5VU0QuSAEAAADFoKQDAgAAAAktMjIwLjYzOTQBCAAAAAUAAAABMQEAAAAKMTg3NjE4NTc5MQMAAAABOQIAAAAENDA5NAQAAAABMAcAAAAJNy8zMS8yMDE4CAAAAAoxMi8zMS8yMDE3CQAAAAEwSjyLuqFU1gjMb8C/oVTWCC9DSVEuSVFUUjQyODEwMTAzNC5JUV9UUl9JTVBMSUVEX0VWX0ZJTkFMLi5VU0QuSAEAAACqTYQZAgAAAAAAAj/at6FU1ggy2Rq9oVTWCCJDSVEuSVFUUjQwMjAzNDU2OS5JUV9UUl9UT1RBTF9DQVNIAQAAAImP9hcCAAAAAjUwAQYAAAAFAAAAAjU0AQAAAAYxMDEwNTYCAAAACTQwMjAzNDU2OQMAAAAJNDAyMDM0OTQwBAAAAAMxNjAGAAAABUZhbHNlAj/at6FU1ggaACK9oVTWCENDSVEuKElOVkFMSUQgSURFTlRJRklFUikuSVFfVE9UQUxfRVFVSVRZLjIwMDAuNy8zMS8yMDE4LkxGUi5GLlVTRC5IBQAAAAAAAAAIAAAAFChJbnZhbGlkIElkZW50aWZpZXIpSjyLuqFU1ggWHvC/oVTWCCVDSVEuSVFUUjI1OTk4NTk2Mi5JUV9UUl9JTVBMSUVEX0VRX0JWAQAAACoSfw8DAAAAAk5NAAI/2rehVNYIGgAivaFU1ggvQ0lRLklRVFI1NDg3MDQ4MTkuSVFfVFJfSU1QTElFRF9FVl9GSU5BTC4uVVNELkgBAAAA</t>
  </si>
  <si>
    <t>M5K0IAIAAAAENzAwMAEGAAAABQAAAAI1NAEAAAAGMTAyMDQ1AgAAAAk1NDg3MDQ4MTkDAAAACTU0ODcwNzQ4MAQAAAADMTYwBgAAAAVGYWxzZQI/2rehVNYIGgAivaFU1ggpQ0lRLklRVFIxMTcyOTE0NjUuSVFfQlVTSU5FU1NfREVTQ1JJUFRJT04BAAAA6mV+AgMAAADAAkFzIG9mIEphbnVhcnkgMTQsIDIwMTEsIEFycmVzdG8gQmlvc2NpZW5jZXMsIEluYy4gd2FzIGFjcXVpcmVkIGJ5IEdpbGVhZCBTY2llbmNlcyBJbmMuIEFycmVzdG8gQmlvc2NpZW5jZXMsIEluYy4sIGEgYmlvdGVjaG5vbG9neSBjb21wYW55LCBkZXZlbG9wcyBtZWRpY2luZXMgdG8gdHJlYXQgY2FuY2VyIGFuZCBmaWJyb3RpYyBkaXNlYXNlcyBieSB0YXJnZXRpbmcgbW9sZWN1bGVzIGZyb20gdGhlIGV4dHJhY2VsbHVsYXIgbWF0cml4LiBUaGUgY29tcGFueSB3YXMgZm91bmRlZCBpbiAyMDA3IGFuZCBpcyBiYXNlZCBpbiBQYWxvIEFsdG8sIENhbGlmb3JuaWEuAAI/2rehVNYIusQmvaFU1ggzQ0lRLkVOWFRQQTpHTkZULklRX0NBUEVYLjE5OTYuNy8zMS8yMDE4LkxGUi5GLlVTRC5IAQAAACLBkwACAAAACS0yLjE0OTI2NgEIAAAABQAAAAExAQAAAAoxODkwNjE5NjExAwAAAAMxNjACAAAABDIwMjEEAAAAATAHAAAACTcvMzEvMjAxOAgAAAAKMTIvMzEvMjAxNgkAAAABMDfWxrqhVNYI8Pqqv6FU1ggqQ0lRLklRVFI1NDg3MDQ4</t>
  </si>
  <si>
    <t>MTkuSVFfVFJfVEFSR0VUX0VCSVQuLlVTRC5IAQAAADOStCACAAAAAAACP9q3oVTWCDLZGr2hVNYIPENJUS5OQVNEQVFDTTpNR0VOLklRX0VBUk5JTkdfQ08uQ1kyMDE3LjcvMzEvMjAxOC5MRlIuRi5VU0QuSAEAAABv4q4CAgAAAActMjYuNTEyAQgAAAAFAAAAATEBAAAACjE4Nzg1NjM5OTADAAAAAzE2MAIAAAABNwQAAAABMAcAAAAJNy8zMS8yMDE4CAAAAAoxMi8zMS8yMDE3CQAAAAEwN9bGuqFU1ggiq7u/oVTWCCJDSVEuSVFUUjU0ODcwNDgxOS5JUV9UUl9UQVJHRVROQU1FAQAAADOStCADAAAAGUltcGFjdCBCaW9tZWRpY2luZXMsIEluYy4AAj/at6FU1ggaACK9oVTWCD1DSVEuTkFTREFRR006TU5PVi5JUV9SRVZFTlVFX0VTVC5DWTIwMTkuNy8zMS8yMDE4LkNPTi5GLlVTRC5IAQAAALhUjQACAAAAATABDgAAAAUAAAACMTEBAAAAATACAAAACjEwMDA1OTM2MTUDAAAABjEwMDE4MAQAAAABMgYAAAABMAcAAAADMTYwCAAAAAEwCQAAAAExCgAAAAEwCwAAAAsxMTAwNjI5MTA4MgwAAAABNw0AAAAIOC8xLzIwMTgQAAAACTcvMzEvMjAxODfWxrqhVNYIVV2tv6FU1gghQ0lRLklRMjU0MDQ1OTg4LklRX0NPTVBBTllfVElDS0VSAQAAACRvJA8DAAAADU5hc2RhcUdNOkNSQlAAAj/at6FU1ggy2Rq9oVTWCCRDSVEuTkFTREFRQ006UFVMTS5JUV9FRkZFQ1RfVEFYX1JBVEUBAAAAn2yaAQMAAAAAAEo8i7qh</t>
  </si>
  <si>
    <t>VNYIF9LCv6FU1gg8Q0lRLk5BU0RBUUdTOlZSVFguSVFfR1JPU1NfTUFSR0lOLjIwMDAuNy8zMS8yMDE4LkxGUi5GLlVTRC5IAQAAAIuNAAACAAAABzM5LjY1ODIBCAAAAAUAAAABMQEAAAAKMTg5NzI5MzU5MAMAAAADMTYwAgAAAAQ0MDc0BAAAAAEwBwAAAAk3LzMxLzIwMTgIAAAACTYvMzAvMjAxOAkAAAABMASimLuhVNYIDK2cv6FU1gg9Q0lRLk5BU0RBUUNNOkdMTUQuSVFfUkVWRU5VRV9FU1QuQ1kyMDE5LjcvMzEvMjAxOC5DT04uRi5VU0QuSAEAAAAkZ9cGAgAAAAcwLjg3MTQzAQ4AAAAFAAAAAjExAQAAAAEwAgAAAAoxMDAyNTYwNjc0AwAAAAYxMDAxODAEAAAAATIGAAAAATAHAAAAAzE2MAgAAAABMAkAAAABMQoAAAABMAsAAAALMTA5ODE1ODU1NDEMAAAAATcNAAAACDgvMS8yMDE4EAAAAAk3LzMxLzIwMTg31sa6oVTWCPIhsr+hVNYIMUNJUS5BTUVYOkFQSEIuSVFfQ0FQRVguMTk5Mi43LzMxLzIwMTguTEZSLkYuVVNELkgBAAAAIokAAAIAAAAGLTAuMjg3AQgAAAAFAAAAATEBAAAACjE4NDIyODI3NzYDAAAAAzE2MAIAAAAEMjAyMQQAAAABMAcAAAAJNy8zMS8yMDE4CAAAAAkzLzMxLzIwMTYJAAAAATBKPIu6oVTWCO00xb+hVNYINUNJUS5OQVNEQVFDTTpQVUxNLklRX0NBUEVYLjE5OTYuNy8zMS8yMDE4LkxGUi5GLlVTRC5IAQAAAJ9smgECAAAABi0wLjM4MgEIAAAABQAAAAExAQAAAAoxODg4</t>
  </si>
  <si>
    <t>MTE2MjE4AwAAAAMxNjACAAAABDIwMjEEAAAAATAHAAAACTcvMzEvMjAxOAgAAAAJMy8zMS8yMDE3CQAAAAEwSjyLuqFU1ggX0sK/oVTWCD1DSVEuTkFTREFRR006UFJRUi5JUV9SRVZFTlVFX0VTVC5DWTIwMjAuNy8zMS8yMDE4LkNPTi5GLlVTRC5IAQAAAO/sXA0DAAAAAAA31sa6oVTWCJXmtr+hVNYIOENJUS5OWVNFOktETU4uSVFfRUJJVERBX0VTVC5DWTIwMTguNy8zMS8yMDE4LkNPTi5GLlVTRC5IAQAAAFPI2QYDAAAAAAA31sa6oVTWCPD6qr+hVNYIM0NJUS5FTlhUQU06R0xQRy5JUV9DQVBFWC4xOTk2LjcvMzEvMjAxOC5MRlIuRi5VU0QuSAEAAACyMRoAAgAAAAktNC42NTE0MTEBCAAAAAUAAAABMQEAAAAKMTg4NTQ4NDc0MwMAAAADMTYwAgAAAAQyMDIxBAAAAAEwBwAAAAk3LzMxLzIwMTgIAAAACTMvMzEvMjAxNwkAAAABMASimLuhVNYItnGhv6FU1ggiQ0lRLklRVFI0MTU2MTE4MTUuSVFfVFJfVE9UQUxfQ0FTSAEAAACnu8UYAgAAAAAAAj/at6FU1ggy2Rq9oVTWCCJDSVEuSVFUUjQwMTk3OTY4OS5JUV9UUl9UQVJHRVROQU1FAQAAACm59RcDAAAAGVRvYmlyYSBUaGVyYXBldXRpY3MsIEluYy4AAj/at6FU1ggaACK9oVTWCDlDSVEuQU1FWDpBUEhCLklRX1JFVkVOVUVfRVNULkNZMjAxOS43LzMxLzIwMTguQ09OLkYuVVNELkgBAAAAIokAAAIAAAADMC4yAQ4AAAAFAAAAAjExAQAAAAEwAgAA</t>
  </si>
  <si>
    <t>AAoxMDAzMzM0Nzc3AwAAAAYxMDAxODAEAAAAATIGAAAAATAHAAAAAzE2MAgAAAABMAkAAAABMQoAAAABMAsAAAALMTA5MjMyMzQwOTkMAAAAATcNAAAACDgvMS8yMDE4EAAAAAk3LzMxLzIwMThKPIu6oVTWCO00xb+hVNYILENJUS5JUVRSMTM4MjUxNDYyLklRX1RSX1RPVEFMX0dST1NTX1RWLlVTRC5IBQAAAAAAAAAIAAAAGihJbnZhbGlkIEN1cnJlbmN5IFJlcXVlc3QpAj/at6FU1gi6xCa9oVTWCDpDSVEuTkFTREFRR1M6VlJUWC5JUV9FQVJOSU5HX0NPLjE5OTIuNy8zMS8yMDE4LkxGUi5GLlVTRC5IAQAAAIuNAAACAAAACC0yNDAuNzM4AQgAAAAFAAAAATEBAAAACjE4NTA5MDI0OTEDAAAAAzE2MAIAAAABNwQAAAABMAcAAAAJNy8zMS8yMDE4CAAAAAk2LzMwLzIwMTYJAAAAATAEopi7oVTWCAytnL+hVNYIJENJUS5BTUVYOkFQSEIuSVFfVEVWLjcvMzEvMjAxOC5VU0QuSAEAAAAiiQAAAgAAAAU4Ljk1NAEGAAAABQAAAAExAQAAAAoxODg5MDE4NzgxAwAAAAMxNjACAAAABjEwMDA2MAQAAAABMAcAAAAJNy8zMS8yMDE4SjyLuqFU1ggX0sK/oVTWCDlDSVEuTkFTREFRR1M6RkdFTi5JUV9UT1RBTF9SRVYuMTk5Ni43LzMxLzIwMTguTEZSLkYuVVNELkgBAAAARG8AAAIAAAAHMTgwLjczNwEIAAAABQAAAAExAQAAAAoxODg3NjY5NTM2AwAAAAMxNjACAAAAAjI4BAAAAAEwBwAAAAk3LzMxLzIwMTgIAAAA</t>
  </si>
  <si>
    <t>CTMvMzEvMjAxNwkAAAABMASimLuhVNYIDK2cv6FU1gg2Q0lRLk5BU0RBUUdNOkNOQVQuSVFfRUJJVERBLjIwMDAuNy8zMS8yMDE4LkxGUi5GLlVTRC5IAQAAAGVn1gECAAAACi0xOC44MDcxODEBCAAAAAUAAAABMQEAAAAKMTg4NjYxNzM0MAMAAAADMTYwAgAAAAQ0MDUxBAAAAAEwBwAAAAk3LzMxLzIwMTgIAAAACTMvMzEvMjAxOAkAAAABMDfWxrqhVNYIIqu7v6FU1ggvQ0lRLk5BU0RBUUdTOk9WSUQuSVFfVE9UQUxfREVCVC4uNS80LzIwMTcuLi5VU0QBAAAAINA3EQIAAAABMAEIAAAABQAAAAExAQAAAAoxODM1OTUzNzE2AwAAAAMxNjACAAAABDQxNzMEAAAAATAHAAAACDUvNC8yMDE3CAAAAAoxMi8zMS8yMDE2CQAAAAEwAj/at6FU1gio1VO4oVTWCDtDSVEuTkFTREFRR006Q1JCUC5JUV9FQklUX01BUkdJTi4yMDAwLjcvMzEvMjAxOC5MRlIuRi5VU0QuSAEAAAAkbyQPAwAAAAJOTQEIAAAABQAAAAExAQAAAAoxODg4NTkwMzgxAwAAAAMxNjACAAAABDQwNTMEAAAAATAHAAAACTcvMzEvMjAxOAgAAAAJMy8zMS8yMDE4CQAAAAEwN9bGuqFU1giV5ra/oVTWCDxDSVEuTkFTREFRQ006R0xNRC5JUV9FQklUREFfRVNULkNZMjAyMC43LzMxLzIwMTguQ09OLkYuVVNELkgBAAAAJGfXBgMAAAAAADfWxrqhVNYI8iGyv6FU1gg1Q0lRLk5BU0RBUUdTOlNWUkEuSVFfREFfQ0YuMjAwMC43LzMxLzIwMTguTEZS</t>
  </si>
  <si>
    <t>LkYuVVNELkgBAAAAdX+HAwIAAAAEMC4zOAEIAAAABQAAAAExAQAAAAoxODg3NzYzMDc1AwAAAAMxNjACAAAABDIxNjAEAAAAATAHAAAACTcvMzEvMjAxOAgAAAAJMy8zMS8yMDE4CQAAAAEwN9bGuqFU1gjyIbK/oVTWCDxDSVEuTkFTREFRQ006UFVMTS5JUV9FQVJOSU5HX0NPLkNZMjAxNi43LzMxLzIwMTguTEZSLkYuVVNELkgBAAAAn2yaAQIAAAAHLTI3Ljg0MwEIAAAABQAAAAExAQAAAAoxODc4MTY0NTk3AwAAAAMxNjACAAAAATcEAAAAATAHAAAACTcvMzEvMjAxOAgAAAAKMTIvMzEvMjAxNgkAAAABMEo8i7qhVNYIF9LCv6FU1gg9Q0lRLk5BU0RBUUNNOk1HRU4uSVFfUkVWRU5VRV9FU1QuQ1kyMDIxLjcvMzEvMjAxOC5DT04uRi5VU0QuSAEAAABv4q4CAgAAAAYxOC4xMDMBDgAAAAUAAAACMTEBAAAAATACAAAACjEwMDM2MzA1OTEDAAAABjEwMDE4MAQAAAABMgYAAAABMAcAAAADMTYwCAAAAAEwCQAAAAExCgAAAAEwCwAAAAsxMDg4NjI0OTM1NgwAAAABNw0AAAAIOC8xLzIwMTgQAAAACTcvMzEvMjAxODfWxrqhVNYI2ki5v6FU1ggpQ0lRLklRVFI0MTU2MTE4MTUuSVFfVFJfSU1QTElFRF9FUV9OSV9MVE0BAAAAp7vFGAIAAAAAAAI/2rehVNYIYWIkvaFU1gg/Q0lRLk5BU0RBUUdTOlNWUkEuSVFfTkVUX1dPUktJTkdfQ0FQLjE5OTIuNy8zMS8yMDE4LkxGUi5GLlVTRC5IAQAAAHV/hwMDAAAAAAA3</t>
  </si>
  <si>
    <t>1sa6oVTWCKS/r7+hVNYIPUNJUS5OQVNEQVFHUzpGR0VOLklRX0VCSVREQV9NQVJHSU4uMjAwMC43LzMxLzIwMTguTEZSLkYuVVNELkgBAAAARG8AAAIAAAAJLTEwMC4xMTIzAQgAAAAFAAAAATEBAAAACjE4ODc2Njk1NDMDAAAAAzE2MAIAAAAENDA0NwQAAAABMAcAAAAJNy8zMS8yMDE4CAAAAAkzLzMxLzIwMTgJAAAAATAEopi7oVTWCG8Pn7+hVNYIQUNJUS5BU1g6SU1DLklRX01JTk9SSVRZX0lOVEVSRVNUX1RPVEFMLjIwMDAuOS8zMC8yMDE2LkxGUi5GLlVTRC5IAQAAAPNMdQADAAAAAABKPIu6oVTWCMxvwL+hVNYILENJUS5JUVRSMjcwNzg5NTg0LklRX1RSX1RBUkdFVF9FQklUREEuLlVTRC5IAQAAANDrIxACAAAACC0yMDcuNDY5AQYAAAAFAAAAAjM3AQAAAAoxNjkwMTk5ODM3AgAAAAUyMTY3NwMAAAADMTYwBAAAAAEwBwAAAAgxLzEvMTkwMAI/2rehVNYIMtkavaFU1gglQ0lRLklRVFI1NDg3MDQ4MTkuSVFfVFJfTUFKX01JTl9TVEFLRQEAAAAzkrQgAwAAAAhNYWpvcml0eQACP9q3oVTWCGFiJL2hVNYIMUNJUS5BU1g6MUFELklRX1BFUklPRERBVEVfSVMuMjAwMC43LzMxLzIwMTguTEZSLkYBAAAAxaCkAwUAAAAKMTIvMzEvMjAxNwBKPIu6oVTWCMxvwL+hVNYIPUNJUS5FTlhUQU06R0xQRy5JUV9ORVRfV09SS0lOR19DQVAuMTk5Ni43LzMxLzIwMTguTEZSLkYuVVNELkgBAAAAsjEaAAIAAAAK</t>
  </si>
  <si>
    <t>LTk1LjM3NzQ1OQEIAAAABQAAAAExAQAAAAoxODg1NDg0NzQzAwAAAAMxNjACAAAABDEzMTEEAAAAATAHAAAACTcvMzEvMjAxOAgAAAAJMy8zMS8yMDE3CQAAAAEwBKKYu6FU1gi2caG/oVTWCB1DSVEuTkFTREFRR1M6SUNQVC5JUV9FWENIQU5HRQEAAACCr60AAwAAAAhOYXNkYXFHUwCqQZa7oVTWCM/XOb2hVNYIKUNJUS4uSVFfRUJJVERBLjE5OTYuNy8zMS8yMDE4LkxGUi5GLlVTRC5IBQAAAAEAAAAIAAAAFChJbnZhbGlkIElkZW50aWZpZXIpHKy5vqFU1ggcrLm+oVTWCC1DSVEuLklRX0VBUk5JTkdfQ08uMTk5Ni43LzMxLzIwMTguTEZSLkYuVVNELkgFAAAAAQAAAAgAAAAUKEludmFsaWQgSWRlbnRpZmllcikcrLm+oVTWCBysub6hVNYIKkNJUS5BU1g6MUFELklRX0xBU1RTQUxFUFJJQ0UuNy8zMS8yMDE4LlVTRAEAAADFoKQDAgAAAAgwLjIyMzAzMgBKPIu6oVTWCMxvwL+hVNYINUNJUS5BU1g6MUFELklRX1RPVEFMX1JFVi5DWTIwMTYuNy8zMS8yMDE4LkxGUi5GLlVTRC5IAQAAAMWgpAMCAAAACDAuNTUzNjk1AQgAAAAFAAAAATEBAAAACjE4NzYxODcwMjQDAAAAAzE2MAIAAAACMjgEAAAAATAHAAAACTcvMzEvMjAxOAgAAAAKMTIvMzEvMjAxNgkAAAABMEo8i7qhVNYIzG/Av6FU1gg8Q0lRLk5BU0RBUUNNOkdMTUQuSVFfVE9UQUxfRVFVSVRZLjIwMDAuNy8zMS8yMDE4LkxGUi5GLlVTRC5IAQAA</t>
  </si>
  <si>
    <t>ACRn1wYCAAAABjEzLjYwMgEIAAAABQAAAAExAQAAAAoxODg4NDkyMzkzAwAAAAMxNjACAAAABDEyNzUEAAAAATAHAAAACTcvMzEvMjAxOAgAAAAJMy8zMS8yMDE4CQAAAAEwN9bGuqFU1gjyIbK/oVTWCClDSVEuSVFUUjQyODEwMTAzNC5JUV9UUl9JTVBMSUVEX0VRX05JX0xUTQEAAACqTYQZAgAAAAAAAj/at6FU1giEOx29oVTWCCVDSVEuRU5YVEFNOkdMUEcuSVFfUEVSSU9EREFURV9JUy4xMDAwAQAAALIxGgAFAAAACjEyLzMxLzIwMTcABKKYu6FU1gi2caG/oVTWCDhDSVEuRU5YVFBBOkdORlQuSVFfRUFSTklOR19DTy4xOTkyLjcvMzEvMjAxOC5MRlIuRi5VU0QuSAEAAAAiwZMAAgAAAAotMTguNjA5ODI5AQgAAAAFAAAAATEBAAAACjE4NDM2NTk5NzgDAAAAAzE2MAIAAAABNwQAAAABMAcAAAAJNy8zMS8yMDE4CAAAAAoxMi8zMS8yMDE1CQAAAAEwN9bGuqFU1gjw+qq/oVTWCDFDSVEuSVFUUjI4NjQxMDczNi5JUV9UUl9UQVJHRVRfUkVWRU5VRV9FU1QuLlVTRC5IAQAAAPBHEhECAAAAAAACP9q3oVTWCMWdH72hVNYINUNJUS5OQVNEQVFHTTpDTkFULklRX0RBX0NGLjIwMDAuNy8zMS8yMDE4LkxGUi5GLlVTRC5IAQAAAGVn1gECAAAACDAuMTA5MzAzAQgAAAAFAAAAATEBAAAACjE4ODY2MTczNDADAAAAAzE2MAIAAAAEMjE2MAQAAAABMAcAAAAJNy8zMS8yMDE4CAAAAAkzLzMxLzIwMTgJAAAAATA3</t>
  </si>
  <si>
    <t>1sa6oVTWCHcNvr+hVNYIQENJUS5BU1g6SU1DLklRX1RPVEFMX1JFVl8zWVJfQU5OX0NBR1IuMjAwMC43LzMxLzIwMTguTEZSLkYuVVNELkgBAAAA80x1AAIAAAAHMTAuNTM1MwEIAAAABQAAAAExAQAAAAoxODc3NjUwMDk2AwAAAAE5AgAAAAQ0MjIwBAAAAAEwBwAAAAk3LzMxLzIwMTgIAAAACjEyLzMxLzIwMTcJAAAAATBKPIu6oVTWCMxvwL+hVNYINENJUS5BU1g6MUFELklRX0VBUk5JTkdfQ08uMjAwMC43LzMxLzIwMTguTEZSLkYuVVNELkgBAAAAxaCkAwIAAAAJLTMuMTA2MDY5AQgAAAAFAAAAATEBAAAACjE4NzYxODU3OTEDAAAAAzE2MAIAAAABNwQAAAABMAcAAAAJNy8zMS8yMDE4CAAAAAoxMi8zMS8yMDE3CQAAAAEwSjyLuqFU1gjMb8C/oVTWCDRDSVEuKElOVkFMSUQgSURFTlRJRklFUikuSVFfRElWSURFTkRfWUlFTEQuNy8zMS8yMDE4BQAAAAAAAAAIAAAAFChJbnZhbGlkIElkZW50aWZpZXIpSjyLuqFU1gjMqdq/oVTWCDhDSVEuRU5YVFBBOkdORlQuSVFfRUFSTklOR19DTy4yMDAwLjcvMzEvMjAxOC5MRlIuRi5VU0QuSAEAAAAiwZMAAgAAAAotNzAuMzY5ODM3AQgAAAAFAAAAATEBAAAACjE4OTA2MTk2NDgDAAAAAzE2MAIAAAABNwQAAAABMAcAAAAJNy8zMS8yMDE4CAAAAAoxMi8zMS8yMDE3CQAAAAEwN9bGuqFU1gjw+qq/oVTWCDBDSVEuTkFTREFRQ006UFVMTS5JUV9MQVNUU0FMRVBS</t>
  </si>
  <si>
    <t>SUNFLjcvMzEvMjAxOC5VU0QBAAAAn2yaAQIAAAAEMC40NgBKPIu6oVTWCBfSwr+hVNYIKENJUS5OQVNEQVFHTTpNTk9WLklRX1RFVi43LzMxLzIwMTguVVNELkgBAAAAuFSNAAIAAAAJMzMyLjAxMzI1AQYAAAAFAAAAATEBAAAACjE4OTY3NjU1MTUDAAAAAzE2MAIAAAAGMTAwMDYwBAAAAAEwBwAAAAk3LzMxLzIwMTg31sa6oVTWCFVdrb+hVNYIRkNJUS5OQVNEQVFHTTpQUlFSLklRX1RPVEFMX1JFVl81WVJfQU5OX0NBR1IuMjAwMC43LzMxLzIwMTguTEZSLkYuVVNELkgBAAAA7+xcDQIAAAAHOTkuMzk4NgEIAAAABQAAAAExAQAAAAoxODgwOTgxOTA3AwAAAAI1MAIAAAAENDIzMwQAAAABMAcAAAAJNy8zMS8yMDE4CAAAAAoxMi8zMS8yMDE3CQAAAAEwN9bGuqFU1gjaSLm/oVTWCCZDSVEuJVVTUE1SVC5JUV9MQVNUU0FMRVBSSUNFLjcvMzEvMjAxOAEAAABZ7VoAAgAAAAE1AAI/2rehVNYIYWIkvaFU1gg9Q0lRLkFTWDpJTUMuSVFfRUJJVERBXzNZUl9BTk5fQ0FHUi4yMDAwLjcvMzEvMjAxOC5MRlIuRi5VU0QuSAEAAADzTHUAAwAAAAJOTQEIAAAABQAAAAExAQAAAAoxODc3NjUwMDk2AwAAAAE5AgAAAAQ0MjIyBAAAAAEwBwAAAAk3LzMxLzIwMTgIAAAACjEyLzMxLzIwMTcJAAAAATBKPIu6oVTWCMxvwL+hVNYIM0NJUS5FTlhUUEE6R05GVC5JUV9EQV9DRi4yMDAwLjcvMzEvMjAxOC5MRlIuRi5VU0Qu</t>
  </si>
  <si>
    <t>SAEAAAAiwZMAAgAAAAgxLjExNDMxMwEIAAAABQAAAAExAQAAAAoxODkwNjE5NjQ4AwAAAAMxNjACAAAABDIxNjAEAAAAATAHAAAACTcvMzEvMjAxOAgAAAAKMTIvMzEvMjAxNwkAAAABMDfWxrqhVNYI8Pqqv6FU1ggfQ0lRLi5JUV9UUl9UT1RBTF9HUk9TU19UVi5VU0QuSAUAAAABAAAACAAAABQoSW52YWxpZCBJZGVudGlmaWVyKapBlruhVNYIqkGWu6FU1ghDQ0lRLk5BU0RBUUNNOkdMTUQuSVFfRUJJVERBXzVZUl9BTk5fQ0FHUi4yMDAwLjcvMzEvMjAxOC5MRlIuRi5VU0QuSAEAAAAkZ9cGAwAAAAAAN9bGuqFU1ghHhLS/oVTWCDxDSVEuTkFTREFRR1M6RkdFTi5JUV9UT1RBTF9FUVVJVFkuMTk5Mi43LzMxLzIwMTguTEZSLkYuVVNELkgBAAAARG8AAAIAAAAHMTc2LjIyMwEIAAAABQAAAAExAQAAAAoxODQwOTM0NjY5AwAAAAMxNjACAAAABDEyNzUEAAAAATAHAAAACTcvMzEvMjAxOAgAAAAJMy8zMS8yMDE2CQAAAAEwBKKYu6FU1ghvD5+/oVTWCDxDSVEuTkFTREFRR1M6U1ZSQS5JUV9UT1RBTF9FUVVJVFkuMjAwMC43LzMxLzIwMTguTEZSLkYuVVNELkgBAAAAdX+HAwIAAAAGOTMuNzAzAQgAAAAFAAAAATEBAAAACjE4ODc3NjMwNzUDAAAAAzE2MAIAAAAEMTI3NQQAAAABMAcAAAAJNy8zMS8yMDE4CAAAAAkzLzMxLzIwMTgJAAAAATA31sa6oVTWCPIhsr+hVNYIPUNJUS5OQVNEQVFHTTpDUkJQLklR</t>
  </si>
  <si>
    <t>X0VCSVREQV9NQVJHSU4uMjAwMC43LzMxLzIwMTguTEZSLkYuVVNELkgBAAAAJG8kDwMAAAACTk0BCAAAAAUAAAABMQEAAAAKMTg4ODU5MDM4MQMAAAADMTYwAgAAAAQ0MDQ3BAAAAAEwBwAAAAk3LzMxLzIwMTgIAAAACTMvMzEvMjAxOAkAAAABMDfWxrqhVNYIlea2v6FU1gg1Q0lRLk5BU0RBUUNNOkdMTUQuSVFfQ0FQRVguMTk5Mi43LzMxLzIwMTguTEZSLkYuVVNELkgBAAAAJGfXBgIAAAAGLTAuMTY1AQgAAAAFAAAAATEBAAAACjE4NDQ3NjMxODQDAAAAAzE2MAIAAAAEMjAyMQQAAAABMAcAAAAJNy8zMS8yMDE4CAAAAAkzLzMxLzIwMTYJAAAAATA31sa6oVTWCPIhsr+hVNYIPENJUS5OQVNEQVFHUzpGR0VOLklRX0VCSVREQV9FU1QuQ1kyMDE5LjcvMzEvMjAxOC5DT04uRi5VU0QuSAEAAABEbwAAAgAAAActNTguNjk1AQ4AAAAFAAAAAjExAQAAAAEwAgAAAAoxMDAyOTI3NDk5AwAAAAYxMDAxODcEAAAAATIGAAAAATAHAAAAAzE2MAgAAAABMAkAAAABMQoAAAABMAsAAAALMTA4NzgxOTY4ODgMAAAAATcNAAAACDgvMS8yMDE4EAAAAAk3LzMxLzIwMTgEopi7oVTWCG8Pn7+hVNYIN0NJUS5OQVNEQVFDTTpNREdMLklRX1BFUklPRERBVEVfSVMuMjAwMC43LzMxLzIwMTguTEZSLkYBAAAATJujCAUAAAAJMy8zMS8yMDE4AASimLuhVNYIAdSjv6FU1ggdQ0lRLk5BU0RBUUNNOk1HRU4uSVFfRVhDSEFOR0UB</t>
  </si>
  <si>
    <t>AAAAb+KuAgMAAAAITmFzZGFxQ00AN9bGuqFU1gjbDnO9oVTWCDdDSVEuQVNYOklNQy5JUV9SRVZFTlVFX0VTVC5DWTIwMTguNy8zMS8yMDE4LkNPTi5GLlVTRC5IAQAAAPNMdQADAAAAAAA31sa6oVTWCHcNvr+hVNYINUNJUS5OWVNFOktETU4uSVFfTklfTUFSR0lOLjIwMDAuNy8zMS8yMDE4LkxGUi5GLlVTRC5IAQAAAFPI2QYDAAAAAk5NAQgAAAAFAAAAATEBAAAACjE4ODc0NDUzNTUDAAAAAzE2MAIAAAAENDA5NAQAAAABMAcAAAAJNy8zMS8yMDE4CAAAAAkzLzMxLzIwMTgJAAAAATA31sa6oVTWCFVdrb+hVNYIN0NJUS5BU1g6SU1DLklRX0VCSVREQV9NQVJHSU4uMjAwMC43LzMxLzIwMTguTEZSLkYuVVNELkgBAAAA80x1AAMAAAACTk0BCAAAAAUAAAABMQEAAAAKMTg3NzY1MDA5NgMAAAABOQIAAAAENDA0NwQAAAABMAcAAAAJNy8zMS8yMDE4CAAAAAoxMi8zMS8yMDE3CQAAAAEwN9bGuqFU1gh3Db6/oVTWCB1DSVEuSVEzNjIzNS5JUV9DT01QQU5ZX1RJQ0tFUgEAAACLjQAAAwAAAA1OYXNkYXFHUzpWUlRYAAI/2rehVNYI53YYvaFU1ggrQ0lRLklRVFIzNDc1OTE1OTEuSVFfVFJfSU1QTElFRF9FVl9FQklUX0ZXRAEAAACn07cUAgAAAAAAAj/at6FU1gjFnR+9oVTWCDlDSVEuLklRX1RPVEFMX1JFVl8zWVJfQU5OX0NBR1IuMjAwMC43LzMxLzIwMTguTEZSLkYuVVNELkgFAAAAAQAAAAgAAAAUKElu</t>
  </si>
  <si>
    <t>dmFsaWQgSWRlbnRpZmllcikcrLm+oVTWCBysub6hVNYIKENJUS5BU1g6SU1DLklRX01BUktFVENBUC43LzMxLzIwMTguVVNELkgBAAAA80x1AAIAAAAJMzYuNjIwNjgzAQYAAAAFAAAAATEBAAAACjE4Nzc2NDc5NDADAAAAAzE2MAIAAAAGMTAwMDU0BAAAAAEwBwAAAAk3LzMxLzIwMTg31sa6oVTWCHcNvr+hVNYILUNJUS4uSVFfVE9UQUxfREVCVC4yMDAwLjkvMzAvMjAxNi5MRlIuRi5VU0QuSAUAAAABAAAACAAAABQoSW52YWxpZCBJZGVudGlmaWVyKRysub6hVNYIHKy5vqFU1gg0Q0lRLkFTWDpJTUMuSVFfVE9UQUxfREVCVC4yMDAwLjcvMzEvMjAxOC5MRlIuRi5VU0QuSAEAAADzTHUAAgAAAAgwLjAzNjM4NgEIAAAABQAAAAExAQAAAAoxODc3NjUwMDk2AwAAAAMxNjACAAAABDQxNzMEAAAAATAHAAAACTcvMzEvMjAxOAgAAAAKMTIvMzEvMjAxNwkAAAABMDfWxrqhVNYIdw2+v6FU1gg6Q0lRLkVOWFRBTTpHTFBHLklRX0VBUk5JTkdfQ08uQ1kyMDE3LjcvMzEvMjAxOC5MRlIuRi5VU0QuSAEAAACyMRoAAgAAAAstMTM4LjkzMzcxOAEIAAAABQAAAAExAQAAAAoxODc5ODE4NzA0AwAAAAMxNjACAAAAATcEAAAAATAHAAAACTcvMzEvMjAxOAgAAAAKMTIvMzEvMjAxNwkAAAABMASimLuhVNYItnGhv6FU1ggnQ0lRLk5BU0RBUUdNOkNOQVQuSVFfQkVUQV8xWVIuNy8zMS8yMDE4AQAAAGVn1gECAAAAEDEu</t>
  </si>
  <si>
    <t>NjI4NTgwODUxMjM3MTcAN9bGuqFU1gh3Db6/oVTWCC9DSVEuSVFUUjUzMTkyMDUwNy5JUV9UUl9UQVJHRVRfVE9UQUxfUkVWLi5VU0QuSAEAAAB7drQfAgAAAAAAAj/at6FU1giEOx29oVTWCDlDSVEuTllTRTpLRE1OLklRX1JFVkVOVUVfRVNULkNZMjAyMS43LzMxLzIwMTguQ09OLkYuVVNELkgBAAAAU8jZBgIAAAAHMzc0Ljc3NQEOAAAABQAAAAIxMQEAAAABMAIAAAAKMTAwMzQ4MTg4NwMAAAAGMTAwMTgwBAAAAAEyBgAAAAEwBwAAAAMxNjAIAAAAATAJAAAAATEKAAAAATALAAAACzEwODc1MDMxNjAxDAAAAAE3DQAAAAg4LzEvMjAxOBAAAAAJNy8zMS8yMDE4N9bGuqFU1gjw+qq/oVTWCC9DSVEuSVFUUjI1Mzg3NzIwMy5JUV9UUl9JTVBMSUVEX0VWX0ZJTkFMLi5VU0QuSAEAAADT2yEPAgAAAAQyOTAwAQYAAAAFAAAAAjU0AQAAAAYxMDIwNDUCAAAACTI1Mzg3NzIwMwMAAAAJMjUzODc3NDgwBAAAAAMxNjAGAAAABUZhbHNlAj/at6FU1ghhYiS9oVTWCCVDSVEuTkFTREFRR006UFJRUi5JUV9GSVJTVFBSSUNJTkdEQVRFAQAAAO/sXA0FAAAACTkvMTgvMjAxNAA31sa6oVTWCM2wMr2hVNYINUNJUS5BU1g6MUFELklRX1BSRUZfRVFVSVRZLjIwMDAuNy8zMS8yMDE4LkxGUi5GLlVTRC5IAQAAAMWgpAMDAAAAAABKPIu6oVTWCMxvwL+hVNYIOUNJUS5OQVNEQVFDTTpNR0VOLklRX1RPVEFMX1JFVi4yMDAw</t>
  </si>
  <si>
    <t>LjcvMzEvMjAxOC5MRlIuRi5VU0QuSAEAAABv4q4CAgAAAAU4LjMyNQEIAAAABQAAAAExAQAAAAoxODg3Njc2OTM1AwAAAAMxNjACAAAAAjI4BAAAAAEwBwAAAAk3LzMxLzIwMTgIAAAACTMvMzEvMjAxOAkAAAABMDfWxrqhVNYI2ki5v6FU1gg4Q0lRLk5BU0RBUUdNOlBSUVIuSVFfRUJJVERBLkNZMjAxNi43LzMxLzIwMTguTEZSLkYuVVNELkgBAAAA7+xcDQIAAAAKLTQwLjUxNDA5MwEIAAAABQAAAAExAQAAAAoxODgwOTgxOTk4AwAAAAMxNjACAAAABDQwNTEEAAAAATAHAAAACTcvMzEvMjAxOAgAAAAKMTIvMzEvMjAxNgkAAAABMDfWxrqhVNYI2ki5v6FU1gg6Q0lRLk5BU0RBUUNNOk1ER0wuSVFfVE9UQUxfREVCVC4yMDAwLjcvMzEvMjAxOC5MRlIuRi5VU0QuSAEAAABMm6MIAgAAAAEwAQgAAAAFAAAAATEBAAAACjE4ODc4MTQxMTMDAAAAAzE2MAIAAAAENDE3MwQAAAABMAcAAAAJNy8zMS8yMDE4CAAAAAkzLzMxLzIwMTgJAAAAATAEopi7oVTWCAHUo7+hVNYIIENJUS5JUVRSNDE1NjExODE1LklRX1RSX0VBUk5PVVRTAQAAAKe7xRgCAAAAAAACP9q3oVTWCGFiJL2hVNYIRkNJUS5OQVNEQVFDTTpNREdMLklRX1RPVEFMX1JFVl8zWVJfQU5OX0NBR1IuMjAwMC43LzMxLzIwMTguTEZSLkYuVVNELkgBAAAATJujCAMAAAAAAASimLuhVNYIAdSjv6FU1ggkQ0lRLk5BU0RBUUdNOkNOQVQuSVFfRUZGRUNU</t>
  </si>
  <si>
    <t>X1RBWF9SQVRFAQAAAGVn1gEDAAAAAAA31sa6oVTWCHcNvr+hVNYIRENJUS5FTlhUUEE6R05GVC5JUV9UT1RBTF9SRVZfNVlSX0FOTl9DQUdSLjIwMDAuNy8zMS8yMDE4LkxGUi5GLlVTRC5IAQAAACLBkwACAAAABjIuMjQ4NQEIAAAABQAAAAExAQAAAAoxODkwNjE5NjQ4AwAAAAI1MAIAAAAENDIzMwQAAAABMAcAAAAJNy8zMS8yMDE4CAAAAAoxMi8zMS8yMDE3CQAAAAEwN9bGuqFU1gjw+qq/oVTWCDdDSVEuQVNYOklNQy5JUV9SRVZFTlVFX0VTVC5DWTIwMjAuNy8zMS8yMDE4LkNPTi5GLlVTRC5IAQAAAPNMdQADAAAAAAA31sa6oVTWCHcNvr+hVNYII0NJUS5JUVRSNDE1NjExODE1LklRX1RSX0NMT1NFRF9EQVRFAQAAAKe7xRgFAAAACTQvMjcvMjAxNwACP9q3oVTWCIQ7Hb2hVNYINkNJUS5BU1g6SU1DLklRX0VBUk5JTkdfQ08uQ1kyMDE2LjcvMzEvMjAxOC5MRlIuRi5VU0QuSAEAAADzTHUAAgAAAAktNC4yOTU1MTQBCAAAAAUAAAABMQEAAAAKMTg3NzY1MDk4OQMAAAADMTYwAgAAAAE3BAAAAAEwBwAAAAk3LzMxLzIwMTgIAAAACjEyLzMxLzIwMTYJAAAAATBKPIu6oVTWCHcNvr+hVNYILENJUS4uSVFfTklfTUFSR0lOLjIwMDAuNy8zMS8yMDE4LkxGUi5GLlVTRC5IBQAAAAEAAAAIAAAAFChJbnZhbGlkIElkZW50aWZpZXIpHKy5vqFU1ggcrLm+oVTWCEdDSVEuTkFTREFRR006Q1JCUC5JUV9NSU5P</t>
  </si>
  <si>
    <t>UklUWV9JTlRFUkVTVF9UT1RBTC4yMDAwLjkvMzAvMjAxNi5MRlIuRi5VU0QuSAEAAAAkbyQPAwAAAAAAN9bGuqFU1giV5ra/oVTWCCxDSVEuLklRX1RPVEFMX1JFVi4xOTkyLjcvMzEvMjAxOC5MRlIuRi5VU0QuSAUAAAABAAAACAAAABQoSW52YWxpZCBJZGVudGlmaWVyKRysub6hVNYIHKy5vqFU1gg4Q0lRLkFNRVg6QVBIQi5JUV9FQklUREFfRVNULkNZMjAxOS43LzMxLzIwMTguQ09OLkYuVVNELkgBAAAAIokAAAIAAAAFLTE0LjYBDgAAAAUAAAACMTEBAAAAATACAAAACjEwMDMzMzQ3NzcDAAAABjEwMDE4NwQAAAABMgYAAAABMAcAAAADMTYwCAAAAAEwCQAAAAExCgAAAAEwCwAAAAsxMDkyMDg4MDg3OQwAAAABNw0AAAAIOC8xLzIwMTgQAAAACTcvMzEvMjAxOEo8i7qhVNYI7TTFv6FU1ggvQ0lRLklRVFIyNTk5ODU5NjIuSVFfVFJfSU1QTElFRF9FVl9GSU5BTC4uVVNELkgBAAAAKhJ/DwIAAAAJMTYuMzEwMTAzAAI/2rehVNYIGgAivaFU1ggpQ0lRLklRVFIxNzAyMjkzODYuSVFfQlVTSU5FU1NfREVTQ1JJUFRJT04BAAAAO/z8AQMAAADvAkFzIG9mIE1hcmNoIDgsIDIwMTIsIFN0cm9tZWRpeCwgSW5jLiB3YXMgYWNxdWlyZWQgYnkgQmlvZ2VuIElkZWMgSW5jLiBTdHJvbWVkaXgsIEluYy4gZGV2ZWxvcHMgZHJ1Z3MgdG8gdHJlYXQgZmlicm90aWMgb3JnYW4gZmFpbHVyZS4gVGhlIGNvbXBhbnkg</t>
  </si>
  <si>
    <t>b2ZmZXJzIFNUWC0xMDAsIGEgaHVtYW5pemVkIG1vbm9jbG9uYWwgYW50aWJvZHkgdGhhdCBwcm92aWRlcyBhbnRpLWZpYnJvdGljIGFjdGl2aXR5IGluIHByZWNsaW5pY2FsIG1vZGVscyBvZiBsdW5nLCBraWRuZXksIGFuZCBsaXZlciBkaXNlYXNlcy4gU3Ryb21lZGl4LCBJbmMuIHdhcyBmb3VuZGVkIGluIDIwMDUgYW5kIGlzIGJhc2VkIGluIENhbWJyaWRnZSwgTWFzc2FjaHVzZXR0cy4AAj/at6FU1gjFnR+9oVTWCDxDSVEuTkFTREFRR1M6VlJUWC5JUV9UT1RBTF9FUVVJVFkuMTk5Ni43LzMxLzIwMTguTEZSLkYuVVNELkgBAAAAi40AAAIAAAAIMTg2Ny4yMzEBCAAAAAUAAAABMQEAAAAKMTg5NzI5MzU5MQMAAAADMTYwAgAAAAQxMjc1BAAAAAEwBwAAAAk3LzMxLzIwMTgIAAAACTYvMzAvMjAxNwkAAAABMASimLuhVNYIDK2cv6FU1ggrQ0lRLk5ZU0U6QkhWTi5JUV9UT1RBTF9ERUJULi41LzMvMjAxNy4uLlVTRAEAAADcZyAPAgAAAAU0LjgxMQEIAAAABQAAAAExAQAAAAoxODM1Nzg5NzEwAwAAAAMxNjACAAAABDQxNzMEAAAAATAHAAAACDUvMy8yMDE3CAAAAAoxMi8zMS8yMDE2CQAAAAEwAj/at6FU1gio1VO4oVTWCC5DSVEuSVFUUjI2MzcwNzI4OS5JUV9UUl9UQVJHRVRfU1RPQ0tQUkVNSVVNXzFXAQAAAJnatw8CAAAAAAACP9q3oVTWCLrEJr2hVNYIQ0NJUS5OQVNEQVFHTTpQUlFSLklRX0VC</t>
  </si>
  <si>
    <t>SVREQV8zWVJfQU5OX0NBR1IuMjAwMC43LzMxLzIwMTguTEZSLkYuVVNELkgBAAAA7+xcDQMAAAACTk0BCAAAAAUAAAABMQEAAAAKMTg4MDk4MTkwNwMAAAACNTACAAAABDQyMjIEAAAAATAHAAAACTcvMzEvMjAxOAgAAAAKMTIvMzEvMjAxNwkAAAABMDfWxrqhVNYI2ki5v6FU1gg5Q0lRLk5BU0RBUUdTOlNWUkEuSVFfTklfTUFSR0lOLjIwMDAuNy8zMS8yMDE4LkxGUi5GLlVTRC5IAQAAAHV/hwMDAAAAAAA31sa6oVTWCKS/r7+hVNYILkNJUS5OQVNEQVFHTTpNTk9WLklRX01BUktFVENBUC45LzMwLzIwMTYuVVNELkgBAAAAuFSNAAIAAAAKMjU4LjE5MTQ5OAEGAAAABQAAAAExAQAAAAoxODAwMzc5MTMzAwAAAAMxNjACAAAABjEwMDA1NAQAAAABMAcAAAAJOS8zMC8yMDE2N9bGuqFU1gikv6+/oVTWCDpDSVEuRU5YVEFNOkdMUEcuSVFfRUFSTklOR19DTy5DWTIwMTYuNy8zMS8yMDE4LkxGUi5GLlVTRC5IAQAAALIxGgACAAAACTU3LjAxNjc4NQEIAAAABQAAAAExAQAAAAoxODc5ODE4Njg3AwAAAAMxNjACAAAAATcEAAAAATAHAAAACTcvMzEvMjAxOAgAAAAKMTIvMzEvMjAxNgkAAAABMASimLuhVNYItnGhv6FU1gggQ0lRLi5JUV9ESVZJREVORF9ZSUVMRC43LzMxLzIwMTgFAAAAAQAAAAgAAAAUKEludmFsaWQgSWRlbnRpZmllcikcrLm+oVTWCBysub6hVNYIIkNJUS5JUVRSMjcwMTExMzY4LklRX1RS</t>
  </si>
  <si>
    <t>X1RPVEFMX0NBU0gBAAAAiJIZEAIAAAAAAAI/2rehVNYIGgAivaFU1ggpQ0lRLklRVFIyNTk5ODU5NjIuSVFfVFJfSU1QTElFRF9FUV9OSV9MVE0BAAAAKhJ/DwMAAAACTk0AAj/at6FU1gi6xCa9oVTWCDlDSVEuRU5YVFBBOkdORlQuSVFfVE9UQUxfUkVWLkNZMjAxNi43LzMxLzIwMTguTEZSLkYuVVNELkgBAAAAIsGTAAIAAAAINy4wMjk0NTIBCAAAAAUAAAABMQEAAAAKMTg5MDYxOTYxMQMAAAADMTYwAgAAAAIyOAQAAAABMAcAAAAJNy8zMS8yMDE4CAAAAAoxMi8zMS8yMDE2CQAAAAEwN9bGuqFU1gibmKi/oVTWCERDSVEuRU5YVFBBOkdORlQuSVFfVE9UQUxfUkVWXzJZUl9BTk5fQ0FHUi4yMDAwLjcvMzEvMjAxOC5MRlIuRi5VU0QuSAEAAAAiwZMAAgAAAAcyNS41MDU1AQgAAAAFAAAAATEBAAAACjE4OTA2MTk2NDgDAAAAAjUwAgAAAAQ0MjA3BAAAAAEwBwAAAAk3LzMxLzIwMTgIAAAACjEyLzMxLzIwMTcJAAAAATA31sa6oVTWCPD6qr+hVNYIJUNJUS5OQVNEQVFHUzpWUlRYLklRX0ZJUlNUUFJJQ0lOR0RBVEUBAAAAi40AAAUAAAAJNy8yNC8xOTkxAKpBlruhVNYIrhI1vaFU1ghDQ0lRLk5BU0RBUUdTOklOU00uSVFfRUJJVERBXzVZUl9BTk5fQ0FHUi4yMDAwLjcvMzEvMjAxOC5MRlIuRi5VU0QuSAEAAAAadQAAAwAAAAJOTQEIAAAABQAAAAExAQAAAAoxODg2MDQyMzI4AwAAAAMxNjACAAAABDQy</t>
  </si>
  <si>
    <t>MzUEAAAAATAHAAAACTcvMzEvMjAxOAgAAAAJMy8zMS8yMDE4CQAAAAEwN9bGuqFU1gibmKi/oVTWCCJDSVEuSVFUUjE3MDIyOTM4Ni5JUV9UUl9QQ1RfU09VR0hUAQAAAIp+JQoCAAAAAjk1AAI/2rehVNYIxZ0fvaFU1ggqQ0lRLklRVFIyODY0MTA3MzYuSVFfVFJfVEFSR0VUX0VCSVQuLlVTRC5IAQAAAPBHEhECAAAAAAACP9q3oVTWCIQ7Hb2hVNYIPUNJUS5OQVNEQVFHTTpDUkJQLklRX1JFVkVOVUVfRVNULkNZMjAyMC43LzMxLzIwMTguQ09OLkYuVVNELkgBAAAAJG8kDwIAAAADMS45AQ4AAAAFAAAAAjExAQAAAAEwAgAAAAoxMDAzMTc4NTM5AwAAAAYxMDAxODAEAAAAATIGAAAAATAHAAAAAzE2MAgAAAABMAkAAAABMQoAAAABMAsAAAALMTEwMDEwNjc3ODcMAAAAATcNAAAACDgvMS8yMDE4EAAAAAk3LzMxLzIwMTg31sa6oVTWCJXmtr+hVNYIPkNJUS5OQVNEQVFDTTpNR0VOLklRX1RPVEFMX0VRVUlUWS5DWTIwMTYuNy8zMS8yMDE4LkxGUi5GLlVTRC5IAQAAAG/irgICAAAABjE1LjA1NQEIAAAABQAAAAExAQAAAAoxODc4NTY0MDQxAwAAAAMxNjACAAAABDEyNzUEAAAAATAHAAAACTcvMzEvMjAxOAgAAAAKMTIvMzEvMjAxNgkAAAABMDfWxrqhVNYIIqu7v6FU1ghHQ0lRLk5BU0RBUUdTOlZSVFguSVFfTUlOT1JJVFlfSU5URVJFU1RfVE9UQUwuMjAwMC43LzMxLzIwMTguTEZSLkYuVVNELkgBAAAA</t>
  </si>
  <si>
    <t>i40AAAIAAAAGMjguNjU1AQgAAAAFAAAAATEBAAAACjE4OTcyOTM1OTADAAAAAzE2MAIAAAAEMTMxMgQAAAABMAcAAAAJNy8zMS8yMDE4CAAAAAk2LzMwLzIwMTgJAAAAATCqQZa7oVTWCAytnL+hVNYII0NJUS5JUVRSMTM4MjUxNDYyLklRX1RSX0NMT1NFRF9EQVRFAQAAAMaMPQgFAAAACDkvNy8yMDExAAI/2rehVNYIYWIkvaFU1ggfQ0lRLjAuSVFfVFJfSU1QTElFRF9FVl9FQklUX0ZXRAUAAAAAAAAACAAAABgoSW52YWxpZCBUcmFuc2FjdGlvbiBJZCkCP9q3oVTWCMWdH72hVNYIP0NJUS5OWVNFOktETU4uSVFfRUJJVERBXzJZUl9BTk5fQ0FHUi4yMDAwLjcvMzEvMjAxOC5MRlIuRi5VU0QuSAEAAABTyNkGAwAAAAJOTQEIAAAABQAAAAExAQAAAAoxODg3NDQ1MzU1AwAAAAMxNjACAAAABDQyMDkEAAAAATAHAAAACTcvMzEvMjAxOAgAAAAJMy8zMS8yMDE4CQAAAAEwN9bGuqFU1ghVXa2/oVTWCDhDSVEuRU5YVEFNOkdMUEcuSVFfVE9UQUxfREVCVC4yMDAwLjkvMzAvMjAxNi5MRlIuRi5VU0QuSAEAAACyMRoAAgAAAAcwLjA5OTk1AQgAAAAFAAAAATEBAAAACjE4MDA5Njc1NTgDAAAAAzE2MAIAAAAENDE3MwQAAAABMAcAAAAJOS8zMC8yMDE2CAAAAAk2LzMwLzIwMTYJAAAAATAEopi7oVTWCLZxob+hVNYIHUNJUS5OQVNEQVFHUzpWUlRYLklRX0VYQ0hBTkdFAQAAAIuNAAADAAAACE5hc2RhcUdTAKpB</t>
  </si>
  <si>
    <t>lruhVNYIrhI1vaFU1ggpQ0lRLklRVFIzNDc1OTE1OTEuSVFfVFJfSU1QTElFRF9FUV9OSV9MVE0BAAAAp9O3FAIAAAAAAAI/2rehVNYIhDsdvaFU1ggiQ0lRLklRVFIyNTM4NzcyMDMuSVFfVFJfVE9UQUxfQ0FTSAEAAADT2yEPAgAAAAAAAj/at6FU1ggaACK9oVTWCDlDSVEuTkFTREFRR1M6U1ZSQS5JUV9UT1RBTF9SRVYuMTk5Mi43LzMxLzIwMTguTEZSLkYuVVNELkgBAAAAdX+HAwMAAAAAADfWxrqhVNYIpL+vv6FU1gg3Q0lRLk5BU0RBUUdNOk1OT1YuSVFfUEVSSU9EREFURV9JUy4yMDAwLjcvMzEvMjAxOC5MRlIuRgEAAAC4VI0ABQAAAAk2LzMwLzIwMTgAN9bGuqFU1ghVXa2/oVTWCChDSVEuTkFTREFRR006Q05BVC5JUV9URVYuNy8zMS8yMDE4LlVTRC5IAQAAAGVn1gECAAAACDY4LjM0OTE3AQYAAAAFAAAAATEBAAAACjE4ODY2MTM5NjIDAAAAAzE2MAIAAAAGMTAwMDYwBAAAAAEwBwAAAAk3LzMxLzIwMTg31sa6oVTWCCKru7+hVNYIO0NJUS5BTUVYOkFQSEIuSVFfTkVUX1dPUktJTkdfQ0FQLjIwMDAuNy8zMS8yMDE4LkxGUi5GLlVTRC5IAQAAACKJAAACAAAABi0xLjIzOAEIAAAABQAAAAExAQAAAAoxODg5MDE4ODQ0AwAAAAMxNjACAAAABDEzMTEEAAAAATAHAAAACTcvMzEvMjAxOAgAAAAJMy8zMS8yMDE4CQAAAAEwSjyLuqFU1gjtNMW/oVTWCDlDSVEuTkFTREFRQ006R0xNRC5JUV9OSV9N</t>
  </si>
  <si>
    <t>QVJHSU4uMjAwMC43LzMxLzIwMTguTEZSLkYuVVNELkgBAAAAJGfXBgMAAAACTk0BCAAAAAUAAAABMQEAAAAKMTg4ODQ5MjM5MwMAAAADMTYwAgAAAAQ0MDk0BAAAAAEwBwAAAAk3LzMxLzIwMTgIAAAACTMvMzEvMjAxOAkAAAABMDfWxrqhVNYI8iGyv6FU1gggQ0lRLklRVFIyNTY2ODM2NTUuSVFfVFJfRUFSTk9VVFMBAAAAh65MDwIAAAAINC40NTA3NTkBBgAAAAUAAAACNTQBAAAABjEwMTQwMwIAAAAJMjU2NjgzNjU1AwAAAAkyNTY2ODM3NjQEAAAAAzE2MAYAAAAFRmFsc2UCP9q3oVTWCMWdH72hVNYIPENJUS5OQVNEQVFHUzpJTlNNLklRX0dST1NTX01BUkdJTi4yMDAwLjcvMzEvMjAxOC5MRlIuRi5VU0QuSAEAAAAadQAAAwAAAAAABKKYu6FU1gibmKi/oVTWCDxDSVEuRU5YVEFNOkdMUEcuSVFfQ0FTSF9TVF9JTlZFU1QuMjAwMC45LzMwLzIwMTYuTEZSLkYuVVNELkgBAAAAsjEaAAIAAAALMTA2Ni42Njc3NzcBCAAAAAUAAAABMQEAAAAKMTgwMDk2NzU1OAMAAAADMTYwAgAAAAQxMDAyBAAAAAEwBwAAAAk5LzMwLzIwMTYIAAAACTYvMzAvMjAxNgkAAAABMASimLuhVNYItnGhv6FU1gguQ0lRLk5BU0RBUUdTOkZHRU4uSVFfTUFSS0VUQ0FQLjcvMzEvMjAxOC5VU0QuSAEAAABEbwAAAgAAAAs1MjcwLjI1NDEwMQEGAAAABQAAAAExAQAAAAoxODg3NjY5MDQ2AwAAAAMxNjACAAAABjEwMDA1NAQAAAAB</t>
  </si>
  <si>
    <t>MAcAAAAJNy8zMS8yMDE4qkGWu6FU1ggMrZy/oVTWCChDSVEuQVNYOklNQy5JUV9NQVJLRVRDQVAuOS8zMC8yMDE2LlVTRC5IAQAAAPNMdQACAAAACTE5LjA0NTc2MgEGAAAABQAAAAExAQAAAAoxODA4MzI2OTA5AwAAAAMxNjACAAAABjEwMDA1NAQAAAABMAcAAAAJOS8zMC8yMDE2SjyLuqFU1gjMb8C/oVTWCCtDSVEuKElOVkFMSUQgSURFTlRJRklFUikuSVFfRUZGRUNUX1RBWF9SQVRFBQAAAAAAAAAIAAAAFChJbnZhbGlkIElkZW50aWZpZXIpSjyLuqFU1ggWHvC/oVTWCCVDSVEuSVFUUjQwMjAzNDU2OS5JUV9UUl9JTVBMSUVEX0VRX0JWAQAAAImP9hcCAAAAAAACP9q3oVTWCGFiJL2hVNYII0NJUS5OWVNFOktETU4uSVFfQkVUQV81WVIuNy8zMS8yMDE4AQAAAFPI2QYCAAAAEDMuMTIwMzUxNTYwMjUxMzcAN9bGuqFU1ghVXa2/oVTWCC9DSVEuSVFUUjQwMTk3OTY4OS5JUV9UUl9JTVBMSUVEX0VWX0ZJTkFMLi5VU0QuSAEAAAApufUXAgAAAAsxNjYxLjYxODEzMwEGAAAABQAAAAI1NAEAAAAGMTAyMDQ1AgAAAAk0MDE5Nzk2ODkDAAAACTQwMTk4MDU5NwQAAAADMTYwBgAAAAVGYWxzZQI/2rehVNYIGgAivaFU1gg1Q0lRLk5BU0RBUUdNOk1OT1YuSVFfREFfQ0YuMjAwMC43LzMxLzIwMTguTEZSLkYuVVNELkgBAAAAuFSNAAIAAAAIMC4wMjcxMjMBCAAAAAUAAAABMQEAAAAKMTg5Njc2NjE5MQMAAAAD</t>
  </si>
  <si>
    <t>MTYwAgAAAAQyMTYwBAAAAAEwBwAAAAk3LzMxLzIwMTgIAAAACTYvMzAvMjAxOAkAAAABMDfWxrqhVNYIpL+vv6FU1gg3Q0lRLkVOWFRQQTpHTkZULklRX1RPVEFMX1JFVi4yMDAwLjcvMzEvMjAxOC5MRlIuRi5VU0QuSAEAAAAiwZMAAgAAAAg4LjAyNzEzNwEIAAAABQAAAAExAQAAAAoxODkwNjE5NjQ4AwAAAAMxNjACAAAAAjI4BAAAAAEwBwAAAAk3LzMxLzIwMTgIAAAACjEyLzMxLzIwMTcJAAAAATA31sa6oVTWCJuYqL+hVNYIPENJUS5OQVNEQVFHTTpDTkFULklRX0VCSVREQV9FU1QuQ1kyMDE4LjcvMzEvMjAxOC5DT04uRi5VU0QuSAEAAABlZ9YBAwAAAAAAN9bGuqFU1ggiq7u/oVTWCCFDSVEuTkFTREFRR006Q05BVC5JUV9DT01QQU5ZX05BTUUBAAAAZWfWAQMAAAAcQ29uYXR1cyBQaGFybWFjZXV0aWNhbHMgSW5jLgA31sa6oVTWCKKFab2hVNYIOkNJUS5OQVNEQVFHUzpJQ1BULklRX0VBUk5JTkdfQ08uMjAwMC43LzMxLzIwMTguTEZSLkYuVVNELkgBAAAAgq+tAAIAAAAILTM1Mi4wMjcBCAAAAAUAAAABMQEAAAAKMTg4ODYxNTU0MAMAAAADMTYwAgAAAAE3BAAAAAEwBwAAAAk3LzMxLzIwMTgIAAAACTMvMzEvMjAxOAkAAAABMASimLuhVNYIVjamv6FU1gggQ0lRLjAuSVFfVFJfVE9UQUxfR1JPU1NfVFYuVVNELkgFAAAAAAAAAAgAAAAYKEludmFsaWQgVHJhbnNhY3Rpb24gSWQpAj/at6FU1gjF</t>
  </si>
  <si>
    <t>nR+9oVTWCD5DSVEuTkFTREFRR1M6SU5TTS5JUV9UT1RBTF9FUVVJVFkuQ1kyMDE3LjcvMzEvMjAxOC5MRlIuRi5VU0QuSAEAAAAadQAAAgAAAAczNjEuMDU5AQgAAAAFAAAAATEBAAAACjE4NzYwNDUwMTYDAAAAAzE2MAIAAAAEMTI3NQQAAAABMAcAAAAJNy8zMS8yMDE4CAAAAAoxMi8zMS8yMDE3CQAAAAEwN9bGuqFU1gibmKi/oVTWCDpDSVEuTkFTREFRR006TU5PVi5JUV9FQVJOSU5HX0NPLjE5OTIuNy8zMS8yMDE4LkxGUi5GLlVTRC5IAQAAALhUjQACAAAACi0xMC45MjQxMTIBCAAAAAUAAAABMQEAAAAKMTg1MDQzOTk5OQMAAAADMTYwAgAAAAE3BAAAAAEwBwAAAAk3LzMxLzIwMTgIAAAACTYvMzAvMjAxNgkAAAABMDfWxrqhVNYIpL+vv6FU1gglQ0lRLklRVFIyODY0MTA3MzYuSVFfUFJJTUFSWV9JTkRVU1RSWQEAAACJM/gCAwAAAA1CaW90ZWNobm9sb2d5AAI/2rehVNYIxZ0fvaFU1gg7Q0lRLk5BU0RBUUNNOlBVTE0uSVFfVE9UQUxfUkVWLkNZMjAxNy43LzMxLzIwMTguTEZSLkYuVVNELkgBAAAAn2yaAQIAAAAFMC4zMzUBCAAAAAUAAAABMQEAAAAKMTg3ODE2NDYzOAMAAAADMTYwAgAAAAIyOAQAAAABMAcAAAAJNy8zMS8yMDE4CAAAAAoxMi8zMS8yMDE3CQAAAAEwSjyLuqFU1ggX0sK/oVTWCCdDSVEuTkFTREFRQ006UFVMTS5JUV9CRVRBXzJZUi43LzMxLzIwMTgBAAAAn2yaAQIAAAAOMi4z</t>
  </si>
  <si>
    <t>MTQyOTgwMzc1NjkASjyLuqFU1ggX0sK/oVTWCDNDSVEuRU5YVFBBOkdORlQuSVFfQ0FQRVguMjAwMC43LzMxLzIwMTguTEZSLkYuVVNELkgBAAAAIsGTAAIAAAAJLTMuMzYyMTUyAQgAAAAFAAAAATEBAAAACjE4OTA2MTk2NDgDAAAAAzE2MAIAAAAEMjAyMQQAAAABMAcAAAAJNy8zMS8yMDE4CAAAAAoxMi8zMS8yMDE3CQAAAAEwN9bGuqFU1gjw+qq/oVTWCD9DSVEuTkFTREFRR1M6SU5TTS5JUV9ORVRfV09SS0lOR19DQVAuMjAwMC43LzMxLzIwMTguTEZSLkYuVVNELkgBAAAAGnUAAAIAAAAHLTI0Ljk3NAEIAAAABQAAAAExAQAAAAoxODg2MDQyMzI4AwAAAAMxNjACAAAABDEzMTEEAAAAATAHAAAACTcvMzEvMjAxOAgAAAAJMy8zMS8yMDE4CQAAAAEwN9bGuqFU1gibmKi/oVTWCDxDSVEuTkFTREFRQ006R0FMVC5JUV9UT1RBTF9FUVVJVFkuMTk5Ni43LzMxLzIwMTguTEZSLkYuVVNELkgBAAAAx0EQAAIAAAAFOS42MzUBCAAAAAUAAAABMQEAAAAKMTg4ODI0MjM4NwMAAAADMTYwAgAAAAQxMjc1BAAAAAEwBwAAAAk3LzMxLzIwMTgIAAAACTMvMzEvMjAxNwkAAAABMDfWxrqhVNYIR4S0v6FU1gg9Q0lRLkFTWDoxQUQuSVFfRUJJVERBXzJZUl9BTk5fQ0FHUi4yMDAwLjcvMzEvMjAxOC5MRlIuRi5VU0QuSAEAAADFoKQDAwAAAAAASjyLuqFU1gjMb8C/oVTWCDxDSVEuTkFTREFRR006TU5PVi5JUV9UT1RB</t>
  </si>
  <si>
    <t>TF9FUVVJVFkuMjAwMC43LzMxLzIwMTguTEZSLkYuVVNELkgBAAAAuFSNAAIAAAAJNzUuNTg4OTAzAQgAAAAFAAAAATEBAAAACjE4OTY3NjYxOTEDAAAAAzE2MAIAAAAEMTI3NQQAAAABMAcAAAAJNy8zMS8yMDE4CAAAAAk2LzMwLzIwMTgJAAAAATA31sa6oVTWCKS/r7+hVNYIO0NJUS5OQVNEQVFHUzpJQ1BULklRX1BSRUZfRVFVSVRZLjIwMDAuNy8zMS8yMDE4LkxGUi5GLlVTRC5IAQAAAIKvrQADAAAAAAAEopi7oVTWCFY2pr+hVNYIO0NJUS5OQVNEQVFHTTpDTkFULklRX1BSRUZfRVFVSVRZLjIwMDAuOS8zMC8yMDE2LkxGUi5GLlVTRC5IAQAAAGVn1gEDAAAAAAA31sa6oVTWCHcNvr+hVNYIPENJUS5OQVNEQVFHUzpGR0VOLklRX0VCSVREQV9FU1QuQ1kyMDE4LjcvMzEvMjAxOC5DT04uRi5VU0QuSAEAAABEbwAAAgAAAActODAuNTUzAQ4AAAAFAAAAAjExAQAAAAEwAgAAAAoxMDAyOTI3NDk0AwAAAAYxMDAxODcEAAAAATIGAAAAATAHAAAAAzE2MAgAAAABMAkAAAABMQoAAAABMAsAAAALMTA4NzgxOTY4OTQMAAAAATcNAAAACDgvMS8yMDE4EAAAAAk3LzMxLzIwMTgEopi7oVTWCG8Pn7+hVNYILENJUS5JUVRSMjUzODc3MjAzLklRX1RSX1RBUkdFVF9FQklUREEuLlVTRC5IAQAAANPbIQ8CAAAABTI3NS42AQYAAAAFAAAAAjM3AQAAAAoxNjY1NTQzNDMyAgAAAAUyMTY3NwMAAAADMTYwBAAAAAEwBwAA</t>
  </si>
  <si>
    <t>AAgxLzEvMTkwMAI/2rehVNYIusQmvaFU1gg8Q0lRLk5BU0RBUUdTOlZSVFguSVFfVE9UQUxfRVFVSVRZLjE5OTIuNy8zMS8yMDE4LkxGUi5GLlVTRC5IAQAAAIuNAAACAAAACDExNjguODQ1AQgAAAAFAAAAATEBAAAACjE4NTA5MDI0OTEDAAAAAzE2MAIAAAAEMTI3NQQAAAABMAcAAAAJNy8zMS8yMDE4CAAAAAk2LzMwLzIwMTYJAAAAATAEopi7oVTWCAytnL+hVNYILENJUS5JUVRSMjU2NjgzNjU1LklRX1RSX1RBUkdFVF9FQklUREEuLlVTRC5IAQAAAIeuTA8CAAAAAAACP9q3oVTWCIQ7Hb2hVNYIPkNJUS5OQVNEQVFDTTpHTE1ELklRX0NBU0hfU1RfSU5WRVNULjIwMDAuOS8zMC8yMDE2LkxGUi5GLlVTRC5IAQAAACRn1wYCAAAABjE2LjY4MgEIAAAABQAAAAExAQAAAAoxODAyOTIxNTA4AwAAAAMxNjACAAAABDEwMDIEAAAAATAHAAAACTkvMzAvMjAxNggAAAAJNi8zMC8yMDE2CQAAAAEwN9bGuqFU1gjyIbK/oVTWCDtDSVEuTkFTREFRR1M6SU5TTS5JUV9UT1RBTF9SRVYuQ1kyMDE3LjcvMzEvMjAxOC5MRlIuRi5VU0QuSAEAAAAadQAAAwAAAAAABKKYu6FU1gibmKi/oVTWCD1DSVEuTkFTREFRR1M6SUNQVC5JUV9SRVZFTlVFX0VTVC5DWTIwMTguNy8zMS8yMDE4LkNPTi5GLlVTRC5IAQAAAIKvrQACAAAACTE3OS40MTk4MwEOAAAABQAAAAIxMQEAAAABMAIAAAAKMTAwMTY2NTYwNAMAAAAGMTAwMTgw</t>
  </si>
  <si>
    <t>BAAAAAEyBgAAAAEwBwAAAAMxNjAIAAAAATAJAAAAATEKAAAAATALAAAACzEwOTg2NzkxOTc4DAAAAAE3DQAAAAg4LzEvMjAxOBAAAAAJNy8zMS8yMDE4BKKYu6FU1ghWNqa/oVTWCCFDSVEuSVFUUjI2MzcwNzI4OS5JUV9UUl9CVVlFUk5BTUUBAAAAmdq3DwMAAAAJU2hpcmUgcGxjAAI/2rehVNYIMtkavaFU1gg6Q0lRLk5BU0RBUUdTOklOU00uSVFfRUFSTklOR19DTy4yMDAwLjcvMzEvMjAxOC5MRlIuRi5VU0QuSAEAAAAadQAAAgAAAAgtMjIzLjc1OQEIAAAABQAAAAExAQAAAAoxODg2MDQyMzI4AwAAAAMxNjACAAAAATcEAAAAATAHAAAACTcvMzEvMjAxOAgAAAAJMy8zMS8yMDE4CQAAAAEwN9bGuqFU1gibmKi/oVTWCB1DSVEuMC5JUV9UUl9JTVBMSUVEX0VRX05JX0xUTQUAAAAAAAAACAAAABgoSW52YWxpZCBUcmFuc2FjdGlvbiBJZCkCP9q3oVTWCMWdH72hVNYIL0NJUS5JUVRSMzMwMDMxMTg0LklRX1RSX1RBUkdFVF9UT1RBTF9SRVYuLlVTRC5IAQAAAFDgqxMCAAAAAAACP9q3oVTWCGFiJL2hVNYIFkNJUS4wLklRX1RSX1RPVEFMX0NBU0gFAAAAAAAAAAgAAAAYKEludmFsaWQgVHJhbnNhY3Rpb24gSWQpAj/at6FU1ghhYiS9oVTWCCpDSVEuQU1FWDpBUEhCLklRX01BUktFVENBUC43LzMxLzIwMTguVVNELkgBAAAAIokAAAIAAAAFMTcuMTYBBgAAAAUAAAABMQEAAAAKMTg4OTAxODc4MQMAAAAD</t>
  </si>
  <si>
    <t>MTYwAgAAAAYxMDAwNTQEAAAAATAHAAAACTcvMzEvMjAxOEo8i7qhVNYIF9LCv6FU1gglQ0lRLklRVFI1MzE5MjA1MDcuSVFfVFJfSU1QTElFRF9FUV9CVgEAAAB7drQfAgAAAAAAAj/at6FU1ghhYiS9oVTWCDxDSVEuTkFTREFRQ006TUdFTi5JUV9HUk9TU19NQVJHSU4uMjAwMC43LzMxLzIwMTguTEZSLkYuVVNELkgBAAAAb+KuAgIAAAAJLTE2My4yNTUyAQgAAAAFAAAAATEBAAAACjE4ODc2NzY5MzUDAAAAAzE2MAIAAAAENDA3NAQAAAABMAcAAAAJNy8zMS8yMDE4CAAAAAkzLzMxLzIwMTgJAAAAATA31sa6oVTWCNpIub+hVNYIL0NJUS4uSVFfVE9UQUxfRVFVSVRZLjE5OTIuNy8zMS8yMDE4LkxGUi5GLlVTRC5IBQAAAAEAAAAIAAAAFChJbnZhbGlkIElkZW50aWZpZXIpHKy5vqFU1ggcrLm+oVTWCENDSVEuTkFTREFRQ006UFVMTS5JUV9FQklUREFfM1lSX0FOTl9DQUdSLjIwMDAuNy8zMS8yMDE4LkxGUi5GLlVTRC5IAQAAAJ9smgEDAAAAAk5NAQgAAAAFAAAAATEBAAAACjE4ODgxMTYyMjcDAAAAAzE2MAIAAAAENDIyMgQAAAABMAcAAAAJNy8zMS8yMDE4CAAAAAkzLzMxLzIwMTgJAAAAATBKPIu6oVTWCBfSwr+hVNYIOENJUS5OQVNEQVFHUzpGR0VOLklRX0VCSVREQS5DWTIwMTcuNy8zMS8yMDE4LkxGUi5GLlVTRC5IAQAAAERvAAACAAAABy0xMTYuNTEBCAAAAAUAAAABMQEAAAAKMTg3NjEzNDQ3</t>
  </si>
  <si>
    <t>MwMAAAADMTYwAgAAAAQ0MDUxBAAAAAEwBwAAAAk3LzMxLzIwMTgIAAAACjEyLzMxLzIwMTcJAAAAATAEopi7oVTWCG8Pn7+hVNYIR0NJUS5OQVNEQVFHTTpQUlFSLklRX01JTk9SSVRZX0lOVEVSRVNUX1RPVEFMLjIwMDAuOS8zMC8yMDE2LkxGUi5GLlVTRC5IAQAAAO/sXA0DAAAAAAA31sa6oVTWCNpIub+hVNYIMkNJUS5OWVNFOktETU4uSVFfRUJJVERBLjE5OTYuNy8zMS8yMDE4LkxGUi5GLlVTRC5IAQAAAFPI2QYCAAAABy05OC43OTQBCAAAAAUAAAABMQEAAAAKMTg4NzQ0NTM1MwMAAAADMTYwAgAAAAQ0MDUxBAAAAAEwBwAAAAk3LzMxLzIwMTgIAAAACTMvMzEvMjAxNwkAAAABMDfWxrqhVNYI8Pqqv6FU1ggnQ0lRLk5BU0RBUUdTOklOU00uSVFfQkVUQV8yWVIuNy8zMS8yMDE4AQAAABp1AAACAAAAEDEuNjU1MjYxODg1NTE2NjYAN9bGuqFU1gibmKi/oVTWCDFDSVEuSVFUUjQyODEwMTAzNC5JUV9UUl9UQVJHRVRfUkVWRU5VRV9FU1QuLlVTRC5IAQAAAKpNhBkCAAAAAAACP9q3oVTWCGFiJL2hVNYINUNJUS5OQVNEQVFHUzpJQ1BULklRX0RBX0NGLjIwMDAuNy8zMS8yMDE4LkxGUi5GLlVTRC5IAQAAAIKvrQACAAAABTUuMDg5AQgAAAAFAAAAATEBAAAACjE4ODg2MTU1NDADAAAAAzE2MAIAAAAEMjE2MAQAAAABMAcAAAAJNy8zMS8yMDE4CAAAAAkzLzMxLzIwMTgJAAAAATAEopi7oVTWCFY2pr+h</t>
  </si>
  <si>
    <t>VNYIIkNJUS5JUVRSNDAyMDM0NTY5LklRX1RSX1BDVF9TT1VHSFQBAAAAiY/2FwIAAAADMTAwAAI/2rehVNYIYWIkvaFU1gg1Q0lRLk5BU0RBUUdNOk1OT1YuSVFfQ0FQRVguMTk5Ni43LzMxLzIwMTguTEZSLkYuVVNELkgBAAAAuFSNAAIAAAAJLTAuMDUxMzQ5AQgAAAAFAAAAATEBAAAACjE4OTY3NjYxNzIDAAAAAzE2MAIAAAAEMjAyMQQAAAABMAcAAAAJNy8zMS8yMDE4CAAAAAk2LzMwLzIwMTcJAAAAATA31sa6oVTWCKS/r7+hVNYIJUNJUS5JUVRSMjYzNzA3Mjg5LklRX1RSX01BSl9NSU5fU1RBS0UBAAAAmdq3DwMAAAAITWFqb3JpdHkAAj/at6FU1ggy2Rq9oVTWCDdDSVEuTkFTREFRQ006R0FMVC5JUV9QRVJJT0REQVRFX0lTLjIwMDAuNy8zMS8yMDE4LkxGUi5GAQAAAMdBEAAFAAAACTMvMzEvMjAxOAA31sa6oVTWCEeEtL+hVNYIF0NJUS4wLklRX1RSX1RPVEFMX1NUT0NLBQAAAAAAAAAIAAAAGChJbnZhbGlkIFRyYW5zYWN0aW9uIElkKQI/2rehVNYIYWIkvaFU1ggwQ0lRLk5BU0RBUUdTOkZHRU4uSVFfTEFTVFNBTEVQUklDRS43LzMxLzIwMTguVVNEAQAAAERvAAACAAAABDYzLjEAqkGWu6FU1ggMrZy/oVTWCClDSVEuSVFUUjExNzI5MTQ2NS5JUV9UUl9JTVBMSUVEX0VRX05JX0xUTQEAAADJuf0GAgAAAAAAAj/at6FU1gjFnR+9oVTWCDhDSVEuTkFTREFRQ006UFVMTS5JUV9FQklUREEuQ1ky</t>
  </si>
  <si>
    <t>MDE2LjcvMzEvMjAxOC5MRlIuRi5VU0QuSAEAAACfbJoBAgAAAActMTcuMDgyAQgAAAAFAAAAATEBAAAACjE4NzgxNjQ1OTcDAAAAAzE2MAIAAAAENDA1MQQAAAABMAcAAAAJNy8zMS8yMDE4CAAAAAoxMi8zMS8yMDE2CQAAAAEwSjyLuqFU1ggX0sK/oVTWCDxDSVEuTkFTREFRR006Q05BVC5JUV9HUk9TU19NQVJHSU4uMjAwMC43LzMxLzIwMTguTEZSLkYuVVNELkgBAAAAZWfWAQIAAAAILTI0LjI5MzQBCAAAAAUAAAABMQEAAAAKMTg4NjYxNzM0MAMAAAADMTYwAgAAAAQ0MDc0BAAAAAEwBwAAAAk3LzMxLzIwMTgIAAAACTMvMzEvMjAxOAkAAAABMDfWxrqhVNYIIqu7v6FU1ggdQ0lRLkFNRVg6QVBIQi5JUV9DT01QQU5ZX05BTUUBAAAAIokAAAMAAAAgQW1wbGlQaGkgQmlvc2NpZW5jZXMgQ29ycG9yYXRpb24ASjyLuqFU1ggrSm69oVTWCB1DSVEuTllTRTpLRE1OLklRX0NPTVBBTllfTkFNRQEAAABTyNkGAwAAABVLYWRtb24gSG9sZGluZ3MsIEluYy4AN9bGuqFU1gj/wGS9oVTWCD9DSVEuTkFTREFRR1M6SUNQVC5JUV9ORVRfV09SS0lOR19DQVAuMTk5Mi43LzMxLzIwMTguTEZSLkYuVVNELkgBAAAAgq+tAAIAAAAHLTgxLjE2NQEIAAAABQAAAAExAQAAAAoxODQxODQyODY4AwAAAAMxNjACAAAABDEzMTEEAAAAATAHAAAACTcvMzEvMjAxOAgAAAAJMy8zMS8yMDE2CQAAAAEwBKKYu6FU1ghWNqa/oVTW</t>
  </si>
  <si>
    <t>CCpDSVEuRU5YVEFNOkdMUEcuSVFfTEFTVFNBTEVQUklDRS45LzMwLzIwMTYBAAAAsjEaAAIAAAAJNjQuMjE2MjY1AKpBlruhVNYItnGhv6FU1ggnQ0lRLk5BU0RBUUdTOklDUFQuSVFfQkVUQV81WVIuNy8zMS8yMDE4AQAAAIKvrQACAAAAES0xLjYzMTI1MDc5ODI5MDE2AASimLuhVNYIVjamv6FU1gg9Q0lRLk5BU0RBUUNNOlBVTE0uSVFfUkVWRU5VRV9FU1QuQ1kyMDIxLjcvMzEvMjAxOC5DT04uRi5VU0QuSAEAAACfbJoBAgAAAAEwAQ4AAAAFAAAAAjExAQAAAAEwAgAAAAoxMDAzMTQwNTc1AwAAAAYxMDAxODAEAAAAATIGAAAAATAHAAAAAzE2MAgAAAABMAkAAAABMQoAAAABMAsAAAALMTA3OTAzMTYzMDAMAAAAATcNAAAACDgvMS8yMDE4EAAAAAk3LzMxLzIwMThKPIu6oVTWCBfSwr+hVNYILUNJUS4uSVFfVE9UQUxfREVCVC4yMDAwLjcvMzEvMjAxOC5MRlIuRi5VU0QuSAUAAAABAAAACAAAABQoSW52YWxpZCBJZGVudGlmaWVyKRysub6hVNYIHKy5vqFU1ggxQ0lRLk5ZU0U6S0RNTi5JUV9DQVBFWC4yMDAwLjcvMzEvMjAxOC5MRlIuRi5VU0QuSAEAAABTyNkGAgAAAAYtMC41MjMBCAAAAAUAAAABMQEAAAAKMTg4NzQ0NTM1NQMAAAADMTYwAgAAAAQyMDIxBAAAAAEwBwAAAAk3LzMxLzIwMTgIAAAACTMvMzEvMjAxOAkAAAABMDfWxrqhVNYIVV2tv6FU1gg1Q0lRLk5BU0RBUUNNOkdBTFQuSVFfQ0FQ</t>
  </si>
  <si>
    <t>RVguMTk5Ni43LzMxLzIwMTguTEZSLkYuVVNELkgBAAAAx0EQAAMAAAAAADfWxrqhVNYIR4S0v6FU1gg2Q0lRLkFTWDpJTUMuSVFfVE9UQUxfRVFVSVRZLjE5OTYuNy8zMS8yMDE4LkxGUi5GLlVTRC5IAQAAAPNMdQACAAAACDIuNTY5MzY5AQgAAAAFAAAAATEBAAAACjE4Nzc2NTA5ODkDAAAAAzE2MAIAAAAEMTI3NQQAAAABMAcAAAAJNy8zMS8yMDE4CAAAAAoxMi8zMS8yMDE2CQAAAAEwSjyLuqFU1gh3Db6/oVTWCDxDSVEuRU5YVFBBOkdORlQuSVFfQ0FTSF9TVF9JTlZFU1QuMjAwMC43LzMxLzIwMTguTEZSLkYuVVNELkgBAAAAIsGTAAIAAAAKMzI4Ljc5NDQyOAEIAAAABQAAAAExAQAAAAoxODkwNjE5NjQ4AwAAAAMxNjACAAAABDEwMDIEAAAAATAHAAAACTcvMzEvMjAxOAgAAAAKMTIvMzEvMjAxNwkAAAABMDfWxrqhVNYIm5iov6FU1ghGQ0lRLk5BU0RBUUNNOk1HRU4uSVFfVE9UQUxfUkVWXzJZUl9BTk5fQ0FHUi4yMDAwLjcvMzEvMjAxOC5MRlIuRi5VU0QuSAEAAABv4q4CAwAAAAAAN9bGuqFU1ggiq7u/oVTWCCdDSVEuTkFTREFRQ006R0FMVC5JUV9CRVRBXzJZUi43LzMxLzIwMTgBAAAAx0EQAAIAAAAQMy4wNzc0ODY1ODY0NzE4OQA31sa6oVTWCEeEtL+hVNYILkNJUS5JUVRSMzQ3NTkxNTkxLklRX1RSX1RBUkdFVF9TVE9DS1BSRU1JVU1fMVcBAAAAp9O3FAIAAAAAAAI/2rehVNYIMtkavaFU</t>
  </si>
  <si>
    <t>1gguQ0lRLkVOWFRBTTpHTFBHLklRX0xBU1RTQUxFUFJJQ0UuNy8zMS8yMDE4LlVTRAEAAACyMRoAAgAAAAoxMTAuMjYzMzEyAKpBlruhVNYItnGhv6FU1gg2Q0lRLk5BU0RBUUdNOkNSQlAuSVFfRUJJVERBLjIwMDAuNy8zMS8yMDE4LkxGUi5GLlVTRC5IAQAAACRvJA8CAAAACi0zNi42NjkxNjcBCAAAAAUAAAABMQEAAAAKMTg4ODU5MDM4MQMAAAADMTYwAgAAAAQ0MDUxBAAAAAEwBwAAAAk3LzMxLzIwMTgIAAAACTMvMzEvMjAxOAkAAAABMDfWxrqhVNYIlea2v6FU1gg/Q0lRLk5BU0RBUUNNOkdBTFQuSVFfTkVUX1dPUktJTkdfQ0FQLjE5OTIuNy8zMS8yMDE4LkxGUi5GLlVTRC5IAQAAAMdBEAACAAAABi0yLjgyNQEIAAAABQAAAAExAQAAAAoxODQyMjE0NDg1AwAAAAMxNjACAAAABDEzMTEEAAAAATAHAAAACTcvMzEvMjAxOAgAAAAJMy8zMS8yMDE2CQAAAAEwN9bGuqFU1ghHhLS/oVTWCDZDSVEuTkFTREFRR1M6SUNQVC5JUV9FQklUREEuMTk5Mi43LzMxLzIwMTguTEZSLkYuVVNELkgBAAAAgq+tAAIAAAAILTI2OS43NzIBCAAAAAUAAAABMQEAAAAKMTg0MTg0Mjg2OAMAAAADMTYwAgAAAAQ0MDUxBAAAAAEwBwAAAAk3LzMxLzIwMTgIAAAACTMvMzEvMjAxNgkAAAABMASimLuhVNYIVjamv6FU1gg7Q0lRLk5BU0RBUUNNOk1ER0wuSVFfRUJJVF9NQVJHSU4uMjAwMC43LzMxLzIwMTguTEZSLkYuVVNE</t>
  </si>
  <si>
    <t>LkgBAAAATJujCAMAAAAAAASimLuhVNYIAdSjv6FU1gg+Q0lRLk5BU0RBUUdTOlNWUkEuSVFfQ0FTSF9TVF9JTlZFU1QuMjAwMC43LzMxLzIwMTguTEZSLkYuVVNELkgBAAAAdX+HAwIAAAAGODUuMTc0AQgAAAAFAAAAATEBAAAACjE4ODc3NjMwNzUDAAAAAzE2MAIAAAAEMTAwMgQAAAABMAcAAAAJNy8zMS8yMDE4CAAAAAkzLzMxLzIwMTgJAAAAATA31sa6oVTWCKS/r7+hVNYIKUNJUS5JUVRSMzEzMjUxODc3LklRX0JVU0lORVNTX0RFU0NSSVBUSU9OAQAAACdTsgEDAAAAlAVBZGhlcm9uIFRoZXJhcGV1dGljcywgSW5jLiBkZXZlbG9wcyBwaGFybWFjZXV0aWNhbHMgZm9yIHRoZSB0cmVhdG1lbnQgb2YgcmhldW1hdG9pZCBhcnRocml0aXMgYW5kIGZpYnJvdGljIGRpc2Vhc2VzLiBJdHMgcHJvZHVjdCBTRFAwNTEsIGlzIGEgQ2FkLTExIGFudGFnb25pc3QgdGhhdCBhY3RzIGFzIGFuIGFkaGVzaXZlIGJldHdlZW4gY2VsbHMgYW5kIGNoYW5nZXMgaW4gdGhlc2UgQ2FkLTExIGludGVyYWN0aW9ucyBjYW4gaW5kdWNlIHRoZSBjZWxscyB0byBwcm9kdWNlIG1hbnkgcHJvdGVpbnMgdGhhdCBpbmZsdWVuY2UgdGhlIGNlbGx1bGFyIGVudmlyb25tZW50IHBvc2l0aXZlbHkgb3IgYWR2ZXJzZWx5LiBUaGUgY29tcGFueSdzIHByb2R1Y3QgaXMgdXNlZCBpbiBwdWxtb25hcnkgZmlicm9zaXMgYW5kIHNraW4g</t>
  </si>
  <si>
    <t>Zmlicm9zaXMuIEFkaGVyb24gVGhlcmFwZXV0aWNzLCBJbmMuIHdhcyBmb3JtZXJseSBrbm93biBhcyBTeW5vdmV4IENvcnBvcmF0aW9uLiBUaGUgY29tcGFueSB3YXMgaW5jb3Jwb3JhdGVkIGluIDIwMDMgYW5kIGlzIGJhc2VkIGluIEJlcmtlbGV5LCBDYWxpZm9ybmlhLiBBcyBvZiBPY3RvYmVyLCAyMDE1LCBBZGhlcm9uIFRoZXJhcGV1dGljcywgSW5jLiBvcGVyYXRlcyBhcyBhIHN1YnNpZGlhcnkgb2YgUm9jaGUgSG9sZGluZyBBRy4AAj/at6FU1gjFnR+9oVTWCDVDSVEuTkFTREFRR1M6SUNQVC5JUV9DQVBFWC4xOTk2LjcvMzEvMjAxOC5MRlIuRi5VU0QuSAEAAACCr60AAgAAAAYtNi42OTcBCAAAAAUAAAABMQEAAAAKMTg4ODYxNTUxOQMAAAADMTYwAgAAAAQyMDIxBAAAAAEwBwAAAAk3LzMxLzIwMTgIAAAACTMvMzEvMjAxNwkAAAABMASimLuhVNYIVjamv6FU1ggpQ0lRLklRMzYxODM4MjUuSVFfTEFTVFNBTEVQUklDRS43LzMxLzIwMTgBAAAAER8oAgIAAAAEMi42NwACP9q3oVTWCDLZGr2hVNYIJUNJUS5JUVRSMjU2NjgzNjU1LklRX1BSSU1BUllfSU5EVVNUUlkBAAAAwl0IAwMAAAAPUGhhcm1hY2V1dGljYWxzAAI/2rehVNYIhDsdvaFU1ggeQ0lRLklRMzYxODM4MjUuSVFfQ09NUEFOWV9OQU1FAQAAABEfKAIDAAAAMVVuaXRlZCBTdGF0ZXMgVHJlYXN1cnkgQ29uc3RhbnQgTWF0dXJpdHkg</t>
  </si>
  <si>
    <t>LSAyIFllYXIAAj/at6FU1giY6Ue4oVTWCCJDSVEuLklRX1RSX1RBUkdFVF9UT1RBTF9SRVYuLlVTRC5IBQAAAAEAAAAIAAAAFChJbnZhbGlkIElkZW50aWZpZXIpqkGWu6FU1giqQZa7oVTWCEdDSVEuTkFTREFRR1M6U1ZSQS5JUV9NSU5PUklUWV9JTlRFUkVTVF9UT1RBTC4yMDAwLjcvMzEvMjAxOC5MRlIuRi5VU0QuSAEAAAB1f4cDAwAAAAAAN9bGuqFU1gikv6+/oVTWCCNDSVEuSVFUUjE3MDIyOTM4Ni5JUV9UUl9UT1RBTF9TVE9DSwEAAACKfiUKAgAAAAAAAj/at6FU1ghhYiS9oVTWCCdDSVEuTkFTREFRQ006UFVMTS5JUV9QRVJJT0REQVRFX0lTLjEwMDABAAAAn2yaAQUAAAAKMTIvMzEvMjAxNwBKPIu6oVTWCBfSwr+hVNYIKkNJUS5JUVRSMTE3MjkxNDY1LklRX1RSX1RBUkdFVF9FQklULi5VU0QuSAEAAADJuf0GAgAAAAAAAj/at6FU1ghhYiS9oVTWCDhDSVEuTllTRTpLRE1OLklRX0VBUk5JTkdfQ08uQ1kyMDE3LjcvMzEvMjAxOC5MRlIuRi5VU0QuSAEAAABTyNkGAgAAAActNzkuNzc0AQgAAAAFAAAAATEBAAAACjE4NzcxODEyNzIDAAAAAzE2MAIAAAABNwQAAAABMAcAAAAJNy8zMS8yMDE4CAAAAAoxMi8zMS8yMDE3CQAAAAEwN9bGuqFU1ghVXa2/oVTWCDFDSVEuSVFUUjI1Mzg3NzIwMy5JUV9UUl9UQVJHRVRfUkVWRU5VRV9FU1QuLlVTRC5IAQAAANPbIQ8CAAAAAAACP9q3oVTWCLrEJr2h</t>
  </si>
  <si>
    <t>VNYIP0NJUS5OQVNEQVFHUzpWUlRYLklRX05FVF9XT1JLSU5HX0NBUC4xOTk2LjcvMzEvMjAxOC5MRlIuRi5VU0QuSAEAAACLjQAAAgAAAActOTUuMzA1AQgAAAAFAAAAATEBAAAACjE4OTcyOTM1OTEDAAAAAzE2MAIAAAAEMTMxMQQAAAABMAcAAAAJNy8zMS8yMDE4CAAAAAk2LzMwLzIwMTcJAAAAATAEopi7oVTWCAytnL+hVNYIJUNJUS5JUVRSNDAxOTc5Njg5LklRX1BSSU1BUllfSU5EVVNUUlkBAAAACE79AQMAAAANQmlvdGVjaG5vbG9neQACP9q3oVTWCIQ7Hb2hVNYIOUNJUS5OQVNEQVFHUzpWUlRYLklRX1RPVEFMX1JFVi4yMDAwLjcvMzEvMjAxOC5MRlIuRi5VU0QuSAEAAACLjQAAAgAAAAgyNjIyLjc1NQEIAAAABQAAAAExAQAAAAoxODk3MjkzNTkwAwAAAAMxNjACAAAAAjI4BAAAAAEwBwAAAAk3LzMxLzIwMTgIAAAACTYvMzAvMjAxOAkAAAABMASimLuhVNYIDK2cv6FU1gg6Q0lRLk5BU0RBUUNNOkdBTFQuSVFfRUFSTklOR19DTy4yMDAwLjcvMzEvMjAxOC5MRlIuRi5VU0QuSAEAAADHQRAAAgAAAActMTUuNTU2AQgAAAAFAAAAATEBAAAACjE4ODgyNDIzOTYDAAAAAzE2MAIAAAABNwQAAAABMAcAAAAJNy8zMS8yMDE4CAAAAAkzLzMxLzIwMTgJAAAAATA31sa6oVTWCEeEtL+hVNYII0NJUS5FTlhUUEE6R05GVC5JUV9GSVJTVFBSSUNJTkdEQVRFAQAAACLBkwAFAAAACjEyLzIwLzIwMDYAN9bG</t>
  </si>
  <si>
    <t>uqFU1ggBJym9oVTWCDxDSVEuTkFTREFRQ006UFVMTS5JUV9FQklUREFfRVNULkNZMjAxOC43LzMxLzIwMTguQ09OLkYuVVNELkgBAAAAn2yaAQMAAAAAAEo8i7qhVNYIF9LCv6FU1gg3Q0lRLihJTlZBTElEIElERU5USUZJRVIpLklRX0xBU1RTQUxFUFJJQ0UuNy8zMS8yMDE4LlVTRAUAAAAAAAAACAAAABQoSW52YWxpZCBJZGVudGlmaWVyKUo8i7qhVNYIx7vtv6FU1gg4Q0lRLkFTWDpJTUMuSVFfQ0FTSF9TVF9JTlZFU1QuMjAwMC45LzMwLzIwMTYuTEZSLkYuVVNELkgBAAAA80x1AAIAAAAIMS43MDY0MzkBCAAAAAUAAAABMQEAAAAKMTgwODMyNjkxNAMAAAADMTYwAgAAAAQxMDAyBAAAAAEwBwAAAAk5LzMwLzIwMTYIAAAACTYvMzAvMjAxNgkAAAABMEo8i7qhVNYIzG/Av6FU1gguQ0lRLklRVFI0MjgxMDEwMzQuSVFfVFJfVEFSR0VUX1NUT0NLUFJFTUlVTV8xVwEAAACqTYQZAgAAAAAAAj/at6FU1ggy2Rq9oVTWCD1DSVEuTkFTREFRR006Q1JCUC5JUV9SRVZFTlVFX0VTVC5DWTIwMTguNy8zMS8yMDE4LkNPTi5GLlVTRC5IAQAAACRvJA8CAAAABTQuMjc1AQ4AAAAFAAAAAjExAQAAAAEwAgAAAAoxMDAzMTc4NTI5AwAAAAYxMDAxODAEAAAAATIGAAAAATAHAAAAAzE2MAgAAAABMAkAAAABMQoAAAABMAsAAAALMTA5NTQ0ODk5NjAMAAAAATcNAAAACDgvMS8yMDE4EAAAAAk3LzMxLzIwMTg31sa6oVTW</t>
  </si>
  <si>
    <t>CJXmtr+hVNYIK0NJUS5JUVRSNDAxOTc5Njg5LklRX1RSX0lNUExJRURfRVZfRUJJVF9GV0QBAAAAKbn1FwMAAAACTk0AAj/at6FU1ghhYiS9oVTWCERDSVEuKElOVkFMSUQgSURFTlRJRklFUikuSVFfRUJJVERBX01BUkdJTi4yMDAwLjcvMzEvMjAxOC5MRlIuRi5VU0QuSAUAAAAAAAAACAAAABQoSW52YWxpZCBJZGVudGlmaWVyKUo8i7qhVNYIx7vtv6FU1ggUQ0lRLjAuSVFfVFJfRUFSTk9VVFMFAAAAAAAAAAgAAAAYKEludmFsaWQgVHJhbnNhY3Rpb24gSWQpAj/at6FU1gi6xCa9oVTWCBVDSVEuLklRX1RSX1RPVEFMX0NBU0gFAAAAAQAAAAgAAAAUKEludmFsaWQgSWRlbnRpZmllcimqQZa7oVTWCKpBlruhVNYIJENJUS5OQVNEQVFDTTpNREdMLklRX0VGRkVDVF9UQVhfUkFURQEAAABMm6MIAwAAAAAABKKYu6FU1ggB1KO/oVTWCDxDSVEuTkFTREFRR006UFJRUi5JUV9UT1RBTF9FUVVJVFkuMTk5Ni43LzMxLzIwMTguTEZSLkYuVVNELkgBAAAA7+xcDQIAAAAJNTYuMDkyMDUxAQgAAAAFAAAAATEBAAAACjE4ODA5ODE5OTgDAAAAAzE2MAIAAAAEMTI3NQQAAAABMAcAAAAJNy8zMS8yMDE4CAAAAAoxMi8zMS8yMDE2CQAAAAEwN9bGuqFU1gjaSLm/oVTWCDpDSVEuTkFTREFRR006TU5PVi5JUV9UT1RBTF9ERUJULjIwMDAuOS8zMC8yMDE2LkxGUi5GLlVTRC5IAQAAALhUjQACAAAAATABCAAAAAUAAAAB</t>
  </si>
  <si>
    <t>MQEAAAAKMTgwMDM4MDA0MAMAAAADMTYwAgAAAAQ0MTczBAAAAAEwBwAAAAk5LzMwLzIwMTYIAAAACTYvMzAvMjAxNgkAAAABMDfWxrqhVNYIpL+vv6FU1gg8Q0lRLk5BU0RBUUdTOklOU00uSVFfVE9UQUxfRVFVSVRZLjE5OTIuNy8zMS8yMDE4LkxGUi5GLlVTRC5IAQAAABp1AAACAAAABzI4Mi40NjMBCAAAAAUAAAABMQEAAAAKMTgzOTc2MjI1MgMAAAADMTYwAgAAAAQxMjc1BAAAAAEwBwAAAAk3LzMxLzIwMTgIAAAACTMvMzEvMjAxNgkAAAABMDfWxrqhVNYIm5iov6FU1gg0Q0lRLkFTWDpJTUMuSVFfRUFSTklOR19DTy4yMDAwLjcvMzEvMjAxOC5MRlIuRi5VU0QuSAEAAADzTHUAAgAAAAktNC4xMjk2MjcBCAAAAAUAAAABMQEAAAAKMTg3NzY1MDA5NgMAAAADMTYwAgAAAAE3BAAAAAEwBwAAAAk3LzMxLzIwMTgIAAAACjEyLzMxLzIwMTcJAAAAATBKPIu6oVTWCHcNvr+hVNYIJ0NJUS5OQVNEQVFDTTpNR0VOLklRX0JFVEFfMllSLjcvMzEvMjAxOAEAAABv4q4CAgAAABAxLjk5NTYyMDA5NDUzNzEyADfWxrqhVNYIIqu7v6FU1ggnQ0lRLk5BU0RBUUNNOkdMTUQuSVFfQkVUQV81WVIuNy8zMS8yMDE4AQAAACRn1wYCAAAAEDIuNzE2NjUyMTcxNDI3MzgAN9bGuqFU1gjyIbK/oVTWCDxDSVEuTkFTREFRQ006TURHTC5JUV9UT1RBTF9FUVVJVFkuMTk5Ni43LzMxLzIwMTguTEZSLkYuVVNELkgBAAAATJuj</t>
  </si>
  <si>
    <t>CAIAAAAGMzQuNDUxAQgAAAAFAAAAATEBAAAACjE4ODc4MTQwOTIDAAAAAzE2MAIAAAAEMTI3NQQAAAABMAcAAAAJNy8zMS8yMDE4CAAAAAkzLzMxLzIwMTcJAAAAATAEopi7oVTWCAHUo7+hVNYIPkNJUS5OQVNEQVFHUzpJQ1BULklRX1RPVEFMX0VRVUlUWS5DWTIwMTYuNy8zMS8yMDE4LkxGUi5GLlVTRC5IAQAAAIKvrQACAAAABzMxNC45MzIBCAAAAAUAAAABMQEAAAAKMTg3NzAxMTQ2MAMAAAADMTYwAgAAAAQxMjc1BAAAAAEwBwAAAAk3LzMxLzIwMTgIAAAACjEyLzMxLzIwMTYJAAAAATAEopi7oVTWCFY2pr+hVNYIPUNJUS5OQVNEQVFDTTpNR0VOLklRX1JFVkVOVUVfRVNULkNZMjAxOS43LzMxLzIwMTguQ09OLkYuVVNELkgBAAAAb+KuAgIAAAAHMi4yNTIyNQEOAAAABQAAAAIxMQEAAAABMAIAAAAKMTAwMzYzMDU3NQMAAAAGMTAwMTgwBAAAAAEyBgAAAAEwBwAAAAMxNjAIAAAAATAJAAAAATEKAAAAATALAAAACzEwODg2MjUxNjk4DAAAAAE3DQAAAAg4LzEvMjAxOBAAAAAJNy8zMS8yMDE4N9bGuqFU1gjaSLm/oVTWCDxDSVEuTkFTREFRQ006R0xNRC5JUV9FQklUREFfRVNULkNZMjAxOC43LzMxLzIwMTguQ09OLkYuVVNELkgBAAAAJGfXBgMAAAAAADfWxrqhVNYI8iGyv6FU1gg9Q0lRLk5BU0RBUUdTOklOU00uSVFfUkVWRU5VRV9FU1QuQ1kyMDE4LjcvMzEvMjAxOC5DT04uRi5VU0QuSAEAAAAa</t>
  </si>
  <si>
    <t>dQAAAgAAAAcxLjk1NjI1AQ4AAAAFAAAAAjExAQAAAAEwAgAAAAoxMDAxMDAxNDc1AwAAAAYxMDAxODAEAAAAATIGAAAAATAHAAAAAzE2MAgAAAABMAkAAAABMQoAAAABMAsAAAALMTA5ODQzMzc2MTUMAAAAATcNAAAACDgvMS8yMDE4EAAAAAk3LzMxLzIwMTgEopi7oVTWCJuYqL+hVNYIPENJUS5OQVNEQVFHTTpQUlFSLklRX0VCSVREQV9FU1QuQ1kyMDIwLjcvMzEvMjAxOC5DT04uRi5VU0QuSAEAAADv7FwNAwAAAAAAN9bGuqFU1gjaSLm/oVTWCCVDSVEuRU5YVFBBOkdORlQuSVFfQkVUQV8xWVIuNy8zMS8yMDE4AQAAACLBkwACAAAAEDEuMTkzNjA1MjY3Mzg1NTcAN9bGuqFU1gjw+qq/oVTWCCtDSVEuRU5YVFBBOkdORlQuSVFfRElWSURFTkRfWUlFTEQuNy8zMS8yMDE4AQAAACLBkwADAAAAAAA31sa6oVTWCPD6qr+hVNYIOkNJUS5OQVNEQVFHTTpQUlFSLklRX0VBUk5JTkdfQ08uMTk5Mi43LzMxLzIwMTguTEZSLkYuVVNELkgBAAAA7+xcDQIAAAAKLTIyLjYyNTAzNAEIAAAABQAAAAExAQAAAAoxODgwOTgxODUyAwAAAAMxNjACAAAAATcEAAAAATAHAAAACTcvMzEvMjAxOAgAAAAKMTIvMzEvMjAxNQkAAAABMDfWxrqhVNYI2ki5v6FU1gg5Q0lRLk5BU0RBUUNNOk1HRU4uSVFfTklfTUFSR0lOLjIwMDAuNy8zMS8yMDE4LkxGUi5GLlVTRC5IAQAAAG/irgICAAAACS0yOTAuNjA2NgEIAAAABQAAAAEx</t>
  </si>
  <si>
    <t>AQAAAAoxODg3Njc2OTM1AwAAAAMxNjACAAAABDQwOTQEAAAAATAHAAAACTcvMzEvMjAxOAgAAAAJMy8zMS8yMDE4CQAAAAEwN9bGuqFU1ggiq7u/oVTWCDVDSVEuQU1FWDpBUEhCLklRX1RPVEFMX1JFVi4xOTk2LjcvMzEvMjAxOC5MRlIuRi5VU0QuSAEAAAAiiQAAAgAAAAUwLjE4MwEIAAAABQAAAAExAQAAAAoxODg5MDE4ODQyAwAAAAMxNjACAAAAAjI4BAAAAAEwBwAAAAk3LzMxLzIwMTgIAAAACTMvMzEvMjAxNwkAAAABMEo8i7qhVNYIF9LCv6FU1gg5Q0lRLkFTWDpJTUMuSVFfTkVUX1dPUktJTkdfQ0FQLjIwMDAuNy8zMS8yMDE4LkxGUi5GLlVTRC5IAQAAAPNMdQACAAAACDMuNDU1MTMzAQgAAAAFAAAAATEBAAAACjE4Nzc2NTAwOTYDAAAAAzE2MAIAAAAEMTMxMQQAAAABMAcAAAAJNy8zMS8yMDE4CAAAAAoxMi8zMS8yMDE3CQAAAAEwSjyLuqFU1gh3Db6/oVTWCCdDSVEuTkFTREFRR1M6SU5TTS5JUV9QRVJJT0REQVRFX0lTLjEwMDABAAAAGnUAAAUAAAAKMTIvMzEvMjAxNwAEopi7oVTWCFY2pr+hVNYIOUNJUS5BTUVYOkFQSEIuSVFfUkVWRU5VRV9FU1QuQ1kyMDIwLjcvMzEvMjAxOC5DT04uRi5VU0QuSAEAAAAiiQAAAgAAAAQ4Ljg1AQ4AAAAFAAAAAjExAQAAAAEwAgAAAAoxMDAzMzM0Nzc4AwAAAAYxMDAxODAEAAAAATIGAAAAATAHAAAAAzE2MAgAAAABMAkAAAABMQoAAAABMAsAAAALMTA5</t>
  </si>
  <si>
    <t>MjMyMzQwOTMMAAAAATcNAAAACDgvMS8yMDE4EAAAAAk3LzMxLzIwMThKPIu6oVTWCO00xb+hVNYIMkNJUS4uSVFfTkVUX1dPUktJTkdfQ0FQLjE5OTYuNy8zMS8yMDE4LkxGUi5GLlVTRC5IBQAAAAEAAAAIAAAAFChJbnZhbGlkIElkZW50aWZpZXIpHKy5vqFU1ggcrLm+oVTWCCBDSVEuSVEzNjE4Mzg0My5JUV9MQVNUU0FMRVBSSUNFLgEAAAAjHygCAgAAAAQzLjMyAKpBlruhVNYIqkGWu6FU1gg3Q0lRLkFTWDoxQUQuSVFfUkVWRU5VRV9FU1QuQ1kyMDE4LjcvMzEvMjAxOC5DT04uRi5VU0QuSAEAAADFoKQDAwAAAAAASjyLuqFU1gjMb8C/oVTWCC9DSVEuSVFUUjI1NjY4MzY1NS5JUV9UUl9UQVJHRVRfVE9UQUxfUkVWLi5VU0QuSAEAAACHrkwPAgAAAAAAAj/at6FU1gjFnR+9oVTWCDBDSVEuSVFUUjMxMzI1MTg3Ny5JUV9UUl9UQVJHRVRfRUJJVERBX0VTVC4uVVNELkgBAAAAJdirEgIAAAAAAAI/2rehVNYIxZ0fvaFU1ggiQ0lRLkVOWFRBTTpHTFBHLklRX0VGRkVDVF9UQVhfUkFURQEAAACyMRoAAwAAAAJOTQEIAAAABQAAAAExAQAAAAoxOTE1OTc4OTkwAwAAAAI1MAIAAAAENDM3NgQAAAABMAcAAAAKMTEvMjcvMjAxOAgAAAAJOS8zMC8yMDE4CQAAAAEwBKKYu6FU1gi2caG/oVTWCDtDSVEuTkFTREFRR1M6SUNQVC5JUV9FQklUX01BUkdJTi4yMDAwLjcvMzEvMjAxOC5MRlIuRi5VU0QuSAEAAACC</t>
  </si>
  <si>
    <t>r60AAgAAAAktMjIwLjY3NzgBCAAAAAUAAAABMQEAAAAKMTg4ODYxNTU0MAMAAAADMTYwAgAAAAQ0MDUzBAAAAAEwBwAAAAk3LzMxLzIwMTgIAAAACTMvMzEvMjAxOAkAAAABMASimLuhVNYIVjamv6FU1ggiQ0lRLklRVFIyNjM3MDcyODkuSVFfVFJfUENUX1NPVUdIVAEAAACZ2rcPAgAAAAMxMDAAAj/at6FU1gjFnR+9oVTWCDtDSVEuTkFTREFRR1M6RkdFTi5JUV9UT1RBTF9SRVYuQ1kyMDE2LjcvMzEvMjAxOC5MRlIuRi5VU0QuSAEAAABEbwAAAgAAAAcxNzkuNTc3AQgAAAAFAAAAATEBAAAACjE4NzYxMzQ0NjkDAAAAAzE2MAIAAAACMjgEAAAAATAHAAAACTcvMzEvMjAxOAgAAAAKMTIvMzEvMjAxNgkAAAABMASimLuhVNYIbw+fv6FU1ghAQ0lRLihJTlZBTElEIElERU5USUZJRVIpLklRX05JX01BUkdJTi4yMDAwLjcvMzEvMjAxOC5MRlIuRi5VU0QuSAUAAAAAAAAACAAAABQoSW52YWxpZCBJZGVudGlmaWVyKUo8i7qhVNYIx7vtv6FU1ghHQ0lRLk5BU0RBUUNNOlBVTE0uSVFfTUlOT1JJVFlfSU5URVJFU1RfVE9UQUwuMjAwMC45LzMwLzIwMTYuTEZSLkYuVVNELkgBAAAAn2yaAQMAAAAAAEo8i7qhVNYIF9LCv6FU1gg2Q0lRLkFTWDpJTUMuSVFfRUJJVERBX0VTVC5DWTIwMjAuNy8zMS8yMDE4LkNPTi5GLlVTRC5IAQAAAPNMdQADAAAAAAA31sa6oVTWCHcNvr+hVNYIKENJUS5OQVNEQVFDTTpNR0VO</t>
  </si>
  <si>
    <t>LklRX1RFVi43LzMxLzIwMTguVVNELkgBAAAAb+KuAgIAAAAKMTM1LjQxNTU5NAEGAAAABQAAAAExAQAAAAoxODg3Njc2NTg1AwAAAAMxNjACAAAABjEwMDA2MAQAAAABMAcAAAAJNy8zMS8yMDE4N9bGuqFU1gjaSLm/oVTWCClDSVEuSVFUUjI1Mzg3NzIwMy5JUV9CVVNJTkVTU19ERVNDUklQVElPTgEAAAB8e/oEAwAAAPYOQXB0YWxpcyBIb2xkaW5ncyBJbmMuIGRldmVsb3BzLCBtYW51ZmFjdHVyZXMsIGxpY2Vuc2VzLCBhbmQgbWFya2V0cyB0aGVyYXBpZXMgZm9yIGN5c3RpYyBmaWJyb3NpcyAoQ0YpIGFuZCBnYXN0cm9pbnRlc3RpbmFsIGRpc29yZGVycy4gSXRzIHByaW5jaXBhbCBwcm9kdWN0cyBpbmNsdWRlIFpFTlBFUCBhbmQgVUxUUkVTQSBmb3IgdGhlIHRyZWF0bWVudCBvZiBleG9jcmluZSBwYW5jcmVhdGljIGluc3VmZmljaWVuY3kgKEVQSSkgZHVlIHRvIENGIG9yIG90aGVyIGNvbmRpdGlvbnM7IFZJT0tBQ0UgZm9yIHRoZSB0cmVhdG1lbnQgb2YgRVBJIGR1ZSB0byBjaHJvbmljIHBhbmNyZWF0aXRpcyBvciBwYW5jcmVhdGVjdG9teSBpbiBhZHVsdHM7IFBBTlpZVFJBVCBmb3IgdGhlIHRyZWF0bWVudCBvZiBFUEkgYW5kIHBhbmNyZWF0aWMgZW56eW1lIGRlZmljaWVuY3k7IGFuZCBSRUNUSVYgZm9yIHRoZSB0cmVhdG1lbnQgb2YgbW9kZXJhdGUgdG8gc2V2ZXJlIHBhaW4gYXNzb2Np</t>
  </si>
  <si>
    <t>YXRlZCB3aXRoIGNocm9uaWMgYW5hbCBmaXNzdXJlLiBUaGUgY29tcGFueeKAmXMgcHJvZHVjdHMgYWxzbyBjb21wcmlzZSBDQVJBRkFURSBmb3IgdGhlIHNob3J0LXRlcm0gdHJlYXRtZW50IG9mIGFjdGl2ZSBkdW9kZW5hbCB1bGNlcnM7IFBZTEVSQSBmb3IgdGhlIHRyZWF0bWVudCBvZiBwYXRpZW50cyB3aXRoIGhlbGljb2JhY3RlciBweWxvcmksIGluZmVjdGlvbiwgYW5kIGR1b2RlbmFsIHVsY2VyIGRpc2Vhc2U7IENBTkFTQSBmb3IgdC5oZSBzaG9ydC10ZXJtIHRyZWF0bWVudCBvZiBtaWxkIHRvIG1vZGVyYXRlbHkgYWN0aXZlIHVsY2VyYXRpdmUgcHJvY3RpdGlzIChVQyk7IGFuZCBTQUxPRkFMSyBmb3IgdGhlIHRyZWF0bWVudCBvZiBhY3V0ZSBVQywgbWFuYWdlbWVudCBvZiBkaXN0YWwgVUMsIGFuZCBwcmV2ZW50aW9uIG9mIHJlbGFwc2Ugb2YgZGlzdGFsIFVDLiBJbiBhZGRpdGlvbiwgaXQgZGV2ZWxvcHMgQVBULTEwMjYsIHdoaWNoIGhhcyBjb21wbGV0ZWQgUGhhc2UgSUlJIHN0dWR5IHRvIHRyZWF0IGNocm9uaWMgbHVuZyBpbmZlY3Rpb24gd2l0aCBwc2V1ZG9tb25hcyBhZXJ1Z2lub3NhIGluIENGOyBBUFQtMTAwOCB0aGF0IGlzIGluIFBoYXNlIElJSSBzdHVkeSB0byB0cmVhdCBFUEk7IEFQVC0xMDE2LCB3aGljaCBoYXMgY29tcGxldGVkIFBoYXNlIElJIHN0dWR5IGZvciB1c2Ug</t>
  </si>
  <si>
    <t>YXMgYSBib3dlbCBjbGVhbnNpbmcgcHJlcGFyYXRpb24gZm9yIGNvbG9ub3Njb3B5OyBhbmQgQVBULTEwMTEgdGhhdCBoYXMgY29tcGxldGVkIFBoYXNlIEkvSUkgY2xpbmljYWwgc3R1ZHkgdG8gdHJlYXQgZW9zaW5vcGhpbGljIGVzb3BoYWdpdGlzLiBGdXJ0aGVyLCB0aGUgY29tcGFueSBmb3JtdWxhdGVzIGFuZCBjbGluaWNhbGx5IGRldmVsb3BzIGVuaGFuY2VkIHBoYXJtYWNldXRpY2FsIGFuZCBiaW9waGFybWFjZXV0aWNhbCBwcm9kdWN0cyB1c2luZyBpdHMgcHJvcHJpZXRhcnkgdGVjaG5vbG9neSBwbGF0Zm9ybXMsIGluY2x1ZGluZyBiaW9hdmFpbGFiaWxpdHkgZW5oYW5jZW1lbnQgb2YgcG9vcmx5IHNvbHVibGUgZHJ1Z3MsIGN1c3RvbSByZWxlYXNlIHByb2ZpbGVzLCBhbmQgdGFzdGUtbWFza2luZy9vcmFsbHkgZGlzaW50ZWdyYXRpb24gdGFibGV0IGZvcm11bGF0aW9ucy4gVGhlIGNvbXBhbnkgd2FzIGZvcm1lcmx5IGtub3duIGFzIEF4Y2FuIEhvbGRpbmdzIEluYy4gYW5kIGNoYW5nZWQgaXRzIG5hbWUgdG8gQXB0YWxpcyBIb2xkaW5ncyBJbmMuIGluIEZlYnJ1YXJ5LCAyMDExLiBUaGUgY29tcGFueSB3YXMgaW5jb3Jwb3JhdGVkIGluIDIwMDggYW5kIGlzIGJhc2VkIGluIEJyaWRnZXdhdGVyLCBOZXcgSmVyc2V5LiBBcyBvZiBKYW51YXJ5IDMxLCAyMDE0LCBBcHRhbGlzIEhvbGRp</t>
  </si>
  <si>
    <t>bmdzIEluYy4gb3BlcmF0ZXMgYXMgYSBzdWJzaWRpYXJ5IG9mIEFsbGVyZ2FuIHBsYy4AAj/at6FU1ghhYiS9oVTWCD1DSVEuTkFTREFRR1M6SUNQVC5JUV9SRVZFTlVFX0VTVC5DWTIwMTkuNy8zMS8yMDE4LkNPTi5GLlVTRC5IAQAAAIKvrQACAAAACDI3Ny43OTI4AQ4AAAAFAAAAAjExAQAAAAEwAgAAAAoxMDAxNjY1NjA5AwAAAAYxMDAxODAEAAAAATIGAAAAATAHAAAAAzE2MAgAAAABMAkAAAABMQoAAAABMAsAAAALMTA5ODY3OTE4NzYMAAAAATcNAAAACDgvMS8yMDE4EAAAAAk3LzMxLzIwMTgEopi7oVTWCFY2pr+hVNYILkNJUS5JUVRSNDE1NjExODE1LklRX1RSX1RBUkdFVF9TVE9DS1BSRU1JVU1fMVcBAAAAp7vFGAIAAAAAAAI/2rehVNYIYWIkvaFU1ggxQ0lRLk5ZU0U6S0RNTi5JUV9EQV9DRi4yMDAwLjcvMzEvMjAxOC5MRlIuRi5VU0QuSAEAAABTyNkGAgAAAAUxLjE5MQEIAAAABQAAAAExAQAAAAoxODg3NDQ1MzU1AwAAAAMxNjACAAAABDIxNjAEAAAAATAHAAAACTcvMzEvMjAxOAgAAAAJMy8zMS8yMDE4CQAAAAEwN9bGuqFU1ghVXa2/oVTWCDtDSVEuTkFTREFRR006Q1JCUC5JUV9UT1RBTF9SRVYuQ1kyMDE3LjcvMzEvMjAxOC5MRlIuRi5VU0QuSAEAAAAkbyQPAgAAAAgyLjQ0MDE5NQEIAAAABQAAAAExAQAAAAoxODc4MDc3MDY5AwAAAAMxNjACAAAAAjI4BAAAAAEwBwAAAAk3LzMxLzIw</t>
  </si>
  <si>
    <t>MTgIAAAACjEyLzMxLzIwMTcJAAAAATA31sa6oVTWCJXmtr+hVNYIIkNJUS5JUVRSMTE3MjkxNDY1LklRX1RSX1RBUkdFVE5BTUUBAAAAybn9BgMAAAAZQXJyZXN0byBCaW9zY2llbmNlcywgSW5jLgACP9q3oVTWCMWdH72hVNYINkNJUS5OQVNEQVFHTTpDTkFULklRX0VCSVREQS4xOTk2LjcvMzEvMjAxOC5MRlIuRi5VU0QuSAEAAABlZ9YBAgAAAAotMjYuMTQzMDYzAQgAAAAFAAAAATEBAAAACjE4ODY2MTczNDEDAAAAAzE2MAIAAAAENDA1MQQAAAABMAcAAAAJNy8zMS8yMDE4CAAAAAkzLzMxLzIwMTcJAAAAATA31sa6oVTWCCKru7+hVNYIJ0NJUS5OQVNEQVFHTTpNTk9WLklRX1BFUklPRERBVEVfSVMuMTAwMAEAAAC4VI0ABQAAAAoxMi8zMS8yMDE3ADfWxrqhVNYIVV2tv6FU1gguQ0lRLk5BU0RBUUdTOklOU00uSVFfTUFSS0VUQ0FQLjkvMzAvMjAxNi5VU0QuSAEAAAAadQAAAgAAAAo4OTguNDY3MTgxAQYAAAAFAAAAATEBAAAACjE4MDE2OTQyNTEDAAAAAzE2MAIAAAAGMTAwMDU0BAAAAAEwBwAAAAk5LzMwLzIwMTY31sa6oVTWCJuYqL+hVNYIKUNJUS5OQVNEQVFHTTpDUkJQLklRX0JVU0lORVNTX0RFU0NSSVBUSU9OAQAAACRvJA8DAAAAmgRDb3JidXMgUGhhcm1hY2V1dGljYWxzIEhvbGRpbmdzLCBJbmMuLCBhIGNsaW5pY2FsLXN0YWdlIHBoYXJtYWNldXRpY2FsIGNvbXBhbnksIGZvY3VzZXMg</t>
  </si>
  <si>
    <t>b24gdGhlIGRldmVsb3BtZW50IGFuZCBjb21tZXJjaWFsaXphdGlvbiBvZiB2YXJpb3VzIHRoZXJhcGV1dGljcyB0byB0cmVhdCByYXJlLCBjaHJvbmljLCBhbmQgc2VyaW91cyBpbmZsYW1tYXRvcnkgYW5kIGZpYnJvdGljIGRpc2Vhc2VzLiBJdHMgbGVhZCBwcm9kdWN0IGNhbmRpZGF0ZSBpcyBsZW5hYmFzdW0sIGEgc3ludGhldGljIG9yYWwgZW5kb2Nhbm5hYmlub2lkLW1pbWV0aWMgZHJ1ZyB0byByZXNvbHZlIGNocm9uaWMgaW5mbGFtbWF0aW9uIGFuZCBmaWJyb3RpYyBwcm9jZXNzZXMgaW4gc3lzdGVtaWMgc2NsZXJvc2lzLCBjeXN0aWMgZmlicm9zaXMsIGRlcm1hdG9teW9zaXRpcywgYW5kIHN5c3RlbWljIGx1cHVzIGVyeXRoZW1hdG9zdXMgZGlzZWFzZXMuIFRoZSBjb21wYW55IHdhcyBmb3VuZGVkIGluIDIwMDkgYW5kIGlzIGJhc2VkIGluIE5vcndvb2QsIE1hc3NhY2h1c2V0dHMuADfWxrqhVNYIP/5AvaFU1gg8Q0lRLk5BU0RBUUdNOlBSUVIuSVFfR1JPU1NfTUFSR0lOLjIwMDAuNy8zMS8yMDE4LkxGUi5GLlVTRC5IAQAAAO/sXA0CAAAAAzEwMAEIAAAABQAAAAExAQAAAAoxODgwOTgxOTA3AwAAAAI1MAIAAAAENDA3NAQAAAABMAcAAAAJNy8zMS8yMDE4CAAAAAoxMi8zMS8yMDE3CQAAAAEwN9bGuqFU1gjaSLm/oVTWCBZDSVEuMC5JUV9UUl9UQVJHRVROQU1FBQAAAAAAAAAIAAAAGChJ</t>
  </si>
  <si>
    <t>bnZhbGlkIFRyYW5zYWN0aW9uIElkKQI/2rehVNYIhDsdvaFU1ggoQ0lRLk5BU0RBUUdTOlZSVFguSVFfVEVWLjcvMzEvMjAxOC5VU0QuSAEAAACLjQAAAgAAAAw0MjU4OS40MDIzMjEBBgAAAAUAAAABMQEAAAAKMTg5NzI5MDkwMAMAAAADMTYwAgAAAAYxMDAwNjAEAAAAATAHAAAACTcvMzEvMjAxOKpBlruhVNYI1Uqav6FU1gg6Q0lRLk5BU0RBUUNNOk1ER0wuSVFfRUFSTklOR19DTy4xOTk2LjcvMzEvMjAxOC5MRlIuRi5VU0QuSAEAAABMm6MIAgAAAActMzAuNjc0AQgAAAAFAAAAATEBAAAACjE4ODc4MTQwOTIDAAAAAzE2MAIAAAABNwQAAAABMAcAAAAJNy8zMS8yMDE4CAAAAAkzLzMxLzIwMTcJAAAAATAEopi7oVTWCAHUo7+hVNYIOkNJUS5OQVNEQVFHUzpTVlJBLklRX0VBUk5JTkdfQ08uMTk5Mi43LzMxLzIwMTguTEZSLkYuVVNELkgBAAAAdX+HAwMAAAAAADfWxrqhVNYIpL+vv6FU1gg5Q0lRLk5BU0RBUUNNOkdMTUQuSVFfVE9UQUxfUkVWLjE5OTIuNy8zMS8yMDE4LkxGUi5GLlVTRC5IAQAAACRn1wYDAAAAAAA31sa6oVTWCPIhsr+hVNYIIkNJUS4wLklRX1RSX1RBUkdFVF9TVE9DS1BSRU1JVU1fMU0FAAAAAAAAAAgAAAAYKEludmFsaWQgVHJhbnNhY3Rpb24gSWQpAj/at6FU1gi6xCa9oVTWCCNDSVEuSVFUUjUzMTkyMDUwNy5JUV9UUl9DTE9TRURfREFURQEAAAB7drQfBQAAAAk3LzI1LzIw</t>
  </si>
  <si>
    <t>MTcAAj/at6FU1ghhYiS9oVTWCDtDSVEuTkFTREFRR1M6RkdFTi5JUV9UT1RBTF9SRVYuQ1kyMDE3LjcvMzEvMjAxOC5MRlIuRi5VU0QuSAEAAABEbwAAAgAAAAcxMjUuNjY4AQgAAAAFAAAAATEBAAAACjE4NzYxMzQ0NzMDAAAAAzE2MAIAAAACMjgEAAAAATAHAAAACTcvMzEvMjAxOAgAAAAKMTIvMzEvMjAxNwkAAAABMASimLuhVNYIbw+fv6FU1gg9Q0lRLk5BU0RBUUNNOkdBTFQuSVFfUkVWRU5VRV9FU1QuQ1kyMDE5LjcvMzEvMjAxOC5DT04uRi5VU0QuSAEAAADHQRAAAgAAAAEwAQ4AAAAFAAAAAjExAQAAAAEwAgAAAAoxMDAxMzExOTA3AwAAAAYxMDAxODAEAAAAATIGAAAAATAHAAAAAzE2MAgAAAABMAkAAAABMQoAAAABMAsAAAALMTA5NTkwMTMwOTcMAAAAATcNAAAACDgvMS8yMDE4EAAAAAk3LzMxLzIwMTg31sa6oVTWCEeEtL+hVNYIQENJUS4oSU5WQUxJRCBJREVOVElGSUVSKS5JUV9UT1RBTF9SRVYuMTk5Ni43LzMxLzIwMTguTEZSLkYuVVNELkgFAAAAAAAAAAgAAAAUKEludmFsaWQgSWRlbnRpZmllcilKPIu6oVTWCMe77b+hVNYIPkNJUS5OQVNEQVFHTTpNTk9WLklRX0NBU0hfU1RfSU5WRVNULjIwMDAuNy8zMS8yMDE4LkxGUi5GLlVTRC5IAQAAALhUjQACAAAACTY0LjE2Mjc3OAEIAAAABQAAAAExAQAAAAoxODk2NzY2MTkxAwAAAAMxNjACAAAABDEwMDIEAAAAATAHAAAACTcvMzEvMjAx</t>
  </si>
  <si>
    <t>OAgAAAAJNi8zMC8yMDE4CQAAAAEwN9bGuqFU1ghVXa2/oVTWCC1DSVEuTkFTREFRQ006R0FMVC5JUV9ESVZJREVORF9ZSUVMRC43LzMxLzIwMTgBAAAAx0EQAAMAAAAAADfWxrqhVNYIR4S0v6FU1ggqQ0lRLkFTWDpJTUMuSVFfTEFTVFNBTEVQUklDRS43LzMxLzIwMTguVVNEAQAAAPNMdQACAAAACDAuMjU2NDg3ADfWxrqhVNYIdw2+v6FU1gg8Q0lRLk5BU0RBUUNNOkdBTFQuSVFfRUJJVERBX0VTVC5DWTIwMjAuNy8zMS8yMDE4LkNPTi5GLlVTRC5IAQAAAMdBEAADAAAAAAA31sa6oVTWCEeEtL+hVNYIM0NJUS5BU1g6MUFELklRX1RPVEFMX1JFVi4xOTkyLjcvMzEvMjAxOC5MRlIuRi5VU0QuSAEAAADFoKQDAgAAAAgwLjcwMjM0OQEIAAAABQAAAAExAQAAAAoxODA0NTc4MzExAwAAAAMxNjACAAAAAjI4BAAAAAEwBwAAAAk3LzMxLzIwMTgIAAAACTYvMzAvMjAxNAkAAAABMEo8i7qhVNYIzG/Av6FU1gg8Q0lRLk5BU0RBUUdTOklDUFQuSVFfRUJJVERBX0VTVC5DWTIwMTkuNy8zMS8yMDE4LkNPTi5GLlVTRC5IAQAAAIKvrQACAAAACi0yNDUuMjYwOTkBDgAAAAUAAAACMTEBAAAAATACAAAACjEwMDE2NjU2MDkDAAAABjEwMDE4NwQAAAABMgYAAAABMAcAAAADMTYwCAAAAAEwCQAAAAExCgAAAAEwCwAAAAsxMDk4Njc5MTc4NgwAAAABNw0AAAAIOC8xLzIwMTgQAAAACTcvMzEvMjAxOASimLuhVNYIVjam</t>
  </si>
  <si>
    <t>v6FU1gg1Q0lRLkFTWDpJTUMuSVFfRUJJVF9NQVJHSU4uMjAwMC43LzMxLzIwMTguTEZSLkYuVVNELkgBAAAA80x1AAMAAAACTk0BCAAAAAUAAAABMQEAAAAKMTg3NzY1MDA5NgMAAAABOQIAAAAENDA1MwQAAAABMAcAAAAJNy8zMS8yMDE4CAAAAAoxMi8zMS8yMDE3CQAAAAEwN9bGuqFU1gh3Db6/oVTWCDVDSVEuTkFTREFRQ006R0FMVC5JUV9DQVBFWC4yMDAwLjcvMzEvMjAxOC5MRlIuRi5VU0QuSAEAAADHQRAAAwAAAAAAN9bGuqFU1ghHhLS/oVTWCCVDSVEuTkFTREFRQ006TURHTC5JUV9GSVJTVFBSSUNJTkdEQVRFAQAAAEybowgFAAAACTcvMjUvMjAxNgCqQZa7oVTWCE0jZ72hVNYIN0NJUS5OWVNFOktETU4uSVFfVE9UQUxfUkVWLkNZMjAxNi43LzMxLzIwMTguTEZSLkYuVVNELkgBAAAAU8jZBgIAAAAGMjYuMDU1AQgAAAAFAAAAATEBAAAACjE4NzcxODEyNjkDAAAAAzE2MAIAAAACMjgEAAAAATAHAAAACTcvMzEvMjAxOAgAAAAKMTIvMzEvMjAxNgkAAAABMDfWxrqhVNYI8Pqqv6FU1gg1Q0lRLk5BU0RBUUdTOlZSVFguSVFfQ0FQRVguMTk5Ni43LzMxLzIwMTguTEZSLkYuVVNELkgBAAAAi40AAAIAAAAHLTU3LjE0OAEIAAAABQAAAAExAQAAAAoxODk3MjkzNTkxAwAAAAMxNjACAAAABDIwMjEEAAAAATAHAAAACTcvMzEvMjAxOAgAAAAJNi8zMC8yMDE3CQAAAAEwBKKYu6FU1ggMrZy/oVTWCDhD</t>
  </si>
  <si>
    <t>SVEuQVNYOjFBRC5JUV9DQVNIX1NUX0lOVkVTVC4yMDAwLjcvMzEvMjAxOC5MRlIuRi5VU0QuSAEAAADFoKQDAgAAAAg0LjExMDgwMQEIAAAABQAAAAExAQAAAAoxODc2MTg1NzkxAwAAAAMxNjACAAAABDEwMDIEAAAAATAHAAAACTcvMzEvMjAxOAgAAAAKMTIvMzEvMjAxNwkAAAABMEo8i7qhVNYIzG/Av6FU1ggsQ0lRLklRVFIyNTk5ODU5NjIuSVFfVFJfVEFSR0VUX0VCSVREQS4uVVNELkgBAAAAKhJ/DwIAAAAJLTAuNDcwOTkxAQYAAAAFAAAAAjM3AQAAAAoxNjg1OTk3MzIzAgAAAAUyMTY3NwMAAAADMTYwBAAAAAEwBwAAAAgxLzEvMTkwMAI/2rehVNYIxZ0fvaFU1gggQ0lRLklRVFIzNDc1OTE1OTEuSVFfVFJfRUFSTk9VVFMBAAAAp9O3FAIAAAADNzUwAQYAAAAFAAAAAjU0AQAAAAYxMDE0MDMCAAAACTM0NzU5MTU5MQMAAAAJMzQ3NTkyODE1BAAAAAMxNjAGAAAABUZhbHNlAj/at6FU1ghhYiS9oVTWCCtDSVEuSVFUUjMxMzI1MTg3Ny5JUV9UUl9UT1RBTF9HUk9TU19UVi4uVVNEAQAAACXYqxICAAAAAzU4MAEGAAAABQAAAAI1NAEAAAAGMTAyMDg4AgAAAAkzMTMyNTE4NzcDAAAACTMxMzI1MjI4NQQAAAADMTYwBgAAAAVGYWxzZQI/2rehVNYIxZ0fvaFU1ggsQ0lRLklRVFIyODY0MTA3MzYuSVFfVFJfVE9UQUxfR1JPU1NfVFYuVVNELkgFAAAAAAAAAAgAAAAaKEludmFsaWQgQ3VycmVuY3kgUmVx</t>
  </si>
  <si>
    <t>dWVzdCkCP9q3oVTWCLrEJr2hVNYIMENJUS5OQVNEQVFHUzpTVlJBLklRX0xBU1RTQUxFUFJJQ0UuNy8zMS8yMDE4LlVTRAEAAAB1f4cDAgAAAAUxMS4wMQA31sa6oVTWCKS/r7+hVNYIPUNJUS5OQVNEQVFHUzpWUlRYLklRX1JFVkVOVUVfRVNULkNZMjAxOC43LzMxLzIwMTguQ09OLkYuVVNELkgBAAAAi40AAAIAAAAKMjk4Mi4yODIzNgEOAAAABQAAAAIxMQEAAAABMAIAAAAKMTAwMDEzMDgzNAMAAAAGMTAwMTgwBAAAAAEyBgAAAAEwBwAAAAMxNjAIAAAAATAJAAAAATEKAAAAATALAAAACzEwOTk3MzQ3NDMwDAAAAAE3DQAAAAg4LzEvMjAxOBAAAAAJNy8zMS8yMDE4BKKYu6FU1ggMrZy/oVTWCCtDSVEuSVFUUjM0NzU5MTU5MS5JUV9UUl9UT1RBTF9HUk9TU19UVi4uVVNEAQAAAKfTtxQCAAAABDEyNTABBgAAAAUAAAACNTQBAAAABjEwMjA4OAIAAAAJMzQ3NTkxNTkxAwAAAAkzNDc1OTI4MTUEAAAAAzE2MAYAAAAFRmFsc2UCP9q3oVTWCMWdH72hVNYINkNJUS5BU1g6SU1DLklRX0VBUk5JTkdfQ08uQ1kyMDE3LjcvMzEvMjAxOC5MRlIuRi5VU0QuSAEAAADzTHUAAgAAAAktNC4xMjk2MjcBCAAAAAUAAAABMQEAAAAKMTg3NzY1MDA5NgMAAAADMTYwAgAAAAE3BAAAAAEwBwAAAAk3LzMxLzIwMTgIAAAACjEyLzMxLzIwMTcJAAAAATBKPIu6oVTWCHcNvr+hVNYIIUNJUS4uSVFfVFJfVEFSR0VUX1NUT0NL</t>
  </si>
  <si>
    <t>UFJFTUlVTV8xTQUAAAABAAAACAAAABQoSW52YWxpZCBJZGVudGlmaWVyKapBlruhVNYIqkGWu6FU1gg+Q0lRLk5BU0RBUUdTOklOU00uSVFfQ0FTSF9TVF9JTlZFU1QuMjAwMC43LzMxLzIwMTguTEZSLkYuVVNELkgBAAAAGnUAAAIAAAAHNjg2LjU4MQEIAAAABQAAAAExAQAAAAoxODg2MDQyMzI4AwAAAAMxNjACAAAABDEwMDIEAAAAATAHAAAACTcvMzEvMjAxOAgAAAAJMy8zMS8yMDE4CQAAAAEwBKKYu6FU1ghWNqa/oVTWCD1DSVEuTkFTREFRQ006TUdFTi5JUV9SRVZFTlVFX0VTVC5DWTIwMTguNy8zMS8yMDE4LkNPTi5GLlVTRC5IAQAAAG/irgICAAAABzUuOTQ3NzUBDgAAAAUAAAACMTEBAAAAATACAAAACjEwMDM2MzA0ODEDAAAABjEwMDE4MAQAAAABMgYAAAABMAcAAAADMTYwCAAAAAEwCQAAAAExCgAAAAEwCwAAAAsxMDk4ODkzMzE5OAwAAAABNw0AAAAIOC8xLzIwMTgQAAAACTcvMzEvMjAxODfWxrqhVNYI2ki5v6FU1gg2Q0lRLk5BU0RBUUdTOklOU00uSVFfRUJJVERBLjIwMDAuNy8zMS8yMDE4LkxGUi5GLlVTRC5IAQAAABp1AAACAAAACC0yMTIuNzQ4AQgAAAAFAAAAATEBAAAACjE4ODYwNDIzMjgDAAAAAzE2MAIAAAAENDA1MQQAAAABMAcAAAAJNy8zMS8yMDE4CAAAAAkzLzMxLzIwMTgJAAAAATAEopi7oVTWCJuYqL+hVNYIIUNJUS5BU1g6MUFELklRX0JFVEFfMllSLjcvMzEvMjAxOAEA</t>
  </si>
  <si>
    <t>AADFoKQDAgAAABEtMS4yNTU5MDgwNTkwODQ5NgBKPIu6oVTWCMxvwL+hVNYIOkNJUS4uSVFfTUlOT1JJVFlfSU5URVJFU1RfVE9UQUwuMjAwMC45LzMwLzIwMTYuTEZSLkYuVVNELkgFAAAAAQAAAAgAAAAUKEludmFsaWQgSWRlbnRpZmllcikcrLm+oVTWCBysub6hVNYIIkNJUS5JUVRSNDI4MTAxMDM0LklRX1RSX1BDVF9TT1VHSFQBAAAAqk2EGQIAAAADMTAwAAI/2rehVNYIGgAivaFU1ggpQ0lRLklRVFIyNzAxMTEzNjguSVFfVFJfSU1QTElFRF9FUV9OSV9MVE0BAAAAiJIZEAMAAAACTk0AAj/at6FU1gjFnR+9oVTWCCRDSVEuMC5JUV9UUl9UQVJHRVRfRUJJVERBX0VTVC4uVVNELkgFAAAAAAAAAAgAAAAYKEludmFsaWQgVHJhbnNhY3Rpb24gSWQpAj/at6FU1ghhYiS9oVTWCCxDSVEuSVFUUjI3MDExMTM2OC5JUV9UUl9UT1RBTF9HUk9TU19UVi5VU0QuSAUAAAAAAAAACAAAABooSW52YWxpZCBDdXJyZW5jeSBSZXF1ZXN0KQI/2rehVNYIxZ0fvaFU1gg5Q0lRLkVOWFRQQTpHTkZULklRX1BSRUZfRVFVSVRZLjIwMDAuOS8zMC8yMDE2LkxGUi5GLlVTRC5IAQAAACLBkwADAAAAAAA31sa6oVTWCPD6qr+hVNYINkNJUS5OQVNEQVFHUzpGR0VOLklRX0VCSVREQS4xOTk2LjcvMzEvMjAxOC5MRlIuRi5VU0QuSAEAAABEbwAAAgAAAActNDkuNjI2AQgAAAAFAAAAATEBAAAACjE4ODc2Njk1MzYDAAAAAzE2</t>
  </si>
  <si>
    <t>MAIAAAAENDA1MQQAAAABMAcAAAAJNy8zMS8yMDE4CAAAAAkzLzMxLzIwMTcJAAAAATAEopi7oVTWCG8Pn7+hVNYIOkNJUS5OQVNEQVFDTTpNR0VOLklRX0VBUk5JTkdfQ08uMTk5Mi43LzMxLzIwMTguTEZSLkYuVVNELkgBAAAAb+KuAgIAAAAHLTE1LjY4NgEIAAAABQAAAAExAQAAAAoxODM0NzE3MTM5AwAAAAMxNjACAAAAATcEAAAAATAHAAAACTcvMzEvMjAxOAgAAAAKMTIvMzEvMjAxNQkAAAABMDfWxrqhVNYIIqu7v6FU1gglQ0lRLkVOWFRBTTpHTFBHLklRX0JFVEFfNVlSLjcvMzEvMjAxOAEAAACyMRoAAgAAABAxLjgxOTU2NjU0OTk1MjQ3AASimLuhVNYItnGhv6FU1gg7Q0lRLk5BU0RBUUNNOk1ER0wuSVFfUFJFRl9FUVVJVFkuMjAwMC43LzMxLzIwMTguTEZSLkYuVVNELkgBAAAATJujCAMAAAAAAASimLuhVNYIAdSjv6FU1ggkQ0lRLk5BU0RBUUdTOkZHRU4uSVFfRUZGRUNUX1RBWF9SQVRFAQAAAERvAAADAAAAAk5NAQgAAAAFAAAAATEBAAAACjE5MjA0MzE3NDkDAAAAAzE2MAIAAAAENDM3NgQAAAABMAcAAAAKMTEvMjcvMjAxOAgAAAAJOS8zMC8yMDE4CQAAAAEwBKKYu6FU1ghvD5+/oVTWCDVDSVEuTkFTREFRQ006TURHTC5JUV9DQVBFWC4yMDAwLjcvMzEvMjAxOC5MRlIuRi5VU0QuSAEAAABMm6MIAgAAAAYtMC4xMjQBCAAAAAUAAAABMQEAAAAKMTg4NzgxNDExMwMAAAADMTYwAgAAAAQy</t>
  </si>
  <si>
    <t>MDIxBAAAAAEwBwAAAAk3LzMxLzIwMTgIAAAACTMvMzEvMjAxOAkAAAABMASimLuhVNYIAdSjv6FU1gg/Q0lRLk5BU0RBUUNNOk1HRU4uSVFfTkVUX1dPUktJTkdfQ0FQLjE5OTYuNy8zMS8yMDE4LkxGUi5GLlVTRC5IAQAAAG/irgICAAAABi0yLjYzOQEIAAAABQAAAAExAQAAAAoxODg3Njc2OTIzAwAAAAMxNjACAAAABDEzMTEEAAAAATAHAAAACTcvMzEvMjAxOAgAAAAJMy8zMS8yMDE3CQAAAAEwN9bGuqFU1ggiq7u/oVTWCC5DSVEuSVFUUjE3MDIyOTM4Ni5JUV9UUl9UQVJHRVRfU1RPQ0tQUkVNSVVNXzFXAQAAAIp+JQoCAAAAAAACP9q3oVTWCLrEJr2hVNYIIENJUS5JUVRSMjcwMTExMzY4LklRX1RSX0VBUk5PVVRTAQAAAIiSGRACAAAAAAACP9q3oVTWCLrEJr2hVNYIGUNJUS5OWVNFOktETU4uSVFfRVhDSEFOR0UBAAAAU8jZBgMAAAAETllTRQA31sa6oVTWCP/AZL2hVNYIPENJUS5FTlhUQU06R0xQRy5JUV9UT1RBTF9FUVVJVFkuQ1kyMDE2LjcvMzEvMjAxOC5MRlIuRi5VU0QuSAEAAACyMRoAAgAAAAo4MDAuOTA4ODk5AQgAAAAFAAAAATEBAAAACjE4Nzk4MTg2ODcDAAAAAzE2MAIAAAAEMTI3NQQAAAABMAcAAAAJNy8zMS8yMDE4CAAAAAoxMi8zMS8yMDE2CQAAAAEwBKKYu6FU1gi2caG/oVTWCDZDSVEuQVNYOjFBRC5JUV9FQVJOSU5HX0NPLkNZMjAxNi43LzMxLzIwMTguTEZSLkYuVVNELkgB</t>
  </si>
  <si>
    <t>AAAAxaCkAwIAAAAJLTEuOTgxNTg0AQgAAAAFAAAAATEBAAAACjE4NzYxODcwMjQDAAAAAzE2MAIAAAABNwQAAAABMAcAAAAJNy8zMS8yMDE4CAAAAAoxMi8zMS8yMDE2CQAAAAEwSjyLuqFU1gjMb8C/oVTWCCxDSVEuSVFUUjI3MDc4OTU4NC5JUV9UUl9UT1RBTF9HUk9TU19UVi5VU0QuSAUAAAAAAAAACAAAABooSW52YWxpZCBDdXJyZW5jeSBSZXF1ZXN0KQI/2rehVNYIusQmvaFU1gg+Q0lRLk5BU0RBUUNNOk1HRU4uSVFfVE9UQUxfRVFVSVRZLkNZMjAxNy43LzMxLzIwMTguTEZSLkYuVVNELkgBAAAAb+KuAgIAAAAFMzguNTEBCAAAAAUAAAABMQEAAAAKMTg3ODU2Mzk5MAMAAAADMTYwAgAAAAQxMjc1BAAAAAEwBwAAAAk3LzMxLzIwMTgIAAAACjEyLzMxLzIwMTcJAAAAATA31sa6oVTWCCKru7+hVNYIRkNJUS5OQVNEQVFDTTpHTE1ELklRX1RPVEFMX1JFVl8yWVJfQU5OX0NBR1IuMjAwMC43LzMxLzIwMTguTEZSLkYuVVNELkgBAAAAJGfXBgMAAAAAADfWxrqhVNYI8iGyv6FU1gg4Q0lRLkFNRVg6QVBIQi5JUV9UT1RBTF9FUVVJVFkuMjAwMC43LzMxLzIwMTguTEZSLkYuVVNELkgBAAAAIokAAAIAAAAFMTEuMjkBCAAAAAUAAAABMQEAAAAKMTg4OTAxODg0NAMAAAADMTYwAgAAAAQxMjc1BAAAAAEwBwAAAAk3LzMxLzIwMTgIAAAACTMvMzEvMjAxOAkAAAABMEo8i7qhVNYI7TTFv6FU1gg2Q0lRLk5B</t>
  </si>
  <si>
    <t>U0RBUUdTOklDUFQuSVFfRUJJVERBLjIwMDAuNy8zMS8yMDE4LkxGUi5GLlVTRC5IAQAAAIKvrQACAAAACC0zMTYuODE2AQgAAAAFAAAAATEBAAAACjE4ODg2MTU1NDADAAAAAzE2MAIAAAAENDA1MQQAAAABMAcAAAAJNy8zMS8yMDE4CAAAAAkzLzMxLzIwMTgJAAAAATAEopi7oVTWCFY2pr+hVNYIO0NJUS5OQVNEQVFDTTpQVUxNLklRX1BSRUZfRVFVSVRZLjIwMDAuOS8zMC8yMDE2LkxGUi5GLlVTRC5IAQAAAJ9smgEDAAAAAABKPIu6oVTWCBfSwr+hVNYILENJUS5JUVRSMTE3MjkxNDY1LklRX1RSX1RPVEFMX0dST1NTX1RWLlVTRC5IBQAAAAAAAAAIAAAAGihJbnZhbGlkIEN1cnJlbmN5IFJlcXVlc3QpAj/at6FU1gi6xCa9oVTWCERDSVEuRU5YVEFNOkdMUEcuSVFfVE9UQUxfUkVWXzJZUl9BTk5fQ0FHUi4yMDAwLjcvMzEvMjAxOC5MRlIuRi5VU0QuSAEAAACyMRoAAgAAAAc3MC40NTczAQgAAAAFAAAAATEBAAAACjE4ODU0ODQ3NTUDAAAAAjUwAgAAAAQ0MjA3BAAAAAEwBwAAAAk3LzMxLzIwMTgIAAAACTMvMzEvMjAxOAkAAAABMASimLuhVNYItnGhv6FU1ggrQ0lRLklRVFI0MjgxMDEwMzQuSVFfVFJfVE9UQUxfR1JPU1NfVFYuLlVTRAEAAACqTYQZAgAAAAAAAj/at6FU1giEOx29oVTWCENDSVEuTkFTREFRQ006TURHTC5JUV9FQklUREFfMllSX0FOTl9DQUdSLjIwMDAuNy8zMS8yMDE4LkxGUi5G</t>
  </si>
  <si>
    <t>LlVTRC5IAQAAAEybowgDAAAAAAAEopi7oVTWCAHUo7+hVNYIPUNJUS5OQVNEQVFHTTpNTk9WLklRX1JFVkVOVUVfRVNULkNZMjAyMS43LzMxLzIwMTguQ09OLkYuVVNELkgBAAAAuFSNAAIAAAABMAEOAAAABQAAAAIxMQEAAAABMAIAAAAKMTAwMDU5MzYxNwMAAAAGMTAwMTgwBAAAAAEyBgAAAAEwBwAAAAMxNjAIAAAAATAJAAAAATEKAAAAATALAAAACzExMDA2MjkwOTI0DAAAAAE3DQAAAAg4LzEvMjAxOBAAAAAJNy8zMS8yMDE4N9bGuqFU1ghVXa2/oVTWCD1DSVEuQVNYOklNQy5JUV9FQklUREFfNVlSX0FOTl9DQUdSLjIwMDAuNy8zMS8yMDE4LkxGUi5GLlVTRC5IAQAAAPNMdQADAAAAAk5NAQgAAAAFAAAAATEBAAAACjE4Nzc2NTAwOTYDAAAAATkCAAAABDQyMzUEAAAAATAHAAAACTcvMzEvMjAxOAgAAAAKMTIvMzEvMjAxNwkAAAABMEo8i7qhVNYIzG/Av6FU1gg+Q0lRLk5BU0RBUUNNOkdMTUQuSVFfVE9UQUxfRVFVSVRZLkNZMjAxNi43LzMxLzIwMTguTEZSLkYuVVNELkgBAAAAJGfXBgIAAAAGMTEuMDc1AQgAAAAFAAAAATEBAAAACjE4NzgwODg1MzEDAAAAAzE2MAIAAAAEMTI3NQQAAAABMAcAAAAJNy8zMS8yMDE4CAAAAAoxMi8zMS8yMDE2CQAAAAEwN9bGuqFU1gjyIbK/oVTWCD1DSVEuTkFTREFRR006Q05BVC5JUV9FQklUREFfTUFSR0lOLjIwMDAuNy8zMS8yMDE4LkxGUi5GLlVTRC5IAQAA</t>
  </si>
  <si>
    <t>AGVn1gECAAAACC00OS4zNDIyAQgAAAAFAAAAATEBAAAACjE4ODY2MTczNDADAAAAAzE2MAIAAAAENDA0NwQAAAABMAcAAAAJNy8zMS8yMDE4CAAAAAkzLzMxLzIwMTgJAAAAATA31sa6oVTWCCKru7+hVNYIMENJUS5OQVNEQVFDTTpHTE1ELklRX0xBU1RTQUxFUFJJQ0UuNy8zMS8yMDE4LlVTRAEAAAAkZ9cGAgAAAAUxMy41OAA31sa6oVTWCPIhsr+hVNYINUNJUS5OQVNEQVFHUzpGR0VOLklRX0RBX0NGLjIwMDAuNy8zMS8yMDE4LkxGUi5GLlVTRC5IAQAAAERvAAACAAAABTYuMDkzAQgAAAAFAAAAATEBAAAACjE4ODc2Njk1NDMDAAAAAzE2MAIAAAAEMjE2MAQAAAABMAcAAAAJNy8zMS8yMDE4CAAAAAkzLzMxLzIwMTgJAAAAATAEopi7oVTWCLZxob+hVNYINkNJUS5BU1g6MUFELklRX0dST1NTX01BUkdJTi4yMDAwLjcvMzEvMjAxOC5MRlIuRi5VU0QuSAEAAADFoKQDAgAAAAktMTAzLjc0ODkBCAAAAAUAAAABMQEAAAAKMTg3NjE4NTc5MQMAAAABOQIAAAAENDA3NAQAAAABMAcAAAAJNy8zMS8yMDE4CAAAAAoxMi8zMS8yMDE3CQAAAAEwSjyLuqFU1gjMb8C/oVTWCDJDSVEuLklRX05FVF9XT1JLSU5HX0NBUC4xOTkyLjcvMzEvMjAxOC5MRlIuRi5VU0QuSAUAAAABAAAACAAAABQoSW52YWxpZCBJZGVudGlmaWVyKRysub6hVNYIHKy5vqFU1gg+Q0lRLk5BU0RBUUdTOkZHRU4uSVFfVE9UQUxfRVFVSVRZ</t>
  </si>
  <si>
    <t>LkNZMjAxNy43LzMxLzIwMTguTEZSLkYuVVNELkgBAAAARG8AAAIAAAAGNTgyLjQ1AQgAAAAFAAAAATEBAAAACjE4NzYxMzQ0NzMDAAAAAzE2MAIAAAAEMTI3NQQAAAABMAcAAAAJNy8zMS8yMDE4CAAAAAoxMi8zMS8yMDE3CQAAAAEwBKKYu6FU1ghvD5+/oVTWCClDSVEuSVEzNjE4MzgzNy5JUV9MQVNUU0FMRVBSSUNFLjcvMzEvMjAxOAEAAAAdHygCAgAAAAQyLjk2AAI/2rehVNYIhDsdvaFU1ggnQ0lRLk5BU0RBUUdNOk1OT1YuSVFfQkVUQV8yWVIuNy8zMS8yMDE4AQAAALhUjQACAAAAEDEuNDk0MjAyNjM0MDg5MDMAN9bGuqFU1gikv6+/oVTWCDtDSVEuTkFTREFRQ006UFVMTS5JUV9UT1RBTF9SRVYuQ1kyMDE2LjcvMzEvMjAxOC5MRlIuRi5VU0QuSAEAAACfbJoBAgAAAAUwLjgzNQEIAAAABQAAAAExAQAAAAoxODc4MTY0NTk3AwAAAAMxNjACAAAAAjI4BAAAAAEwBwAAAAk3LzMxLzIwMTgIAAAACjEyLzMxLzIwMTYJAAAAATBKPIu6oVTWCBfSwr+hVNYIIUNJUS5JUTIyNDE5Mzc3NS5JUV9DT01QQU5ZX1RJQ0tFUgEAAADv7FwNAwAAAA1OYXNkYXFHTTpQUlFSAAI/2rehVNYI53YYvaFU1gg/Q0lRLk5BU0RBUUdNOk1OT1YuSVFfTkVUX1dPUktJTkdfQ0FQLjIwMDAuNy8zMS8yMDE4LkxGUi5GLlVTRC5IAQAAALhUjQACAAAACS0xLjEyNTEyMwEIAAAABQAAAAExAQAAAAoxODk2NzY2MTkxAwAAAAMx</t>
  </si>
  <si>
    <t>NjACAAAABDEzMTEEAAAAATAHAAAACTcvMzEvMjAxOAgAAAAJNi8zMC8yMDE4CQAAAAEwN9bGuqFU1ghVXa2/oVTWCC5DSVEuLklRX1BSRUZfRVFVSVRZLjIwMDAuNy8zMS8yMDE4LkxGUi5GLlVTRC5IBQAAAAEAAAAIAAAAFChJbnZhbGlkIElkZW50aWZpZXIpHKy5vqFU1ggcrLm+oVTWCDRDSVEuQVNYOklNQy5JUV9UT1RBTF9ERUJULjIwMDAuOS8zMC8yMDE2LkxGUi5GLlVTRC5IAQAAAPNMdQACAAAACDEuNDE1ODExAQgAAAAFAAAAATEBAAAACjE4MDgzMjY5MTQDAAAAAzE2MAIAAAAENDE3MwQAAAABMAcAAAAJOS8zMC8yMDE2CAAAAAk2LzMwLzIwMTYJAAAAATBKPIu6oVTWCMxvwL+hVNYIQ0NJUS5OQVNEQVFHUzpJTlNNLklRX0VCSVREQV8zWVJfQU5OX0NBR1IuMjAwMC43LzMxLzIwMTguTEZSLkYuVVNELkgBAAAAGnUAAAMAAAACTk0BCAAAAAUAAAABMQEAAAAKMTg4NjA0MjMyOAMAAAADMTYwAgAAAAQ0MjIyBAAAAAEwBwAAAAk3LzMxLzIwMTgIAAAACTMvMzEvMjAxOAkAAAABMDfWxrqhVNYIm5iov6FU1ggyQ0lRLkFTWDpJTUMuSVFfRUJJVERBLkNZMjAxNi43LzMxLzIwMTguTEZSLkYuVVNELkgBAAAA80x1AAIAAAAJLTYuMjUwNDIyAQgAAAAFAAAAATEBAAAACjE4Nzc2NTA5ODkDAAAAAzE2MAIAAAAENDA1MQQAAAABMAcAAAAJNy8zMS8yMDE4CAAAAAoxMi8zMS8yMDE2CQAAAAEwN9bGuqFU</t>
  </si>
  <si>
    <t>1gh3Db6/oVTWCB1DSVEuLklRX1RSX1RBUkdFVF9FQklULi5VU0QuSAUAAAABAAAACAAAABQoSW52YWxpZCBJZGVudGlmaWVyKapBlruhVNYIqkGWu6FU1gglQ0lRLklRVFI0MjgxMDEwMzQuSVFfUFJJTUFSWV9JTkRVU1RSWQEAAAAda/kCAwAAAA1CaW90ZWNobm9sb2d5AAI/2rehVNYIYWIkvaFU1gg1Q0lRLk5BU0RBUUdTOlZSVFguSVFfQ0FQRVguMTk5Mi43LzMxLzIwMTguTEZSLkYuVVNELkgBAAAAi40AAAIAAAAHLTQ5LjIxNgEIAAAABQAAAAExAQAAAAoxODUwOTAyNDkxAwAAAAMxNjACAAAABDIwMjEEAAAAATAHAAAACTcvMzEvMjAxOAgAAAAJNi8zMC8yMDE2CQAAAAEwBKKYu6FU1ggMrZy/oVTWCDBDSVEuSVFUUjQyODEwMTAzNC5JUV9UUl9UQVJHRVRfRUJJVERBX0VTVC4uVVNELkgBAAAAqk2EGQIAAAAAAAI/2rehVNYIGgAivaFU1gg7Q0lRLk5BU0RBUUdTOklOU00uSVFfVE9UQUxfUkVWLkNZMjAxNi43LzMxLzIwMTguTEZSLkYuVVNELkgBAAAAGnUAAAMAAAAAAASimLuhVNYIm5iov6FU1ggoQ0lRLk5ZU0U6S0RNTi5JUV9MQVNUU0FMRVBSSUNFLjkvMzAvMjAxNgEAAABTyNkGAgAAAAQ3LjM0ADfWxrqhVNYIVV2tv6FU1gg0Q0lRLk5ZU0U6S0RNTi5JUV9FQklUREEuQ1kyMDE2LjcvMzEvMjAxOC5MRlIuRi5VU0QuSAEAAABTyNkGAgAAAAgtMTAwLjEzMgEIAAAABQAAAAExAQAAAAoxODc3</t>
  </si>
  <si>
    <t>MTgxMjY5AwAAAAMxNjACAAAABDQwNTEEAAAAATAHAAAACTcvMzEvMjAxOAgAAAAKMTIvMzEvMjAxNgkAAAABMDfWxrqhVNYI8Pqqv6FU1gg2Q0lRLk5BU0RBUUNNOlBVTE0uSVFfRUJJVERBLjIwMDAuNy8zMS8yMDE4LkxGUi5GLlVTRC5IAQAAAJ9smgECAAAABy0xOS4wMzUBCAAAAAUAAAABMQEAAAAKMTg4ODExNjIyNwMAAAADMTYwAgAAAAQ0MDUxBAAAAAEwBwAAAAk3LzMxLzIwMTgIAAAACTMvMzEvMjAxOAkAAAABMEo8i7qhVNYIF9LCv6FU1gg4Q0lRLkFNRVg6QVBIQi5JUV9FQVJOSU5HX0NPLkNZMjAxNi43LzMxLzIwMTguTEZSLkYuVVNELkgBAAAAIokAAAIAAAAHLTE4LjgzOAEIAAAABQAAAAExAQAAAAoxODc4MzYzNzMxAwAAAAMxNjACAAAAATcEAAAAATAHAAAACTcvMzEvMjAxOAgAAAAKMTIvMzEvMjAxNgkAAAABMEo8i7qhVNYI7TTFv6FU1ggjQ0lRLklRVFIzNDc1OTE1OTEuSVFfVFJfVE9UQUxfU1RPQ0sBAAAAp9O3FAIAAAAAAAI/2rehVNYIGgAivaFU1gg1Q0lRLk5BU0RBUUNNOkdMTUQuSVFfQ0FQRVguMjAwMC43LzMxLzIwMTguTEZSLkYuVVNELkgBAAAAJGfXBgIAAAAGLTAuMDA2AQgAAAAFAAAAATEBAAAACjE4ODg0OTIzOTMDAAAAAzE2MAIAAAAEMjAyMQQAAAABMAcAAAAJNy8zMS8yMDE4CAAAAAkzLzMxLzIwMTgJAAAAATA31sa6oVTWCPIhsr+hVNYIIUNJUS5JUVRSMjcwNzg5</t>
  </si>
  <si>
    <t>NTg0LklRX1RSX0JVWUVSTkFNRQEAAADQ6yMQAwAAABBSb2NoZSBIb2xkaW5nIEFHAAI/2rehVNYIGgAivaFU1gg8Q0lRLk5BU0RBUUdTOklDUFQuSVFfRUJJVERBX0VTVC5DWTIwMTguNy8zMS8yMDE4LkNPTi5GLlVTRC5IAQAAAIKvrQACAAAACi0yNzguNzg4MjEBDgAAAAUAAAACMTEBAAAAATACAAAACjEwMDE2NjU2MDQDAAAABjEwMDE4NwQAAAABMgYAAAABMAcAAAADMTYwCAAAAAEwCQAAAAExCgAAAAEwCwAAAAsxMDk4Njc5MTgxNgwAAAABNw0AAAAIOC8xLzIwMTgQAAAACTcvMzEvMjAxOASimLuhVNYIVjamv6FU1gg4Q0lRLk5BU0RBUUdTOkZHRU4uSVFfRUJJVERBLkNZMjAxNi43LzMxLzIwMTguTEZSLkYuVVNELkgBAAAARG8AAAIAAAAHLTQ3LjYxNAEIAAAABQAAAAExAQAAAAoxODc2MTM0NDY5AwAAAAMxNjACAAAABDQwNTEEAAAAATAHAAAACTcvMzEvMjAxOAgAAAAKMTIvMzEvMjAxNgkAAAABMASimLuhVNYIbw+fv6FU1gghQ0lRLklRVFIzMzAwMzExODQuSVFfVFJfQlVZRVJOQU1FAQAAAFDgqxMDAAAAFUdpbGVhZCBTY2llbmNlcywgSW5jLgACP9q3oVTWCDLZGr2hVNYIM0NJUS5FTlhUQU06R0xQRy5JUV9EQV9DRi4yMDAwLjcvMzEvMjAxOC5MRlIuRi5VU0QuSAEAAACyMRoAAgAAAAg0LjY2Njc0OQEIAAAABQAAAAExAQAAAAoxODg1NDg0NzU1AwAAAAMxNjACAAAABDIxNjAEAAAAATAH</t>
  </si>
  <si>
    <t>AAAACTcvMzEvMjAxOAgAAAAJMy8zMS8yMDE4CQAAAAEwBKKYu6FU1ggB1KO/oVTWCDxDSVEuTkFTREFRR006UFJRUi5JUV9FQVJOSU5HX0NPLkNZMjAxNi43LzMxLzIwMTguTEZSLkYuVVNELkgBAAAA7+xcDQIAAAAJLTQxLjI3ODM3AQgAAAAFAAAAATEBAAAACjE4ODA5ODE5OTgDAAAAAzE2MAIAAAABNwQAAAABMAcAAAAJNy8zMS8yMDE4CAAAAAoxMi8zMS8yMDE2CQAAAAEwN9bGuqFU1gjaSLm/oVTWCC5DSVEuTkFTREFRR1M6U1ZSQS5JUV9NQVJLRVRDQVAuOS8zMC8yMDE2LlVTRC5IAQAAAHV/hwMDAAAAAAA31sa6oVTWCPIhsr+hVNYIMENJUS5JUVRSNTQ4NzA0ODE5LklRX1RSX1RBUkdFVF9FQklUREFfRVNULi5VU0QuSAEAAAAzkrQgAgAAAAAAAj/at6FU1ggy2Rq9oVTWCDlDSVEuRU5YVFBBOkdORlQuSVFfUFJFRl9FUVVJVFkuMjAwMC43LzMxLzIwMTguTEZSLkYuVVNELkgBAAAAIsGTAAMAAAAAADfWxrqhVNYIm5iov6FU1gg6Q0lRLk5BU0RBUUdNOkNSQlAuSVFfVE9UQUxfREVCVC4yMDAwLjcvMzEvMjAxOC5MRlIuRi5VU0QuSAEAAAAkbyQPAgAAAAgwLjIwODY0OAEIAAAABQAAAAExAQAAAAoxODg4NTkwMzgxAwAAAAMxNjACAAAABDQxNzMEAAAAATAHAAAACTcvMzEvMjAxOAgAAAAJMy8zMS8yMDE4CQAAAAEwN9bGuqFU1ghHhLS/oVTWCCtDSVEuSVFUUjI2MzcwNzI4OS5JUV9UUl9JTVBM</t>
  </si>
  <si>
    <t>SUVEX0VWX0VCSVRfRldEAQAAAJnatw8CAAAAAAACP9q3oVTWCIQ7Hb2hVNYINkNJUS5OQVNEQVFHTTpQUlFSLklRX0VCSVREQS4xOTk2LjcvMzEvMjAxOC5MRlIuRi5VU0QuSAEAAADv7FwNAgAAAAotNDAuNTE0MDkzAQgAAAAFAAAAATEBAAAACjE4ODA5ODE5OTgDAAAAAzE2MAIAAAAENDA1MQQAAAABMAcAAAAJNy8zMS8yMDE4CAAAAAoxMi8zMS8yMDE2CQAAAAEwN9bGuqFU1gjaSLm/oVTWCD1DSVEuTkFTREFRQ006R0FMVC5JUV9SRVZFTlVFX0VTVC5DWTIwMTguNy8zMS8yMDE4LkNPTi5GLlVTRC5IAQAAAMdBEAACAAAAATABDgAAAAUAAAACMTEBAAAAATACAAAACjEwMDEzMTE5MDYDAAAABjEwMDE4MAQAAAABMgYAAAABMAcAAAADMTYwCAAAAAEwCQAAAAExCgAAAAEwCwAAAAsxMDg4MzcwMDk3NAwAAAABNw0AAAAIOC8xLzIwMTgQAAAACTcvMzEvMjAxODfWxrqhVNYIR4S0v6FU1ggpQ0lRLi5JUV9FQklUREEuMjAwMC43LzMxLzIwMTguTEZSLkYuVVNELkgFAAAAAQAAAAgAAAAUKEludmFsaWQgSWRlbnRpZmllcikcrLm+oVTWCBysub6hVNYIJUNJUS5JUVRSMTE3MjkxNDY1LklRX1RSX01BSl9NSU5fU1RBS0UBAAAAybn9BgMAAAAITWFqb3JpdHkAAj/at6FU1ghhYiS9oVTWCD9DSVEuQU1FWDpBUEhCLklRX0VCSVREQV8zWVJfQU5OX0NBR1IuMjAwMC43LzMxLzIwMTguTEZSLkYuVVNELkgBAAAA</t>
  </si>
  <si>
    <t>IokAAAMAAAACTk0BCAAAAAUAAAABMQEAAAAKMTg4OTAxODg0NAMAAAADMTYwAgAAAAQ0MjIyBAAAAAEwBwAAAAk3LzMxLzIwMTgIAAAACTMvMzEvMjAxOAkAAAABMEo8i7qhVNYI7TTFv6FU1gg6Q0lRLk5BU0RBUUdTOlZSVFguSVFfRUFSTklOR19DTy4yMDAwLjcvMzEvMjAxOC5MRlIuRi5VU0QuSAEAAACLjQAAAgAAAAcyNDQuNDY5AQgAAAAFAAAAATEBAAAACjE4OTcyOTM1OTADAAAAAzE2MAIAAAABNwQAAAABMAcAAAAJNy8zMS8yMDE4CAAAAAk2LzMwLzIwMTgJAAAAATAEopi7oVTWCAytnL+hVNYILUNJUS5OQVNEQVFHTTpDTkFULklRX0RJVklERU5EX1lJRUxELjcvMzEvMjAxOAEAAABlZ9YBAwAAAAAAN9bGuqFU1gh3Db6/oVTWCDVDSVEuTkFTREFRQ006TURHTC5JUV9DQVBFWC4xOTkyLjcvMzEvMjAxOC5MRlIuRi5VU0QuSAEAAABMm6MIAwAAAAAABKKYu6FU1ggB1KO/oVTWCDZDSVEuTkFTREFRR1M6SU5TTS5JUV9FQklUREEuMTk5Ni43LzMxLzIwMTguTEZSLkYuVVNELkgBAAAAGnUAAAIAAAAILTE3My42NjIBCAAAAAUAAAABMQEAAAAKMTg4NjA0MjI5NwMAAAADMTYwAgAAAAQ0MDUxBAAAAAEwBwAAAAk3LzMxLzIwMTgIAAAACTMvMzEvMjAxNwkAAAABMASimLuhVNYIm5iov6FU1ggpQ0lRLklRVFIzMzAwMzExODQuSVFfVFJfSU1QTElFRF9FUV9OSV9MVE0BAAAAUOCrEwIAAAAAAAI/2reh</t>
  </si>
  <si>
    <t>VNYIYWIkvaFU1gglQ0lRLklRVFIyNzAxMTEzNjguSVFfVFJfSU1QTElFRF9FUV9CVgEAAACIkhkQAwAAAAJOTQACP9q3oVTWCDLZGr2hVNYIJ0NJUS5OQVNEQVFHTTpDTkFULklRX1BFUklPRERBVEVfSVMuMTAwMAEAAABlZ9YBBQAAAAoxMi8zMS8yMDE3ADfWxrqhVNYIIqu7v6FU1ggsQ0lRLklRVFI0MjgxMDEwMzQuSVFfVFJfVE9UQUxfR1JPU1NfVFYuVVNELkgFAAAAAAAAAAgAAAAaKEludmFsaWQgQ3VycmVuY3kgUmVxdWVzdCkCP9q3oVTWCIQ7Hb2hVNYILENJUS5JUVRSMjg2NDEwNzM2LklRX1RSX1RBUkdFVF9FQklUREEuLlVTRC5IAQAAAPBHEhECAAAAAAACP9q3oVTWCMWdH72hVNYIK0NJUS5JUVRSMjcwNzg5NTg0LklRX1RSX0lNUExJRURfRVZfRUJJVF9GV0QBAAAA0OsjEAMAAAACTk0AAj/at6FU1ggaACK9oVTWCBtDSVEuRU5YVEFNOkdMUEcuSVFfRVhDSEFOR0UBAAAAsjEaAAMAAAAGRU5YVEFNAKpBlruhVNYID0xPvaFU1ggpQ0lRLi5JUV9FQklUREEuMTk5Mi43LzMxLzIwMTguTEZSLkYuVVNELkgFAAAAAQAAAAgAAAAUKEludmFsaWQgSWRlbnRpZmllcikcrLm+oVTWCBysub6hVNYIP0NJUS5OQVNEQVFHUzpGR0VOLklRX05FVF9XT1JLSU5HX0NBUC4xOTkyLjcvMzEvMjAxOC5MRlIuRi5VU0QuSAEAAABEbwAAAgAAAActNDcuNzE1AQgAAAAFAAAAATEBAAAACjE4NDA5MzQ2NjkDAAAA</t>
  </si>
  <si>
    <t>AzE2MAIAAAAEMTMxMQQAAAABMAcAAAAJNy8zMS8yMDE4CAAAAAkzLzMxLzIwMTYJAAAAATAEopi7oVTWCG8Pn7+hVNYIPkNJUS5OQVNEQVFHTTpQUlFSLklRX0NBU0hfU1RfSU5WRVNULjIwMDAuOS8zMC8yMDE2LkxGUi5GLlVTRC5IAQAAAO/sXA0CAAAACTg0Ljc0NzYyNgEIAAAABQAAAAExAQAAAAoxODA0NTE1MDYwAwAAAAMxNjACAAAABDEwMDIEAAAAATAHAAAACTkvMzAvMjAxNggAAAAJNi8zMC8yMDE2CQAAAAEwN9bGuqFU1gjaSLm/oVTWCC5DSVEuSVFUUjM0NzU5MTU5MS5JUV9UUl9UQVJHRVRfU1RPQ0tQUkVNSVVNXzFNAQAAAKfTtxQCAAAAAAACP9q3oVTWCGFiJL2hVNYILkNJUS4oSU5WQUxJRCBJREVOVElGSUVSKS5JUV9QRVJJT0REQVRFX0lTLjEwMDAFAAAAAAAAAAgAAAAUKEludmFsaWQgSWRlbnRpZmllcilKPIu6oVTWCMe77b+hVNYII0NJUS5JUVRSMjU2NjgzNjU1LklRX1RSX1RPVEFMX1NUT0NLAQAAAIeuTA8CAAAAAAACP9q3oVTWCBoAIr2hVNYIO0NJUS5OQVNEQVFDTTpNR0VOLklRX0VCSVRfTUFSR0lOLjIwMDAuNy8zMS8yMDE4LkxGUi5GLlVTRC5IAQAAAG/irgICAAAACS0yOTAuODM0OAEIAAAABQAAAAExAQAAAAoxODg3Njc2OTM1AwAAAAMxNjACAAAABDQwNTMEAAAAATAHAAAACTcvMzEvMjAxOAgAAAAJMy8zMS8yMDE4CQAAAAEwN9bGuqFU1gjaSLm/oVTWCCpDSVEuSVFU</t>
  </si>
  <si>
    <t>UjMzMDAzMTE4NC5JUV9UUl9UQVJHRVRfRUJJVC4uVVNELkgBAAAAUOCrEwIAAAAAAAI/2rehVNYIhDsdvaFU1ghDQ0lRLk5BU0RBUUdNOk1OT1YuSVFfRUJJVERBXzJZUl9BTk5fQ0FHUi4yMDAwLjcvMzEvMjAxOC5MRlIuRi5VU0QuSAEAAAC4VI0AAwAAAAJOTQEIAAAABQAAAAExAQAAAAoxODk2NzY2MTkxAwAAAAMxNjACAAAABDQyMDkEAAAAATAHAAAACTcvMzEvMjAxOAgAAAAJNi8zMC8yMDE4CQAAAAEwN9bGuqFU1gikv6+/oVTWCDlDSVEuTkFTREFRQ006TUdFTi5JUV9UT1RBTF9SRVYuMTk5Ni43LzMxLzIwMTguTEZSLkYuVVNELkgBAAAAb+KuAgIAAAAFMy4wMjIBCAAAAAUAAAABMQEAAAAKMTg4NzY3NjkyMwMAAAADMTYwAgAAAAIyOAQAAAABMAcAAAAJNy8zMS8yMDE4CAAAAAkzLzMxLzIwMTcJAAAAATA31sa6oVTWCNpIub+hVNYIPENJUS5OQVNEQVFHTTpNTk9WLklRX1RPVEFMX0VRVUlUWS4xOTkyLjcvMzEvMjAxOC5MRlIuRi5VU0QuSAEAAAC4VI0AAgAAAAkzNy4zNzI3MjkBCAAAAAUAAAABMQEAAAAKMTg1MDQzOTk5OQMAAAADMTYwAgAAAAQxMjc1BAAAAAEwBwAAAAk3LzMxLzIwMTgIAAAACTYvMzAvMjAxNgkAAAABMDfWxrqhVNYIpL+vv6FU1ggXQ0lRLi5JUV9FRkZFQ1RfVEFYX1JBVEUFAAAAAQAAAAgAAAAUKEludmFsaWQgSWRlbnRpZmllcikcrLm+oVTWCBysub6hVNYILkNJUS5J</t>
  </si>
  <si>
    <t>UVRSMjcwMTExMzY4LklRX1RSX1RBUkdFVF9TVE9DS1BSRU1JVU1fMU0BAAAAiJIZEAIAAAAAAAI/2rehVNYIusQmvaFU1gggQ0lRLklRMzYxODM4MzEuSVFfTEFTVFNBTEVQUklDRS4BAAAAFx8oAgIAAAADMi45AKpBlruhVNYIqkGWu6FU1ggrQ0lRLk5ZU0U6QkhWTi5JUV9FQklUREEuMjAwMC4xMC8xOC8yMDE2Li4uLgEAAADcZyAPAwAAAAAAAj/at6FU1gio1VO4oVTWCCBDSVEuSVFUUjU0ODcwNDgxOS5JUV9UUl9FQVJOT1VUUwEAAAAzkrQgAgAAAAQ1OTAwAQYAAAAFAAAAAjU0AQAAAAYxMDE0MDMCAAAACTU0ODcwNDgxOQMAAAAJNTQ4NzA3NDgwBAAAAAMxNjAGAAAABUZhbHNlAj/at6FU1giEOx29oVTWCDRDSVEuRU5YVEFNOkdMUEcuSVFfRUJJVERBLjIwMDAuNy8zMS8yMDE4LkxGUi5GLlVTRC5IAQAAALIxGgACAAAACy0xMzEuNjA2NTA1AQgAAAAFAAAAATEBAAAACjE4ODU0ODQ3NTUDAAAAAzE2MAIAAAAENDA1MQQAAAABMAcAAAAJNy8zMS8yMDE4CAAAAAkzLzMxLzIwMTgJAAAAATAEopi7oVTWCLZxob+hVNYINUNJUS5OQVNEQVFHTTpDTkFULklRX0NBUEVYLjE5OTIuNy8zMS8yMDE4LkxGUi5GLlVTRC5IAQAAAGVn1gECAAAACS0wLjE5MzYzOAEIAAAABQAAAAExAQAAAAoxODQyMDU1Mjk1AwAAAAMxNjACAAAABDIwMjEEAAAAATAHAAAACTcvMzEvMjAxOAgAAAAJMy8zMS8yMDE2CQAAAAEw</t>
  </si>
  <si>
    <t>N9bGuqFU1ggiq7u/oVTWCDlDSVEuLklRX1RPVEFMX1JFVl8yWVJfQU5OX0NBR1IuMjAwMC43LzMxLzIwMTguTEZSLkYuVVNELkgFAAAAAQAAAAgAAAAUKEludmFsaWQgSWRlbnRpZmllcikcrLm+oVTWCBysub6hVNYIL0NJUS5JUVRSNDE1NjExODE1LklRX1RSX1RBUkdFVF9UT1RBTF9SRVYuLlVTRC5IAQAAAKe7xRgCAAAABTAuMTI4AQYAAAAFAAAAAjM3AQAAAAoxODMwNjA3MjM1AgAAAAIyOAMAAAADMTYwBAAAAAEwBwAAAAgxLzEvMTkwMAI/2rehVNYIYWIkvaFU1gg6Q0lRLk5BU0RBUUNNOkdMTUQuSVFfRUFSTklOR19DTy4xOTk2LjcvMzEvMjAxOC5MRlIuRi5VU0QuSAEAAAAkZ9cGAgAAAActMTYuMTMxAQgAAAAFAAAAATEBAAAACjE4ODg0OTIzMjADAAAAAzE2MAIAAAABNwQAAAABMAcAAAAJNy8zMS8yMDE4CAAAAAkzLzMxLzIwMTcJAAAAATA31sa6oVTWCPIhsr+hVNYINUNJUS5BU1g6SU1DLklRX1BSRUZfRVFVSVRZLjIwMDAuOS8zMC8yMDE2LkxGUi5GLlVTRC5IAQAAAPNMdQADAAAAAABKPIu6oVTWCMxvwL+hVNYINkNJUS5OQVNEQVFHUzpJTlNNLklRX0VCSVREQS4xOTkyLjcvMzEvMjAxOC5MRlIuRi5VU0QuSAEAAAAadQAAAgAAAActMTIxLjc5AQgAAAAFAAAAATEBAAAACjE4Mzk3NjIyNTIDAAAAAzE2MAIAAAAENDA1MQQAAAABMAcAAAAJNy8zMS8yMDE4CAAAAAkzLzMxLzIwMTYJAAAA</t>
  </si>
  <si>
    <t>ATAEopi7oVTWCJuYqL+hVNYIOENJUS5OWVNFOktETU4uSVFfRUFSTklOR19DTy5DWTIwMTYuNy8zMS8yMDE4LkxGUi5GLlVTRC5IAQAAAFPI2QYCAAAACC0yMDguNzU1AQgAAAAFAAAAATEBAAAACjE4NzcxODEyNjkDAAAAAzE2MAIAAAABNwQAAAABMAcAAAAJNy8zMS8yMDE4CAAAAAoxMi8zMS8yMDE2CQAAAAEwN9bGuqFU1ghVXa2/oVTWCDtDSVEuTkFTREFRR006TU5PVi5JUV9UT1RBTF9SRVYuQ1kyMDE3LjcvMzEvMjAxOC5MRlIuRi5VU0QuSAEAAAC4VI0AAwAAAAAAN9bGuqFU1ghVXa2/oVTWCDBDSVEuSVFUUjExNzI5MTQ2NS5JUV9UUl9UQVJHRVRfRUJJVERBX0VTVC4uVVNELkgBAAAAybn9BgIAAAAAAAI/2rehVNYIusQmvaFU1ghCQ0lRLihJTlZBTElEIElERU5USUZJRVIpLklRX1RPVEFMX1JFVi5DWTIwMTYuNy8zMS8yMDE4LkxGUi5GLlVTRC5IBQAAAAAAAAAIAAAAFChJbnZhbGlkIElkZW50aWZpZXIpSjyLuqFU1gjHu+2/oVTWCDxDSVEuTkFTREFRR006Q05BVC5JUV9UT1RBTF9FUVVJVFkuMjAwMC43LzMxLzIwMTguTEZSLkYuVVNELkgBAAAAZWfWAQIAAAAGMjMuMzUyAQgAAAAFAAAAATEBAAAACjE4ODY2MTczNDADAAAAAzE2MAIAAAAEMTI3NQQAAAABMAcAAAAJNy8zMS8yMDE4CAAAAAkzLzMxLzIwMTgJAAAAATA31sa6oVTWCHcNvr+hVNYINUNJUS5OQVNEQVFHTTpDTkFULklRX0NB</t>
  </si>
  <si>
    <t>UEVYLjIwMDAuNy8zMS8yMDE4LkxGUi5GLlVTRC5IAQAAAGVn1gECAAAACS0wLjAyODUwNgEIAAAABQAAAAExAQAAAAoxODg2NjE3MzQwAwAAAAMxNjACAAAABDIwMjEEAAAAATAHAAAACTcvMzEvMjAxOAgAAAAJMy8zMS8yMDE4CQAAAAEwN9bGuqFU1gh3Db6/oVTWCEZDSVEuTkFTREFRR006Q05BVC5JUV9UT1RBTF9SRVZfNVlSX0FOTl9DQUdSLjIwMDAuNy8zMS8yMDE4LkxGUi5GLlVTRC5IAQAAAGVn1gEDAAAAAAA31sa6oVTWCHcNvr+hVNYINkNJUS5OQVNEQVFHUzpWUlRYLklRX0VCSVREQS4xOTk2LjcvMzEvMjAxOC5MRlIuRi5VU0QuSAEAAACLjQAAAgAAAAc0MTcuOTc2AQgAAAAFAAAAATEBAAAACjE4OTcyOTM1OTEDAAAAAzE2MAIAAAAENDA1MQQAAAABMAcAAAAJNy8zMS8yMDE4CAAAAAk2LzMwLzIwMTcJAAAAATAEopi7oVTWCAytnL+hVNYIOUNJUS5OQVNEQVFHTTpDTkFULklRX05JX01BUkdJTi4yMDAwLjcvMzEvMjAxOC5MRlIuRi5VU0QuSAEAAABlZ9YBAgAAAAgtNDkuMzAwOAEIAAAABQAAAAExAQAAAAoxODg2NjE3MzQwAwAAAAMxNjACAAAABDQwOTQEAAAAATAHAAAACTcvMzEvMjAxOAgAAAAJMy8zMS8yMDE4CQAAAAEwN9bGuqFU1ggiq7u/oVTWCDZDSVEuTkFTREFRR1M6RkdFTi5JUV9FQklUREEuMTk5Mi43LzMxLzIwMTguTEZSLkYuVVNELkgBAAAARG8AAAIAAAAHLTUzLjg5NAEI</t>
  </si>
  <si>
    <t>AAAABQAAAAExAQAAAAoxODQwOTM0NjY5AwAAAAMxNjACAAAABDQwNTEEAAAAATAHAAAACTcvMzEvMjAxOAgAAAAJMy8zMS8yMDE2CQAAAAEwBKKYu6FU1ghvD5+/oVTWCEZDSVEuTkFTREFRQ006TURHTC5JUV9UT1RBTF9SRVZfMllSX0FOTl9DQUdSLjIwMDAuNy8zMS8yMDE4LkxGUi5GLlVTRC5IAQAAAEybowgDAAAAAAAEopi7oVTWCAHUo7+hVNYILENJUS5FTlhUUEE6R05GVC5JUV9NQVJLRVRDQVAuOS8zMC8yMDE2LlVTRC5IAQAAACLBkwACAAAACjY5My44MDUzNDQBBgAAAAUAAAABMQEAAAAKMTgxMTc5NTI5MwMAAAADMTYwAgAAAAYxMDAwNTQEAAAAATAHAAAACTkvMzAvMjAxNjfWxrqhVNYI8Pqqv6FU1gg5Q0lRLk5BU0RBUUdTOlZSVFguSVFfVE9UQUxfUkVWLjE5OTIuNy8zMS8yMDE4LkxGUi5GLlVTRC5IAQAAAIuNAAACAAAACDE1NTcuNDM5AQgAAAAFAAAAATEBAAAACjE4NTA5MDI0OTEDAAAAAzE2MAIAAAACMjgEAAAAATAHAAAACTcvMzEvMjAxOAgAAAAJNi8zMC8yMDE2CQAAAAEwqkGWu6FU1ggMrZy/oVTWCCxDSVEuSVFUUjU0ODcwNDgxOS5JUV9UUl9UQVJHRVRfRUJJVERBLi5VU0QuSAEAAAAzkrQgAgAAAAAAAj/at6FU1giEOx29oVTWCDZDSVEuRU5YVEFNOkdMUEcuSVFfRUJJVERBLkNZMjAxNi43LzMxLzIwMTguTEZSLkYuVVNELkgBAAAAsjEaAAIAAAAJLTguNjE4MTc4AQgAAAAF</t>
  </si>
  <si>
    <t>AAAAATEBAAAACjE4Nzk4MTg2ODcDAAAAAzE2MAIAAAAENDA1MQQAAAABMAcAAAAJNy8zMS8yMDE4CAAAAAoxMi8zMS8yMDE2CQAAAAEwBKKYu6FU1gi2caG/oVTWCDpDSVEuRU5YVEFNOkdMUEcuSVFfVE9UQUxfRVFVSVRZLjE5OTYuNy8zMS8yMDE4LkxGUi5GLlVTRC5IAQAAALIxGgACAAAACjc5OS45ODkzMDcBCAAAAAUAAAABMQEAAAAKMTg4NTQ4NDc0MwMAAAADMTYwAgAAAAQxMjc1BAAAAAEwBwAAAAk3LzMxLzIwMTgIAAAACTMvMzEvMjAxNwkAAAABMASimLuhVNYItnGhv6FU1gg9Q0lRLkFTWDoxQUQuSVFfRUJJVERBXzVZUl9BTk5fQ0FHUi4yMDAwLjcvMzEvMjAxOC5MRlIuRi5VU0QuSAEAAADFoKQDAwAAAAAASjyLuqFU1ggX0sK/oVTWCDFDSVEuSVFUUjE3MDIyOTM4Ni5JUV9UUl9UQVJHRVRfUkVWRU5VRV9FU1QuLlVTRC5IAQAAAIp+JQoCAAAAAAACP9q3oVTWCGFiJL2hVNYIRkNJUS5OQVNEQVFHUzpJQ1BULklRX1RPVEFMX1JFVl81WVJfQU5OX0NBR1IuMjAwMC43LzMxLzIwMTguTEZSLkYuVVNELkgBAAAAgq+tAAIAAAAIMTMzLjY5NTQBCAAAAAUAAAABMQEAAAAKMTg4ODYxNTU0MAMAAAADMTYwAgAAAAQ0MjMzBAAAAAEwBwAAAAk3LzMxLzIwMTgIAAAACTMvMzEvMjAxOAkAAAABMASimLuhVNYIVjamv6FU1gg9Q0lRLk5BU0RBUUdNOkNOQVQuSVFfUkVWRU5VRV9FU1QuQ1kyMDE5Ljcv</t>
  </si>
  <si>
    <t>MzEvMjAxOC5DT04uRi5VU0QuSAEAAABlZ9YBAgAAAAc1NS43Njk4AQ4AAAAFAAAAAjExAQAAAAEwAgAAAAoxMDAxOTEzMTQwAwAAAAYxMDAxODAEAAAAATIGAAAAATAHAAAAAzE2MAgAAAABMAkAAAABMQoAAAABMAsAAAALMTA4NjMxMDM3MTAMAAAAATcNAAAACDgvMS8yMDE4EAAAAAk3LzMxLzIwMTg31sa6oVTWCCKru7+hVNYIPENJUS5OQVNEQVFDTTpQVUxNLklRX0VBUk5JTkdfQ08uQ1kyMDE3LjcvMzEvMjAxOC5MRlIuRi5VU0QuSAEAAACfbJoBAgAAAActMTguMDU2AQgAAAAFAAAAATEBAAAACjE4NzgxNjQ2MzgDAAAAAzE2MAIAAAABNwQAAAABMAcAAAAJNy8zMS8yMDE4CAAAAAoxMi8zMS8yMDE3CQAAAAEwSjyLuqFU1ggX0sK/oVTWCCVDSVEuSVFUUjM0NzU5MTU5MS5JUV9UUl9NQUpfTUlOX1NUQUtFAQAAAKfTtxQDAAAACE1ham9yaXR5AAI/2rehVNYIhDsdvaFU1ggjQ0lRLjAuSVFfVFJfSU1QTElFRF9FVl9GSU5BTC4uVVNELkgFAAAAAAAAAAgAAAAYKEludmFsaWQgVHJhbnNhY3Rpb24gSWQpAj/at6FU1ghhYiS9oVTWCDtDSVEuTkFTREFRQ006TURHTC5JUV9QUkVGX0VRVUlUWS4yMDAwLjkvMzAvMjAxNi5MRlIuRi5VU0QuSAEAAABMm6MIAwAAAAAABKKYu6FU1ggB1KO/oVTWCCJDSVEuSVFUUjQwMTk3OTY4OS5JUV9UUl9QQ1RfU09VR0hUAQAAACm59RcCAAAAAzEwMAEGAAAABQAAAAI1</t>
  </si>
  <si>
    <t>NAEAAAAGMTAxMDI0AgAAAAk0MDE5Nzk2ODkDAAAACTQwMTk4MDU5NwQAAAADMTYwBgAAAARUcnVlAj/at6FU1giEOx29oVTWCCBDSVEuSVFUUjMzMDAzMTE4NC5JUV9UUl9FQVJOT1VUUwEAAABQ4KsTAgAAAAM4MDABBgAAAAUAAAACNTQBAAAABjEwMTQwMwIAAAAJMzMwMDMxMTg0AwAAAAkzMzAwMzE3NTQEAAAAAzE2MAYAAAAFRmFsc2UCP9q3oVTWCGFiJL2hVNYIL0NJUS5BU1g6SU1DLklRX0NBUEVYLjIwMDAuNy8zMS8yMDE4LkxGUi5GLlVTRC5IAQAAAPNMdQACAAAACS0wLjAwNDY4NAEIAAAABQAAAAExAQAAAAoxODc3NjUwMDk2AwAAAAMxNjACAAAABDIwMjEEAAAAATAHAAAACTcvMzEvMjAxOAgAAAAKMTIvMzEvMjAxNwkAAAABMEo8i7qhVNYIdw2+v6FU1ggpQ0lRLk5BU0RBUUNNOkdBTFQuSVFfQlVTSU5FU1NfREVTQ1JJUFRJT04BAAAAx0EQAAMAAADaCEdhbGVjdGluIFRoZXJhcGV1dGljcywgSW5jLiwgYSBjbGluaWNhbCBzdGFnZSBiaW9waGFybWFjZXV0aWNhbCBjb21wYW55LCBlbmdhZ2VzIGluIHRoZSByZXNlYXJjaCBhbmQgZGV2ZWxvcG1lbnQgb2YgdGhlcmFwaWVzIGZvciBmaWJyb3RpYyBkaXNlYXNlLCBza2luIGRpc2Vhc2UsIGFuZCBjYW5jZXIuIFRoZSBjb21wYW554oCZcyBsZWFkIHByb2R1Y3QgY2FuZGlkYXRlIGluY2x1ZGVzIGdhbGVjdGluLTMgaW5oaWJpdG9yIChHUi1N</t>
  </si>
  <si>
    <t>RC0wMiksIGEgZ2FsYWN0b2FyYWJpbm8tcmhhbW5vZ2FsYWN0dXJvbmFuIHBvbHlzYWNjaGFyaWRlIHBvbHltZXIgZm9yIHRoZSB0cmVhdG1lbnQgb2YgbGl2ZXIgZmlicm9zaXMgYW5kIGxpdmVyIGNpcnJob3NpcyBpbiBub24tYWxjb2hvbGljIHN0ZWF0b2hlcGF0aXRpcyBwYXRpZW50cywgYXMgd2VsbCBhcyBmb3IgdGhlIHRyZWF0bWVudCBvZiBjYW5jZXIuIEl0IGFsc28gZW5nYWdlcyBpbiBkZXZlbG9waW5nIEdNLUNULTAxLCB3aGljaCBpcyBpbiBwcmUtY2xpbmljYWwgZGV2ZWxvcG1lbnQgc3RhZ2UgZm9yIHRoZSB0cmVhdG1lbnQgb2YgY2FyZGlhYyBhbmQgdmFzY3VsYXIgZmlicm9zaXMsIGFzIHdlbGwgYXMgZm9jdXNlcyBvbiBkZXZlbG9waW5nIEdSLU1ELTAyIGZvciB0aGUgdHJlYXRtZW50IG9mIHBzb3JpYXNpcy4gVGhlIGNvbXBhbnksIHRocm91Z2ggaXRzIEdhbGVjdGluIFNjaWVuY2VzLCBMTEMsIHdoaWNoIGlzIGEgY29sbGFib3JhdGl2ZSBqb2ludCB2ZW50dXJlIGNvLW93bmVkIGJ5IFNCSCBTY2llbmNlcywgSW5jLiwgaXMgYWxzbyBpbnZvbHZlZCBpbiB0aGUgcmVzZWFyY2ggYW5kIGRldmVsb3BtZW50IG9mIHNtYWxsIG9yZ2FuaWMgbW9sZWN1bGUgaW5oaWJpdG9ycyBvZiBnYWxlY3Rpbi0zIGZvciBvcmFsIGFkbWluaXN0cmF0aW9uLiBUaGUgY29tcGFueSB3YXMgZm9ybWVy</t>
  </si>
  <si>
    <t>bHkga25vd24gYXMgUHJvLVBoYXJtYWNldXRpY2FscywgSW5jLiBhbmQgY2hhbmdlZCBpdHMgbmFtZSB0byBHYWxlY3RpbiBUaGVyYXBldXRpY3MsIEluYy4gaW4gTWF5IDIwMTEuIEdhbGVjdGluIFRoZXJhcGV1dGljcywgSW5jLiB3YXMgZm91bmRlZCBpbiAyMDAwIGFuZCBpcyBiYXNlZCBpbiBOb3Jjcm9zcywgR2VvcmdpYS4AN9bGuqFU1gj052u9oVTWCCVDSVEuSVFUUjExNzI5MTQ2NS5JUV9UUl9JTVBMSUVEX0VRX0JWAQAAAMm5/QYCAAAAAAACP9q3oVTWCLrEJr2hVNYINUNJUS5BU1g6MUFELklRX1RPVEFMX1JFVi5DWTIwMTcuNy8zMS8yMDE4LkxGUi5GLlVTRC5IAQAAAMWgpAMCAAAACDEuNDA3NzU4AQgAAAAFAAAAATEBAAAACjE4NzYxODU3OTEDAAAAAzE2MAIAAAACMjgEAAAAATAHAAAACTcvMzEvMjAxOAgAAAAKMTIvMzEvMjAxNwkAAAABMEo8i7qhVNYIzG/Av6FU1ghDQ0lRLihJTlZBTElEIElERU5USUZJRVIpLklRX0dST1NTX01BUkdJTi4yMDAwLjcvMzEvMjAxOC5MRlIuRi5VU0QuSAUAAAAAAAAACAAAABQoSW52YWxpZCBJZGVudGlmaWVyKUo8i7qhVNYIx7vtv6FU1gg6Q0lRLk5BU0RBUUdNOkNSQlAuSVFfRUFSTklOR19DTy4xOTk2LjcvMzEvMjAxOC5MRlIuRi5VU0QuSAEAAAAkbyQPAgAAAAotMjQuNTcxODczAQgAAAAFAAAAATEBAAAACjE4ODg1OTAzNjMDAAAAAzE2MAIAAAAB</t>
  </si>
  <si>
    <t>NwQAAAABMAcAAAAJNy8zMS8yMDE4CAAAAAkzLzMxLzIwMTcJAAAAATA31sa6oVTWCJXmtr+hVNYIO0NJUS5OQVNEQVFHTTpDUkJQLklRX1BSRUZfRVFVSVRZLjIwMDAuOS8zMC8yMDE2LkxGUi5GLlVTRC5IAQAAACRvJA8DAAAAAAA31sa6oVTWCJXmtr+hVNYIL0NJUS5BU1g6MUFELklRX0RBX0NGLjIwMDAuNy8zMS8yMDE4LkxGUi5GLlVTRC5IAQAAAMWgpAMCAAAACDAuMDA0MjQ1AQgAAAAFAAAAATEBAAAACjE4NzYxODU3OTEDAAAAAzE2MAIAAAAEMjE2MAQAAAABMAcAAAAJNy8zMS8yMDE4CAAAAAoxMi8zMS8yMDE3CQAAAAEwSjyLuqFU1ggX0sK/oVTWCDxDSVEuTkFTREFRQ006TUdFTi5JUV9FQklUREFfRVNULkNZMjAyMC43LzMxLzIwMTguQ09OLkYuVVNELkgBAAAAb+KuAgMAAAAAADfWxrqhVNYI2ki5v6FU1gg/Q0lRLk5BU0RBUUNNOk1ER0wuSVFfTkVUX1dPUktJTkdfQ0FQLjE5OTYuNy8zMS8yMDE4LkxGUi5GLlVTRC5IAQAAAEybowgCAAAABi01LjY4MQEIAAAABQAAAAExAQAAAAoxODg3ODE0MDkyAwAAAAMxNjACAAAABDEzMTEEAAAAATAHAAAACTcvMzEvMjAxOAgAAAAJMy8zMS8yMDE3CQAAAAEwBKKYu6FU1ggB1KO/oVTWCDlDSVEuTkFTREFRQ006R0xNRC5JUV9UT1RBTF9SRVYuMTk5Ni43LzMxLzIwMTguTEZSLkYuVVNELkgBAAAAJGfXBgIAAAAFMC43MzUBCAAAAAUAAAABMQEAAAAK</t>
  </si>
  <si>
    <t>MTg4ODQ5MjMyMAMAAAADMTYwAgAAAAIyOAQAAAABMAcAAAAJNy8zMS8yMDE4CAAAAAkzLzMxLzIwMTcJAAAAATA31sa6oVTWCPIhsr+hVNYIP0NJUS5OQVNEQVFDTTpNREdMLklRX05FVF9XT1JLSU5HX0NBUC4xOTkyLjcvMzEvMjAxOC5MRlIuRi5VU0QuSAEAAABMm6MIAgAAAAktMC40Mjg2MzkBCAAAAAUAAAABMQEAAAAKMTg0MTgzNTQxNwMAAAADMTYwAgAAAAQxMzExBAAAAAEwBwAAAAk3LzMxLzIwMTgIAAAACTMvMzEvMjAxNgkAAAABMASimLuhVNYIAdSjv6FU1ghCQ0lRLk5ZU0U6S0RNTi5JUV9UT1RBTF9SRVZfM1lSX0FOTl9DQUdSLjIwMDAuNy8zMS8yMDE4LkxGUi5GLlVTRC5IAQAAAFPI2QYDAAAAAAA31sa6oVTWCFVdrb+hVNYIJUNJUS5JUVRSMzQ3NTkxNTkxLklRX1RSX0lNUExJRURfRVFfQlYBAAAAp9O3FAIAAAAAAAI/2rehVNYIMtkavaFU1gg4Q0lRLkVOWFRBTTpHTFBHLklRX0VBUk5JTkdfQ08uMjAwMC43LzMxLzIwMTguTEZSLkYuVVNELkgBAAAAsjEaAAIAAAALLTE3MS43MTYxNTEBCAAAAAUAAAABMQEAAAAKMTg4NTQ4NDc1NQMAAAADMTYwAgAAAAE3BAAAAAEwBwAAAAk3LzMxLzIwMTgIAAAACTMvMzEvMjAxOAkAAAABMASimLuhVNYItnGhv6FU1ggnQ0lRLk5BU0RBUUNNOkdMTUQuSVFfUEVSSU9EREFURV9JUy4xMDAwAQAAACRn1wYFAAAACjEyLzMxLzIwMTcAN9bGuqFU1gjy</t>
  </si>
  <si>
    <t>IbK/oVTWCDlDSVEuTkFTREFRQ006R0FMVC5JUV9UT1RBTF9SRVYuMTk5Ni43LzMxLzIwMTguTEZSLkYuVVNELkgBAAAAx0EQAAMAAAAAADfWxrqhVNYIR4S0v6FU1gg7Q0lRLk5BU0RBUUdTOlNWUkEuSVFfVE9UQUxfUkVWLkNZMjAxNy43LzMxLzIwMTguTEZSLkYuVVNELkgBAAAAdX+HAwMAAAAAADfWxrqhVNYIpL+vv6FU1gg5Q0lRLk5BU0RBUUdNOlBSUVIuSVFfVE9UQUxfUkVWLjE5OTIuNy8zMS8yMDE4LkxGUi5GLlVTRC5IAQAAAO/sXA0CAAAACDMuNDYyMzk1AQgAAAAFAAAAATEBAAAACjE4ODA5ODE4NTIDAAAAAzE2MAIAAAACMjgEAAAAATAHAAAACTcvMzEvMjAxOAgAAAAKMTIvMzEvMjAxNQkAAAABMDfWxrqhVNYIlea2v6FU1ggnQ0lRLkFTWDpJTUMuSVFfRElWSURFTkRfWUlFTEQuNy8zMS8yMDE4AQAAAPNMdQADAAAAAABKPIu6oVTWCHcNvr+hVNYIKENJUS5OQVNEQVFDTTpNREdMLklRX1RFVi43LzMxLzIwMTguVVNELkgBAAAATJujCAIAAAALMzczNC45MDA3OTgBBgAAAAUAAAABMQEAAAAKMTg4NzgxMzY5NAMAAAADMTYwAgAAAAYxMDAwNjAEAAAAATAHAAAACTcvMzEvMjAxOKpBlruhVNYIAdSjv6FU1ghDQ0lRLk5BU0RBUUNNOkdBTFQuSVFfRUJJVERBXzJZUl9BTk5fQ0FHUi4yMDAwLjcvMzEvMjAxOC5MRlIuRi5VU0QuSAEAAADHQRAAAwAAAAJOTQEIAAAABQAAAAExAQAAAAoxODg4</t>
  </si>
  <si>
    <t>MjQyMzk2AwAAAAMxNjACAAAABDQyMDkEAAAAATAHAAAACTcvMzEvMjAxOAgAAAAJMy8zMS8yMDE4CQAAAAEwN9bGuqFU1ghHhLS/oVTWCDZDSVEuQVNYOjFBRC5JUV9UT1RBTF9FUVVJVFkuMTk5Mi43LzMxLzIwMTguTEZSLkYuVVNELkgBAAAAxaCkAwIAAAAHMC4xNjI5OAEIAAAABQAAAAExAQAAAAoxODA0NTc4MzExAwAAAAMxNjACAAAABDEyNzUEAAAAATAHAAAACTcvMzEvMjAxOAgAAAAJNi8zMC8yMDE0CQAAAAEwSjyLuqFU1gjMb8C/oVTWCClDSVEuSVEzNjE4MzgxMy5JUV9MQVNUU0FMRVBSSUNFLjcvMzEvMjAxOAEAAAAFHygCAgAAAAQxLjk0AAI/2rehVNYIhDsdvaFU1ghDQ0lRLk5BU0RBUUNNOkdBTFQuSVFfRUJJVERBXzNZUl9BTk5fQ0FHUi4yMDAwLjcvMzEvMjAxOC5MRlIuRi5VU0QuSAEAAADHQRAAAwAAAAJOTQEIAAAABQAAAAExAQAAAAoxODg4MjQyMzk2AwAAAAMxNjACAAAABDQyMjIEAAAAATAHAAAACTcvMzEvMjAxOAgAAAAJMy8zMS8yMDE4CQAAAAEwN9bGuqFU1ghHhLS/oVTWCD5DSVEuTkFTREFRR006Q1JCUC5JUV9DQVNIX1NUX0lOVkVTVC4yMDAwLjkvMzAvMjAxNi5MRlIuRi5VU0QuSAEAAAAkbyQPAgAAAAkyMi4wMjUwMDcBCAAAAAUAAAABMQEAAAAKMTgwMzMxMjU0NwMAAAADMTYwAgAAAAQxMDAyBAAAAAEwBwAAAAk5LzMwLzIwMTYIAAAACTYvMzAvMjAxNgkAAAABMDfW</t>
  </si>
  <si>
    <t>xrqhVNYIlea2v6FU1gg7Q0lRLk5BU0RBUUdNOkNSQlAuSVFfVE9UQUxfUkVWLkNZMjAxNi43LzMxLzIwMTguTEZSLkYuVVNELkgBAAAAJG8kDwIAAAAIMS45MTE0MjQBCAAAAAUAAAABMQEAAAAKMTg3ODA3NzA3MQMAAAADMTYwAgAAAAIyOAQAAAABMAcAAAAJNy8zMS8yMDE4CAAAAAoxMi8zMS8yMDE2CQAAAAEwN9bGuqFU1giV5ra/oVTWCCxDSVEuSVFUUjE3MDIyOTM4Ni5JUV9UUl9UQVJHRVRfRUJJVERBLi5VU0QuSAEAAACKfiUKAgAAAAAAAj/at6FU1ghhYiS9oVTWCC5DSVEuTkFTREFRR006UFJRUi5JUV9NQVJLRVRDQVAuOS8zMC8yMDE2LlVTRC5IAQAAAO/sXA0CAAAACTE1NS43MjM1MwEGAAAABQAAAAExAQAAAAoxODA0NTA3Njg5AwAAAAMxNjACAAAABjEwMDA1NAQAAAABMAcAAAAJOS8zMC8yMDE2N9bGuqFU1gjaSLm/oVTWCCVDSVEuSVFUUjI2MzcwNzI4OS5JUV9QUklNQVJZX0lORFVTVFJZAQAAAEkMlgcDAAAADUJpb3RlY2hub2xvZ3kAAj/at6FU1ggaACK9oVTWCERDSVEuRU5YVFBBOkdORlQuSVFfVE9UQUxfUkVWXzNZUl9BTk5fQ0FHUi4yMDAwLjcvMzEvMjAxOC5MRlIuRi5VU0QuSAEAAAAiwZMAAgAAAAYwLjAxNDkBCAAAAAUAAAABMQEAAAAKMTg5MDYxOTY0OAMAAAACNTACAAAABDQyMjAEAAAAATAHAAAACTcvMzEvMjAxOAgAAAAKMTIvMzEvMjAxNwkAAAABMDfWxrqhVNYI8Pqq</t>
  </si>
  <si>
    <t>v6FU1gguQ0lRLklRVFIxMTcyOTE0NjUuSVFfVFJfVEFSR0VUX1NUT0NLUFJFTUlVTV8xTQEAAADJuf0GAgAAAAAAAj/at6FU1giEOx29oVTWCDpDSVEuTkFTREFRR006Q1JCUC5JUV9FQVJOSU5HX0NPLjE5OTIuNy8zMS8yMDE4LkxGUi5GLlVTRC5IAQAAACRvJA8CAAAACi0xMC4yMDcyNjIBCAAAAAUAAAABMQEAAAAKMTg0MDg0NjM5NQMAAAADMTYwAgAAAAE3BAAAAAEwBwAAAAk3LzMxLzIwMTgIAAAACTMvMzEvMjAxNgkAAAABMDfWxrqhVNYIlea2v6FU1ghGQ0lRLk5BU0RBUUdTOlZSVFguSVFfVE9UQUxfUkVWXzVZUl9BTk5fQ0FHUi4yMDAwLjcvMzEvMjAxOC5MRlIuRi5VU0QuSAEAAACLjQAAAgAAAAcxNC45MDk0AQgAAAAFAAAAATEBAAAACjE4OTcyOTM1OTADAAAAAzE2MAIAAAAENDIzMwQAAAABMAcAAAAJNy8zMS8yMDE4CAAAAAk2LzMwLzIwMTgJAAAAATAEopi7oVTWCAytnL+hVNYINkNJUS5BU1g6SU1DLklRX0dST1NTX01BUkdJTi4yMDAwLjcvMzEvMjAxOC5MRlIuRi5VU0QuSAEAAADzTHUAAgAAAAY3MC41NzMBCAAAAAUAAAABMQEAAAAKMTg3NzY1MDA5NgMAAAABOQIAAAAENDA3NAQAAAABMAcAAAAJNy8zMS8yMDE4CAAAAAoxMi8zMS8yMDE3CQAAAAEwN9bGuqFU1gh3Db6/oVTWCClDSVEuSVFUUjQwMTk3OTY4OS5JUV9UUl9JTVBMSUVEX0VRX05JX0xUTQEAAAApufUXAwAAAAJOTQAC</t>
  </si>
  <si>
    <t>P9q3oVTWCGFiJL2hVNYINUNJUS5OQVNEQVFHTTpQUlFSLklRX0RBX0NGLjIwMDAuNy8zMS8yMDE4LkxGUi5GLlVTRC5IAQAAAO/sXA0CAAAACDEuMjE3NTc5AQgAAAAFAAAAATEBAAAACjE4ODA5ODE5MDcDAAAAAzE2MAIAAAAEMjE2MAQAAAABMAcAAAAJNy8zMS8yMDE4CAAAAAoxMi8zMS8yMDE3CQAAAAEwN9bGuqFU1gjaSLm/oVTWCC9DSVEuSVFUUjI3MDc4OTU4NC5JUV9UUl9JTVBMSUVEX0VWX0ZJTkFMLi5VU0QuSAEAAADQ6yMQAgAAAAs4MzY4Ljk2MjcyNgEGAAAABQAAAAI1NAEAAAAGMTAyMDQ1AgAAAAkyNzA3ODk1ODQDAAAACTI3MDc5MDYyOQQAAAADMTYwBgAAAAVGYWxzZQI/2rehVNYIhDsdvaFU1gg6Q0lRLk5BU0RBUUNNOkdMTUQuSVFfVE9UQUxfREVCVC4yMDAwLjcvMzEvMjAxOC5MRlIuRi5VU0QuSAEAAAAkZ9cGAgAAAAEwAQgAAAAFAAAAATEBAAAACjE4ODg0OTIzOTMDAAAAAzE2MAIAAAAENDE3MwQAAAABMAcAAAAJNy8zMS8yMDE4CAAAAAkzLzMxLzIwMTgJAAAAATA31sa6oVTWCPIhsr+hVNYIPkNJUS5OQVNEQVFDTTpNR0VOLklRX0NBU0hfU1RfSU5WRVNULjIwMDAuNy8zMS8yMDE4LkxGUi5GLlVTRC5IAQAAAG/irgICAAAABjc4LjA5OQEIAAAABQAAAAExAQAAAAoxODg3Njc2OTM1AwAAAAMxNjACAAAABDEwMDIEAAAAATAHAAAACTcvMzEvMjAxOAgAAAAJMy8zMS8yMDE4CQAA</t>
  </si>
  <si>
    <t>AAEwN9bGuqFU1gjaSLm/oVTWCDxDSVEuTkFTREFRQ006R0xNRC5JUV9FQVJOSU5HX0NPLkNZMjAxNy43LzMxLzIwMTguTEZSLkYuVVNELkgBAAAAJGfXBgIAAAAHLTEyLjI5OQEIAAAABQAAAAExAQAAAAoxODc4MDg4NTY0AwAAAAMxNjACAAAAATcEAAAAATAHAAAACTcvMzEvMjAxOAgAAAAKMTIvMzEvMjAxNwkAAAABMDfWxrqhVNYI8iGyv6FU1ggrQ0lRLklRVFIxNzAyMjkzODYuSVFfVFJfSU1QTElFRF9FVl9FQklUX0ZXRAEAAACKfiUKAgAAAAAAAj/at6FU1gjFnR+9oVTWCChDSVEuTkFTREFRR1M6RkdFTi5JUV9URVYuNy8zMS8yMDE4LlVTRC5IAQAAAERvAAACAAAACzQ3MDEuMjAxMTAxAQYAAAAFAAAAATEBAAAACjE4ODc2NjkwNDYDAAAAAzE2MAIAAAAGMTAwMDYwBAAAAAEwBwAAAAk3LzMxLzIwMTiqQZa7oVTWCAytnL+hVNYIRUNJUS5FTlhUUEE6R05GVC5JUV9NSU5PUklUWV9JTlRFUkVTVF9UT1RBTC4yMDAwLjkvMzAvMjAxNi5MRlIuRi5VU0QuSAEAAAAiwZMAAwAAAAAAN9bGuqFU1gjw+qq/oVTWCDxDSVEuTkFTREFRR006TU5PVi5JUV9FQklUREFfRVNULkNZMjAxOS43LzMxLzIwMTguQ09OLkYuVVNELkgBAAAAuFSNAAIAAAAGLTE3LjY5AQ4AAAAFAAAAAjExAQAAAAEwAgAAAAoxMDAwNTkzNjE1AwAAAAYxMDAxODcEAAAAATIGAAAAATAHAAAAAzE2MAgAAAABMAkAAAABMQoAAAABMAsA</t>
  </si>
  <si>
    <t>AAALMTA4MzIxOTUzMjIMAAAAATcNAAAACDgvMS8yMDE4EAAAAAk3LzMxLzIwMTg31sa6oVTWCFVdrb+hVNYIR0NJUS5OQVNEQVFDTTpNREdMLklRX01JTk9SSVRZX0lOVEVSRVNUX1RPVEFMLjIwMDAuNy8zMS8yMDE4LkxGUi5GLlVTRC5IAQAAAEybowgDAAAAAAAEopi7oVTWCAHUo7+hVNYISkNJUS4oSU5WQUxJRCBJREVOVElGSUVSKS5JUV9FQklUREFfNVlSX0FOTl9DQUdSLjIwMDAuNy8zMS8yMDE4LkxGUi5GLlVTRC5IBQAAAAAAAAAIAAAAFChJbnZhbGlkIElkZW50aWZpZXIpSjyLuqFU1ggWHvC/oVTWCDlDSVEuTkFTREFRR006TU5PVi5JUV9UT1RBTF9SRVYuMjAwMC43LzMxLzIwMTguTEZSLkYuVVNELkgBAAAAuFSNAAMAAAAAADfWxrqhVNYIVV2tv6FU1gglQ0lRLk5ZU0U6S0RNTi5JUV9CVVNJTkVTU19ERVNDUklQVElPTgEAAABTyNkGAwAAAK8LS2FkbW9uIEhvbGRpbmdzLCBJbmMuLCBhIGJpb3BoYXJtYWNldXRpY2FsIGNvbXBhbnksIGRpc2NvdmVycywgZGV2ZWxvcHMsIGFuZCBjb21tZXJjaWFsaXplcyBzbWFsbCBtb2xlY3VsZXMgYW5kIGJpb2xvZ2ljcyBwcmltYXJpbHkgZm9yIHRoZSB0cmVhdG1lbnQgb2YgaW5mbGFtbWF0b3J5IGFuZCBmaWJyb3RpYyBkaXNlYXNlcy4gVGhlIGNvbXBhbnkgbWFya2V0cyBhbmQgZGlzdHJpYnV0ZXMgYSBwb3J0Zm9saW8gb2YgYnJhbmRlZCBnZW5l</t>
  </si>
  <si>
    <t>cmljIHJpYmF2aXJpbiBwcm9kdWN0cyBmb3IgY2hyb25pYyBoZXBhdGl0aXMgQyB2aXJ1cyBpbmZlY3Rpb247IGFuZCBkaXN0cmlidXRlcyBwcm9kdWN0cyBpbiB2YXJpb3VzIHRoZXJhcGV1dGljIGFyZWFzLCBpbmNsdWRpbmcgdGV0cmFiZW5hemluZSBmb3IgdGhlIHRyZWF0bWVudCBvZiBjaG9yZWEgYXNzb2NpYXRlZCB3aXRoIEh1bnRpbmd0b27igJlzIGRpc2Vhc2UuIEl0cyBsZWFkIHByb2R1Y3QgY2FuZGlkYXRlcyBpbmNsdWRlIEtEMDI1LCBhbiBpbmhpYml0b3Igb2YgdGhlIHJoby1hc3NvY2lhdGVkIGNvaWxlZC1jb2lsIGtpbmFzZSAyLCB3aGljaCBpcyBpbiBQaGFzZSBJSSBjbGluaWNhbCBzdHVkaWVzIGZvciB0aGUgdHJlYXRtZW50IG9mIGNocm9uaWMgZ3JhZnQtdmVyc3VzLWhvc3QsIGZpYnJvdGljLCBhbmQgcHNvcmlhc2lzIGRpc2Vhc2VzOyBST0NLIGluaGliaXRvciBwbGF0Zm9ybSwgYSByaG8tYXNzb2NpYXRlZCBjb2lsZWQtY29pbCBraW5hc2UgaW5oaWJpdG9yLCB3aGljaCBpcyBpbiBwcmVjbGluaWNhbCBkZXZlbG9wbWVudCB0byB0cmVhdCBzcGVjaWZpYyBmaWJyb3RpYyBhbmQgbmV1cm9kZWdlbmVyYXRpdmUgZGlzZWFzZXM7IGFuZCBLRDAzNCwgYSBnZW5lcmljIGZvcm11bGF0aW9uIG9mIHRyaWVudGluZSBoeWRyb2NobG9yaWRlIGZvciB0aGUgdHJlYXRtZW50IG9mIFdp</t>
  </si>
  <si>
    <t>bHNvbuKAmXMgZGlzZWFzZSwgYSBnZW5ldGljIGxpdmVyIGRpc2Vhc2UuIFRoZSBjb21wYW55IGFsc28gZW5nYWdlcyBpbiBkZXZlbG9waW5nIFRlc2V2YXRpbmliIHRvIHRyZWF0IGF1dG9zb21hbCBkb21pbmFudCBwb2x5Y3lzdGljIGtpZG5leSBkaXNlYXNlIChQS0QpIGFuZCBhdXRvc29tYWwgcmVjZXNzaXZlIFBLRC4gS2FkbW9uIEhvbGRpbmdzLCBJbmMuIGhhcyBzdHJhdGVnaWMgY29sbGFib3JhdGlvbnMgYW5kIGxpY2Vuc2UgYWdyZWVtZW50cyB3aXRoIFN5bXBob255IEV2b2x1dGlvbiwgSW5jLjsgTmFubyBUZXJyYSwgSW5jLjsgRHlheCBDb3JwLjsgQ2hpcm9taWNzLCBMTEM7IE1laXJhR1R4IExpbWl0ZWQ7IEFiYlZpZSBJbmMuOyBaeWR1cyBQaGFybWFjZXV0aWNhbHMgVVNBLCBJbmMuOyBKaW5naHVhIFBoYXJtYWNldXRpY2FsIEdyb3VwIENvLiwgTHRkLjsgYW5kIENhbWJlciBQaGFybWFjZXV0aWNhbHMsIEluYy4gVGhlIGNvbXBhbnkgaXMgaGVhZHF1YXJ0ZXJlZCBpbiBOZXcgWW9yaywgTmV3IFlvcmsuADfWxrqhVNYI/8BkvaFU1gg2Q0lRLkFTWDoxQUQuSVFfRUJJVERBX0VTVC5DWTIwMTkuNy8zMS8yMDE4LkNPTi5GLlVTRC5IAQAAAMWgpAMDAAAAAABKPIu6oVTWCMxvwL+hVNYINkNJUS5OQVNEQVFHUzpJQ1BULklRX0VCSVREQS4xOTk2LjcvMzEvMjAxOC5MRlIuRi5VU0QuSAEA</t>
  </si>
  <si>
    <t>AACCr60AAgAAAAgtMzU1LjE1MgEIAAAABQAAAAExAQAAAAoxODg4NjE1NTE5AwAAAAMxNjACAAAABDQwNTEEAAAAATAHAAAACTcvMzEvMjAxOAgAAAAJMy8zMS8yMDE3CQAAAAEwBKKYu6FU1ghWNqa/oVTWCDFDSVEuSVFUUjQwMTk3OTY4OS5JUV9UUl9UQVJHRVRfUkVWRU5VRV9FU1QuLlVTRC5IAQAAACm59RcCAAAABjAuMTEyNQACP9q3oVTWCIQ7Hb2hVNYII0NJUS5JUVRSMzMwMDMxMTg0LklRX1RSX1RPVEFMX1NUT0NLAQAAAFDgqxMCAAAAAAACP9q3oVTWCIQ7Hb2hVNYIJkNJUS5BU1g6SU1DLklRX0xBU1RTQUxFUFJJQ0UuOS8zMC8yMDE2AQAAAPNMdQACAAAABzAuMTg3NzkASjyLuqFU1gjMb8C/oVTWCB1DSVEuTkFTREFRQ006R0FMVC5JUV9FWENIQU5HRQEAAADHQRAAAwAAAAhOYXNkYXFDTQA31sa6oVTWCPTna72hVNYIHkNJUS5JUTM2MTgzODE5LklRX0NPTVBBTllfTkFNRQEAAAALHygCAwAAADJVbml0ZWQgU3RhdGVzIFRyZWFzdXJ5IENvbnN0YW50IE1hdHVyaXR5IC0gNiBNb250aAACP9q3oVTWCMOuTLihVNYINkNJUS5OQVNEQVFHTTpQUlFSLklRX0VCSVREQS4xOTkyLjcvMzEvMjAxOC5MRlIuRi5VU0QuSAEAAADv7FwNAgAAAAotMjguODA1ODY1AQgAAAAFAAAAATEBAAAACjE4ODA5ODE4NTIDAAAAAzE2MAIAAAAENDA1MQQAAAABMAcAAAAJNy8zMS8yMDE4CAAAAAoxMi8zMS8yMDE1</t>
  </si>
  <si>
    <t>CQAAAAEwN9bGuqFU1gjaSLm/oVTWCDhDSVEuQVNYOjFBRC5JUV9DQVNIX1NUX0lOVkVTVC4yMDAwLjkvMzAvMjAxNi5MRlIuRi5VU0QuSAEAAADFoKQDAgAAAAgwLjM2MTcyMgEIAAAABQAAAAExAQAAAAoxODExNTgyMDMxAwAAAAMxNjACAAAABDEwMDIEAAAAATAHAAAACTkvMzAvMjAxNggAAAAJNi8zMC8yMDE2CQAAAAEwSjyLuqFU1gjMb8C/oVTWCEVDSVEuKElOVkFMSUQgSURFTlRJRklFUikuSVFfVE9UQUxfRVFVSVRZLkNZMjAxNy43LzMxLzIwMTguTEZSLkYuVVNELkgFAAAAAAAAAAgAAAAUKEludmFsaWQgSWRlbnRpZmllcilKPIu6oVTWCBYe8L+hVNYINkNJUS5BTUVYOkFQSEIuSVFfVE9UQUxfREVCVC4yMDAwLjkvMzAvMjAxNi5MRlIuRi5VU0QuSAEAAAAiiQAAAgAAAAEwAQgAAAAFAAAAATEBAAAACjE4MDQwMTU0NDkDAAAAAzE2MAIAAAAENDE3MwQAAAABMAcAAAAJOS8zMC8yMDE2CAAAAAk2LzMwLzIwMTYJAAAAATBKPIu6oVTWCO00xb+hVNYIOUNJUS5FTlhUQU06R0xQRy5JUV9UT1RBTF9SRVYuQ1kyMDE2LjcvMzEvMjAxOC5MRlIuRi5VU0QuSAEAAACyMRoAAgAAAAoxNjAuMDQ2NDQ4AQgAAAAFAAAAATEBAAAACjE4Nzk4MTg2ODcDAAAAAzE2MAIAAAACMjgEAAAAATAHAAAACTcvMzEvMjAxOAgAAAAKMTIvMzEvMjAxNgkAAAABMASimLuhVNYItnGhv6FU1gg2Q0lRLk5BU0RBUUNNOk1H</t>
  </si>
  <si>
    <t>RU4uSVFfRUJJVERBLjIwMDAuNy8zMS8yMDE4LkxGUi5GLlVTRC5IAQAAAG/irgICAAAABy0yMy45MDgBCAAAAAUAAAABMQEAAAAKMTg4NzY3NjkzNQMAAAADMTYwAgAAAAQ0MDUxBAAAAAEwBwAAAAk3LzMxLzIwMTgIAAAACTMvMzEvMjAxOAkAAAABMDfWxrqhVNYI2ki5v6FU1gg6Q0lRLk5BU0RBUUNNOlBVTE0uSVFfVE9UQUxfREVCVC4yMDAwLjkvMzAvMjAxNi5MRlIuRi5VU0QuSAEAAACfbJoBAgAAAAU2Ljc4MQEIAAAABQAAAAExAQAAAAoxODAxNzIxNTk5AwAAAAMxNjACAAAABDQxNzMEAAAAATAHAAAACTkvMzAvMjAxNggAAAAJNi8zMC8yMDE2CQAAAAEwSjyLuqFU1ggX0sK/oVTWCC5DSVEuSVFUUjEzODI1MTQ2Mi5JUV9UUl9UQVJHRVRfU1RPQ0tQUkVNSVVNXzFXAQAAAMaMPQgCAAAAAAACP9q3oVTWCGFiJL2hVNYIPUNJUS4oSU5WQUxJRCBJREVOVElGSUVSKS5JUV9FQklUREEuMjAwMC43LzMxLzIwMTguTEZSLkYuVVNELkgFAAAAAAAAAAgAAAAUKEludmFsaWQgSWRlbnRpZmllcilKPIu6oVTWCMe77b+hVNYIJUNJUS5JUVRSMzEzMjUxODc3LklRX1BSSU1BUllfSU5EVVNUUlkBAAAAJ1OyAQMAAAAPUGhhcm1hY2V1dGljYWxzAAI/2rehVNYIGgAivaFU1gg7Q0lRLk5BU0RBUUdTOklDUFQuSVFfUFJFRl9FUVVJVFkuMjAwMC45LzMwLzIwMTYuTEZSLkYuVVNELkgBAAAAgq+tAAMAAAAAAASi</t>
  </si>
  <si>
    <t>mLuhVNYIVjamv6FU1gglQ0lRLkVOWFRQQTpHTkZULklRX0JFVEFfNVlSLjcvMzEvMjAxOAEAAAAiwZMAAgAAABAxLjM2MjE4MDQ5NTQ1NjA1ADfWxrqhVNYI8Pqqv6FU1ggpQ0lRLklRVFI0MTU2MTE4MTUuSVFfQlVTSU5FU1NfREVTQ1JJUFRJT04BAAAAGVkeAAMAAAD0BUFzIG9mIEFwcmlsIDI3LCAyMDE3LCBNYXN0IFRoZXJhcGV1dGljcywgSW5jLiB3YXMgYWNxdWlyZWQgYnkgU2F2YXJhIEluYy4sIGluIGEgcmV2ZXJzZSBtZXJnZXIgdHJhbnNhY3Rpb24uIE1hc3QgVGhlcmFwZXV0aWNzLCBJbmMuLCBhIGNsaW5pY2FsLXN0YWdlIGJpb3BoYXJtYWNldXRpY2FsIGNvbXBhbnksIGRldmVsb3BzIHRoZXJhcGllcyBmb3Igc2VyaW91cyBvciBsaWZlLXRocmVhdGVuaW5nIGRpc2Vhc2VzIHdpdGggc2lnbmlmaWNhbnQgdW5tZXQgbmVlZHMuIEl0cyBsZWFkIHByb2R1Y3QgY2FuZGlkYXRlIGlzIEFJUjAwMSwgYSBzb2RpdW0gbml0cml0ZSBzb2x1dGlvbiBmb3IgaW5oYWxhdGlvbiB0aHJvdWdoIG5lYnVsaXphdGlvbiwgd2hpY2ggaXMgaW4gUGhhc2UgSUkgY2xpbmljYWwgc3RhZ2UgZm9yIHRoZSB0cmVhdG1lbnQgb2YgaGVhcnQgZmFpbHVyZSB3aXRoIHByZXNlcnZlZCBlamVjdGlvbiBmcmFjdGlvbiwgYXMgd2VsbCBhcyBpbiBQaGFzZSBJL0lJIHN0dWR5IGluIHBhdGllbnRzIHdpdGggY3lzdGlj</t>
  </si>
  <si>
    <t>IGZpYnJvc2lzLiBUaGUgY29tcGFueSB3YXMgZm9ybWVybHkga25vd24gYXMgQURWRU5UUlggUGhhcm1hY2V1dGljYWxzLCBJbmMuIGFuZCBjaGFuZ2VkIGl0cyBuYW1lIHRvIE1hc3QgVGhlcmFwZXV0aWNzLCBJbmMuIGluIE1hcmNoIDIwMTMuIE1hc3QgVGhlcmFwZXV0aWNzLCBJbmMuIHdhcyBmb3VuZGVkIGluIDE5OTUgYW5kIGlzIGhlYWRxdWFydGVyZWQgaW4gU2FuIERpZWdvLCBDYWxpZm9ybmlhLgACP9q3oVTWCIQ7Hb2hVNYIPUNJUS5OQVNEQVFDTTpQVUxNLklRX1JFVkVOVUVfRVNULkNZMjAxOS43LzMxLzIwMTguQ09OLkYuVVNELkgBAAAAn2yaAQIAAAABMAEOAAAABQAAAAIxMQEAAAABMAIAAAAKMTAwMzE0MDU2NQMAAAAGMTAwMTgwBAAAAAEyBgAAAAEwBwAAAAMxNjAIAAAAATAJAAAAATEKAAAAATALAAAACzEwNzk2Nzc0MzA5DAAAAAE3DQAAAAg4LzEvMjAxOBAAAAAJNy8zMS8yMDE4SjyLuqFU1ggX0sK/oVTWCCJDSVEuSVFUUjI3MDc4OTU4NC5JUV9UUl9QQ1RfU09VR0hUAQAAANDrIxACAAAAAzEwMAACP9q3oVTWCLrEJr2hVNYIKkNJUS5BTUVYOkFQSEIuSVFfTUFSS0VUQ0FQLjkvMzAvMjAxNi5VU0QuSAEAAAAiiQAAAgAAAAkxNi45MDI5OTMBBgAAAAUAAAABMQEAAAAKMTgwNDAxMzAxMwMAAAADMTYwAgAAAAYxMDAwNTQEAAAAATAHAAAACTkvMzAvMjAxNko8i7qhVNYI7TTFv6FU</t>
  </si>
  <si>
    <t>1ggkQ0lRLk5BU0RBUUdTOlZSVFguSVFfRUZGRUNUX1RBWF9SQVRFAQAAAIuNAAACAAAABjIuMzUxNAEIAAAABQAAAAExAQAAAAoxOTE2MDAxMDc5AwAAAAMxNjACAAAABDQzNzYEAAAAATAHAAAACjExLzI3LzIwMTgIAAAACTkvMzAvMjAxOAkAAAABMASimLuhVNYIDK2cv6FU1ggwQ0lRLk5BU0RBUUdTOklOU00uSVFfTEFTVFNBTEVQUklDRS43LzMxLzIwMTguVVNEAQAAABp1AAACAAAABTI0Ljg3AKpBlruhVNYIVjamv6FU1ggnQ0lRLk5BU0RBUUdNOkNSQlAuSVFfQkVUQV8yWVIuNy8zMS8yMDE4AQAAACRvJA8CAAAAEDIuMjQ3MDIwNjEwNDQ0NjYAN9bGuqFU1giV5ra/oVTWCEdDSVEuTkFTREFRR1M6SU5TTS5JUV9NSU5PUklUWV9JTlRFUkVTVF9UT1RBTC4yMDAwLjcvMzEvMjAxOC5MRlIuRi5VU0QuSAEAAAAadQAAAwAAAAAABKKYu6FU1ghWNqa/oVTWCDVDSVEuTkFTREFRQ006TURHTC5JUV9EQV9DRi4yMDAwLjcvMzEvMjAxOC5MRlIuRi5VU0QuSAEAAABMm6MIAgAAAAMwLjEBCAAAAAUAAAABMQEAAAAKMTg4NzgxNDExMwMAAAADMTYwAgAAAAQyMTYwBAAAAAEwBwAAAAk3LzMxLzIwMTgIAAAACTMvMzEvMjAxOAkAAAABMASimLuhVNYIAdSjv6FU1gg3Q0lRLk5ZU0U6S0RNTi5JUV9UT1RBTF9SRVYuQ1kyMDE3LjcvMzEvMjAxOC5MRlIuRi5VU0QuSAEAAABTyNkGAgAAAAYxMi4yNjQBCAAAAAUA</t>
  </si>
  <si>
    <t>AAABMQEAAAAKMTg3NzE4MTI3MgMAAAADMTYwAgAAAAIyOAQAAAABMAcAAAAJNy8zMS8yMDE4CAAAAAoxMi8zMS8yMDE3CQAAAAEwN9bGuqFU1gjw+qq/oVTWCBxDSVEuLklRX1RSX0lNUExJRURfRVFfTklfTFRNBQAAAAEAAAAIAAAAFChJbnZhbGlkIElkZW50aWZpZXIpqkGWu6FU1giqQZa7oVTWCCtDSVEuSVFUUjI1OTk4NTk2Mi5JUV9UUl9JTVBMSUVEX0VWX0VCSVRfRldEAQAAACoSfw8CAAAAAAACP9q3oVTWCLrEJr2hVNYIP0NJUS5OQVNEQVFHUzpTVlJBLklRX05FVF9XT1JLSU5HX0NBUC4yMDAwLjcvMzEvMjAxOC5MRlIuRi5VU0QuSAEAAAB1f4cDAgAAAAYtMi45NjkBCAAAAAUAAAABMQEAAAAKMTg4Nzc2MzA3NQMAAAADMTYwAgAAAAQxMzExBAAAAAEwBwAAAAk3LzMxLzIwMTgIAAAACTMvMzEvMjAxOAkAAAABMDfWxrqhVNYIpL+vv6FU1ggoQ0lRLk5BU0RBUUNNOkdMTUQuSVFfVEVWLjcvMzEvMjAxOC5VU0QuSAEAAAAkZ9cGAgAAAAkyNjguNTEwMTYBBgAAAAUAAAABMQEAAAAKMTg4ODQ5MDk3MAMAAAADMTYwAgAAAAYxMDAwNjAEAAAAATAHAAAACTcvMzEvMjAxODfWxrqhVNYI8iGyv6FU1gg7Q0lRLk5BU0RBUUdTOkZHRU4uSVFfUFJFRl9FUVVJVFkuMjAwMC43LzMxLzIwMTguTEZSLkYuVVNELkgBAAAARG8AAAMAAAAAAASimLuhVNYIDK2cv6FU1ggpQ0lRLklRVFIzMzAwMzExODQuSVFf</t>
  </si>
  <si>
    <t>QlVTSU5FU1NfREVTQ1JJUFRJT04BAAAAIeCrEwMAAADrAk5pbWJ1cyBBcG9sbG8sIEluYy4gcmVzZWFyY2ggYW5kIGRldmVsb3BzIGRydWdzIHRoYXQgdHJlYXRzIG5vbi1hbGNvaG9saWMgc3RlYXRvaGVwYXRpdGlzLiBUaGUgY29tcGFueSB3YXMgaW5jb3Jwb3JhdGVkIGluIDIwMTAgYW5kIGlzIGJhc2VkIGluIENhbWJyaWRnZSwgTWFzc2FjaHVzZXR0cy4gTmltYnVzIEFwb2xsbywgSW5jLiBvcGVyYXRlcyBhcyBhIHN1YnNpZGlhcnkgb2YgTmltYnVzIFRoZXJhcGV1dGljcywgSW5jLiBBcyBwZXIgdGhlIHRyYW5zYWN0aW9uIGFubm91bmNlZCBvbiBBcHJpbCA0LCAyMDE2LCBOaW1idXMgQXBvbGxvLCBJbmMuIG9wZXJhdGVzIGFzIGEgc3Vic2lkaWFyeSBvZiBHaWxlYWQgU2NpZW5jZXMgSW5jLgACP9q3oVTWCIQ7Hb2hVNYIOkNJUS5OQVNEQVFHUzpJQ1BULklRX0VBUk5JTkdfQ08uMTk5Mi43LzMxLzIwMTguTEZSLkYuVVNELkgBAAAAgq+tAAIAAAAILTMxMy43MTcBCAAAAAUAAAABMQEAAAAKMTg0MTg0Mjg2OAMAAAADMTYwAgAAAAE3BAAAAAEwBwAAAAk3LzMxLzIwMTgIAAAACTMvMzEvMjAxNgkAAAABMASimLuhVNYIVjamv6FU1gg6Q0lRLk5BU0RBUUdNOlBSUVIuSVFfVE9UQUxfREVCVC4yMDAwLjcvMzEvMjAxOC5MRlIuRi5VU0QuSAEAAADv7FwNAgAAAAg4LjY5ODM2NwEIAAAABQAAAAEx</t>
  </si>
  <si>
    <t>AQAAAAoxODgwOTgxOTA3AwAAAAMxNjACAAAABDQxNzMEAAAAATAHAAAACTcvMzEvMjAxOAgAAAAKMTIvMzEvMjAxNwkAAAABMDfWxrqhVNYIlea2v6FU1gg7Q0lRLk5BU0RBUUNNOkdMTUQuSVFfVE9UQUxfUkVWLkNZMjAxNi43LzMxLzIwMTguTEZSLkYuVVNELkgBAAAAJGfXBgIAAAAFMC40NjcBCAAAAAUAAAABMQEAAAAKMTg3ODA4ODUzMQMAAAADMTYwAgAAAAIyOAQAAAABMAcAAAAJNy8zMS8yMDE4CAAAAAoxMi8zMS8yMDE2CQAAAAEwN9bGuqFU1gjyIbK/oVTWCD1DSVEuTkFTREFRR006UFJRUi5JUV9FQklUREFfTUFSR0lOLjIwMDAuNy8zMS8yMDE4LkxGUi5GLlVTRC5IAQAAAO/sXA0DAAAAAk5NAQgAAAAFAAAAATEBAAAACjE4ODA5ODE5MDcDAAAAAjUwAgAAAAQ0MDQ3BAAAAAEwBwAAAAk3LzMxLzIwMTgIAAAACjEyLzMxLzIwMTcJAAAAATA31sa6oVTWCNpIub+hVNYIR0NJUS5OQVNEQVFDTTpHQUxULklRX01JTk9SSVRZX0lOVEVSRVNUX1RPVEFMLjIwMDAuNy8zMS8yMDE4LkxGUi5GLlVTRC5IAQAAAMdBEAADAAAAAAA31sa6oVTWCEeEtL+hVNYIMENJUS5JUVRSMjYzNzA3Mjg5LklRX1RSX1RBUkdFVF9FQklUREFfRVNULi5VU0QuSAEAAACZ2rcPAgAAAAAAAj/at6FU1gjFnR+9oVTWCCFDSVEuTkFTREFRR006UFJRUi5JUV9DT01QQU5ZX05BTUUBAAAA7+xcDQMAAAAXUHJvUVIgVGhlcmFw</t>
  </si>
  <si>
    <t>ZXV0aWNzIE4uVi4AN9bGuqFU1gjNsDK9oVTWCDBDSVEuQVNYOklNQy5JUV9FQklUREEuMTk5Mi43LzMxLzIwMTguTEZSLkYuVVNELkgBAAAA80x1AAIAAAAJLTQuOTA3ODE4AQgAAAAFAAAAATEBAAAACjE4MzYyMTk1NTYDAAAAAzE2MAIAAAAENDA1MQQAAAABMAcAAAAJNy8zMS8yMDE4CAAAAAoxMi8zMS8yMDE1CQAAAAEwN9bGuqFU1gh3Db6/oVTWCCFDSVEuTkFTREFRR1M6SUNQVC5JUV9DT01QQU5ZX05BTUUBAAAAgq+tAAMAAAAfSW50ZXJjZXB0IFBoYXJtYWNldXRpY2FscywgSW5jLgCqQZa7oVTWCM/XOb2hVNYIOUNJUS5OQVNEQVFDTTpHQUxULklRX1RPVEFMX1JFVi4xOTkyLjcvMzEvMjAxOC5MRlIuRi5VU0QuSAEAAADHQRAAAwAAAAAAN9bGuqFU1ghHhLS/oVTWCCVDSVEuSVFUUjExNzI5MTQ2NS5JUV9QUklNQVJZX0lORFVTVFJZAQAAAOplfgIDAAAAD1BoYXJtYWNldXRpY2FscwACP9q3oVTWCMWdH72hVNYII0NJUS5BTUVYOkFQSEIuSVFfQkVUQV81WVIuNy8zMS8yMDE4AQAAACKJAAACAAAAEDEuMzU4NzkwNTI1ODI4NDYASjyLuqFU1gjtNMW/oVTWCDNDSVEuQVNYOjFBRC5JUV9UT1RBTF9SRVYuMTk5Ni43LzMxLzIwMTguTEZSLkYuVVNELkgBAAAAxaCkAwIAAAAIMC41NTM2OTUBCAAAAAUAAAABMQEAAAAKMTg3NjE4NzAyNAMAAAADMTYwAgAAAAIyOAQAAAABMAcAAAAJNy8zMS8yMDE4</t>
  </si>
  <si>
    <t>CAAAAAoxMi8zMS8yMDE2CQAAAAEwSjyLuqFU1gjMb8C/oVTWCCFDSVEuSVFUUjI1Mzg3NzIwMy5JUV9UUl9CVVlFUk5BTUUBAAAA09shDwMAAAAYRm9yZXN0IExhYm9yYXRvcmllcywgTExDAAI/2rehVNYIxZ0fvaFU1ghBQ0lRLihJTlZBTElEIElERU5USUZJRVIpLklRX1RPVEFMX0RFQlQuMjAwMC43LzMxLzIwMTguTEZSLkYuVVNELkgFAAAAAAAAAAgAAAAUKEludmFsaWQgSWRlbnRpZmllcilKPIu6oVTWCMe77b+hVNYIGUNJUS4wLklRX1BSSU1BUllfSU5EVVNUUlkFAAAAAAAAAAgAAAAUKEludmFsaWQgSWRlbnRpZmllcikCP9q3oVTWCLrEJr2hVNYIPkNJUS5OQVNEQVFHUzpWUlRYLklRX1RPVEFMX0VRVUlUWS5DWTIwMTYuNy8zMS8yMDE4LkxGUi5GLlVTRC5IAQAAAIuNAAACAAAACDEzMzguMTkxAQgAAAAFAAAAATEBAAAACjE4NzQ1MzEzNTYDAAAAAzE2MAIAAAAEMTI3NQQAAAABMAcAAAAJNy8zMS8yMDE4CAAAAAoxMi8zMS8yMDE2CQAAAAEwBKKYu6FU1ggMrZy/oVTWCCFDSVEuTkFTREFRQ006R0xNRC5JUV9DT01QQU5ZX05BTUUBAAAAJGfXBgMAAAAbR2FsbWVkIFBoYXJtYWNldXRpY2FscyBMdGQuADfWxrqhVNYIyRBUvaFU1gg1Q0lRLk5BU0RBUUdTOlNWUkEuSVFfQ0FQRVguMjAwMC43LzMxLzIwMTguTEZSLkYuVVNELkgBAAAAdX+HAwIAAAAGLTAuNDU1AQgAAAAFAAAAATEBAAAACjE4</t>
  </si>
  <si>
    <t>ODc3NjMwNzUDAAAAAzE2MAIAAAAEMjAyMQQAAAABMAcAAAAJNy8zMS8yMDE4CAAAAAkzLzMxLzIwMTgJAAAAATA31sa6oVTWCKS/r7+hVNYIFkNJUS4wLklRX1RSX1BDVF9TT1VHSFQFAAAAAAAAAAgAAAAYKEludmFsaWQgVHJhbnNhY3Rpb24gSWQpAj/at6FU1ghhYiS9oVTWCDxDSVEuTkFTREFRQ006TUdFTi5JUV9UT1RBTF9FUVVJVFkuMTk5Mi43LzMxLzIwMTguTEZSLkYuVVNELkgBAAAAb+KuAgIAAAAFMTUuNTYBCAAAAAUAAAABMQEAAAAKMTgzNDcxNzEzOQMAAAADMTYwAgAAAAQxMjc1BAAAAAEwBwAAAAk3LzMxLzIwMTgIAAAACjEyLzMxLzIwMTUJAAAAATA31sa6oVTWCCKru7+hVNYIR0NJUS5OQVNEQVFHTTpDTkFULklRX01JTk9SSVRZX0lOVEVSRVNUX1RPVEFMLjIwMDAuNy8zMS8yMDE4LkxGUi5GLlVTRC5IAQAAAGVn1gEDAAAAAAA31sa6oVTWCCKru7+hVNYIPkNJUS5OQVNEQVFDTTpHQUxULklRX1RPVEFMX0VRVUlUWS5DWTIwMTcuNy8zMS8yMDE4LkxGUi5GLlVTRC5IAQAAAMdBEAACAAAABTEuMTkzAQgAAAAFAAAAATEBAAAACjE4ODA0MDAwOTADAAAAAzE2MAIAAAAEMTI3NQQAAAABMAcAAAAJNy8zMS8yMDE4CAAAAAoxMi8zMS8yMDE3CQAAAAEwN9bGuqFU1ghHhLS/oVTWCDxDSVEuTkFTREFRQ006TURHTC5JUV9FQklUREFfRVNULkNZMjAxOC43LzMxLzIwMTguQ09OLkYuVVNELkgB</t>
  </si>
  <si>
    <t>AAAATJujCAIAAAAHLTQ2LjM4OAEOAAAABQAAAAIxMQEAAAABMAIAAAAKMTAwMzU5MDQ1NwMAAAAGMTAwMTg3BAAAAAEyBgAAAAEwBwAAAAMxNjAIAAAAATAJAAAAATEKAAAAATALAAAACzEwOTA2MjgwNDYyDAAAAAE3DQAAAAg4LzEvMjAxOBAAAAAJNy8zMS8yMDE4BKKYu6FU1ggB1KO/oVTWCERDSVEuKElOVkFMSUQgSURFTlRJRklFUikuSVFfUkVWRU5VRV9FU1QuQ1kyMDIxLjcvMzEvMjAxOC5DT04uRi5VU0QuSAUAAAAAAAAACAAAABQoSW52YWxpZCBJZGVudGlmaWVyKUo8i7qhVNYIx7vtv6FU1ghHQ0lRLk5BU0RBUUdTOklDUFQuSVFfTUlOT1JJVFlfSU5URVJFU1RfVE9UQUwuMjAwMC43LzMxLzIwMTguTEZSLkYuVVNELkgBAAAAgq+tAAMAAAAAAASimLuhVNYIVjamv6FU1ghEQ0lRLihJTlZBTElEIElERU5USUZJRVIpLklRX1JFVkVOVUVfRVNULkNZMjAyMC43LzMxLzIwMTguQ09OLkYuVVNELkgFAAAAAAAAAAgAAAAUKEludmFsaWQgSWRlbnRpZmllcilKPIu6oVTWCMe77b+hVNYIPkNJUS5OQVNEQVFHTTpQUlFSLklRX0NBU0hfU1RfSU5WRVNULjIwMDAuNy8zMS8yMDE4LkxGUi5GLlVTRC5IAQAAAO/sXA0CAAAACTU3Ljc1NTc2NAEIAAAABQAAAAExAQAAAAoxODgwOTgxOTA3AwAAAAMxNjACAAAABDEwMDIEAAAAATAHAAAACTcvMzEvMjAxOAgAAAAKMTIvMzEvMjAxNwkAAAABMDfWxrqhVNYI</t>
  </si>
  <si>
    <t>lea2v6FU1gglQ0lRLklRVFIyODY0MTA3MzYuSVFfVFJfSU1QTElFRF9FUV9CVgEAAADwRxIRAgAAAAAAAj/at6FU1ggaACK9oVTWCD5DSVEuTkFTREFRR006Q1JCUC5JUV9UT1RBTF9FUVVJVFkuQ1kyMDE2LjcvMzEvMjAxOC5MRlIuRi5VU0QuSAEAAAAkbyQPAgAAAAg4LjkxOTIzNQEIAAAABQAAAAExAQAAAAoxODc4MDc3MDcxAwAAAAMxNjACAAAABDEyNzUEAAAAATAHAAAACTcvMzEvMjAxOAgAAAAKMTIvMzEvMjAxNgkAAAABMDfWxrqhVNYIlea2v6FU1gg7Q0lRLk5BU0RBUUNNOkdBTFQuSVFfVE9UQUxfUkVWLkNZMjAxNi43LzMxLzIwMTguTEZSLkYuVVNELkgBAAAAx0EQAAMAAAAAADfWxrqhVNYIR4S0v6FU1gg6Q0lRLkVOWFRQQTpHTkZULklRX1RPVEFMX0VRVUlUWS4yMDAwLjcvMzEvMjAxOC5MRlIuRi5VU0QuSAEAAAAiwZMAAgAAAAoxMjUuMTU0ODk5AQgAAAAFAAAAATEBAAAACjE4OTA2MTk2NDgDAAAAAzE2MAIAAAAEMTI3NQQAAAABMAcAAAAJNy8zMS8yMDE4CAAAAAoxMi8zMS8yMDE3CQAAAAEwN9bGuqFU1gjw+qq/oVTWCDBDSVEuSVFUUjEzODI1MTQ2Mi5JUV9UUl9UQVJHRVRfRUJJVERBX0VTVC4uVVNELkgBAAAAxow9CAIAAAAAAAI/2rehVNYIhDsdvaFU1gg7Q0lRLk5BU0RBUUdTOkZHRU4uSVFfRUJJVF9NQVJHSU4uMjAwMC43LzMxLzIwMTguTEZSLkYuVVNELkgBAAAARG8AAAIA</t>
  </si>
  <si>
    <t>AAAJLTEwNC44NjY5AQgAAAAFAAAAATEBAAAACjE4ODc2Njk1NDMDAAAAAzE2MAIAAAAENDA1MwQAAAABMAcAAAAJNy8zMS8yMDE4CAAAAAkzLzMxLzIwMTgJAAAAATAEopi7oVTWCG8Pn7+hVNYIPkNJUS5OQVNEQVFDTTpNREdMLklRX0NBU0hfU1RfSU5WRVNULjIwMDAuNy8zMS8yMDE4LkxGUi5GLlVTRC5IAQAAAEybowgCAAAABzE4Mi44MjUBCAAAAAUAAAABMQEAAAAKMTg4NzgxNDExMwMAAAADMTYwAgAAAAQxMDAyBAAAAAEwBwAAAAk3LzMxLzIwMTgIAAAACTMvMzEvMjAxOAkAAAABMASimLuhVNYIAdSjv6FU1gglQ0lRLk5BU0RBUUdTOlNWUkEuSVFfRklSU1RQUklDSU5HREFURQEAAAB1f4cDBQAAAAk0LzI4LzIwMTcAN9bGuqFU1ggNml29oVTWCEFDSVEuRU5YVFBBOkdORlQuSVFfRUJJVERBXzJZUl9BTk5fQ0FHUi4yMDAwLjcvMzEvMjAxOC5MRlIuRi5VU0QuSAEAAAAiwZMAAwAAAAJOTQEIAAAABQAAAAExAQAAAAoxODkwNjE5NjQ4AwAAAAI1MAIAAAAENDIwOQQAAAABMAcAAAAJNy8zMS8yMDE4CAAAAAoxMi8zMS8yMDE3CQAAAAEwN9bGuqFU1gjw+qq/oVTWCDxDSVEuTkFTREFRR1M6RkdFTi5JUV9UT1RBTF9FUVVJVFkuMTk5Ni43LzMxLzIwMTguTEZSLkYuVVNELkgBAAAARG8AAAIAAAAHMTUwLjk3MgEIAAAABQAAAAExAQAAAAoxODg3NjY5NTM2AwAAAAMxNjACAAAABDEyNzUEAAAAATAH</t>
  </si>
  <si>
    <t>AAAACTcvMzEvMjAxOAgAAAAJMy8zMS8yMDE3CQAAAAEwBKKYu6FU1ghvD5+/oVTWCCVDSVEuSVFUUjQwMTk3OTY4OS5JUV9UUl9JTVBMSUVEX0VRX0JWAQAAACm59RcCAAAACTI3LjAwNTg2NgEGAAAABQAAAAI1NAEAAAAGMTAyMDk3AgAAAAk0MDE5Nzk2ODkDAAAACTQwMTk4MDU5NwQAAAADMTYwBgAAAAVGYWxzZQI/2rehVNYIGgAivaFU1gg6Q0lRLk5ZU0U6S0RNTi5JUV9DQVNIX1NUX0lOVkVTVC4yMDAwLjkvMzAvMjAxNi5MRlIuRi5VU0QuSAEAAABTyNkGAgAAAAU1LjU0NAEIAAAABQAAAAExAQAAAAoxODEwMDE3Njc1AwAAAAMxNjACAAAABDEwMDIEAAAAATAHAAAACTkvMzAvMjAxNggAAAAJNi8zMC8yMDE2CQAAAAEwN9bGuqFU1ghVXa2/oVTWCENDSVEuTkFTREFRR1M6RkdFTi5JUV9FQklUREFfNVlSX0FOTl9DQUdSLjIwMDAuNy8zMS8yMDE4LkxGUi5GLlVTRC5IAQAAAERvAAADAAAAAAAEopi7oVTWCLZxob+hVNYIJ0NJUS5OQVNEQVFHTTpDUkJQLklRX1BFUklPRERBVEVfSVMuMTAwMAEAAAAkbyQPBQAAAAoxMi8zMS8yMDE3ADfWxrqhVNYIR4S0v6FU1gg8Q0lRLk5BU0RBUUdNOk1OT1YuSVFfRUJJVERBX0VTVC5DWTIwMTguNy8zMS8yMDE4LkNPTi5GLlVTRC5IAQAAALhUjQACAAAABi0xNy45NwEOAAAABQAAAAIxMQEAAAABMAIAAAAKMTAwMDU5MzYxNAMAAAAGMTAwMTg3BAAAAAEyBgAA</t>
  </si>
  <si>
    <t>AAEwBwAAAAMxNjAIAAAAATAJAAAAATEKAAAAATALAAAACzExMDA2Mjg3Nzg0DAAAAAE3DQAAAAg4LzEvMjAxOBAAAAAJNy8zMS8yMDE4N9bGuqFU1ghVXa2/oVTWCDxDSVEuTkFTREFRR006Q1JCUC5JUV9UT1RBTF9FUVVJVFkuMTk5Mi43LzMxLzIwMTguTEZSLkYuVVNELkgBAAAAJG8kDwIAAAAINi40MDQwMDcBCAAAAAUAAAABMQEAAAAKMTg0MDg0NjM5NQMAAAADMTYwAgAAAAQxMjc1BAAAAAEwBwAAAAk3LzMxLzIwMTgIAAAACTMvMzEvMjAxNgkAAAABMDfWxrqhVNYIlea2v6FU1ggjQ0lRLklRVFIxNzAyMjkzODYuSVFfVFJfQ0xPU0VEX0RBVEUBAAAAin4lCgUAAAAIMy84LzIwMTIAAj/at6FU1gjFnR+9oVTWCCJDSVEuSVFUUjI3MDExMTM2OC5JUV9UUl9QQ1RfU09VR0hUAQAAAIiSGRACAAAAAzEwMAACP9q3oVTWCBoAIr2hVNYIPENJUS5FTlhUUEE6R05GVC5JUV9DQVNIX1NUX0lOVkVTVC4yMDAwLjkvMzAvMjAxNi5MRlIuRi5VU0QuSAEAAAAiwZMAAgAAAAoxMDUuMTMxODc4AQgAAAAFAAAAATEBAAAACjE4MTE3OTYyOTIDAAAAAzE2MAIAAAAEMTAwMgQAAAABMAcAAAAJOS8zMC8yMDE2CAAAAAk2LzMwLzIwMTYJAAAAATA31sa6oVTWCPD6qr+hVNYIOkNJUS5FTlhUQU06R0xQRy5JUV9UT1RBTF9FUVVJVFkuMjAwMC43LzMxLzIwMTguTEZSLkYuVVNELkgBAAAAsjEaAAIAAAALMTEwNy45Nzcw</t>
  </si>
  <si>
    <t>ODUBCAAAAAUAAAABMQEAAAAKMTg4NTQ4NDc1NQMAAAADMTYwAgAAAAQxMjc1BAAAAAEwBwAAAAk3LzMxLzIwMTgIAAAACTMvMzEvMjAxOAkAAAABMASimLuhVNYItnGhv6FU1gg4Q0lRLk5BU0RBUUdTOklOU00uSVFfRUJJVERBLkNZMjAxNy43LzMxLzIwMTguTEZSLkYuVVNELkgBAAAAGnUAAAIAAAAILTE4Ni4wMTkBCAAAAAUAAAABMQEAAAAKMTg3NjA0NTAxNgMAAAADMTYwAgAAAAQ0MDUxBAAAAAEwBwAAAAk3LzMxLzIwMTgIAAAACjEyLzMxLzIwMTcJAAAAATAEopi7oVTWCJuYqL+hVNYINUNJUS5OQVNEQVFDTTpNR0VOLklRX0RBX0NGLjIwMDAuNy8zMS8yMDE4LkxGUi5GLlVTRC5IAQAAAG/irgICAAAABTAuMzA0AQgAAAAFAAAAATEBAAAACjE4ODc2NzY5MzUDAAAAAzE2MAIAAAAEMjE2MAQAAAABMAcAAAAJNy8zMS8yMDE4CAAAAAkzLzMxLzIwMTgJAAAAATA31sa6oVTWCCKru7+hVNYILkNJUS5JUVRSMjg2NDEwNzM2LklRX1RSX1RBUkdFVF9TVE9DS1BSRU1JVU1fMU0BAAAA8EcSEQIAAAAAAAI/2rehVNYIxZ0fvaFU1ggbQ0lRLkFTWDoxQUQuSVFfQ09NUEFOWV9OQU1FAQAAAMWgpAMDAAAADkFkQWx0YSBMaW1pdGVkAEo8i7qhVNYIuzdbvaFU1gg6Q0lRLkVOWFRBTTpHTFBHLklRX0dST1NTX01BUkdJTi4yMDAwLjcvMzEvMjAxOC5MRlIuRi5VU0QuSAEAAACyMRoAAgAAAAY4LjMyNTQBCAAA</t>
  </si>
  <si>
    <t>AAUAAAABMQEAAAAKMTg4NTQ4NDc1NQMAAAACNTACAAAABDQwNzQEAAAAATAHAAAACTcvMzEvMjAxOAgAAAAJMy8zMS8yMDE4CQAAAAEwBKKYu6FU1gi2caG/oVTWCENDSVEuTkFTREFRR1M6SUNQVC5JUV9FQklUREFfM1lSX0FOTl9DQUdSLjIwMDAuNy8zMS8yMDE4LkxGUi5GLlVTRC5IAQAAAIKvrQADAAAAAk5NAQgAAAAFAAAAATEBAAAACjE4ODg2MTU1NDADAAAAAzE2MAIAAAAENDIyMgQAAAABMAcAAAAJNy8zMS8yMDE4CAAAAAkzLzMxLzIwMTgJAAAAATAEopi7oVTWCFY2pr+hVNYIOENJUS5BTUVYOkFQSEIuSVFfVE9UQUxfRVFVSVRZLjE5OTYuNy8zMS8yMDE4LkxGUi5GLlVTRC5IAQAAACKJAAACAAAABTYuNjQ4AQgAAAAFAAAAATEBAAAACjE4ODkwMTg4NDIDAAAAAzE2MAIAAAAEMTI3NQQAAAABMAcAAAAJNy8zMS8yMDE4CAAAAAkzLzMxLzIwMTcJAAAAATBKPIu6oVTWCO00xb+hVNYIIkNJUS5BU1g6SU1DLklRX1RFVi43LzMxLzIwMTguVVNELkgBAAAA80x1AAIAAAAJMzYuMjE3NTMxAQYAAAAFAAAAATEBAAAACjE4Nzc2NDc5NDADAAAAAzE2MAIAAAAGMTAwMDYwBAAAAAEwBwAAAAk3LzMxLzIwMTg31sa6oVTWCHcNvr+hVNYIHkNJUS5JUTM2MTgzODI4LklRX0NPTVBBTllfTkFNRQEAAAAUHygCAwAAADFVbml0ZWQgU3RhdGVzIFRyZWFzdXJ5IENvbnN0YW50IE1hdHVyaXR5IC0gMyBZZWFy</t>
  </si>
  <si>
    <t>AAI/2rehVNYImOlHuKFU1gg9Q0lRLkVOWFRQQTpHTkZULklRX05FVF9XT1JLSU5HX0NBUC4xOTk2LjcvMzEvMjAxOC5MRlIuRi5VU0QuSAEAAAAiwZMAAgAAAAktNi45NjE4OTIBCAAAAAUAAAABMQEAAAAKMTg5MDYxOTYxMQMAAAADMTYwAgAAAAQxMzExBAAAAAEwBwAAAAk3LzMxLzIwMTgIAAAACjEyLzMxLzIwMTYJAAAAATA31sa6oVTWCPD6qr+hVNYIHUNJUS5OQVNEQVFHUzpGR0VOLklRX0VYQ0hBTkdFAQAAAERvAAADAAAACE5hc2RhcUdTAKpBlruhVNYIGHNWvaFU1gg/Q0lRLkFNRVg6QVBIQi5JUV9FQklUREFfMllSX0FOTl9DQUdSLjIwMDAuNy8zMS8yMDE4LkxGUi5GLlVTRC5IAQAAACKJAAADAAAAAk5NAQgAAAAFAAAAATEBAAAACjE4ODkwMTg4NDQDAAAAAzE2MAIAAAAENDIwOQQAAAABMAcAAAAJNy8zMS8yMDE4CAAAAAkzLzMxLzIwMTgJAAAAATBKPIu6oVTWCO00xb+hVNYIJ0NJUS5OQVNEQVFHUzpGR0VOLklRX1BFUklPRERBVEVfSVMuMTAwMAEAAABEbwAABQAAAAoxMi8zMS8yMDE3AASimLuhVNYIDK2cv6FU1gg0Q0lRLk5ZU0U6S0RNTi5JUV9FQklUREEuQ1kyMDE3LjcvMzEvMjAxOC5MRlIuRi5VU0QuSAEAAABTyNkGAgAAAActNjcuMzM0AQgAAAAFAAAAATEBAAAACjE4NzcxODEyNzIDAAAAAzE2MAIAAAAENDA1MQQAAAABMAcAAAAJNy8zMS8yMDE4CAAAAAoxMi8zMS8yMDE3CQAA</t>
  </si>
  <si>
    <t>AAEwN9bGuqFU1gjw+qq/oVTWCD5DSVEuTkFTREFRR1M6U1ZSQS5JUV9DQVNIX1NUX0lOVkVTVC4yMDAwLjkvMzAvMjAxNi5MRlIuRi5VU0QuSAEAAAB1f4cDAwAAAAAAN9bGuqFU1gjyIbK/oVTWCCtDSVEuSVFUUjI3MDExMTM2OC5JUV9UUl9JTVBMSUVEX0VWX0VCSVRfRldEAQAAAIiSGRACAAAAAAACP9q3oVTWCMWdH72hVNYIOENJUS5BTUVYOkFQSEIuSVFfRUFSTklOR19DTy5DWTIwMTcuNy8zMS8yMDE4LkxGUi5GLlVTRC5IAQAAACKJAAACAAAABy0xMi44MzgBCAAAAAUAAAABMQEAAAAKMTg3ODM2MzczNAMAAAADMTYwAgAAAAE3BAAAAAEwBwAAAAk3LzMxLzIwMTgIAAAACjEyLzMxLzIwMTcJAAAAATBKPIu6oVTWCO00xb+hVNYILkNJUS5OQVNEQVFHTTpNTk9WLklRX01BUktFVENBUC43LzMxLzIwMTguVVNELkgBAAAAuFSNAAIAAAAKMzk2LjE3NjAzMQEGAAAABQAAAAExAQAAAAoxODk2NzY1NTE1AwAAAAMxNjACAAAABjEwMDA1NAQAAAABMAcAAAAJNy8zMS8yMDE4N9bGuqFU1ghVXa2/oVTWCClDSVEuTkFTREFRQ006UFVMTS5JUV9CVVNJTkVTU19ERVNDUklQVElPTgEAAACfbJoBAwAAAOMIUHVsbWF0cml4LCBJbmMuLCBhIGNsaW5pY2FsIHN0YWdlIGJpb3BoYXJtYWNldXRpY2FsIGNvbXBhbnksIGRldmVsb3BzIGluaGFsZWQgdGhlcmFwaWVzIHRvIGFkZHJlc3Mgc2VyaW91cyBwdWxtb25h</t>
  </si>
  <si>
    <t>cnkgZGlzZWFzZXMgdXNpbmcgaXRzIGluaGFsZWQgU21hbGwgUGFydGljbGVzIEVhc2lseSBSZXNwaXJhYmxlIGFuZCBFbWl0dGVkIChpU1BFUlNFKSB0ZWNobm9sb2d5LiBJdHMgcHJvcHJpZXRhcnkgcHJvZHVjdCBwaXBlbGluZSBmb2N1c2VzIG9uIGFkdmFuY2luZyB0cmVhdG1lbnRzIGZvciBzZXJpb3VzIGx1bmcgZGlzZWFzZXMsIGluY2x1ZGluZyBQdWxtYXpvbGUsIGFuIGluaGFsZWQgYW50aS1mdW5nYWwgZm9yIHBhdGllbnRzIHdpdGggYWxsZXJnaWMgYnJvbmNob3B1bG1vbmFyeSBhc3BlcmdpbGxvc2lzOyBhbmQgUFVSMTgwMCwga2luYXNlIGluaGliaXRvciBmb3IgcGF0aWVudHMgd2l0aCBvYnN0cnVjdGl2ZSBsdW5nIGRpc2Vhc2VzLCBpbmNsdWRpbmcgYXN0aG1hIGFuZCBjaHJvbmljIG9ic3RydWN0aXZlIHB1bG1vbmFyeSBkaXNlYXNlIChDT1BEKS4gVGhlIGNvbXBhbnkgaXMgYWxzbyBpbnZvbHZlZCBpbiBkZXZlbG9waW5nIFBVUjAyMDAsIGEgcmVmb3JtdWxhdGlvbiBvZiBhbiBleGlzdGluZyBsb25nLWFjdGluZyBhbnRpbXVzY2FyaW5pYyBhZ2VudCB0aGF0IGhhcyBjb21wbGV0ZWQgUGhhc2UgSWIgY2xpbmljYWwgZGV2ZWxvcG1lbnQsIHdoaWNoIGJsb2NrcyB0aGUgZWZmZWN0cyBvZiBhY2V0eWxjaG9saW5lIG9uIG11c2NhcmluaWMgcmVjZXB0b3JzIHRvIHJldmVyc2UgYWly</t>
  </si>
  <si>
    <t>d2F5IG9ic3RydWN0aW9uIGluIENPUEQgcGF0aWVudHMuIEl0IGhhcyBhIGxpY2Vuc2UgYWdyZWVtZW50IHdpdGggUmVzcGlWZXJ0IEx0ZC4gdG8gZGV2ZWxvcCBraW5hc2UgaW5oaWJpdG9yIGZvciBhY2Nlc3MgdG8gYSBwb3J0Zm9saW8gb2Ygbm92ZWwgZHJ1ZyBjYW5kaWRhdGVzOyBhbmQgYSBwYXJ0bmVyc2hpcCBhZ3JlZW1lbnQgd2l0aCBWZWN0dXJhIEdyb3VwIHBsYyB0byBkZXZlbG9wIGl0cyBkcnVnIGNhbmRpZGF0ZS4gUHVsbWF0cml4LCBJbmMuIHdhcyBmb3VuZGVkIGluIDIwMDMgYW5kIGlzIGhlYWRxdWFydGVyZWQgaW4gTGV4aW5ndG9uLCBNYXNzYWNodXNldHRzLgBKPIu6oVTWCMkQVL2hVNYIPENJUS5OQVNEQVFHTTpDUkJQLklRX0VCSVREQV9FU1QuQ1kyMDIwLjcvMzEvMjAxOC5DT04uRi5VU0QuSAEAAAAkbyQPAwAAAAAAN9bGuqFU1giV5ra/oVTWCC5DSVEuSVFUUjI3MDc4OTU4NC5JUV9UUl9UQVJHRVRfU1RPQ0tQUkVNSVVNXzFNAQAAANDrIxACAAAABzYyLjYzNzQBBgAAAAUAAAACNTQBAAAABjEwMTA1NQIAAAAJMjcwNzg5NTg0AwAAAAkyNzA3OTA2MjkEAAAAAzE2MAYAAAAFRmFsc2UCP9q3oVTWCDLZGr2hVNYIOkNJUS5OQVNEQVFDTTpHQUxULklRX0VBUk5JTkdfQ08uMTk5Mi43LzMxLzIwMTguTEZSLkYuVVNELkgBAAAAx0EQAAIAAAAHLTIyLjAwMQEIAAAABQAAAAExAQAA</t>
  </si>
  <si>
    <t>AAoxODQyMjE0NDg1AwAAAAMxNjACAAAAATcEAAAAATAHAAAACTcvMzEvMjAxOAgAAAAJMy8zMS8yMDE2CQAAAAEwN9bGuqFU1ghHhLS/oVTWCDxDSVEuTkFTREFRR006UFJRUi5JUV9FQVJOSU5HX0NPLkNZMjAxNy43LzMxLzIwMTguTEZSLkYuVVNELkgBAAAA7+xcDQIAAAAKLTUyLjQ0MzU2NAEIAAAABQAAAAExAQAAAAoxODgwOTgxOTA3AwAAAAMxNjACAAAAATcEAAAAATAHAAAACTcvMzEvMjAxOAgAAAAKMTIvMzEvMjAxNwkAAAABMDfWxrqhVNYI2ki5v6FU1ggqQ0lRLk5ZU0U6S0RNTi5JUV9NQVJLRVRDQVAuNy8zMS8yMDE4LlVTRC5IAQAAAFPI2QYCAAAACjM3MC45MzI0MzgBBgAAAAUAAAABMQEAAAAKMTg4NzQ0NTIxMAMAAAADMTYwAgAAAAYxMDAwNTQEAAAAATAHAAAACTcvMzEvMjAxODfWxrqhVNYI8Pqqv6FU1ggvQ0lRLklRVFIxNzAyMjkzODYuSVFfVFJfVEFSR0VUX1RPVEFMX1JFVi4uVVNELkgBAAAAin4lCgIAAAAAAAI/2rehVNYIusQmvaFU1gglQ0lRLkVOWFRQQTpHTkZULklRX1BFUklPRERBVEVfSVMuMTAwMAEAAAAiwZMABQAAAAoxMi8zMS8yMDE3ADfWxrqhVNYIm5iov6FU1ghGQ0lRLk5BU0RBUUdNOkNSQlAuSVFfVE9UQUxfUkVWXzVZUl9BTk5fQ0FHUi4yMDAwLjcvMzEvMjAxOC5MRlIuRi5VU0QuSAEAAAAkbyQPAwAAAAAAN9bGuqFU1giV5ra/oVTWCDpDSVEuTkFTREFRR1M6</t>
  </si>
  <si>
    <t>SUNQVC5JUV9UT1RBTF9ERUJULjIwMDAuNy8zMS8yMDE4LkxGUi5GLlVTRC5IAQAAAIKvrQACAAAABzM1OS40NDkBCAAAAAUAAAABMQEAAAAKMTg4ODYxNTU0MAMAAAADMTYwAgAAAAQ0MTczBAAAAAEwBwAAAAk3LzMxLzIwMTgIAAAACTMvMzEvMjAxOAkAAAABMASimLuhVNYIVjamv6FU1ggsQ0lRLklRVFIxMzgyNTE0NjIuSVFfVFJfVEFSR0VUX0VCSVREQS4uVVNELkgBAAAAxow9CAIAAAAAAAI/2rehVNYIxZ0fvaFU1ggqQ0lRLklRVFIyNTY2ODM2NTUuSVFfVFJfVEFSR0VUX0VCSVQuLlVTRC5IAQAAAIeuTA8CAAAAAAACP9q3oVTWCBoAIr2hVNYIPENJUS5OQVNEQVFHUzpJTlNNLklRX0VCSVREQV9FU1QuQ1kyMDIwLjcvMzEvMjAxOC5DT04uRi5VU0QuSAEAAAAadQAAAgAAAAotMTk2LjMwMTc1AQ4AAAAFAAAAAjExAQAAAAEwAgAAAAoxMDAxODE2ODMwAwAAAAYxMDAxODcEAAAAATIGAAAAATAHAAAAAzE2MAgAAAABMAkAAAABMQoAAAABMAsAAAALMTA5ODQzMzc2NjkMAAAAATcNAAAACDgvMS8yMDE4EAAAAAk3LzMxLzIwMTgEopi7oVTWCJuYqL+hVNYIQ0NJUS4oSU5WQUxJRCBJREVOVElGSUVSKS5JUV9FQklUREFfRVNULkNZMjAxOC43LzMxLzIwMTguQ09OLkYuVVNELkgFAAAAAAAAAAgAAAAUKEludmFsaWQgSWRlbnRpZmllcilKPIu6oVTWCMe77b+hVNYIP0NJUS5OWVNFOktETU4uSVFfRUJJ</t>
  </si>
  <si>
    <t>VERBXzVZUl9BTk5fQ0FHUi4yMDAwLjcvMzEvMjAxOC5MRlIuRi5VU0QuSAEAAABTyNkGAwAAAAAAN9bGuqFU1ghVXa2/oVTWCCRDSVEuTkFTREFRQ006TUdFTi5JUV9FRkZFQ1RfVEFYX1JBVEUBAAAAb+KuAgMAAAAAADfWxrqhVNYIIqu7v6FU1gg4Q0lRLk5BU0RBUUdTOklOU00uSVFfRUJJVERBLkNZMjAxNi43LzMxLzIwMTguTEZSLkYuVVNELkgBAAAAGnUAAAIAAAAILTE3MC45NjIBCAAAAAUAAAABMQEAAAAKMTg3NjA0NDk0OAMAAAADMTYwAgAAAAQ0MDUxBAAAAAEwBwAAAAk3LzMxLzIwMTgIAAAACjEyLzMxLzIwMTYJAAAAATAEopi7oVTWCJuYqL+hVNYIJUNJUS5JUVRSNDAyMDM0NTY5LklRX1RSX01BSl9NSU5fU1RBS0UBAAAAiY/2FwMAAAAITWFqb3JpdHkAAj/at6FU1ggaACK9oVTWCBdDSVEuMC5JUV9UUl9DTE9TRURfREFURQUAAAAAAAAACAAAABgoSW52YWxpZCBUcmFuc2FjdGlvbiBJZCkCP9q3oVTWCGFiJL2hVNYIQUNJUS4oSU5WQUxJRCBJREVOVElGSUVSKS5JUV9UT1RBTF9ERUJULjIwMDAuOS8zMC8yMDE2LkxGUi5GLlVTRC5IBQAAAAAAAAAIAAAAFChJbnZhbGlkIElkZW50aWZpZXIpSjyLuqFU1ggWHvC/oVTWCDZDSVEuTllTRTpLRE1OLklRX1RPVEFMX0RFQlQuMjAwMC45LzMwLzIwMTYuTEZSLkYuVVNELkgBAAAAU8jZBgIAAAAHMjI5LjI4MQEIAAAABQAAAAExAQAAAAoxODEw</t>
  </si>
  <si>
    <t>MDE3Njc1AwAAAAMxNjACAAAABDQxNzMEAAAAATAHAAAACTkvMzAvMjAxNggAAAAJNi8zMC8yMDE2CQAAAAEwN9bGuqFU1ghVXa2/oVTWCEZDSVEuTkFTREFRR1M6U1ZSQS5JUV9UT1RBTF9SRVZfMllSX0FOTl9DQUdSLjIwMDAuNy8zMS8yMDE4LkxGUi5GLlVTRC5IAQAAAHV/hwMDAAAAAAA31sa6oVTWCPIhsr+hVNYIOUNJUS5BTUVYOkFQSEIuSVFfRUJJVERBX01BUkdJTi4yMDAwLjcvMzEvMjAxOC5MRlIuRi5VU0QuSAEAAAAiiQAAAwAAAAJOTQEIAAAABQAAAAExAQAAAAoxODg5MDE4ODQ0AwAAAAMxNjACAAAABDQwNDcEAAAAATAHAAAACTcvMzEvMjAxOAgAAAAJMy8zMS8yMDE4CQAAAAEwSjyLuqFU1gjtNMW/oVTWCDZDSVEuQVNYOjFBRC5JUV9UT1RBTF9FUVVJVFkuMTk5Ni43LzMxLzIwMTguTEZSLkYuVVNELkgBAAAAxaCkAwIAAAAINi4wMTA3MDUBCAAAAAUAAAABMQEAAAAKMTg3NjE4NzAyNAMAAAADMTYwAgAAAAQxMjc1BAAAAAEwBwAAAAk3LzMxLzIwMTgIAAAACjEyLzMxLzIwMTYJAAAAATBKPIu6oVTWCMxvwL+hVNYILUNJUS5OQVNEQVFDTTpHTE1ELklRX0RJVklERU5EX1lJRUxELjcvMzEvMjAxOAEAAAAkZ9cGAwAAAAAAN9bGuqFU1gjyIbK/oVTWCCVDSVEuSVFUUjI2MzcwNzI4OS5JUV9UUl9JTVBMSUVEX0VRX0JWAQAAAJnatw8DAAAAAk5NAAI/2rehVNYIxZ0fvaFU1gg4Q0lRLkFN</t>
  </si>
  <si>
    <t>RVg6QVBIQi5JUV9FQklUREFfRVNULkNZMjAxOC43LzMxLzIwMTguQ09OLkYuVVNELkgBAAAAIokAAAIAAAAFLTEyLjEBDgAAAAUAAAACMTEBAAAAATACAAAACjEwMDIyNTUzOTgDAAAABjEwMDE4NwQAAAABMgYAAAABMAcAAAADMTYwCAAAAAEwCQAAAAExCgAAAAEwCwAAAAsxMDg4NTY1Mzc5NQwAAAABNw0AAAAIOC8xLzIwMTgQAAAACTcvMzEvMjAxOEo8i7qhVNYI7TTFv6FU1gg8Q0lRLk5BU0RBUUdTOkZHRU4uSVFfR1JPU1NfTUFSR0lOLjIwMDAuNy8zMS8yMDE4LkxGUi5GLlVTRC5IAQAAAERvAAACAAAACC02MS4zNDAxAQgAAAAFAAAAATEBAAAACjE4ODc2Njk1NDMDAAAAAzE2MAIAAAAENDA3NAQAAAABMAcAAAAJNy8zMS8yMDE4CAAAAAkzLzMxLzIwMTgJAAAAATAEopi7oVTWCG8Pn7+hVNYIO0NJUS5FTlhUUEE6R05GVC5JUV9SRVZFTlVFX0VTVC5DWTIwMjEuNy8zMS8yMDE4LkNPTi5GLlVTRC5IAQAAACLBkwACAAAADzEyMi42NTQxODM3NzIxMgEOAAAABQAAAAIxMQEAAAABMAIAAAAKMTAwMTg3NzE3OQMAAAAGMTAwMTgwBAAAAAEzBgAAAAEwBwAAAAMxNjAIAAAAATAJAAAAATEKAAAAATALAAAACzEwODMwNzk3NzgxDAAAAAE3DQAAAAg4LzEvMjAxOBAAAAAJNy8zMS8yMDE4N9bGuqFU1gjw+qq/oVTWCDRDSVEuRU5YVFBBOkdORlQuSVFfRUJJVERBLjIwMDAuNy8zMS8yMDE4LkxGUi5GLlVT</t>
  </si>
  <si>
    <t>RC5IAQAAACLBkwACAAAACS02Ni45NTI0NQEIAAAABQAAAAExAQAAAAoxODkwNjE5NjQ4AwAAAAMxNjACAAAABDQwNTEEAAAAATAHAAAACTcvMzEvMjAxOAgAAAAKMTIvMzEvMjAxNwkAAAABMDfWxrqhVNYI8Pqqv6FU1gg8Q0lRLk5BU0RBUUNNOkdMTUQuSVFfVE9UQUxfRVFVSVRZLjE5OTIuNy8zMS8yMDE4LkxGUi5GLlVTRC5IAQAAACRn1wYCAAAABTE3Ljg4AQgAAAAFAAAAATEBAAAACjE4NDQ3NjMxODQDAAAAAzE2MAIAAAAEMTI3NQQAAAABMAcAAAAJNy8zMS8yMDE4CAAAAAkzLzMxLzIwMTYJAAAAATA31sa6oVTWCPIhsr+hVNYILkNJUS5OQVNEQVFHUzpTVlJBLklRX01BUktFVENBUC43LzMxLzIwMTguVVNELkgBAAAAdX+HAwIAAAAKMzg2LjMwNTM4MgEGAAAABQAAAAExAQAAAAoxODg3NzYzMDUzAwAAAAMxNjACAAAABjEwMDA1NAQAAAABMAcAAAAJNy8zMS8yMDE4N9bGuqFU1gikv6+/oVTWCDxDSVEuKElOVkFMSUQgSURFTlRJRklFUikuSVFfQ0FQRVguMTk5Mi43LzMxLzIwMTguTEZSLkYuVVNELkgFAAAAAAAAAAgAAAAUKEludmFsaWQgSWRlbnRpZmllcilKPIu6oVTWCMe77b+hVNYIH0NJUS5JUTEwNjU0MTUuSVFfQ09NUEFOWV9USUNLRVIBAAAAx0EQAAMAAAANTmFzZGFxQ006R0FMVAACP9q3oVTWCDLZGr2hVNYIMUNJUS5JUVRSNDE1NjExODE1LklRX1RSX1RBUkdFVF9SRVZFTlVFX0VT</t>
  </si>
  <si>
    <t>VC4uVVNELkgBAAAAp7vFGAIAAAAAAAI/2rehVNYIGgAivaFU1gg+Q0lRLk5BU0RBUUdNOkNSQlAuSVFfQ0FTSF9TVF9JTlZFU1QuMjAwMC43LzMxLzIwMTguTEZSLkYuVVNELkgBAAAAJG8kDwIAAAAJNzAuOTU1NjUyAQgAAAAFAAAAATEBAAAACjE4ODg1OTAzODEDAAAAAzE2MAIAAAAEMTAwMgQAAAABMAcAAAAJNy8zMS8yMDE4CAAAAAkzLzMxLzIwMTgJAAAAATA31sa6oVTWCJXmtr+hVNYIIkNJUS5JUVRSMTM4MjUxNDYyLklRX1RSX1BDVF9TT1VHSFQBAAAAxow9CAIAAAADMTAwAAI/2rehVNYIhDsdvaFU1gg9Q0lRLkFTWDpJTUMuSVFfRUJJVERBXzJZUl9BTk5fQ0FHUi4yMDAwLjcvMzEvMjAxOC5MRlIuRi5VU0QuSAEAAADzTHUAAwAAAAJOTQEIAAAABQAAAAExAQAAAAoxODc3NjUwMDk2AwAAAAE5AgAAAAQ0MjA5BAAAAAEwBwAAAAk3LzMxLzIwMTgIAAAACjEyLzMxLzIwMTcJAAAAATBKPIu6oVTWCMxvwL+hVNYIKENJUS5OQVNEQVFHUzpTVlJBLklRX1RFVi43LzMxLzIwMTguVVNELkgBAAAAdX+HAwIAAAAKMzE2LjMzMzM4MQEGAAAABQAAAAExAQAAAAoxODg3NzYzMDUzAwAAAAMxNjACAAAABjEwMDA2MAQAAAABMAcAAAAJNy8zMS8yMDE4N9bGuqFU1gikv6+/oVTWCENDSVEuKElOVkFMSUQgSURFTlRJRklFUikuSVFfVE9UQUxfRVFVSVRZLjE5OTYuNy8zMS8yMDE4LkxGUi5GLlVTRC5IBQAA</t>
  </si>
  <si>
    <t>AAAAAAAIAAAAFChJbnZhbGlkIElkZW50aWZpZXIpSjyLuqFU1gjHu+2/oVTWCCJDSVEuMC5JUV9UUl9UQVJHRVRfU1RPQ0tQUkVNSVVNXzFXBQAAAAAAAAAIAAAAGChJbnZhbGlkIFRyYW5zYWN0aW9uIElkKQI/2rehVNYIhDsdvaFU1gg+Q0lRLk5BU0RBUUdTOklDUFQuSVFfVE9UQUxfRVFVSVRZLkNZMjAxNy43LzMxLzIwMTguTEZSLkYuVVNELkgBAAAAgq+tAAIAAAAGMTYuMzg2AQgAAAAFAAAAATEBAAAACjE4NzcwMTE0ODkDAAAAAzE2MAIAAAAEMTI3NQQAAAABMAcAAAAJNy8zMS8yMDE4CAAAAAoxMi8zMS8yMDE3CQAAAAEwBKKYu6FU1ghWNqa/oVTWCCNDSVEuQVNYOjFBRC5JUV9CVVNJTkVTU19ERVNDUklQVElPTgEAAADFoKQDAwAAAL8CQWRBbHRhIExpbWl0ZWQsIGEgZHJ1ZyBkaXNjb3ZlcnkgYW5kIGRldmVsb3BtZW50IGNvbXBhbnksIGRldmVsb3BzIHByb3RlaW4gdGhlcmFwZXV0aWNzLiBUaGUgY29tcGFueSBmb2N1c2VzIG9uIGRldmVsb3BpbmcgaXRzIGxlYWQgaS1ib2R5IGRydWcgY2FuZGlkYXRlLCBBRC0xMTQsIGZvciB0aGUgdHJlYXRtZW50IG9mIGlkaW9wYXRoaWMgcHVsbW9uYXJ5IGZpYnJvc2lzIGFuZCBvdGhlciBmaWJyb3RpYyBkaXNlYXNlcy4gQWRBbHRhIExpbWl0ZWQgd2FzIGluY29ycG9yYXRlZCBpbiAyMDA2IGFuZCBpcyBiYXNlZCBpbiBCdW5kb29yYSwgQXVzdHJh</t>
  </si>
  <si>
    <t>bGlhLgBKPIu6oVTWCA2aXb2hVNYIMUNJUS5BTUVYOkFQSEIuSVFfQ0FQRVguMjAwMC43LzMxLzIwMTguTEZSLkYuVVNELkgBAAAAIokAAAIAAAAGLTAuMDUzAQgAAAAFAAAAATEBAAAACjE4ODkwMTg4NDQDAAAAAzE2MAIAAAAEMjAyMQQAAAABMAcAAAAJNy8zMS8yMDE4CAAAAAkzLzMxLzIwMTgJAAAAATBKPIu6oVTWCO00xb+hVNYIPENJUS5OQVNEQVFDTTpNREdMLklRX0VCSVREQV9FU1QuQ1kyMDE5LjcvMzEvMjAxOC5DT04uRi5VU0QuSAEAAABMm6MIAgAAAActODkuOTU1AQ4AAAAFAAAAAjExAQAAAAEwAgAAAAoxMDAzNTkwNDc5AwAAAAYxMDAxODcEAAAAATIGAAAAATAHAAAAAzE2MAgAAAABMAkAAAABMQoAAAABMAsAAAALMTA5MDYyODA0NDIMAAAAATcNAAAACDgvMS8yMDE4EAAAAAk3LzMxLzIwMTgEopi7oVTWCAHUo7+hVNYIRkNJUS5OQVNEQVFHTTpNTk9WLklRX1RPVEFMX1JFVl81WVJfQU5OX0NBR1IuMjAwMC43LzMxLzIwMTguTEZSLkYuVVNELkgBAAAAuFSNAAMAAAAAADfWxrqhVNYIpL+vv6FU1ghGQ0lRLk5BU0RBUUNNOlBVTE0uSVFfVE9UQUxfUkVWXzVZUl9BTk5fQ0FHUi4yMDAwLjcvMzEvMjAxOC5MRlIuRi5VU0QuSAEAAACfbJoBAwAAAAAASjyLuqFU1ggX0sK/oVTWCC9DSVEuSVFUUjQyODEwMTAzNC5JUV9UUl9UQVJHRVRfVE9UQUxfUkVWLi5VU0QuSAEAAACqTYQZAgAAAAAA</t>
  </si>
  <si>
    <t>Aj/at6FU1giEOx29oVTWCEJDSVEuKElOVkFMSUQgSURFTlRJRklFUikuSVFfVE9UQUxfUkVWLkNZMjAxNy43LzMxLzIwMTguTEZSLkYuVVNELkgFAAAAAAAAAAgAAAAUKEludmFsaWQgSWRlbnRpZmllcilKPIu6oVTWCMe77b+hVNYIPkNJUS5OQVNEQVFDTTpNR0VOLklRX0NBU0hfU1RfSU5WRVNULjIwMDAuOS8zMC8yMDE2LkxGUi5GLlVTRC5IAQAAAG/irgIDAAAAAAA31sa6oVTWCCKru7+hVNYIRkNJUS5OQVNEQVFDTTpHQUxULklRX1RPVEFMX1JFVl8zWVJfQU5OX0NBR1IuMjAwMC43LzMxLzIwMTguTEZSLkYuVVNELkgBAAAAx0EQAAMAAAAAADfWxrqhVNYIR4S0v6FU1ggwQ0lRLklRVFIzNDc1OTE1OTEuSVFfVFJfVEFSR0VUX0VCSVREQV9FU1QuLlVTRC5IAQAAAKfTtxQCAAAAAAACP9q3oVTWCBoAIr2hVNYIOUNJUS5OQVNEQVFHTTpNTk9WLklRX1RPVEFMX1JFVi4xOTkyLjcvMzEvMjAxOC5MRlIuRi5VU0QuSAEAAAC4VI0AAwAAAAAAN9bGuqFU1ghVXa2/oVTWCDdDSVEuTllTRTpLRE1OLklRX1BSRUZfRVFVSVRZLjIwMDAuNy8zMS8yMDE4LkxGUi5GLlVTRC5IAQAAAFPI2QYCAAAABTQwLjcxAQgAAAAFAAAAATEBAAAACjE4ODc0NDUzNTUDAAAAAzE2MAIAAAAEMTAwNQQAAAABMAcAAAAJNy8zMS8yMDE4CAAAAAkzLzMxLzIwMTgJAAAAATA31sa6oVTWCPD6qr+hVNYIOkNJUS5OQVNEQVFDTTpH</t>
  </si>
  <si>
    <t>TE1ELklRX0VBUk5JTkdfQ08uMTk5Mi43LzMxLzIwMTguTEZSLkYuVVNELkgBAAAAJGfXBgIAAAAHLTEyLjE0MwEIAAAABQAAAAExAQAAAAoxODQ0NzYzMTg0AwAAAAMxNjACAAAAATcEAAAAATAHAAAACTcvMzEvMjAxOAgAAAAJMy8zMS8yMDE2CQAAAAEwN9bGuqFU1gjyIbK/oVTWCDhDSVEuQU1FWDpBUEhCLklRX1RPVEFMX0VRVUlUWS4xOTkyLjcvMzEvMjAxOC5MRlIuRi5VU0QuSAEAAAAiiQAAAgAAAAYyMi42MDMBCAAAAAUAAAABMQEAAAAKMTg0MjI4Mjc3NgMAAAADMTYwAgAAAAQxMjc1BAAAAAEwBwAAAAk3LzMxLzIwMTgIAAAACTMvMzEvMjAxNgkAAAABMEo8i7qhVNYI7TTFv6FU1gg9Q0lRLk5BU0RBUUNNOk1ER0wuSVFfUkVWRU5VRV9FU1QuQ1kyMDE4LjcvMzEvMjAxOC5DT04uRi5VU0QuSAEAAABMm6MIAgAAAAEwAQ4AAAAFAAAAAjExAQAAAAEwAgAAAAoxMDAzNTkwNDU3AwAAAAYxMDAxODAEAAAAATIGAAAAATAHAAAAAzE2MAgAAAABMAkAAAABMQoAAAABMAsAAAALMTA5NDU1NzM2NjgMAAAAATcNAAAACDgvMS8yMDE4EAAAAAk3LzMxLzIwMTgEopi7oVTWCAHUo7+hVNYIPENJUS5OQVNEQVFHUzpJQ1BULklRX0VCSVREQV9FU1QuQ1kyMDIwLjcvMzEvMjAxOC5DT04uRi5VU0QuSAEAAACCr60AAgAAAActNDkyLjAyAQ4AAAAFAAAAAjExAQAAAAEwAgAAAAoxMDAxNjY1NjE0AwAAAAYxMDAx</t>
  </si>
  <si>
    <t>ODcEAAAAATIGAAAAATAHAAAAAzE2MAgAAAABMAkAAAABMQoAAAABMAsAAAALMTA5ODY3OTE4MjgMAAAAATcNAAAACDgvMS8yMDE4EAAAAAk3LzMxLzIwMTgEopi7oVTWCFY2pr+hVNYIJkNJUS5FTlhUQU06R0xQRy5JUV9URVYuNy8zMS8yMDE4LlVTRC5IAQAAALIxGgACAAAACzQzNjMuNzg5Mzg2AQYAAAAFAAAAATEBAAAACjE4ODU0Nzk2NTYDAAAAAzE2MAIAAAAGMTAwMDYwBAAAAAEwBwAAAAk3LzMxLzIwMTiqQZa7oVTWCLZxob+hVNYIOUNJUS5OQVNEQVFHTTpQUlFSLklRX1RPVEFMX1JFVi4xOTk2LjcvMzEvMjAxOC5MRlIuRi5VU0QuSAEAAADv7FwNAgAAAAgxLjcyMjc5MQEIAAAABQAAAAExAQAAAAoxODgwOTgxOTk4AwAAAAMxNjACAAAAAjI4BAAAAAEwBwAAAAk3LzMxLzIwMTgIAAAACjEyLzMxLzIwMTYJAAAAATA31sa6oVTWCJXmtr+hVNYIPUNJUS5OQVNEQVFDTTpNREdMLklRX0VCSVREQV9NQVJHSU4uMjAwMC43LzMxLzIwMTguTEZSLkYuVVNELkgBAAAATJujCAMAAAAAAASimLuhVNYIAdSjv6FU1gg2Q0lRLkVOWFRBTTpHTFBHLklRX0VCSVREQS5DWTIwMTcuNy8zMS8yMDE4LkxGUi5GLlVTRC5IAQAAALIxGgACAAAACy0xMDMuNDU5NDE0AQgAAAAFAAAAATEBAAAACjE4Nzk4MTg3MDQDAAAAAzE2MAIAAAAENDA1MQQAAAABMAcAAAAJNy8zMS8yMDE4CAAAAAoxMi8zMS8yMDE3CQAAAAEw</t>
  </si>
  <si>
    <t>BKKYu6FU1gi2caG/oVTWCDpDSVEuRU5YVEFNOkdMUEcuSVFfRUJJVERBX0VTVC5DWTIwMTguNy8zMS8yMDE4LkNPTi5GLlVTRC5IAQAAALIxGgACAAAAES0xNzkuMzczNjQ1NDYzNjIyAQ4AAAAFAAAAAjExAQAAAAEwAgAAAAoxMDAwNDY4NTUyAwAAAAYxMDAxODcEAAAAATMGAAAAATAHAAAAAzE2MAgAAAABMAkAAAABMQoAAAABMAsAAAALMTEwNTc3ODQ4NTgMAAAAATcNAAAACDgvMS8yMDE4EAAAAAk3LzMxLzIwMTgEopi7oVTWCLZxob+hVNYIK0NJUS5JUVRSNTMxOTIwNTA3LklRX1RSX0lNUExJRURfRVZfRUJJVF9GV0QBAAAAe3a0HwIAAAAAAAI/2rehVNYIGgAivaFU1ggxQ0lRLklRVFIzNDc1OTE1OTEuSVFfVFJfVEFSR0VUX1JFVkVOVUVfRVNULi5VU0QuSAEAAACn07cUAgAAAAAAAj/at6FU1ghhYiS9oVTWCClDSVEuSVEzNjE4Mzg0My5JUV9MQVNUU0FMRVBSSUNFLjcvMzEvMjAxOAEAAAAjHygCAgAAAAQzLjA4AAI/2rehVNYIMtkavaFU1gg7Q0lRLk5BU0RBUUdTOkZHRU4uSVFfUFJFRl9FUVVJVFkuMjAwMC45LzMwLzIwMTYuTEZSLkYuVVNELkgBAAAARG8AAAMAAAAAAASimLuhVNYIbw+fv6FU1ggwQ0lRLk5BU0RBUUNNOk1ER0wuSVFfTEFTVFNBTEVQUklDRS43LzMxLzIwMTguVVNEAQAAAEybowgCAAAABjI1Ny4wMwCqQZa7oVTWCAHUo7+hVNYIIkNJUS5JUVRSMjg2NDEwNzM2LklRX1RS</t>
  </si>
  <si>
    <t>X1RBUkdFVE5BTUUBAAAA8EcSEQMAAAAeQ29ycmlkb3IgUGhhcm1hY2V1dGljYWxzLCBJbmMuAAI/2rehVNYIGgAivaFU1ggxQ0lRLklRVFIxMzgyNTE0NjIuSVFfVFJfVEFSR0VUX1JFVkVOVUVfRVNULi5VU0QuSAEAAADGjD0IAgAAAAAAAj/at6FU1gjFnR+9oVTWCCxDSVEuTllTRTpLRE1OLklRX0xBU1RTQUxFUFJJQ0UuNy8zMS8yMDE4LlVTRAEAAABTyNkGAgAAAAMzLjQAN9bGuqFU1gjw+qq/oVTWCDxDSVEuTkFTREFRR1M6U1ZSQS5JUV9UT1RBTF9FUVVJVFkuMTk5Mi43LzMxLzIwMTguTEZSLkYuVVNELkgBAAAAdX+HAwMAAAAAADfWxrqhVNYIpL+vv6FU1ggeQ0lRLklRMzYxODM4MTYuSVFfQ09NUEFOWV9OQU1FAQAAAAgfKAIDAAAAMlVuaXRlZCBTdGF0ZXMgVHJlYXN1cnkgQ29uc3RhbnQgTWF0dXJpdHkgLSAzIE1vbnRoAAI/2rehVNYImOlHuKFU1ggrQ0lRLklRVFIzMTMyNTE4NzcuSVFfVFJfSU1QTElFRF9FVl9FQklUX0ZXRAEAAAAl2KsSAgAAAAAAAj/at6FU1giEOx29oVTWCDlDSVEuTkFTREFRQ006R0FMVC5JUV9UT1RBTF9SRVYuMjAwMC43LzMxLzIwMTguTEZSLkYuVVNELkgBAAAAx0EQAAMAAAAAADfWxrqhVNYIR4S0v6FU1gg/Q0lRLk5BU0RBUUdNOkNSQlAuSVFfTkVUX1dPUktJTkdfQ0FQLjE5OTYuNy8zMS8yMDE4LkxGUi5GLlVTRC5IAQAAACRvJA8CAAAACS01LjU3OTMzNwEI</t>
  </si>
  <si>
    <t>AAAABQAAAAExAQAAAAoxODg4NTkwMzYzAwAAAAMxNjACAAAABDEzMTEEAAAAATAHAAAACTcvMzEvMjAxOAgAAAAJMy8zMS8yMDE3CQAAAAEwN9bGuqFU1giV5ra/oVTWCC9DSVEuSVFUUjI3MDc4OTU4NC5JUV9UUl9UQVJHRVRfVE9UQUxfUkVWLi5VU0QuSAEAAADQ6yMQAgAAAAcxMTEuNDIyAQYAAAAFAAAAAjM3AQAAAAoxNjkwMTk5ODM3AgAAAAIyOAMAAAADMTYwBAAAAAEwBwAAAAgxLzEvMTkwMAI/2rehVNYIxZ0fvaFU1gg9Q0lRLk5BU0RBUUdNOkNSQlAuSVFfUkVWRU5VRV9FU1QuQ1kyMDIxLjcvMzEvMjAxOC5DT04uRi5VU0QuSAEAAAAkbyQPAgAAAAU2LjM2MgEOAAAABQAAAAIxMQEAAAABMAIAAAAKMTAwMzE3ODU0NAMAAAAGMTAwMTgwBAAAAAEyBgAAAAEwBwAAAAMxNjAIAAAAATAJAAAAATEKAAAAATALAAAACzExMDAxMDY3Njk2DAAAAAE3DQAAAAg4LzEvMjAxOBAAAAAJNy8zMS8yMDE4N9bGuqFU1giV5ra/oVTWCClDSVEuSVFUUjU0ODcwNDgxOS5JUV9UUl9JTVBMSUVEX0VRX05JX0xUTQEAAAAzkrQgAgAAAAAAAj/at6FU1ghhYiS9oVTWCClDSVEuSVFUUjI3MDc4OTU4NC5JUV9UUl9JTVBMSUVEX0VRX05JX0xUTQEAAADQ6yMQAwAAAAJOTQACP9q3oVTWCMWdH72hVNYIPkNJUS5OQVNEQVFHUzpJTlNNLklRX0NBU0hfU1RfSU5WRVNULjIwMDAuOS8zMC8yMDE2LkxGUi5GLlVTRC5IAQAA</t>
  </si>
  <si>
    <t>ABp1AAACAAAABzIyMy4xMDkBCAAAAAUAAAABMQEAAAAKMTgwMTY5NTcyNAMAAAADMTYwAgAAAAQxMDAyBAAAAAEwBwAAAAk5LzMwLzIwMTYIAAAACTYvMzAvMjAxNgkAAAABMDfWxrqhVNYIm5iov6FU1ggsQ0lRLkVOWFRQQTpHTkZULklRX01BUktFVENBUC43LzMxLzIwMTguVVNELkgBAAAAIsGTAAIAAAAKODgzLjEyMDEyOAEGAAAABQAAAAExAQAAAAoxODkwNjE5NjQ2AwAAAAMxNjACAAAABjEwMDA1NAQAAAABMAcAAAAJNy8zMS8yMDE4N9bGuqFU1gibmKi/oVTWCC5DSVEuSVFUUjI1OTk4NTk2Mi5JUV9UUl9UQVJHRVRfU1RPQ0tQUkVNSVVNXzFXAQAAACoSfw8CAAAAAAACP9q3oVTWCBoAIr2hVNYILkNJUS5OQVNEQVFHUzpJTlNNLklRX01BUktFVENBUC43LzMxLzIwMTguVVNELkgBAAAAGnUAAAIAAAALMTkwNS42MTczOTIBBgAAAAUAAAABMQEAAAAKMTg4NjA0MDkzNgMAAAADMTYwAgAAAAYxMDAwNTQEAAAAATAHAAAACTcvMzEvMjAxOKpBlruhVNYIVjamv6FU1gg8Q0lRLk5BU0RBUUdTOklDUFQuSVFfRUFSTklOR19DTy5DWTIwMTYuNy8zMS8yMDE4LkxGUi5GLlVTRC5IAQAAAIKvrQACAAAABy00MTIuODMBCAAAAAUAAAABMQEAAAAKMTg3NzAxMTQ2MAMAAAADMTYwAgAAAAE3BAAAAAEwBwAAAAk3LzMxLzIwMTgIAAAACjEyLzMxLzIwMTYJAAAAATAEopi7oVTWCFY2pr+hVNYILkNJUS5OQVNE</t>
  </si>
  <si>
    <t>QVFDTTpNR0VOLklRX01BUktFVENBUC45LzMwLzIwMTYuVVNELkgBAAAAb+KuAgMAAAAAADfWxrqhVNYIIqu7v6FU1gg9Q0lRLk5BU0RBUUNNOkdBTFQuSVFfUkVWRU5VRV9FU1QuQ1kyMDIwLjcvMzEvMjAxOC5DT04uRi5VU0QuSAEAAADHQRAAAgAAAAEwAQ4AAAAFAAAAAjExAQAAAAEwAgAAAAoxMDAxMzExOTA4AwAAAAYxMDAxODAEAAAAATIGAAAAATAHAAAAAzE2MAgAAAABMAkAAAABMQoAAAABMAsAAAALMTA5NTkwMTMwMzcMAAAAATcNAAAACDgvMS8yMDE4EAAAAAk3LzMxLzIwMTg31sa6oVTWCEeEtL+hVNYIHUNJUS5JUTM1MTA2LklRX0NPTVBBTllfVElDS0VSAQAAACKJAAADAAAACUFNRVg6QVBIQgACP9q3oVTWCDLZGr2hVNYIPENJUS5OQVNEQVFDTTpHQUxULklRX1RPVEFMX0VRVUlUWS4yMDAwLjcvMzEvMjAxOC5MRlIuRi5VU0QuSAEAAADHQRAAAgAAAAUyLjY0OAEIAAAABQAAAAExAQAAAAoxODg4MjQyMzk2AwAAAAMxNjACAAAABDEyNzUEAAAAATAHAAAACTcvMzEvMjAxOAgAAAAJMy8zMS8yMDE4CQAAAAEwN9bGuqFU1ghHhLS/oVTWCC9DSVEuSVFUUjU0ODcwNDgxOS5JUV9UUl9UQVJHRVRfVE9UQUxfUkVWLi5VU0QuSAEAAAAzkrQgAgAAAAAAAj/at6FU1ggaACK9oVTWCDxDSVEuTkFTREFRR006Q1JCUC5JUV9UT1RBTF9FUVVJVFkuMjAwMC43LzMxLzIwMTguTEZSLkYuVVNELkgBAAAA</t>
  </si>
  <si>
    <t>JG8kDwIAAAAJNjUuNTM5NjA0AQgAAAAFAAAAATEBAAAACjE4ODg1OTAzODEDAAAAAzE2MAIAAAAEMTI3NQQAAAABMAcAAAAJNy8zMS8yMDE4CAAAAAkzLzMxLzIwMTgJAAAAATA31sa6oVTWCJXmtr+hVNYILkNJUS5OQVNEQVFHTTpDTkFULklRX01BUktFVENBUC45LzMwLzIwMTYuVVNELkgBAAAAZWfWAQIAAAAJNDQuMTcxNzcyAQYAAAAFAAAAATEBAAAACjE4MDI3Mjc3NDkDAAAAAzE2MAIAAAAGMTAwMDU0BAAAAAEwBwAAAAk5LzMwLzIwMTY31sa6oVTWCHcNvr+hVNYIM0NJUS5BU1g6SU1DLklRX05JX01BUkdJTi4yMDAwLjcvMzEvMjAxOC5MRlIuRi5VU0QuSAEAAADzTHUAAwAAAAJOTQEIAAAABQAAAAExAQAAAAoxODc3NjUwMDk2AwAAAAE5AgAAAAQ0MDk0BAAAAAEwBwAAAAk3LzMxLzIwMTgIAAAACjEyLzMxLzIwMTcJAAAAATA31sa6oVTWCHcNvr+hVNYIKkNJUS5JUVRSMjYzNzA3Mjg5LklRX1RSX1RBUkdFVF9FQklULi5VU0QuSAEAAACZ2rcPAgAAAActMTUuMDUxAQYAAAAFAAAAAjM3AQAAAAoxNjY3NjA3NzQ3AgAAAAUyMTY3NQMAAAADMTYwBAAAAAEwBwAAAAgxLzEvMTkwMAI/2rehVNYIhDsdvaFU1gg3Q0lRLkVOWFRQQTpHTkZULklRX05JX01BUkdJTi4yMDAwLjcvMzEvMjAxOC5MRlIuRi5VU0QuSAEAAAAiwZMAAwAAAAJOTQEIAAAABQAAAAExAQAAAAoxODkwNjE5NjQ4AwAAAAI1MAIA</t>
  </si>
  <si>
    <t>AAAENDA5NAQAAAABMAcAAAAJNy8zMS8yMDE4CAAAAAoxMi8zMS8yMDE3CQAAAAEwN9bGuqFU1gjw+qq/oVTWCDBDSVEuSVFUUjE3MDIyOTM4Ni5JUV9UUl9UQVJHRVRfRUJJVERBX0VTVC4uVVNELkgBAAAAin4lCgIAAAAAAAI/2rehVNYIxZ0fvaFU1ghGQ0lRLk5BU0RBUUNNOk1HRU4uSVFfVE9UQUxfUkVWXzVZUl9BTk5fQ0FHUi4yMDAwLjcvMzEvMjAxOC5MRlIuRi5VU0QuSAEAAABv4q4CAwAAAAAAN9bGuqFU1ggiq7u/oVTWCDxDSVEuTkFTREFRR1M6SUNQVC5JUV9UT1RBTF9FUVVJVFkuMTk5Ni43LzMxLzIwMTguTEZSLkYuVVNELkgBAAAAgq+tAAIAAAAHMjQwLjIzOAEIAAAABQAAAAExAQAAAAoxODg4NjE1NTE5AwAAAAMxNjACAAAABDEyNzUEAAAAATAHAAAACTcvMzEvMjAxOAgAAAAJMy8zMS8yMDE3CQAAAAEwBKKYu6FU1ghWNqa/oVTWCENDSVEuTkFTREFRQ006TUdFTi5JUV9FQklUREFfM1lSX0FOTl9DQUdSLjIwMDAuNy8zMS8yMDE4LkxGUi5GLlVTRC5IAQAAAG/irgIDAAAAAAA31sa6oVTWCCKru7+hVNYIK0NJUS5JUVRSMjUzODc3MjAzLklRX1RSX1RPVEFMX0dST1NTX1RWLi5VU0QBAAAA09shDwIAAAAEMjkwMAEGAAAABQAAAAI1NAEAAAAGMTAyMDg4AgAAAAkyNTM4NzcyMDMDAAAACTI1Mzg3NzQ4MAQAAAADMTYwBgAAAAVGYWxzZQI/2rehVNYIxZ0fvaFU1ggnQ0lRLk5BU0RBUUdT</t>
  </si>
  <si>
    <t>OlZSVFguSVFfQkVUQV8yWVIuNy8zMS8yMDE4AQAAAIuNAAACAAAAEDEuNDQ3MDE5NDMyOTMzNzMABKKYu6FU1ggMrZy/oVTWCCJDSVEuSVFUUjI1NjY4MzY1NS5JUV9UUl9QQ1RfU09VR0hUAQAAAIeuTA8CAAAAAzEwMAACP9q3oVTWCLrEJr2hVNYIMUNJUS5JUVRSMzEzMjUxODc3LklRX1RSX1RBUkdFVF9SRVZFTlVFX0VTVC4uVVNELkgBAAAAJdirEgIAAAAAAAI/2rehVNYIGgAivaFU1gg4Q0lRLk5ZU0U6S0RNTi5JUV9HUk9TU19NQVJHSU4uMjAwMC43LzMxLzIwMTguTEZSLkYuVVNELkgBAAAAU8jZBgIAAAAHNjYuNDE0MgEIAAAABQAAAAExAQAAAAoxODg3NDQ1MzU1AwAAAAMxNjACAAAABDQwNzQEAAAAATAHAAAACTcvMzEvMjAxOAgAAAAJMy8zMS8yMDE4CQAAAAEwN9bGuqFU1gjw+qq/oVTWCCdDSVEuTkFTREFRQ006TUdFTi5JUV9CRVRBXzVZUi43LzMxLzIwMTgBAAAAb+KuAgMAAAAAADfWxrqhVNYIIqu7v6FU1gg4Q0lRLk5BU0RBUUdNOk1OT1YuSVFfRUJJVERBLkNZMjAxNy43LzMxLzIwMTguTEZSLkYuVVNELkgBAAAAuFSNAAIAAAAKLTEyLjk5ODk5NQEIAAAABQAAAAExAQAAAAoxODc0MDI1MTAzAwAAAAMxNjACAAAABDQwNTEEAAAAATAHAAAACTcvMzEvMjAxOAgAAAAKMTIvMzEvMjAxNwkAAAABMDfWxrqhVNYIVV2tv6FU1gg8Q0lRLk5BU0RBUUdTOlZSVFguSVFfRUJJVERBX0VTVC5D</t>
  </si>
  <si>
    <t>WTIwMTguNy8zMS8yMDE4LkNPTi5GLlVTRC5IAQAAAIuNAAACAAAACjExMjUuMzk5MDYBDgAAAAUAAAACMTEBAAAAATACAAAACjEwMDAxMzA4MzQDAAAABjEwMDE4NwQAAAABMgYAAAABMAcAAAADMTYwCAAAAAEwCQAAAAExCgAAAAEwCwAAAAsxMDk5Mzg1NDk2MgwAAAABNw0AAAAIOC8xLzIwMTgQAAAACTcvMzEvMjAxOASimLuhVNYIDK2cv6FU1gghQ0lRLk5BU0RBUUdTOklOU00uSVFfQ09NUEFOWV9OQU1FAQAAABp1AAADAAAAE0luc21lZCBJbmNvcnBvcmF0ZWQAqkGWu6FU1ghWiSu9oVTWCCBDSVEuSVFUUjI1OTk4NTk2Mi5JUV9UUl9FQVJOT1VUUwEAAAAqEn8PAgAAAAgzMjIuODM2NAACP9q3oVTWCMWdH72hVNYIPkNJUS5OQVNEQVFHTTpNTk9WLklRX1RPVEFMX0VRVUlUWS5DWTIwMTYuNy8zMS8yMDE4LkxGUi5GLlVTRC5IAQAAALhUjQACAAAACTM0LjUzMTkyOQEIAAAABQAAAAExAQAAAAoxODc0MDI1MDczAwAAAAMxNjACAAAABDEyNzUEAAAAATAHAAAACTcvMzEvMjAxOAgAAAAKMTIvMzEvMjAxNgkAAAABMDfWxrqhVNYIpL+vv6FU1ggwQ0lRLk5BU0RBUUdNOlBSUVIuSVFfTEFTVFNBTEVQUklDRS43LzMxLzIwMTguVVNEAQAAAO/sXA0CAAAAAzYuNwA31sa6oVTWCJXmtr+hVNYILkNJUS5JUVRSMjU2NjgzNjU1LklRX1RSX1RBUkdFVF9TVE9DS1BSRU1JVU1fMU0BAAAAh65MDwIAAAAAAAI/</t>
  </si>
  <si>
    <t>2rehVNYIxZ0fvaFU1gg8Q0lRLk5BU0RBUUNNOkdMTUQuSVFfRUFSTklOR19DTy5DWTIwMTYuNy8zMS8yMDE4LkxGUi5GLlVTRC5IAQAAACRn1wYCAAAABy0xNi45NTMBCAAAAAUAAAABMQEAAAAKMTg3ODA4ODUzMQMAAAADMTYwAgAAAAE3BAAAAAEwBwAAAAk3LzMxLzIwMTgIAAAACjEyLzMxLzIwMTYJAAAAATA31sa6oVTWCPIhsr+hVNYIJ0NJUS5OQVNEQVFHTTpDUkJQLklRX0JFVEFfNVlSLjcvMzEvMjAxOAEAAAAkbyQPAgAAABAyLjA2NjAxNjIxNDgzNzI4ADfWxrqhVNYIlea2v6FU1ghGQ0lRLk5BU0RBUUNNOk1HRU4uSVFfVE9UQUxfUkVWXzNZUl9BTk5fQ0FHUi4yMDAwLjcvMzEvMjAxOC5MRlIuRi5VU0QuSAEAAABv4q4CAwAAAAAAN9bGuqFU1ggiq7u/oVTWCCJDSVEuSVFUUjI1OTk4NTk2Mi5JUV9UUl9UT1RBTF9DQVNIAQAAACoSfw8CAAAAAAACP9q3oVTWCIQ7Hb2hVNYIO0NJUS5OQVNEQVFHUzpTVlJBLklRX1BSRUZfRVFVSVRZLjIwMDAuNy8zMS8yMDE4LkxGUi5GLlVTRC5IAQAAAHV/hwMDAAAAAAA31sa6oVTWCKS/r7+hVNYIN0NJUS5FTlhUUEE6R05GVC5JUV9UT1RBTF9SRVYuMTk5Mi43LzMxLzIwMTguTEZSLkYuVVNELkgBAAAAIsGTAAIAAAAINC42MDkyODYBCAAAAAUAAAABMQEAAAAKMTg0MzY1OTk3OAMAAAADMTYwAgAAAAIyOAQAAAABMAcAAAAJNy8zMS8yMDE4CAAAAAoxMi8z</t>
  </si>
  <si>
    <t>MS8yMDE1CQAAAAEwN9bGuqFU1gibmKi/oVTWCCtDSVEuSVFUUjI4NjQxMDczNi5JUV9UUl9JTVBMSUVEX0VWX0VCSVRfRldEAQAAAPBHEhECAAAAAAACP9q3oVTWCLrEJr2hVNYIPUNJUS5OQVNEQVFHUzpJTlNNLklRX0VCSVREQV9NQVJHSU4uMjAwMC43LzMxLzIwMTguTEZSLkYuVVNELkgBAAAAGnUAAAMAAAAAAASimLuhVNYIm5iov6FU1ggsQ0lRLklRVFIzNDc1OTE1OTEuSVFfVFJfVE9UQUxfR1JPU1NfVFYuVVNELkgFAAAAAAAAAAgAAAAaKEludmFsaWQgQ3VycmVuY3kgUmVxdWVzdCkCP9q3oVTWCMWdH72hVNYIQ0NJUS5OQVNEQVFHTTpDUkJQLklRX0VCSVREQV8zWVJfQU5OX0NBR1IuMjAwMC43LzMxLzIwMTguTEZSLkYuVVNELkgBAAAAJG8kDwMAAAAAADfWxrqhVNYIlea2v6FU1ggjQ0lRLklRVFI0MDE5Nzk2ODkuSVFfVFJfQ0xPU0VEX0RBVEUBAAAAKbn1FwUAAAAJMTEvMS8yMDE2AAI/2rehVNYIhDsdvaFU1ghAQ0lRLkFTWDoxQUQuSVFfVE9UQUxfUkVWXzVZUl9BTk5fQ0FHUi4yMDAwLjcvMzEvMjAxOC5MRlIuRi5VU0QuSAEAAADFoKQDAwAAAAAASjyLuqFU1gjMb8C/oVTWCCdDSVEuTkFTREFRR1M6RkdFTi5JUV9CRVRBXzJZUi43LzMxLzIwMTgBAAAARG8AAAIAAAAQMi4xMzE5NzM0MjA0OTMxMwAEopi7oVTWCG8Pn7+hVNYIJENJUS4oSU5WQUxJRCBJREVOVElGSUVSKS5JUV9FWENI</t>
  </si>
  <si>
    <t>QU5HRQUAAAAAAAAACAAAABQoSW52YWxpZCBJZGVudGlmaWVyKUo8i7qhVNYIjr+DvaFU1gg/Q0lRLk5ZU0U6S0RNTi5JUV9FQklUREFfM1lSX0FOTl9DQUdSLjIwMDAuNy8zMS8yMDE4LkxGUi5GLlVTRC5IAQAAAFPI2QYDAAAAAAA31sa6oVTWCFVdrb+hVNYILkNJUS5JUVRSNTMxOTIwNTA3LklRX1RSX1RBUkdFVF9TVE9DS1BSRU1JVU1fMVcBAAAAe3a0HwIAAAAAAAI/2rehVNYIhDsdvaFU1ggqQ0lRLklRVFIxMzgyNTE0NjIuSVFfVFJfVEFSR0VUX0VCSVQuLlVTRC5IAQAAAMaMPQgCAAAAAAACP9q3oVTWCMWdH72hVNYINkNJUS5BU1g6SU1DLklRX1RPVEFMX0VRVUlUWS4xOTkyLjcvMzEvMjAxOC5MRlIuRi5VU0QuSAEAAADzTHUAAgAAAAgxLjQxMzQ1NwEIAAAABQAAAAExAQAAAAoxODM2MjE5NTU2AwAAAAMxNjACAAAABDEyNzUEAAAAATAHAAAACTcvMzEvMjAxOAgAAAAKMTIvMzEvMjAxNQkAAAABMEo8i7qhVNYIdw2+v6FU1ggnQ0lRLk5BU0RBUUdNOkNOQVQuSVFfQkVUQV81WVIuNy8zMS8yMDE4AQAAAGVn1gECAAAAEDEuMjU0MTY1NjgzNjMwNzkAN9bGuqFU1gh3Db6/oVTWCENDSVEuTkFTREFRR006Q1JCUC5JUV9FQklUREFfMllSX0FOTl9DQUdSLjIwMDAuNy8zMS8yMDE4LkxGUi5GLlVTRC5IAQAAACRvJA8DAAAAAk5NAQgAAAAFAAAAATEBAAAACjE4ODg1OTAzODEDAAAAAzE2MAIAAAAE</t>
  </si>
  <si>
    <t>NDIwOQQAAAABMAcAAAAJNy8zMS8yMDE4CAAAAAkzLzMxLzIwMTgJAAAAATA31sa6oVTWCJXmtr+hVNYIJ0NJUS5OQVNEQVFDTTpHTE1ELklRX0JFVEFfMllSLjcvMzEvMjAxOAEAAAAkZ9cGAgAAABAxLjA2OTY3MzA4NDE3NjQ3ADfWxrqhVNYI8iGyv6FU1ggzQ0lRLkFTWDpJTUMuSVFfVE9UQUxfUkVWLjE5OTYuNy8zMS8yMDE4LkxGUi5GLlVTRC5IAQAAAPNMdQACAAAACDAuODcyNzcyAQgAAAAFAAAAATEBAAAACjE4Nzc2NTA5ODkDAAAAAzE2MAIAAAACMjgEAAAAATAHAAAACTcvMzEvMjAxOAgAAAAKMTIvMzEvMjAxNgkAAAABMDfWxrqhVNYIdw2+v6FU1gghQ0lRLklRMTQ0OTM5ODUyLklRX0NPTVBBTllfVElDS0VSAQAAAEybowgDAAAADU5hc2RhcUNNOk1ER0wAAj/at6FU1ggy2Rq9oVTWCD1DSVEuTkFTREFRQ006R0xNRC5JUV9SRVZFTlVFX0VTVC5DWTIwMjAuNy8zMS8yMDE4LkNPTi5GLlVTRC5IAQAAACRn1wYCAAAAAzAuNQEOAAAABQAAAAIxMQEAAAABMAIAAAAKMTAwMjU2MDY3NQMAAAAGMTAwMTgwBAAAAAEyBgAAAAEwBwAAAAMxNjAIAAAAATAJAAAAATEKAAAAATALAAAACzEwOTgxNTgzNjQ0DAAAAAE3DQAAAAg4LzEvMjAxOBAAAAAJNy8zMS8yMDE4N9bGuqFU1gjyIbK/oVTWCB9DSVEuLklRX0dQLjIwMDAuNy8zMS8yMDE4Li4uVVNEBQAAAAEAAAAIAAAAFChJbnZhbGlkIElkZW50aWZp</t>
  </si>
  <si>
    <t>ZXIpqkGWu6FU1giqQZa7oVTWCDxDSVEuTkFTREFRR1M6RkdFTi5JUV9FQVJOSU5HX0NPLkNZMjAxNi43LzMxLzIwMTguTEZSLkYuVVNELkgBAAAARG8AAAIAAAAGLTYxLjY4AQgAAAAFAAAAATEBAAAACjE4NzYxMzQ0NjkDAAAAAzE2MAIAAAABNwQAAAABMAcAAAAJNy8zMS8yMDE4CAAAAAoxMi8zMS8yMDE2CQAAAAEwBKKYu6FU1ghvD5+/oVTWCDFDSVEuSVFUUjQwMjAzNDU2OS5JUV9UUl9UQVJHRVRfUkVWRU5VRV9FU1QuLlVTRC5IAQAAAImP9hcCAAAAAAACP9q3oVTWCDLZGr2hVNYITUNJUS4oSU5WQUxJRCBJREVOVElGSUVSKS5JUV9UT1RBTF9SRVZfMllSX0FOTl9DQUdSLjIwMDAuNy8zMS8yMDE4LkxGUi5GLlVTRC5IBQAAAAAAAAAIAAAAFChJbnZhbGlkIElkZW50aWZpZXIpSjyLuqFU1ggWHvC/oVTWCCVDSVEuTkFTREFRR006Q05BVC5JUV9GSVJTVFBSSUNJTkdEQVRFAQAAAGVn1gEFAAAACTcvMjUvMjAxMwA31sa6oVTWCKKFab2hVNYIOkNJUS5OQVNEQVFHUzpGR0VOLklRX0VBUk5JTkdfQ08uMTk5Mi43LzMxLzIwMTguTEZSLkYuVVNELkgBAAAARG8AAAIAAAAHLTY3LjI1MwEIAAAABQAAAAExAQAAAAoxODQwOTM0NjY5AwAAAAMxNjACAAAAATcEAAAAATAHAAAACTcvMzEvMjAxOAgAAAAJMy8zMS8yMDE2CQAAAAEwBKKYu6FU1ghvD5+/oVTWCDhDSVEuTkFTREFRR006Q1JCUC5JUV9FQklU</t>
  </si>
  <si>
    <t>REEuQ1kyMDE3LjcvMzEvMjAxOC5MRlIuRi5VU0QuSAEAAAAkbyQPAgAAAAotMzIuMzA3MTY0AQgAAAAFAAAAATEBAAAACjE4NzgwNzcwNjkDAAAAAzE2MAIAAAAENDA1MQQAAAABMAcAAAAJNy8zMS8yMDE4CAAAAAoxMi8zMS8yMDE3CQAAAAEwN9bGuqFU1giV5ra/oVTWCCJDSVEuSVFUUjMxMzI1MTg3Ny5JUV9UUl9UT1RBTF9DQVNIAQAAACXYqxICAAAAAzEwNQEGAAAABQAAAAI1NAEAAAAGMTAxMDU2AgAAAAkzMTMyNTE4NzcDAAAACTMxMzI1MjI4NQQAAAADMTYwBgAAAAVGYWxzZQI/2rehVNYIMtkavaFU1gguQ0lRLi5JUV9FQklUX01BUkdJTi4yMDAwLjcvMzEvMjAxOC5MRlIuRi5VU0QuSAUAAAABAAAACAAAABQoSW52YWxpZCBJZGVudGlmaWVyKRysub6hVNYIHKy5vqFU1gg9Q0lRLk5BU0RBUUdNOk1OT1YuSVFfUkVWRU5VRV9FU1QuQ1kyMDIwLjcvMzEvMjAxOC5DT04uRi5VU0QuSAEAAAC4VI0AAgAAAAEwAQ4AAAAFAAAAAjExAQAAAAEwAgAAAAoxMDAwNTkzNjE2AwAAAAYxMDAxODAEAAAAATIGAAAAATAHAAAAAzE2MAgAAAABMAkAAAABMQoAAAABMAsAAAALMTEwMDYyOTEwMTAMAAAAATcNAAAACDgvMS8yMDE4EAAAAAk3LzMxLzIwMTg31sa6oVTWCFVdrb+hVNYIJ0NJUS5OQVNEQVFHTTpNTk9WLklRX0JFVEFfMVlSLjcvMzEvMjAxOAEAAAC4VI0AAgAAABAxLjA4OTU5ODc5MTk3MDM4ADfW</t>
  </si>
  <si>
    <t>xrqhVNYIVV2tv6FU1ggpQ0lRLk5BU0RBUUdNOkNOQVQuSVFfQlVTSU5FU1NfREVTQ1JJUFRJT04BAAAAZWfWAQMAAADmBUNvbmF0dXMgUGhhcm1hY2V1dGljYWxzIEluYy4sIGEgYmlvdGVjaG5vbG9neSBjb21wYW55LCBmb2N1c2VzIG9uIHRoZSBkZXZlbG9wbWVudCBhbmQgY29tbWVyY2lhbGl6YXRpb24gb2Ygbm92ZWwgbWVkaWNpbmVzIGZvciB0aGUgdHJlYXRtZW50IG9mIGxpdmVyIGRpc2Vhc2VzIGluIHRoZSBVbml0ZWQgU3RhdGVzLiBJdHMgcHJvZHVjdCBjYW5kaWRhdGVzIGluY2x1ZGUgRW1yaWNhc2FuLCBhbiBvcmFsbHkgYWN0aXZlIHBhbi1jYXNwYXNlIHByb3RlYXNlIGluaGliaXRvciB0aGF0IGlzIGluIFBoYXNlIElJYiBjbGluaWNhbCB0cmlhbHMgZm9yIHBvc3Qtb3J0aG90b3BpYyBsaXZlciB0cmFuc3BsYW50IGFzIGEgcmVzdWx0IG9mIGhlcGF0aXRpcyBDIHZpcnVzIGluZmVjdGlvbiB3aXRoIHN1c3RhaW5lZCB2aXJhbCByZXNwb25zZTsgZm9yIHBhdGllbnRzIHdpdGggcG9ydGFsIGh5cGVydGVuc2lvbjsgZm9yIHBhdGllbnRzIGxpdmVyIGZpYnJvc2lzIGNhdXNlZCBieSBub25hbGNvaG9saWMgc3RlYXRvaGVwYXRpdGlzOyBhbmQgZm9yIGxpdmVyIGZ1bmN0aW9uLiBUaGUgY29tcGFueSBoYXMgY29sbGFib3JhdGlvbiBhZ3JlZW1lbnQgd2l0aCBOb3ZhcnRpcyB0byBjb25k</t>
  </si>
  <si>
    <t>dWN0IHRocmVlIFBoYXNlIElJYiBjbGluaWNhbCB0cmlhbHMgQ29uYXR1cyBQaGFybWFjZXV0aWNhbHMgSW5jLiB3YXMgZm91bmRlZCBpbiAyMDA1IGFuZCBpcyBoZWFkcXVhcnRlcmVkIGluIFNhbiBEaWVnbywgQ2FsaWZvcm5pYS4AN9bGuqFU1giihWm9oVTWCCJDSVEuSVFUUjI1NjY4MzY1NS5JUV9UUl9UT1RBTF9DQVNIAQAAAIeuTA8CAAAAAAACP9q3oVTWCBoAIr2hVNYIL0NJUS5JUVRSMzEzMjUxODc3LklRX1RSX0lNUExJRURfRVZfRklOQUwuLlVTRC5IAQAAACXYqxICAAAAAzU4MAEGAAAABQAAAAI1NAEAAAAGMTAyMDQ1AgAAAAkzMTMyNTE4NzcDAAAACTMxMzI1MjI4NQQAAAADMTYwBgAAAAVGYWxzZQI/2rehVNYIGgAivaFU1gghQ0lRLk5BU0RBUUdNOk1OT1YuSVFfQ09NUEFOWV9OQU1FAQAAALhUjQADAAAAEE1lZGljaU5vdmEsIEluYy4AN9bGuqFU1ghwdTe9oVTWCEZDSVEuTkFTREFRR1M6SU5TTS5JUV9UT1RBTF9SRVZfMllSX0FOTl9DQUdSLjIwMDAuNy8zMS8yMDE4LkxGUi5GLlVTRC5IAQAAABp1AAADAAAAAAA31sa6oVTWCJuYqL+hVNYINkNJUS5OQVNEQVFHTTpDUkJQLklRX0VCSVREQS4xOTkyLjcvMzEvMjAxOC5MRlIuRi5VU0QuSAEAAAAkbyQPAgAAAAotMTAuMTQ5NzYxAQgAAAAFAAAAATEBAAAACjE4NDA4NDYzOTUDAAAAAzE2MAIAAAAENDA1MQQAAAABMAcAAAAJNy8zMS8y</t>
  </si>
  <si>
    <t>MDE4CAAAAAkzLzMxLzIwMTYJAAAAATA31sa6oVTWCJXmtr+hVNYIOkNJUS5OQVNEQVFHTTpQUlFSLklRX1RPVEFMX0RFQlQuMjAwMC45LzMwLzIwMTYuTEZSLkYuVVNELkgBAAAA7+xcDQIAAAAINS44NDkyOTgBCAAAAAUAAAABMQEAAAAKMTgwNDUxNTA2MAMAAAADMTYwAgAAAAQ0MTczBAAAAAEwBwAAAAk5LzMwLzIwMTYIAAAACTYvMzAvMjAxNgkAAAABMDfWxrqhVNYI2ki5v6FU1gg7Q0lRLk5BU0RBUUNNOkdMTUQuSVFfVE9UQUxfUkVWLkNZMjAxNy43LzMxLzIwMTguTEZSLkYuVVNELkgBAAAAJGfXBgIAAAAFMS4wODUBCAAAAAUAAAABMQEAAAAKMTg3ODA4ODU2NAMAAAADMTYwAgAAAAIyOAQAAAABMAcAAAAJNy8zMS8yMDE4CAAAAAoxMi8zMS8yMDE3CQAAAAEwN9bGuqFU1gjyIbK/oVTWCC5DSVEuTkFTREFRR006Q1JCUC5JUV9NQVJLRVRDQVAuNy8zMS8yMDE4LlVTRC5IAQAAACRvJA8CAAAACjI4OC41Njk2MDUBBgAAAAUAAAABMQEAAAAKMTg4ODU4OTYzNAMAAAADMTYwAgAAAAYxMDAwNTQEAAAAATAHAAAACTcvMzEvMjAxODfWxrqhVNYIR4S0v6FU1ggjQ0lRLklRVFI0MDE5Nzk2ODkuSVFfVFJfVE9UQUxfU1RPQ0sBAAAAKbn1FwIAAAAAAAI/2rehVNYIMtkavaFU1gg/Q0lRLk5BU0RBUUdNOlBSUVIuSVFfTkVUX1dPUktJTkdfQ0FQLjE5OTIuNy8zMS8yMDE4LkxGUi5GLlVTRC5IAQAAAO/s</t>
  </si>
  <si>
    <t>XA0CAAAACS0yLjc4Nzk0NQEIAAAABQAAAAExAQAAAAoxODgwOTgxODUyAwAAAAMxNjACAAAABDEzMTEEAAAAATAHAAAACTcvMzEvMjAxOAgAAAAKMTIvMzEvMjAxNQkAAAABMDfWxrqhVNYI2ki5v6FU1gg6Q0lRLi5JUV9NSU5PUklUWV9JTlRFUkVTVF9UT1RBTC4yMDAwLjcvMzEvMjAxOC5MRlIuRi5VU0QuSAUAAAABAAAACAAAABQoSW52YWxpZCBJZGVudGlmaWVyKRysub6hVNYIHKy5vqFU1ghHQ0lRLk5BU0RBUUdNOkNOQVQuSVFfTUlOT1JJVFlfSU5URVJFU1RfVE9UQUwuMjAwMC45LzMwLzIwMTYuTEZSLkYuVVNELkgBAAAAZWfWAQMAAAAAADfWxrqhVNYIdw2+v6FU1gg8Q0lRLk5BU0RBUUNNOkdMTUQuSVFfRUJJVERBX0VTVC5DWTIwMTkuNy8zMS8yMDE4LkNPTi5GLlVTRC5IAQAAACRn1wYDAAAAAAA31sa6oVTWCPIhsr+hVNYIJ0NJUS5OQVNEQVFDTTpNREdMLklRX0JFVEFfNVlSLjcvMzEvMjAxOAEAAABMm6MIAgAAABA0LjM4MDIxNjM1NTM3ODY2AASimLuhVNYIAdSjv6FU1ggyQ0lRLkFTWDoxQUQuSVFfRUJJVERBLkNZMjAxNi43LzMxLzIwMTguTEZSLkYuVVNELkgBAAAAxaCkAwIAAAAJLTEuOTg3NTQxAQgAAAAFAAAAATEBAAAACjE4NzYxODcwMjQDAAAAAzE2MAIAAAAENDA1MQQAAAABMAcAAAAJNy8zMS8yMDE4CAAAAAoxMi8zMS8yMDE2CQAAAAEwSjyLuqFU1gjMb8C/oVTWCEdDSVEu</t>
  </si>
  <si>
    <t>TkFTREFRR1M6RkdFTi5JUV9NSU5PUklUWV9JTlRFUkVTVF9UT1RBTC4yMDAwLjcvMzEvMjAxOC5MRlIuRi5VU0QuSAEAAABEbwAAAgAAAAYxOS4yNzEBCAAAAAUAAAABMQEAAAAKMTg4NzY2OTU0MwMAAAADMTYwAgAAAAQxMzEyBAAAAAEwBwAAAAk3LzMxLzIwMTgIAAAACTMvMzEvMjAxOAkAAAABMASimLuhVNYIbw+fv6FU1ggrQ0lRLklRVFIyNjM3MDcyODkuSVFfVFJfVE9UQUxfR1JPU1NfVFYuLlVTRAEAAACZ2rcPAgAAAAY2MDAuNzUBBgAAAAUAAAACNTQBAAAABjEwMjA4OAIAAAAJMjYzNzA3Mjg5AwAAAAkyNjM3MDc0MDIEAAAAAzE2MAYAAAAFRmFsc2UCP9q3oVTWCMWdH72hVNYIOENJUS5BU1g6SU1DLklRX0NBU0hfU1RfSU5WRVNULjIwMDAuNy8zMS8yMDE4LkxGUi5GLlVTRC5IAQAAAPNMdQACAAAACDAuNDU5OTc3AQgAAAAFAAAAATEBAAAACjE4Nzc2NTAwOTYDAAAAAzE2MAIAAAAEMTAwMgQAAAABMAcAAAAJNy8zMS8yMDE4CAAAAAoxMi8zMS8yMDE3CQAAAAEwN9bGuqFU1gh3Db6/oVTWCDBDSVEuSVFUUjI4NjQxMDczNi5JUV9UUl9UQVJHRVRfRUJJVERBX0VTVC4uVVNELkgBAAAA8EcSEQIAAAAAAAI/2rehVNYIMtkavaFU1gg8Q0lRLk5BU0RBUUNNOkdBTFQuSVFfVE9UQUxfRVFVSVRZLjE5OTIuNy8zMS8yMDE4LkxGUi5GLlVTRC5IAQAAAMdBEAACAAAABjE5LjUzOAEIAAAABQAAAAEx</t>
  </si>
  <si>
    <t>AQAAAAoxODQyMjE0NDg1AwAAAAMxNjACAAAABDEyNzUEAAAAATAHAAAACTcvMzEvMjAxOAgAAAAJMy8zMS8yMDE2CQAAAAEwN9bGuqFU1ghHhLS/oVTWCCNDSVEuLklRX0xBU1RTQUxFUFJJQ0UuNy8zMS8yMDE4LlVTRAUAAAABAAAACAAAABQoSW52YWxpZCBJZGVudGlmaWVyKRysub6hVNYIHKy5vqFU1gg9Q0lRLk5BU0RBUUdNOkNOQVQuSVFfUkVWRU5VRV9FU1QuQ1kyMDIxLjcvMzEvMjAxOC5DT04uRi5VU0QuSAEAAABlZ9YBAgAAAAc1NS45NDQ4AQ4AAAAFAAAAAjExAQAAAAEwAgAAAAoxMDAxOTEzMTUwAwAAAAYxMDAxODAEAAAAATIGAAAAATAHAAAAAzE2MAgAAAABMAkAAAABMQoAAAABMAsAAAALMTA4NjMxMDM2ODAMAAAAATcNAAAACDgvMS8yMDE4EAAAAAk3LzMxLzIwMTg31sa6oVTWCCKru7+hVNYIO0NJUS5FTlhUUEE6R05GVC5JUV9FQklUREFfTUFSR0lOLjIwMDAuNy8zMS8yMDE4LkxGUi5GLlVTRC5IAQAAACLBkwADAAAAAk5NAQgAAAAFAAAAATEBAAAACjE4OTA2MTk2NDgDAAAAAjUwAgAAAAQ0MDQ3BAAAAAEwBwAAAAk3LzMxLzIwMTgIAAAACjEyLzMxLzIwMTcJAAAAATA31sa6oVTWCPD6qr+hVNYIIkNJUS5JUVRSNTMxOTIwNTA3LklRX1RSX1RPVEFMX0NBU0gBAAAAe3a0HwIAAAADMTQ0AQYAAAAFAAAAAjU0AQAAAAYxMDEwNTYCAAAACTUzMTkyMDUwNwMAAAAJNTMxOTIxNzA2BAAA</t>
  </si>
  <si>
    <t>AAMxNjAGAAAABUZhbHNlAj/at6FU1ggaACK9oVTWCCxDSVEuTkFTREFRQ006R0xNRC5JUV9MQVNUU0FMRVBSSUNFLjkvMzAvMjAxNgEAAAAkZ9cGAgAAAAQ0LjQ0ADfWxrqhVNYI8iGyv6FU1ggrQ0lRLklRVFIxMzgyNTE0NjIuSVFfVFJfSU1QTElFRF9FVl9FQklUX0ZXRAEAAADGjD0IAgAAAAAAAj/at6FU1gi6xCa9oVTWCCBDSVEuSVEzNjE4MzgxNi5JUV9MQVNUU0FMRVBSSUNFLgEAAAAIHygCAgAAAAQyLjQxAKpBlruhVNYIqkGWu6FU1gg+Q0lRLk5BU0RBUUNNOkdBTFQuSVFfVE9UQUxfRVFVSVRZLkNZMjAxNi43LzMxLzIwMTguTEZSLkYuVVNELkgBAAAAx0EQAAIAAAAGMTIuMDE1AQgAAAAFAAAAATEBAAAACjE4ODA0MDAwNjADAAAAAzE2MAIAAAAEMTI3NQQAAAABMAcAAAAJNy8zMS8yMDE4CAAAAAoxMi8zMS8yMDE2CQAAAAEwN9bGuqFU1ghHhLS/oVTWCD1DSVEuTkFTREFRQ006R0FMVC5JUV9SRVZFTlVFX0VTVC5DWTIwMjEuNy8zMS8yMDE4LkNPTi5GLlVTRC5IAQAAAMdBEAACAAAABjYxLjAzNAEOAAAABQAAAAIxMQEAAAABMAIAAAAKMTAwMjAwMzgwMwMAAAAGMTAwMTgwBAAAAAEyBgAAAAEwBwAAAAMxNjAIAAAAATAJAAAAATEKAAAAATALAAAACzEwOTEyMTA3MDg0DAAAAAE3DQAAAAg4LzEvMjAxOBAAAAAJNy8zMS8yMDE4N9bGuqFU1ghHhLS/oVTWCDNDSVEuKElOVkFMSUQgSURFTlRJ</t>
  </si>
  <si>
    <t>RklFUikuSVFfTEFTVFNBTEVQUklDRS45LzMwLzIwMTYFAAAAAAAAAAgAAAAUKEludmFsaWQgSWRlbnRpZmllcilKPIu6oVTWCBYe8L+hVNYIP0NJUS5OQVNEQVFHUzpGR0VOLklRX05FVF9XT1JLSU5HX0NBUC4xOTk2LjcvMzEvMjAxOC5MRlIuRi5VU0QuSAEAAABEbwAAAgAAAActNDYuOTU0AQgAAAAFAAAAATEBAAAACjE4ODc2Njk1MzYDAAAAAzE2MAIAAAAEMTMxMQQAAAABMAcAAAAJNy8zMS8yMDE4CAAAAAkzLzMxLzIwMTcJAAAAATAEopi7oVTWCG8Pn7+hVNYIJ0NJUS5OQVNEQVFDTTpQVUxNLklRX0JFVEFfNVlSLjcvMzEvMjAxOAEAAACfbJoBAgAAABAzLjY0NTc0OTMwNTg2NDMzAEo8i7qhVNYIF9LCv6FU1gggQ0lRLklRNjExMjA3MDkuSVFfQ09NUEFOWV9USUNLRVIBAAAAxaCkAwMAAAAHQVNYOjFBRAACP9q3oVTWCDLZGr2hVNYIPkNJUS5OQVNEQVFHTTpDUkJQLklRX1RPVEFMX0VRVUlUWS5DWTIwMTcuNy8zMS8yMDE4LkxGUi5GLlVTRC5IAQAAACRvJA8CAAAACTU3Ljc4MzU2MQEIAAAABQAAAAExAQAAAAoxODc4MDc3MDY5AwAAAAMxNjACAAAABDEyNzUEAAAAATAHAAAACTcvMzEvMjAxOAgAAAAKMTIvMzEvMjAxNwkAAAABMDfWxrqhVNYIlea2v6FU1ggvQ0lRLklRVFIyNzAxMTEzNjguSVFfVFJfSU1QTElFRF9FVl9GSU5BTC4uVVNELkgBAAAAiJIZEAIAAAAJMjYuMjE5ODQ5AQYAAAAF</t>
  </si>
  <si>
    <t>AAAAAjU0AQAAAAYxMDIwNDUCAAAACTI3MDExMTM2OAMAAAAJMjcwMTExNjc5BAAAAAMxNjAGAAAABUZhbHNlAj/at6FU1ggy2Rq9oVTWCDtDSVEuTkFTREFRQ006R0FMVC5JUV9UT1RBTF9SRVYuQ1kyMDE3LjcvMzEvMjAxOC5MRlIuRi5VU0QuSAEAAADHQRAAAwAAAAAAN9bGuqFU1ghHhLS/oVTWCCVDSVEuSVFUUjE3MDIyOTM4Ni5JUV9QUklNQVJZX0lORFVTVFJZAQAAADv8/AEDAAAADUJpb3RlY2hub2xvZ3kAAj/at6FU1ghhYiS9oVTWCDpDSVEuTkFTREFRQ006TUdFTi5JUV9FQVJOSU5HX0NPLjIwMDAuNy8zMS8yMDE4LkxGUi5GLlVTRC5IAQAAAG/irgICAAAABy0yNC4xOTMBCAAAAAUAAAABMQEAAAAKMTg4NzY3NjkzNQMAAAADMTYwAgAAAAE3BAAAAAEwBwAAAAk3LzMxLzIwMTgIAAAACTMvMzEvMjAxOAkAAAABMDfWxrqhVNYIIqu7v6FU1gguQ0lRLklRVFI1NDg3MDQ4MTkuSVFfVFJfVEFSR0VUX1NUT0NLUFJFTUlVTV8xTQEAAAAzkrQgAgAAAAAAAj/at6FU1giEOx29oVTWCD1DSVEuTkFTREFRQ006R0xNRC5JUV9SRVZFTlVFX0VTVC5DWTIwMTguNy8zMS8yMDE4LkNPTi5GLlVTRC5IAQAAACRn1wYCAAAABjAuODE4NQEOAAAABQAAAAIxMQEAAAABMAIAAAAKMTAwMjU2MDY2MQMAAAAGMTAwMTgwBAAAAAEyBgAAAAEwBwAAAAMxNjAIAAAAATAJAAAAATEKAAAAATALAAAACzEwOTgxNTgzNjE0</t>
  </si>
  <si>
    <t>DAAAAAE3DQAAAAg4LzEvMjAxOBAAAAAJNy8zMS8yMDE4N9bGuqFU1gjyIbK/oVTWCEJDSVEuQU1FWDpBUEhCLklRX1RPVEFMX1JFVl81WVJfQU5OX0NBR1IuMjAwMC43LzMxLzIwMTguTEZSLkYuVVNELkgBAAAAIokAAAMAAAAAAEo8i7qhVNYI7TTFv6FU1gggQ0lRLkFNRVg6QVBIQi5JUV9FRkZFQ1RfVEFYX1JBVEUBAAAAIokAAAMAAAACTk0BCAAAAAUAAAABMQEAAAAKMTkyMDQ0NzkxNwMAAAADMTYwAgAAAAQ0Mzc2BAAAAAEwBwAAAAoxMS8yNy8yMDE4CAAAAAk5LzMwLzIwMTgJAAAAATBKPIu6oVTWCO00xb+hVNYIIkNJUS5JUVRSMTE3MjkxNDY1LklRX1RSX1BDVF9TT1VHSFQBAAAAybn9BgIAAAADMTAwAAI/2rehVNYIusQmvaFU1gglQ0lRLklRVFIyNTk5ODU5NjIuSVFfVFJfTUFKX01JTl9TVEFLRQEAAAAqEn8PAwAAAAhNYWpvcml0eQACP9q3oVTWCLrEJr2hVNYIIUNJUS5JUVRSNDAyMDM0NTY5LklRX1RSX0JVWUVSTkFNRQEAAACJj/YXAwAAAAxBbGxlcmdhbiBwbGMAAj/at6FU1ggaACK9oVTWCCVDSVEuSVFUUjMzMDAzMTE4NC5JUV9UUl9JTVBMSUVEX0VRX0JWAQAAAFDgqxMCAAAAAAACP9q3oVTWCIQ7Hb2hVNYIPkNJUS5OQVNEQVFHUzpWUlRYLklRX0NBU0hfU1RfSU5WRVNULjIwMDAuOS8zMC8yMDE2LkxGUi5GLlVTRC5IAQAAAIuNAAACAAAACDEwNzEuNDM2AQgAAAAFAAAAATEBAAAA</t>
  </si>
  <si>
    <t>CjE4MDEzMDYwNzMDAAAAAzE2MAIAAAAEMTAwMgQAAAABMAcAAAAJOS8zMC8yMDE2CAAAAAk2LzMwLzIwMTYJAAAAATAEopi7oVTWCAytnL+hVNYIL0NJUS5JUVRSMjYzNzA3Mjg5LklRX1RSX1RBUkdFVF9UT1RBTF9SRVYuLlVTRC5IAQAAAJnatw8CAAAAAAACP9q3oVTWCLrEJr2hVNYIJUNJUS5JUVRSNDE1NjExODE1LklRX1RSX0lNUExJRURfRVFfQlYBAAAAp7vFGAIAAAAAAAI/2rehVNYIhDsdvaFU1ggnQ0lRLk5BU0RBUUNNOk1HRU4uSVFfUEVSSU9EREFURV9JUy4xMDAwAQAAAG/irgIFAAAACjEyLzMxLzIwMTcAN9bGuqFU1gjaSLm/oVTWCDxDSVEuTkFTREFRQ006UFVMTS5JUV9FQklUREFfRVNULkNZMjAxOS43LzMxLzIwMTguQ09OLkYuVVNELkgBAAAAn2yaAQMAAAAAAEo8i7qhVNYIF9LCv6FU1ghDQ0lRLk5BU0RBUUdTOklDUFQuSVFfRUJJVERBXzVZUl9BTk5fQ0FHUi4yMDAwLjcvMzEvMjAxOC5MRlIuRi5VU0QuSAEAAACCr60AAwAAAAJOTQEIAAAABQAAAAExAQAAAAoxODg4NjE1NTQwAwAAAAMxNjACAAAABDQyMzUEAAAAATAHAAAACTcvMzEvMjAxOAgAAAAJMy8zMS8yMDE4CQAAAAEwBKKYu6FU1ghWNqa/oVTWCCdDSVEuTkFTREFRQ006TUdFTi5JUV9CRVRBXzFZUi43LzMxLzIwMTgBAAAAb+KuAgIAAAAQMi4wNzI0NDI4MzA1NjE4NAA31sa6oVTWCCKru7+hVNYIPENJUS5OQVNEQVFD</t>
  </si>
  <si>
    <t>TTpNREdMLklRX1RPVEFMX0VRVUlUWS4yMDAwLjcvMzEvMjAxOC5MRlIuRi5VU0QuSAEAAABMm6MIAgAAAAcxNzcuMTg0AQgAAAAFAAAAATEBAAAACjE4ODc4MTQxMTMDAAAAAzE2MAIAAAAEMTI3NQQAAAABMAcAAAAJNy8zMS8yMDE4CAAAAAkzLzMxLzIwMTgJAAAAATAEopi7oVTWCAHUo7+hVNYIOUNJUS5OQVNEQVFDTTpHTE1ELklRX1RPVEFMX1JFVi4yMDAwLjcvMzEvMjAxOC5MRlIuRi5VU0QuSAEAAAAkZ9cGAgAAAAUxLjA4NQEIAAAABQAAAAExAQAAAAoxODg4NDkyMzkzAwAAAAMxNjACAAAAAjI4BAAAAAEwBwAAAAk3LzMxLzIwMTgIAAAACTMvMzEvMjAxOAkAAAABMDfWxrqhVNYI8iGyv6FU1gg5Q0lRLk5BU0RBUUNNOk1ER0wuSVFfVE9UQUxfUkVWLjE5OTYuNy8zMS8yMDE4LkxGUi5GLlVTRC5IAQAAAEybowgDAAAAAAAEopi7oVTWCAHUo7+hVNYIPENJUS5OQVNEQVFDTTpQVUxNLklRX0dST1NTX01BUkdJTi4yMDAwLjcvMzEvMjAxOC5MRlIuRi5VU0QuSAEAAACfbJoBAwAAAAJOTQEIAAAABQAAAAExAQAAAAoxODg4MTE2MjI3AwAAAAMxNjACAAAABDQwNzQEAAAAATAHAAAACTcvMzEvMjAxOAgAAAAJMy8zMS8yMDE4CQAAAAEwSjyLuqFU1ggX0sK/oVTWCDBDSVEuQVNYOjFBRC5JUV9FQklUREEuMjAwMC43LzMxLzIwMTguTEZSLkYuVVNELkgBAAAAxaCkAwIAAAAJLTMuMjMzNDgzAQgAAAAF</t>
  </si>
  <si>
    <t>AAAAATEBAAAACjE4NzYxODU3OTEDAAAAAzE2MAIAAAAENDA1MQQAAAABMAcAAAAJNy8zMS8yMDE4CAAAAAoxMi8zMS8yMDE3CQAAAAEwSjyLuqFU1gjMb8C/oVTWCDpDSVEuTllTRTpLRE1OLklRX1RPVEFMX0VRVUlUWS5DWTIwMTcuNy8zMS8yMDE4LkxGUi5GLlVTRC5IAQAAAFPI2QYCAAAABTEuNzU4AQgAAAAFAAAAATEBAAAACjE4NzcxODEyNzIDAAAAAzE2MAIAAAAEMTI3NQQAAAABMAcAAAAJNy8zMS8yMDE4CAAAAAoxMi8zMS8yMDE3CQAAAAEwN9bGuqFU1ghVXa2/oVTWCCFDSVEuSVFUUjU0ODcwNDgxOS5JUV9UUl9CVVlFUk5BTUUBAAAAM5K0IAMAAAATQ2VsZ2VuZSBDb3Jwb3JhdGlvbgACP9q3oVTWCGFiJL2hVNYIP0NJUS5OQVNEQVFDTTpHQUxULklRX05FVF9XT1JLSU5HX0NBUC4yMDAwLjcvMzEvMjAxOC5MRlIuRi5VU0QuSAEAAADHQRAAAgAAAAYtMS41OTgBCAAAAAUAAAABMQEAAAAKMTg4ODI0MjM5NgMAAAADMTYwAgAAAAQxMzExBAAAAAEwBwAAAAk3LzMxLzIwMTgIAAAACTMvMzEvMjAxOAkAAAABMDfWxrqhVNYIR4S0v6FU1gg4Q0lRLk5BU0RBUUNNOkdMTUQuSVFfRUJJVERBLkNZMjAxNi43LzMxLzIwMTguTEZSLkYuVVNELkgBAAAAJGfXBgIAAAAHLTE2LjcxMwEIAAAABQAAAAExAQAAAAoxODc4MDg4NTMxAwAAAAMxNjACAAAABDQwNTEEAAAAATAHAAAACTcvMzEvMjAxOAgAAAAK</t>
  </si>
  <si>
    <t>MTIvMzEvMjAxNgkAAAABMDfWxrqhVNYI8iGyv6FU1gg7Q0lRLkVOWFRQQTpHTkZULklRX1JFVkVOVUVfRVNULkNZMjAxOC43LzMxLzIwMTguQ09OLkYuVVNELkgBAAAAIsGTAAIAAAAQNy45MDI1OTgwMTMwNDE1NQEOAAAABQAAAAIxMQEAAAABMAIAAAAKMTAwMTg3NzE3NgMAAAAGMTAwMTgwBAAAAAEzBgAAAAEwBwAAAAMxNjAIAAAAATAJAAAAATEKAAAAATALAAAACzEwOTg2NzUyODQ5DAAAAAE3DQAAAAg4LzEvMjAxOBAAAAAJNy8zMS8yMDE4N9bGuqFU1gjw+qq/oVTWCCdDSVEuTkFTREFRQ006TURHTC5JUV9CRVRBXzJZUi43LzMxLzIwMTgBAAAATJujCAIAAAAQMS4xOTI4MDM5MDcyNTY3NAAEopi7oVTWCAHUo7+hVNYIIkNJUS5JUVRSMzMwMDMxMTg0LklRX1RSX1RPVEFMX0NBU0gBAAAAUOCrEwIAAAADNDAwAQYAAAAFAAAAAjU0AQAAAAYxMDEwNTYCAAAACTMzMDAzMTE4NAMAAAAJMzMwMDMxNzU0BAAAAAMxNjAGAAAABUZhbHNlAj/at6FU1giEOx29oVTWCCNDSVEuRU5YVEFNOkdMUEcuSVFfRklSU1RQUklDSU5HREFURQEAAACyMRoABQAAAAkzLzI5LzIwMTQAqkGWu6FU1ggPTE+9oVTWCDlDSVEuTkFTREFRQ006UFVMTS5JUV9UT1RBTF9SRVYuMjAwMC43LzMxLzIwMTguTEZSLkYuVVNELkgBAAAAn2yaAQIAAAAFMC40ODgBCAAAAAUAAAABMQEAAAAKMTg4ODExNjIyNwMAAAADMTYwAgAAAAIy</t>
  </si>
  <si>
    <t>OAQAAAABMAcAAAAJNy8zMS8yMDE4CAAAAAkzLzMxLzIwMTgJAAAAATBKPIu6oVTWCBfSwr+hVNYIIkNJUS5JUVRSMTE3MjkxNDY1LklRX1RSX1RPVEFMX0NBU0gBAAAAybn9BgIAAAADMjI1AQYAAAAFAAAAAjU0AQAAAAYxMDEwNTYCAAAACTExNzI5MTQ2NQMAAAAJMTE3MjkxNTIwBAAAAAMxNjAGAAAABUZhbHNlAj/at6FU1ghhYiS9oVTWCD5DSVEuTkFTREFRQ006R0xNRC5JUV9DQVNIX1NUX0lOVkVTVC4yMDAwLjcvMzEvMjAxOC5MRlIuRi5VU0QuSAEAAAAkZ9cGAgAAAAYxNS41MDIBCAAAAAUAAAABMQEAAAAKMTg4ODQ5MjM5MwMAAAADMTYwAgAAAAQxMDAyBAAAAAEwBwAAAAk3LzMxLzIwMTgIAAAACTMvMzEvMjAxOAkAAAABMDfWxrqhVNYI8iGyv6FU1ggjQ0lRLklRVFIyNzA3ODk1ODQuSVFfVFJfVE9UQUxfU1RPQ0sBAAAA0OsjEAIAAAAAAAI/2rehVNYIGgAivaFU1ghOQ0lRLihJTlZBTElEIElERU5USUZJRVIpLklRX01JTk9SSVRZX0lOVEVSRVNUX1RPVEFMLjIwMDAuNy8zMS8yMDE4LkxGUi5GLlVTRC5IBQAAAAAAAAAIAAAAFChJbnZhbGlkIElkZW50aWZpZXIpSjyLuqFU1gjHu+2/oVTWCDlDSVEuTkFTREFRR1M6SUNQVC5JUV9UT1RBTF9SRVYuMTk5Mi43LzMxLzIwMTguTEZSLkYuVVNELkgBAAAAgq+tAAIAAAAFMS43ODIBCAAAAAUAAAABMQEAAAAKMTg0MTg0Mjg2OAMAAAADMTYwAgAA</t>
  </si>
  <si>
    <t>AAIyOAQAAAABMAcAAAAJNy8zMS8yMDE4CAAAAAkzLzMxLzIwMTYJAAAAATAEopi7oVTWCFY2pr+hVNYIPENJUS5OQVNEQVFDTTpQVUxNLklRX1RPVEFMX0VRVUlUWS4xOTk2LjcvMzEvMjAxOC5MRlIuRi5VU0QuSAEAAACfbJoBAgAAAAYxNS45MDIBCAAAAAUAAAABMQEAAAAKMTg4ODExNjIxOAMAAAADMTYwAgAAAAQxMjc1BAAAAAEwBwAAAAk3LzMxLzIwMTgIAAAACTMvMzEvMjAxNwkAAAABMEo8i7qhVNYIF9LCv6FU1gg/Q0lRLk5BU0RBUUdTOlNWUkEuSVFfTkVUX1dPUktJTkdfQ0FQLjE5OTYuNy8zMS8yMDE4LkxGUi5GLlVTRC5IAQAAAHV/hwMCAAAABi0zLjM0OAEIAAAABQAAAAExAQAAAAoxODg3NzYzMDc0AwAAAAMxNjACAAAABDEzMTEEAAAAATAHAAAACTcvMzEvMjAxOAgAAAAJMy8zMS8yMDE3CQAAAAEwN9bGuqFU1gikv6+/oVTWCD1DSVEuTkFTREFRR1M6SU5TTS5JUV9SRVZFTlVFX0VTVC5DWTIwMTkuNy8zMS8yMDE4LkNPTi5GLlVTRC5IAQAAABp1AAACAAAABzY3Ljg5MDIBDgAAAAUAAAACMTEBAAAAATACAAAACjEwMDE4MTY4MjUDAAAABjEwMDE4MAQAAAABMgYAAAABMAcAAAADMTYwCAAAAAEwCQAAAAExCgAAAAEwCwAAAAsxMTAxNjAxNjQyNgwAAAABNw0AAAAIOC8xLzIwMTgQAAAACTcvMzEvMjAxOASimLuhVNYIm5iov6FU1ggoQ0lRLk5BU0RBUUdTOklOU00uSVFfVEVWLjcvMzEv</t>
  </si>
  <si>
    <t>MjAxOC5VU0QuSAEAAAAadQAAAgAAAAsxNTIxLjc0MjM5MgEGAAAABQAAAAExAQAAAAoxODg2MDQwOTM2AwAAAAMxNjACAAAABjEwMDA2MAQAAAABMAcAAAAJNy8zMS8yMDE4qkGWu6FU1ghWNqa/oVTWCC1DSVEuTkFTREFRR006Q1JCUC5JUV9ESVZJREVORF9ZSUVMRC43LzMxLzIwMTgBAAAAJG8kDwMAAAAAADfWxrqhVNYIlea2v6FU1gg5Q0lRLkFTWDoxQUQuSVFfTkVUX1dPUktJTkdfQ0FQLjIwMDAuNy8zMS8yMDE4LkxGUi5GLlVTRC5IAQAAAMWgpAMCAAAACS0wLjYzMDU5OQEIAAAABQAAAAExAQAAAAoxODc2MTg1NzkxAwAAAAMxNjACAAAABDEzMTEEAAAAATAHAAAACTcvMzEvMjAxOAgAAAAKMTIvMzEvMjAxNwkAAAABMEo8i7qhVNYIzG/Av6FU1ggtQ0lRLk5BU0RBUUdTOlZSVFguSVFfRElWSURFTkRfWUlFTEQuNy8zMS8yMDE4AQAAAIuNAAADAAAAAACqQZa7oVTWCAytnL+hVNYIJUNJUS5OQVNEQVFDTTpNR0VOLklRX0ZJUlNUUFJJQ0lOR0RBVEUBAAAAb+KuAgUAAAAJMi8xNC8yMDE3ADfWxrqhVNYI2w5zvaFU1gg7Q0lRLk5BU0RBUUdNOk1OT1YuSVFfVE9UQUxfUkVWLkNZMjAxNi43LzMxLzIwMTguTEZSLkYuVVNELkgBAAAAuFSNAAMAAAAAADfWxrqhVNYIVV2tv6FU1ggqQ0lRLklRVFIzNDc1OTE1OTEuSVFfVFJfVEFSR0VUX0VCSVQuLlVTRC5IAQAAAKfTtxQCAAAAAAACP9q3oVTWCBoA</t>
  </si>
  <si>
    <t>Ir2hVNYIKUNJUS5JUVRSMjU2NjgzNjU1LklRX1RSX0lNUExJRURfRVFfTklfTFRNAQAAAIeuTA8CAAAAAAACP9q3oVTWCMWdH72hVNYIOkNJUS5OWVNFOktETU4uSVFfVE9UQUxfRVFVSVRZLkNZMjAxNi43LzMxLzIwMTguTEZSLkYuVVNELkgBAAAAU8jZBgIAAAAHLTI1LjE5MgEIAAAABQAAAAExAQAAAAoxODc3MTgxMjY5AwAAAAMxNjACAAAABDEyNzUEAAAAATAHAAAACTcvMzEvMjAxOAgAAAAKMTIvMzEvMjAxNgkAAAABMDfWxrqhVNYIVV2tv6FU1gg7Q0lRLkVOWFRBTTpHTFBHLklRX1JFVkVOVUVfRVNULkNZMjAyMC43LzMxLzIwMTguQ09OLkYuVVNELkgBAAAAsjEaAAIAAAAQMjk3Ljc3MDU2NzY3NzkyNAEOAAAABQAAAAIxMQEAAAABMAIAAAAKMTAwMTk0NDgzNQMAAAAGMTAwMTgwBAAAAAEzBgAAAAEwBwAAAAMxNjAIAAAAATAJAAAAATEKAAAAATALAAAACzExMDAxMTUzNTE2DAAAAAE3DQAAAAg4LzEvMjAxOBAAAAAJNy8zMS8yMDE4BKKYu6FU1gi2caG/oVTWCENDSVEuKElOVkFMSUQgSURFTlRJRklFUikuSVFfRUFSTklOR19DTy5DWTIwMTcuNy8zMS8yMDE4LkxGUi5GLlVTRC5IBQAAAAAAAAAIAAAAFChJbnZhbGlkIElkZW50aWZpZXIpSjyLuqFU1gjHu+2/oVTWCD9DSVEuKElOVkFMSUQgSURFTlRJRklFUikuSVFfRUJJVERBLkNZMjAxNi43LzMxLzIwMTguTEZSLkYuVVNELkgFAAAAAAAA</t>
  </si>
  <si>
    <t>AAgAAAAUKEludmFsaWQgSWRlbnRpZmllcilKPIu6oVTWCMe77b+hVNYIK0NJUS5JUVRSMTE3MjkxNDY1LklRX1RSX0lNUExJRURfRVZfRUJJVF9GV0QBAAAAybn9BgIAAAAAAAI/2rehVNYIYWIkvaFU1gg/Q0lRLk5BU0RBUUdTOklOU00uSVFfTkVUX1dPUktJTkdfQ0FQLjE5OTYuNy8zMS8yMDE4LkxGUi5GLlVTRC5IAQAAABp1AAACAAAABy0xNy40ODYBCAAAAAUAAAABMQEAAAAKMTg4NjA0MjI5NwMAAAADMTYwAgAAAAQxMzExBAAAAAEwBwAAAAk3LzMxLzIwMTgIAAAACTMvMzEvMjAxNwkAAAABMDfWxrqhVNYIm5iov6FU1gg3Q0lRLk5BU0RBUUdTOlNWUkEuSVFfUEVSSU9EREFURV9JUy4yMDAwLjcvMzEvMjAxOC5MRlIuRgEAAAB1f4cDBQAAAAkzLzMxLzIwMTgAN9bGuqFU1gikv6+/oVTWCDtDSVEuTkFTREFRR1M6SUNQVC5JUV9UT1RBTF9SRVYuQ1kyMDE3LjcvMzEvMjAxOC5MRlIuRi5VU0QuSAEAAACCr60AAgAAAAcxMzAuOTU2AQgAAAAFAAAAATEBAAAACjE4NzcwMTE0ODkDAAAAAzE2MAIAAAACMjgEAAAAATAHAAAACTcvMzEvMjAxOAgAAAAKMTIvMzEvMjAxNwkAAAABMASimLuhVNYIVjamv6FU1gg/Q0lRLk5BU0RBUUNNOlBVTE0uSVFfTkVUX1dPUktJTkdfQ0FQLjE5OTYuNy8zMS8yMDE4LkxGUi5GLlVTRC5IAQAAAJ9smgECAAAABi0xLjI2MQEIAAAABQAAAAExAQAAAAoxODg4MTE2MjE4</t>
  </si>
  <si>
    <t>AwAAAAMxNjACAAAABDEzMTEEAAAAATAHAAAACTcvMzEvMjAxOAgAAAAJMy8zMS8yMDE3CQAAAAEwSjyLuqFU1ggX0sK/oVTWCD5DSVEuTkFTREFRQ006R0FMVC5JUV9DQVNIX1NUX0lOVkVTVC4yMDAwLjkvMzAvMjAxNi5MRlIuRi5VU0QuSAEAAADHQRAAAgAAAAYxOC4wMDMBCAAAAAUAAAABMQEAAAAKMTgwMjQ4ODE1MAMAAAADMTYwAgAAAAQxMDAyBAAAAAEwBwAAAAk5LzMwLzIwMTYIAAAACTYvMzAvMjAxNgkAAAABMDfWxrqhVNYIR4S0v6FU1gghQ0lRLkFTWDoxQUQuSVFfQkVUQV8xWVIuNy8zMS8yMDE4AQAAAMWgpAMCAAAAEi0wLjU2NDEwMDcyMTkxODM0OABKPIu6oVTWCMxvwL+hVNYIPENJUS5OQVNEQVFHUzpWUlRYLklRX0VCSVREQV9FU1QuQ1kyMDE5LjcvMzEvMjAxOC5DT04uRi5VU0QuSAEAAACLjQAAAgAAAAkxMzA0LjI4ODMBDgAAAAUAAAACMTEBAAAAATACAAAACjEwMDAxMzA4MzUDAAAABjEwMDE4NwQAAAABMgYAAAABMAcAAAADMTYwCAAAAAEwCQAAAAExCgAAAAEwCwAAAAsxMDk5Mzg1MzU3OQwAAAABNw0AAAAIOC8xLzIwMTgQAAAACTcvMzEvMjAxOASimLuhVNYIDK2cv6FU1ghGQ0lRLk5BU0RBUUdNOlBSUVIuSVFfVE9UQUxfUkVWXzNZUl9BTk5fQ0FHUi4yMDAwLjcvMzEvMjAxOC5MRlIuRi5VU0QuSAEAAADv7FwNAgAAAAY0MC42MDIBCAAAAAUAAAABMQEAAAAKMTg4MDk4MTkw</t>
  </si>
  <si>
    <t>NwMAAAACNTACAAAABDQyMjAEAAAAATAHAAAACTcvMzEvMjAxOAgAAAAKMTIvMzEvMjAxNwkAAAABMDfWxrqhVNYI2ki5v6FU1gguQ0lRLihJTlZBTElEIElERU5USUZJRVIpLklRX0JFVEFfMVlSLjcvMzEvMjAxOAUAAAAAAAAACAAAABQoSW52YWxpZCBJZGVudGlmaWVyKUo8i7qhVNYIx7vtv6FU1ggeQ0lRLklRMzYxODM4NDAuSVFfQ09NUEFOWV9OQU1FAQAAACAfKAIDAAAAMlVuaXRlZCBTdGF0ZXMgVHJlYXN1cnkgQ29uc3RhbnQgTWF0dXJpdHkgLSAyMCBZZWFyAAI/2rehVNYImOlHuKFU1ghHQ0lRLk5BU0RBUUNNOkdBTFQuSVFfTUlOT1JJVFlfSU5URVJFU1RfVE9UQUwuMjAwMC45LzMwLzIwMTYuTEZSLkYuVVNELkgBAAAAx0EQAAMAAAAAADfWxrqhVNYIR4S0v6FU1gg5Q0lRLk5BU0RBUUNNOlBVTE0uSVFfTklfTUFSR0lOLjIwMDAuNy8zMS8yMDE4LkxGUi5GLlVTRC5IAQAAAJ9smgEDAAAAAk5NAQgAAAAFAAAAATEBAAAACjE4ODgxMTYyMjcDAAAAAzE2MAIAAAAENDA5NAQAAAABMAcAAAAJNy8zMS8yMDE4CAAAAAkzLzMxLzIwMTgJAAAAATBKPIu6oVTWCBfSwr+hVNYIO0NJUS5OQVNEQVFHTTpDUkJQLklRX1BSRUZfRVFVSVRZLjIwMDAuNy8zMS8yMDE4LkxGUi5GLlVTRC5IAQAAACRvJA8DAAAAAAA31sa6oVTWCEeEtL+hVNYII0NJUS4uSVFfVFJfVEFSR0VUX0VCSVREQV9FU1QuLlVTRC5I</t>
  </si>
  <si>
    <t>BQAAAAEAAAAIAAAAFChJbnZhbGlkIElkZW50aWZpZXIpqkGWu6FU1giqQZa7oVTWCDxDSVEuTkFTREFRQ006R0xNRC5JUV9HUk9TU19NQVJHSU4uMjAwMC43LzMxLzIwMTguTEZSLkYuVVNELkgBAAAAJGfXBgIAAAADMTAwAQgAAAAFAAAAATEBAAAACjE4ODg0OTIzOTMDAAAAAzE2MAIAAAAENDA3NAQAAAABMAcAAAAJNy8zMS8yMDE4CAAAAAkzLzMxLzIwMTgJAAAAATA31sa6oVTWCPIhsr+hVNYIL0NJUS4uSVFfVE9UQUxfRVFVSVRZLjE5OTYuNy8zMS8yMDE4LkxGUi5GLlVTRC5IBQAAAAEAAAAIAAAAFChJbnZhbGlkIElkZW50aWZpZXIpHKy5vqFU1ggcrLm+oVTWCCtDSVEuSVFUUjU0ODcwNDgxOS5JUV9UUl9UT1RBTF9HUk9TU19UVi4uVVNEAQAAADOStCACAAAABDcwMDABBgAAAAUAAAACNTQBAAAABjEwMjA4OAIAAAAJNTQ4NzA0ODE5AwAAAAk1NDg3MDc0ODAEAAAAAzE2MAYAAAAFRmFsc2UCP9q3oVTWCGFiJL2hVNYIO0NJUS5OQVNEQVFHUzpJTlNNLklRX1BSRUZfRVFVSVRZLjIwMDAuOS8zMC8yMDE2LkxGUi5GLlVTRC5IAQAAABp1AAADAAAAAAA31sa6oVTWCJuYqL+hVNYIRkNJUS5OQVNEQVFHTTpDTkFULklRX1RPVEFMX1JFVl8zWVJfQU5OX0NBR1IuMjAwMC43LzMxLzIwMTguTEZSLkYuVVNELkgBAAAAZWfWAQMAAAAAADfWxrqhVNYIdw2+v6FU1ghGQ0lRLk5BU0RBUUdNOlBSUVIuSVFf</t>
  </si>
  <si>
    <t>VE9UQUxfUkVWXzJZUl9BTk5fQ0FHUi4yMDAwLjcvMzEvMjAxOC5MRlIuRi5VU0QuSAEAAADv7FwNAgAAAAgtNDcuNzYwNAEIAAAABQAAAAExAQAAAAoxODgwOTgxOTA3AwAAAAI1MAIAAAAENDIwNwQAAAABMAcAAAAJNy8zMS8yMDE4CAAAAAoxMi8zMS8yMDE3CQAAAAEwN9bGuqFU1gjaSLm/oVTWCDFDSVEuLklRX1RPVEFMX0VRVUlUWS5DWTIwMTcuNy8zMS8yMDE4LkxGUi5GLlVTRC5IBQAAAAEAAAAIAAAAFChJbnZhbGlkIElkZW50aWZpZXIpHKy5vqFU1ggcrLm+oVTWCCFDSVEuQVNYOklNQy5JUV9CRVRBXzFZUi43LzMxLzIwMTgBAAAA80x1AAIAAAAQMS4wODczOTI3NjIzMTcxMQBKPIu6oVTWCHcNvr+hVNYIIENJUS5JUVRSMTcwMjI5Mzg2LklRX1RSX0VBUk5PVVRTAQAAAIp+JQoCAAAABTQ4Ny41AQYAAAAFAAAAAjU0AQAAAAYxMDE0MDMCAAAACTE3MDIyOTM4NgMAAAAJMTcwMjI5NDEwBAAAAAMxNjAGAAAABUZhbHNlAj/at6FU1gi6xCa9oVTWCDdDSVEuQVNYOklNQy5JUV9SRVZFTlVFX0VTVC5DWTIwMjEuNy8zMS8yMDE4LkNPTi5GLlVTRC5IAQAAAPNMdQADAAAAAAA31sa6oVTWCHcNvr+hVNYIL0NJUS5JUVRSMjYzNzA3Mjg5LklRX1RSX0lNUExJRURfRVZfRklOQUwuLlVTRC5IAQAAAJnatw8CAAAABzU4Ni44NjYBBgAAAAUAAAACNTQBAAAABjEwMjA0NQIAAAAJMjYzNzA3Mjg5AwAAAAky</t>
  </si>
  <si>
    <t>NjM3MDc0MDIEAAAAAzE2MAYAAAAFRmFsc2UCP9q3oVTWCBoAIr2hVNYIOUNJUS5BU1g6SU1DLklRX05FVF9XT1JLSU5HX0NBUC4xOTkyLjcvMzEvMjAxOC5MRlIuRi5VU0QuSAEAAADzTHUAAgAAAAgxLjQxNzcwNwEIAAAABQAAAAExAQAAAAoxODM2MjE5NTU2AwAAAAMxNjACAAAABDEzMTEEAAAAATAHAAAACTcvMzEvMjAxOAgAAAAKMTIvMzEvMjAxNQkAAAABMEo8i7qhVNYIdw2+v6FU1gg4Q0lRLk5BU0RBUUNNOk1HRU4uSVFfRUJJVERBLkNZMjAxNy43LzMxLzIwMTguTEZSLkYuVVNELkgBAAAAb+KuAgIAAAAHLTI2LjIyNAEIAAAABQAAAAExAQAAAAoxODc4NTYzOTkwAwAAAAMxNjACAAAABDQwNTEEAAAAATAHAAAACTcvMzEvMjAxOAgAAAAKMTIvMzEvMjAxNwkAAAABMDfWxrqhVNYI2ki5v6FU1gg6Q0lRLk5BU0RBUUNNOkdMTUQuSVFfRUFSTklOR19DTy4yMDAwLjcvMzEvMjAxOC5MRlIuRi5VU0QuSAEAAAAkZ9cGAgAAAActMTEuNjQzAQgAAAAFAAAAATEBAAAACjE4ODg0OTIzOTMDAAAAAzE2MAIAAAABNwQAAAABMAcAAAAJNy8zMS8yMDE4CAAAAAkzLzMxLzIwMTgJAAAAATA31sa6oVTWCPIhsr+hVNYINkNJUS5OQVNEQVFDTTpHTE1ELklRX0VCSVREQS4xOTk2LjcvMzEvMjAxOC5MRlIuRi5VU0QuSAEAAAAkZ9cGAgAAAActMTUuODQ2AQgAAAAFAAAAATEBAAAACjE4ODg0OTIzMjADAAAAAzE2</t>
  </si>
  <si>
    <t>MAIAAAAENDA1MQQAAAABMAcAAAAJNy8zMS8yMDE4CAAAAAkzLzMxLzIwMTcJAAAAATA31sa6oVTWCPIhsr+hVNYIM0NJUS5BTUVYOkFQSEIuSVFfUEVSSU9EREFURV9JUy4yMDAwLjcvMzEvMjAxOC5MRlIuRgEAAAAiiQAABQAAAAkzLzMxLzIwMTgASjyLuqFU1ggX0sK/oVTWCCpDSVEuSVFUUjUzMTkyMDUwNy5JUV9UUl9UQVJHRVRfRUJJVC4uVVNELkgBAAAAe3a0HwIAAAAAAAI/2rehVNYIGgAivaFU1gglQ0lRLk5BU0RBUUdTOkZHRU4uSVFfRklSU1RQUklDSU5HREFURQEAAABEbwAABQAAAAoxMS8xNC8yMDE0AKpBlruhVNYIGHNWvaFU1ggrQ0lRLklRVFIyNTM4NzcyMDMuSVFfVFJfSU1QTElFRF9FVl9FQklUX0ZXRAEAAADT2yEPAgAAAAAAAj/at6FU1gjFnR+9oVTWCENDSVEuTkFTREFRR006UFJRUi5JUV9FQklUREFfMllSX0FOTl9DQUdSLjIwMDAuNy8zMS8yMDE4LkxGUi5GLlVTRC5IAQAAAO/sXA0DAAAAAk5NAQgAAAAFAAAAATEBAAAACjE4ODA5ODE5MDcDAAAAAjUwAgAAAAQ0MjA5BAAAAAEwBwAAAAk3LzMxLzIwMTgIAAAACjEyLzMxLzIwMTcJAAAAATA31sa6oVTWCNpIub+hVNYIL0NJUS4uSVFfRUJJVERBX0VTVC5DWTIwMTguNy8zMS8yMDE4LkNPTi5GLlVTRC5IBQAAAAEAAAAIAAAAFChJbnZhbGlkIElkZW50aWZpZXIpHKy5vqFU1ggcrLm+oVTWCDZDSVEuQVNYOklNQy5JUV9FQklU</t>
  </si>
  <si>
    <t>REFfRVNULkNZMjAxOC43LzMxLzIwMTguQ09OLkYuVVNELkgBAAAA80x1AAMAAAAAADfWxrqhVNYIdw2+v6FU1gggQ0lRLklRMzA4MjgzODkuSVFfQ09NUEFOWV9USUNLRVIBAAAAZWfWAQMAAAANTmFzZGFxR006Q05BVAACP9q3oVTWCDLZGr2hVNYIIUNJUS5JUVRSMzQ3NTkxNTkxLklRX1RSX0JVWUVSTkFNRQEAAACn07cUAwAAABFNZXJjayAmIENvLiwgSW5jLgACP9q3oVTWCIQ7Hb2hVNYIMkNJUS5OWVNFOktETU4uSVFfRUJJVERBLjIwMDAuNy8zMS8yMDE4LkxGUi5GLlVTRC5IAQAAAFPI2QYCAAAABy03MS4zNzIBCAAAAAUAAAABMQEAAAAKMTg4NzQ0NTM1NQMAAAADMTYwAgAAAAQ0MDUxBAAAAAEwBwAAAAk3LzMxLzIwMTgIAAAACTMvMzEvMjAxOAkAAAABMDfWxrqhVNYI8Pqqv6FU1gggQ0lRLklRVFI1MzE5MjA1MDcuSVFfVFJfRUFSTk9VVFMBAAAAe3a0HwIAAAADMTA2AQYAAAAFAAAAAjU0AQAAAAYxMDE0MDMCAAAACTUzMTkyMDUwNwMAAAAJNTMxOTIxNzA2BAAAAAMxNjAGAAAABUZhbHNlAj/at6FU1giEOx29oVTWCCBDSVEuSVFUUjI3MDc4OTU4NC5JUV9UUl9FQVJOT1VUUwEAAADQ6yMQAgAAAAAAAj/at6FU1gjFnR+9oVTWCCFDSVEuTkFTREFRR1M6RkdFTi5JUV9DT01QQU5ZX05BTUUBAAAARG8AAAMAAAAORmlicm9HZW4sIEluYy4AqkGWu6FU1ggYc1a9oVTWCCxDSVEuRU5YVEFNOkdM</t>
  </si>
  <si>
    <t>UEcuSVFfTUFSS0VUQ0FQLjcvMzEvMjAxOC5VU0QuSAEAAACyMRoAAgAAAAs1NjYwLjY3MTc3NQEGAAAABQAAAAExAQAAAAoxODg1NDc5NjU2AwAAAAMxNjACAAAABjEwMDA1NAQAAAABMAcAAAAJNy8zMS8yMDE4qkGWu6FU1gi2caG/oVTWCDtDSVEuTkFTREFRR1M6U1ZSQS5JUV9UT1RBTF9SRVYuQ1kyMDE2LjcvMzEvMjAxOC5MRlIuRi5VU0QuSAEAAAB1f4cDAgAAAAMwLjQBCAAAAAUAAAABMQEAAAAKMTg3ODM2NDM3OAMAAAADMTYwAgAAAAIyOAQAAAABMAcAAAAJNy8zMS8yMDE4CAAAAAoxMi8zMS8yMDE2CQAAAAEwN9bGuqFU1gikv6+/oVTWCCVDSVEuTkFTREFRR006TU5PVi5JUV9GSVJTVFBSSUNJTkdEQVRFAQAAALhUjQAFAAAACTEyLzcvMjAwNgA31sa6oVTWCHB1N72hVNYIPENJUS5OQVNEQVFHTTpNTk9WLklRX0VBUk5JTkdfQ08uQ1kyMDE2LjcvMzEvMjAxOC5MRlIuRi5VU0QuSAEAAAC4VI0AAgAAAAotMTAuODY1OTc5AQgAAAAFAAAAATEBAAAACjE4NzQwMjUwNzMDAAAAAzE2MAIAAAABNwQAAAABMAcAAAAJNy8zMS8yMDE4CAAAAAoxMi8zMS8yMDE2CQAAAAEwN9bGuqFU1gikv6+/oVTWCDxDSVEuKElOVkFMSUQgSURFTlRJRklFUikuSVFfQ0FQRVguMTk5Ni43LzMxLzIwMTguTEZSLkYuVVNELkgFAAAAAAAAAAgAAAAUKEludmFsaWQgSWRlbnRpZmllcilKPIu6oVTWCMe77b+hVNYIH0NJ</t>
  </si>
  <si>
    <t>US4uSVFfVFJfVEFSR0VUX0VCSVREQS4uVVNELkgFAAAAAQAAAAgAAAAUKEludmFsaWQgSWRlbnRpZmllcimqQZa7oVTWCKpBlruhVNYIO0NJUS5OWVNFOktETU4uSVFfTkVUX1dPUktJTkdfQ0FQLjE5OTIuNy8zMS8yMDE4LkxGUi5GLlVTRC5IAQAAAFPI2QYCAAAABi0zNC44MQEIAAAABQAAAAExAQAAAAoxODQyMzg4MTQ1AwAAAAMxNjACAAAABDEzMTEEAAAAATAHAAAACTcvMzEvMjAxOAgAAAAJMy8zMS8yMDE2CQAAAAEwN9bGuqFU1ghVXa2/oVTWCC1DSVEuLklRX0VBUk5JTkdfQ08uMjAwMC43LzMxLzIwMTguTEZSLkYuVVNELkgFAAAAAQAAAAgAAAAUKEludmFsaWQgSWRlbnRpZmllcikcrLm+oVTWCBysub6hVNYIIkNJUS5JUVRSMzQ3NTkxNTkxLklRX1RSX1RBUkdFVE5BTUUBAAAAp9O3FAMAAAAeQWZmZXJlbnQgUGhhcm1hY2V1dGljYWxzLCBJbmMuAAI/2rehVNYIMtkavaFU1ghHQ0lRLk5BU0RBUUNNOk1ER0wuSVFfTUlOT1JJVFlfSU5URVJFU1RfVE9UQUwuMjAwMC45LzMwLzIwMTYuTEZSLkYuVVNELkgBAAAATJujCAMAAAAAAASimLuhVNYIAdSjv6FU1ggjQ0lRLklRVFIyODY0MTA3MzYuSVFfVFJfQ0xPU0VEX0RBVEUBAAAA8EcSEQUAAAAKMTIvMzEvMjAxNAACP9q3oVTWCIQ7Hb2hVNYIHkNJUS5JUTM2MTgzODMxLklRX0NPTVBBTllfTkFNRQEAAAAXHygCAwAAADFVbml0ZWQgU3RhdGVz</t>
  </si>
  <si>
    <t>IFRyZWFzdXJ5IENvbnN0YW50IE1hdHVyaXR5IC0gNSBZZWFyAAI/2rehVNYImOlHuKFU1ggxQ0lRLi5JUV9UT1RBTF9FUVVJVFkuQ1kyMDE2LjcvMzEvMjAxOC5MRlIuRi5VU0QuSAUAAAABAAAACAAAABQoSW52YWxpZCBJZGVudGlmaWVyKRysub6hVNYIHKy5vqFU1gg5Q0lRLkFTWDpJTUMuSVFfTkVUX1dPUktJTkdfQ0FQLjE5OTYuNy8zMS8yMDE4LkxGUi5GLlVTRC5IAQAAAPNMdQACAAAACDAuODAyMzIxAQgAAAAFAAAAATEBAAAACjE4Nzc2NTA5ODkDAAAAAzE2MAIAAAAEMTMxMQQAAAABMAcAAAAJNy8zMS8yMDE4CAAAAAoxMi8zMS8yMDE2CQAAAAEwSjyLuqFU1gh3Db6/oVTWCCBDSVEuMC5JUV9UUl9UQVJHRVRfRUJJVERBLi5VU0QuSAUAAAAAAAAACAAAABgoSW52YWxpZCBUcmFuc2FjdGlvbiBJZCkCP9q3oVTWCLrEJr2hVNYII0NJUS5JUVRSMjUzODc3MjAzLklRX1RSX0NMT1NFRF9EQVRFAQAAANPbIQ8FAAAACTEvMzEvMjAxNAACP9q3oVTWCBoAIr2hVNYIQ0NJUS4oSU5WQUxJRCBJREVOVElGSUVSKS5JUV9UT1RBTF9FUVVJVFkuMTk5Mi43LzMxLzIwMTguTEZSLkYuVVNELkgFAAAAAAAAAAgAAAAUKEludmFsaWQgSWRlbnRpZmllcilKPIu6oVTWCMe77b+hVNYIMENJUS5JUVRSMzMwMDMxMTg0LklRX1RSX1RBUkdFVF9FQklUREFfRVNULi5VU0QuSAEAAABQ4KsTAgAAAAAAAj/at6FU1giE</t>
  </si>
  <si>
    <t>Ox29oVTWCDZDSVEuQU1FWDpBUEhCLklRX0VBUk5JTkdfQ08uMTk5Ni43LzMxLzIwMTguTEZSLkYuVVNELkgBAAAAIokAAAIAAAAHLTE4Ljk3MgEIAAAABQAAAAExAQAAAAoxODg5MDE4ODQyAwAAAAMxNjACAAAAATcEAAAAATAHAAAACTcvMzEvMjAxOAgAAAAJMy8zMS8yMDE3CQAAAAEwSjyLuqFU1gjtNMW/oVTWCDhDSVEuTkFTREFRQ006TUdFTi5JUV9FQklUREEuQ1kyMDE2LjcvMzEvMjAxOC5MRlIuRi5VU0QuSAEAAABv4q4CAgAAAActMTYuNjQ2AQgAAAAFAAAAATEBAAAACjE4Nzg1NjQwNDEDAAAAAzE2MAIAAAAENDA1MQQAAAABMAcAAAAJNy8zMS8yMDE4CAAAAAoxMi8zMS8yMDE2CQAAAAEwN9bGuqFU1gjaSLm/oVTWCCtDSVEuSVFUUjI1NjY4MzY1NS5JUV9UUl9JTVBMSUVEX0VWX0VCSVRfRldEAQAAAIeuTA8CAAAAAAACP9q3oVTWCBoAIr2hVNYIPENJUS5OQVNEQVFHTTpNTk9WLklRX1RPVEFMX0VRVUlUWS4xOTk2LjcvMzEvMjAxOC5MRlIuRi5VU0QuSAEAAAC4VI0AAgAAAAkzMy4zODYyNjkBCAAAAAUAAAABMQEAAAAKMTg5Njc2NjE3MgMAAAADMTYwAgAAAAQxMjc1BAAAAAEwBwAAAAk3LzMxLzIwMTgIAAAACTYvMzAvMjAxNwkAAAABMDfWxrqhVNYIpL+vv6FU1ghHQ0lRLk5BU0RBUUNNOkdMTUQuSVFfTUlOT1JJVFlfSU5URVJFU1RfVE9UQUwuMjAwMC45LzMwLzIwMTYuTEZSLkYuVVNE</t>
  </si>
  <si>
    <t>LkgBAAAAJGfXBgMAAAAAADfWxrqhVNYI8iGyv6FU1ggwQ0lRLklRVFIyNzA3ODk1ODQuSVFfVFJfVEFSR0VUX0VCSVREQV9FU1QuLlVTRC5IAQAAANDrIxACAAAACS0xOTkuMDIzMQACP9q3oVTWCLrEJr2hVNYIO0NJUS5OQVNEQVFHTTpDTkFULklRX0VCSVRfTUFSR0lOLjIwMDAuNy8zMS8yMDE4LkxGUi5GLlVTRC5IAQAAAGVn1gECAAAACC00OS42Mjg5AQgAAAAFAAAAATEBAAAACjE4ODY2MTczNDADAAAAAzE2MAIAAAAENDA1MwQAAAABMAcAAAAJNy8zMS8yMDE4CAAAAAkzLzMxLzIwMTgJAAAAATA31sa6oVTWCCKru7+hVNYINkNJUS5BTUVYOkFQSEIuSVFfVE9UQUxfREVCVC4yMDAwLjcvMzEvMjAxOC5MRlIuRi5VU0QuSAEAAAAiiQAAAgAAAAEwAQgAAAAFAAAAATEBAAAACjE4ODkwMTg4NDQDAAAAAzE2MAIAAAAENDE3MwQAAAABMAcAAAAJNy8zMS8yMDE4CAAAAAkzLzMxLzIwMTgJAAAAATBKPIu6oVTWCBfSwr+hVNYIHUNJUS5OQVNEQVFHUzpTVlJBLklRX0VYQ0hBTkdFAQAAAHV/hwMDAAAACE5hc2RhcUdTADfWxrqhVNYIDZpdvaFU1gguQ0lRLk5BU0RBUUdTOlZSVFguSVFfTUFSS0VUQ0FQLjkvMzAvMjAxNi5VU0QuSAEAAACLjQAAAgAAAAwyMTYwOC43ODAyNTMBBgAAAAUAAAABMQEAAAAKMTgwMTMwNTIwNQMAAAADMTYwAgAAAAYxMDAwNTQEAAAAATAHAAAACTkvMzAvMjAxNqpBlruhVNYI</t>
  </si>
  <si>
    <t>DK2cv6FU1gg0Q0lRLkFNRVg6QVBIQi5JUV9FQklUREEuQ1kyMDE3LjcvMzEvMjAxOC5MRlIuRi5VU0QuSAEAAAAiiQAAAgAAAAYtOS45ODIBCAAAAAUAAAABMQEAAAAKMTg3ODM2MzczNAMAAAADMTYwAgAAAAQ0MDUxBAAAAAEwBwAAAAk3LzMxLzIwMTgIAAAACjEyLzMxLzIwMTcJAAAAATBKPIu6oVTWCO00xb+hVNYIPENJUS5OQVNEQVFHUzpJQ1BULklRX0VBUk5JTkdfQ08uQ1kyMDE3LjcvMzEvMjAxOC5MRlIuRi5VU0QuSAEAAACCr60AAgAAAAgtMzYwLjM2NwEIAAAABQAAAAExAQAAAAoxODc3MDExNDg5AwAAAAMxNjACAAAAATcEAAAAATAHAAAACTcvMzEvMjAxOAgAAAAKMTIvMzEvMjAxNwkAAAABMASimLuhVNYIVjamv6FU1ghDQ0lRLk5BU0RBUUNNOk1HRU4uSVFfRUJJVERBXzVZUl9BTk5fQ0FHUi4yMDAwLjcvMzEvMjAxOC5MRlIuRi5VU0QuSAEAAABv4q4CAwAAAAAAN9bGuqFU1ggiq7u/oVTWCC5DSVEuSVFUUjU0ODcwNDgxOS5JUV9UUl9UQVJHRVRfU1RPQ0tQUkVNSVVNXzFXAQAAADOStCACAAAAAAACP9q3oVTWCBoAIr2hVNYIJ0NJUS5OQVNEQVFHUzpGR0VOLklRX0JFVEFfNVlSLjcvMzEvMjAxOAEAAABEbwAAAgAAABAxLjg2Mjg4MTQ2MjcwMzE2AASimLuhVNYIbw+fv6FU1ggnQ0lRLk5BU0RBUUdTOlNWUkEuSVFfQkVUQV8xWVIuNy8zMS8yMDE4AQAAAHV/hwMCAAAAETAuNTkzOTc5</t>
  </si>
  <si>
    <t>NDI2NjYwMzE5ADfWxrqhVNYIpL+vv6FU1ghDQ0lRLk5BU0RBUUdNOlBSUVIuSVFfRUJJVERBXzVZUl9BTk5fQ0FHUi4yMDAwLjcvMzEvMjAxOC5MRlIuRi5VU0QuSAEAAADv7FwNAwAAAAAAN9bGuqFU1gjaSLm/oVTWCDhDSVEuRU5YVFBBOkdORlQuSVFfVE9UQUxfREVCVC4yMDAwLjkvMzAvMjAxNi5MRlIuRi5VU0QuSAEAAAAiwZMAAgAAAAg2LjY0Nzc4NwEIAAAABQAAAAExAQAAAAoxODExNzk2MjkyAwAAAAMxNjACAAAABDQxNzMEAAAAATAHAAAACTkvMzAvMjAxNggAAAAJNi8zMC8yMDE2CQAAAAEwN9bGuqFU1gjw+qq/oVTWCCxDSVEuSVFUUjI3MDExMTM2OC5JUV9UUl9UQVJHRVRfRUJJVERBLi5VU0QuSAEAAACIkhkQAgAAAAAAAj/at6FU1gi6xCa9oVTWCB9DSVEuTkFTREFRR1M6T0JTVi5JUV9NQVJLRVRDQVAuAQAAAFaHnw4CAAAACjYyNS44OTI0MjMBBgAAAAUAAAABMQEAAAAKMTkyMTQxOTg4MwMAAAADMTYwAgAAAAYxMDAwNTQEAAAAATAHAAAACjExLzI2LzIwMTgCP9q3oVTWCKjVU7ihVNYIRUNJUS4oSU5WQUxJRCBJREVOVElGSUVSKS5JUV9UT1RBTF9FUVVJVFkuQ1kyMDE2LjcvMzEvMjAxOC5MRlIuRi5VU0QuSAUAAAAAAAAACAAAABQoSW52YWxpZCBJZGVudGlmaWVyKUo8i7qhVNYIx7vtv6FU1gg5Q0lRLk5BU0RBUUdNOkNOQVQuSVFfVE9UQUxfUkVWLjE5OTIuNy8zMS8yMDE4LkxG</t>
  </si>
  <si>
    <t>Ui5GLlVTRC5IAQAAAGVn1gEDAAAAAAA31sa6oVTWCCKru7+hVNYIOUNJUS5FTlhUQU06R0xQRy5JUV9UT1RBTF9SRVYuQ1kyMDE3LjcvMzEvMjAxOC5MRlIuRi5VU0QuSAEAAACyMRoAAgAAAAoxODcuMjIxNDIyAQgAAAAFAAAAATEBAAAACjE4Nzk4MTg3MDQDAAAAAzE2MAIAAAACMjgEAAAAATAHAAAACTcvMzEvMjAxOAgAAAAKMTIvMzEvMjAxNwkAAAABMASimLuhVNYItnGhv6FU1gg9Q0lRLkFTWDoxQUQuSVFfRUJJVERBXzNZUl9BTk5fQ0FHUi4yMDAwLjcvMzEvMjAxOC5MRlIuRi5VU0QuSAEAAADFoKQDAwAAAAAASjyLuqFU1gjMb8C/oVTWCDhDSVEuTkFTREFRR006TU5PVi5JUV9FQklUREEuQ1kyMDE2LjcvMzEvMjAxOC5MRlIuRi5VU0QuSAEAAAC4VI0AAgAAAAotMTAuODY3NzA3AQgAAAAFAAAAATEBAAAACjE4NzQwMjUwNzMDAAAAAzE2MAIAAAAENDA1MQQAAAABMAcAAAAJNy8zMS8yMDE4CAAAAAoxMi8zMS8yMDE2CQAAAAEwN9bGuqFU1ghVXa2/oVTWCDVDSVEuTkFTREFRQ006R0FMVC5JUV9DQVBFWC4xOTkyLjcvMzEvMjAxOC5MRlIuRi5VU0QuSAEAAADHQRAAAwAAAAAAN9bGuqFU1ghHhLS/oVTWCEZDSVEuTkFTREFRR1M6SU5TTS5JUV9UT1RBTF9SRVZfM1lSX0FOTl9DQUdSLjIwMDAuNy8zMS8yMDE4LkxGUi5GLlVTRC5IAQAAABp1AAADAAAAAAA31sa6oVTWCJuYqL+hVNYIO0NJUS5F</t>
  </si>
  <si>
    <t>TlhUUEE6R05GVC5JUV9SRVZFTlVFX0VTVC5DWTIwMTkuNy8zMS8yMDE4LkNPTi5GLlVTRC5IAQAAACLBkwACAAAADzUuNTgwNDMzMDAzNTI3MgEOAAAABQAAAAIxMQEAAAABMAIAAAAKMTAwMTg3NzE3NwMAAAAGMTAwMTgwBAAAAAEzBgAAAAEwBwAAAAMxNjAIAAAAATAJAAAAATEKAAAAATALAAAACzEwOTg2NzUzNTEzDAAAAAE3DQAAAAg4LzEvMjAxOBAAAAAJNy8zMS8yMDE4N9bGuqFU1gibmKi/oVTWCCxDSVEuSVFUUjQxNTYxMTgxNS5JUV9UUl9UQVJHRVRfRUJJVERBLi5VU0QuSAEAAACnu8UYAgAAAActMjkuMjA3AQYAAAAFAAAAAjM3AQAAAAoxODMwNjA3MjM1AgAAAAUyMTY3NwMAAAADMTYwBAAAAAEwBwAAAAgxLzEvMTkwMAI/2rehVNYIGgAivaFU1gg/Q0lRLk5BU0RBUUdTOkZHRU4uSVFfTkVUX1dPUktJTkdfQ0FQLjIwMDAuNy8zMS8yMDE4LkxGUi5GLlVTRC5IAQAAAERvAAACAAAABy02OS45NDcBCAAAAAUAAAABMQEAAAAKMTg4NzY2OTU0MwMAAAADMTYwAgAAAAQxMzExBAAAAAEwBwAAAAk3LzMxLzIwMTgIAAAACTMvMzEvMjAxOAkAAAABMASimLuhVNYIbw+fv6FU1ggsQ0lRLklRVFI0MDE5Nzk2ODkuSVFfVFJfVE9UQUxfR1JPU1NfVFYuVVNELkgFAAAAAAAAAAgAAAAaKEludmFsaWQgQ3VycmVuY3kgUmVxdWVzdCkCP9q3oVTWCGFiJL2hVNYILkNJUS5JUVRSNTMxOTIwNTA3LklRX1RS</t>
  </si>
  <si>
    <t>X1RBUkdFVF9TVE9DS1BSRU1JVU1fMU0BAAAAe3a0HwIAAAAAAAI/2rehVNYIhDsdvaFU1ggrQ0lRLklRVFIyNzAxMTEzNjguSVFfVFJfVE9UQUxfR1JPU1NfVFYuLlVTRAEAAACIkhkQAgAAAAkyNy4wODg4NjQBBgAAAAUAAAACNTQBAAAABjEwMjA4OAIAAAAJMjcwMTExMzY4AwAAAAkyNzAxMTE2NzkEAAAAAzE2MAYAAAAFRmFsc2UCP9q3oVTWCMWdH72hVNYIOkNJUS5FTlhUQU06R0xQRy5JUV9FQklUREFfRVNULkNZMjAyMC43LzMxLzIwMTguQ09OLkYuVVNELkgBAAAAsjEaAAIAAAARLTE3NS40MDEwMjk4OTc3MDMBDgAAAAUAAAACMTEBAAAAATACAAAACjEwMDE5NDQ4MzUDAAAABjEwMDE4NwQAAAABMwYAAAABMAcAAAADMTYwCAAAAAEwCQAAAAExCgAAAAEwCwAAAAsxMTAwMTE1MzQ4NAwAAAABNw0AAAAIOC8xLzIwMTgQAAAACTcvMzEvMjAxOASimLuhVNYItnGhv6FU1ggiQ0lRLklRVFIyNTY2ODM2NTUuSVFfVFJfVEFSR0VUTkFNRQEAAACHrkwPAwAAABtBaXJlcyBQaGFybWFjZXV0aWNhbHMsIEluYy4AAj/at6FU1gjFnR+9oVTWCBZDSVEuLklRX0dQLjIwMDAuLi4uVVNEBQAAAAEAAAAIAAAAFChJbnZhbGlkIElkZW50aWZpZXIpqkGWu6FU1giqQZa7oVTWCDZDSVEuTkFTREFRQ006UFVMTS5JUV9FQklUREEuMTk5Mi43LzMxLzIwMTguTEZSLkYuVVNELkgBAAAAn2yaAQIAAAAHLTE4LjA4NgEI</t>
  </si>
  <si>
    <t>AAAABQAAAAExAQAAAAoxODQwMjUxNzg0AwAAAAMxNjACAAAABDQwNTEEAAAAATAHAAAACTcvMzEvMjAxOAgAAAAJMy8zMS8yMDE2CQAAAAEwSjyLuqFU1ggX0sK/oVTWCDRDSVEuQVNYOklNQy5JUV9FQVJOSU5HX0NPLjE5OTIuNy8zMS8yMDE4LkxGUi5GLlVTRC5IAQAAAPNMdQACAAAACS0zLjI0NjA5NQEIAAAABQAAAAExAQAAAAoxODM2MjE5NTU2AwAAAAMxNjACAAAAATcEAAAAATAHAAAACTcvMzEvMjAxOAgAAAAKMTIvMzEvMjAxNQkAAAABMEo8i7qhVNYIdw2+v6FU1gg0Q0lRLkFNRVg6QVBIQi5JUV9FQklUREEuQ1kyMDE2LjcvMzEvMjAxOC5MRlIuRi5VU0QuSAEAAAAiiQAAAgAAAActMTMuNDYyAQgAAAAFAAAAATEBAAAACjE4NzgzNjM3MzEDAAAAAzE2MAIAAAAENDA1MQQAAAABMAcAAAAJNy8zMS8yMDE4CAAAAAoxMi8zMS8yMDE2CQAAAAEwSjyLuqFU1gjtNMW/oVTWCCFDSVEuSVFUUjQwMTk3OTY4OS5JUV9UUl9CVVlFUk5BTUUBAAAAKbn1FwMAAAAMQWxsZXJnYW4gcGxjAAI/2rehVNYIYWIkvaFU1ghDQ0lRLihJTlZBTElEIElERU5USUZJRVIpLklRX0VCSVREQV9FU1QuQ1kyMDIwLjcvMzEvMjAxOC5DT04uRi5VU0QuSAUAAAAAAAAACAAAABQoSW52YWxpZCBJZGVudGlmaWVyKUo8i7qhVNYIx7vtv6FU1gg9Q0lRLk5BU0RBUUdTOkZHRU4uSVFfUkVWRU5VRV9FU1QuQ1kyMDE4LjcvMzEv</t>
  </si>
  <si>
    <t>MjAxOC5DT04uRi5VU0QuSAEAAABEbwAAAgAAAAgxODEuNTk4NAEOAAAABQAAAAIxMQEAAAABMAIAAAAKMTAwMjkyNzQ5NAMAAAAGMTAwMTgwBAAAAAEyBgAAAAEwBwAAAAMxNjAIAAAAATAJAAAAATEKAAAAATALAAAACzExMDI0OTkwNTMwDAAAAAE3DQAAAAg4LzEvMjAxOBAAAAAJNy8zMS8yMDE4BKKYu6FU1ghvD5+/oVTWCDpDSVEuTkFTREFRQ006TUdFTi5JUV9FQVJOSU5HX0NPLjE5OTYuNy8zMS8yMDE4LkxGUi5GLlVTRC5IAQAAAG/irgICAAAABy0yMC42MzEBCAAAAAUAAAABMQEAAAAKMTg4NzY3NjkyMwMAAAADMTYwAgAAAAE3BAAAAAEwBwAAAAk3LzMxLzIwMTgIAAAACTMvMzEvMjAxNwkAAAABMDfWxrqhVNYIIqu7v6FU1gg2Q0lRLk5BU0RBUUdNOkNSQlAuSVFfRUJJVERBLjE5OTYuNy8zMS8yMDE4LkxGUi5GLlVTRC5IAQAAACRvJA8CAAAACi0yNC40NDg1MDYBCAAAAAUAAAABMQEAAAAKMTg4ODU5MDM2MwMAAAADMTYwAgAAAAQ0MDUxBAAAAAEwBwAAAAk3LzMxLzIwMTgIAAAACTMvMzEvMjAxNwkAAAABMDfWxrqhVNYIlea2v6FU1gg+Q0lRLk5BU0RBUUdNOkNOQVQuSVFfVE9UQUxfRVFVSVRZLkNZMjAxNi43LzMxLzIwMTguTEZSLkYuVVNELkgBAAAAZWfWAQIAAAAJMjEuNzg4NTQ2AQgAAAAFAAAAATEBAAAACjE4Nzc2MTQxODADAAAAAzE2MAIAAAAEMTI3NQQAAAABMAcAAAAJNy8zMS8y</t>
  </si>
  <si>
    <t>MDE4CAAAAAoxMi8zMS8yMDE2CQAAAAEwN9bGuqFU1gh3Db6/oVTWCCVDSVEuTkFTREFRR1M6SUNQVC5JUV9GSVJTVFBSSUNJTkdEQVRFAQAAAIKvrQAFAAAACjEwLzExLzIwMTIAqkGWu6FU1gjP1zm9oVTWCEBDSVEuKElOVkFMSUQgSURFTlRJRklFUikuSVFfVE9UQUxfUkVWLjE5OTIuNy8zMS8yMDE4LkxGUi5GLlVTRC5IBQAAAAAAAAAIAAAAFChJbnZhbGlkIElkZW50aWZpZXIpSjyLuqFU1gjHu+2/oVTWCCNDSVEuSVFUUjI1OTk4NTk2Mi5JUV9UUl9UT1RBTF9TVE9DSwEAAAAqEn8PAgAAAAozMDIuMTYzNjA0AAI/2rehVNYIhDsdvaFU1ggsQ0lRLk5BU0RBUUdNOk1OT1YuSVFfTEFTVFNBTEVQUklDRS45LzMwLzIwMTYBAAAAuFSNAAIAAAAENy40OQA31sa6oVTWCKS/r7+hVNYINkNJUS4uSVFfRUJJVERBXzNZUl9BTk5fQ0FHUi4yMDAwLjcvMzEvMjAxOC5MRlIuRi5VU0QuSAUAAAABAAAACAAAABQoSW52YWxpZCBJZGVudGlmaWVyKRysub6hVNYIHKy5vqFU1ggnQ0lRLk5BU0RBUUdTOlZSVFguSVFfQkVUQV81WVIuNy8zMS8yMDE4AQAAAIuNAAACAAAAEDEuNDgzMTA3NjY0ODE4MTEABKKYu6FU1ggMrZy/oVTWCDlDSVEuTkFTREFRR1M6SU5TTS5JUV9OSV9NQVJHSU4uMjAwMC43LzMxLzIwMTguTEZSLkYuVVNELkgBAAAAGnUAAAMAAAAAAASimLuhVNYIm5iov6FU1gguQ0lRLk5BU0RBUUdTOkZH</t>
  </si>
  <si>
    <t>RU4uSVFfTUFSS0VUQ0FQLjkvMzAvMjAxNi5VU0QuSAEAAABEbwAAAgAAAAsxMjk5LjcxNDg5MQEGAAAABQAAAAExAQAAAAoxODAyMzU1MjE2AwAAAAMxNjACAAAABjEwMDA1NAQAAAABMAcAAAAJOS8zMC8yMDE2qkGWu6FU1ghvD5+/oVTWCD1DSVEuTkFTREFRR1M6U1ZSQS5JUV9FQklUREFfTUFSR0lOLjIwMDAuNy8zMS8yMDE4LkxGUi5GLlVTRC5IAQAAAHV/hwMDAAAAAAA31sa6oVTWCKS/r7+hVNYIQUNJUS5FTlhUQU06R0xQRy5JUV9FQklUREFfMllSX0FOTl9DQUdSLjIwMDAuNy8zMS8yMDE4LkxGUi5GLlVTRC5IAQAAALIxGgADAAAAAk5NAQgAAAAFAAAAATEBAAAACjE4ODU0ODQ3NTUDAAAAAjUwAgAAAAQ0MjA5BAAAAAEwBwAAAAk3LzMxLzIwMTgIAAAACTMvMzEvMjAxOAkAAAABMASimLuhVNYItnGhv6FU1gg2Q0lRLk5BU0RBUUNNOk1ER0wuSVFfRUJJVERBLjE5OTYuNy8zMS8yMDE4LkxGUi5GLlVTRC5IAQAAAEybowgDAAAAAAAEopi7oVTWCAHUo7+hVNYIKkNJUS4uSVFfUEVSSU9EREFURV9JUy4yMDAwLjcvMzEvMjAxOC5MRlIuRgUAAAABAAAACAAAABQoSW52YWxpZCBJZGVudGlmaWVyKRysub6hVNYIHKy5vqFU1ghHQ0lRLk5BU0RBUUNNOkdMTUQuSVFfTUlOT1JJVFlfSU5URVJFU1RfVE9UQUwuMjAwMC43LzMxLzIwMTguTEZSLkYuVVNELkgBAAAAJGfXBgMAAAAAADfWxrqhVNYI8iGy</t>
  </si>
  <si>
    <t>v6FU1ggnQ0lRLk5BU0RBUUdNOlBSUVIuSVFfUEVSSU9EREFURV9JUy4xMDAwAQAAAO/sXA0FAAAACjEyLzMxLzIwMTcAN9bGuqFU1giV5ra/oVTWCDtDSVEuTkFTREFRQ006R0FMVC5JUV9FQklUX01BUkdJTi4yMDAwLjcvMzEvMjAxOC5MRlIuRi5VU0QuSAEAAADHQRAAAwAAAAAAN9bGuqFU1ghHhLS/oVTWCDdDSVEuQU1FWDpBUEhCLklRX0VCSVRfTUFSR0lOLjIwMDAuNy8zMS8yMDE4LkxGUi5GLlVTRC5IAQAAACKJAAADAAAAAk5NAQgAAAAFAAAAATEBAAAACjE4ODkwMTg4NDQDAAAAAzE2MAIAAAAENDA1MwQAAAABMAcAAAAJNy8zMS8yMDE4CAAAAAkzLzMxLzIwMTgJAAAAATBKPIu6oVTWCO00xb+hVNYIOkNJUS5OQVNEQVFDTTpNREdMLklRX0VBUk5JTkdfQ08uMTk5Mi43LzMxLzIwMTguTEZSLkYuVVNELkgBAAAATJujCAIAAAAJLTcuMTc1Nzc4AQgAAAAFAAAAATEBAAAACjE4NDE4MzU0MTcDAAAAAzE2MAIAAAABNwQAAAABMAcAAAAJNy8zMS8yMDE4CAAAAAkzLzMxLzIwMTYJAAAAATAEopi7oVTWCAHUo7+hVNYIOUNJUS5OQVNEQVFDTTpNR0VOLklRX1RPVEFMX1JFVi4xOTkyLjcvMzEvMjAxOC5MRlIuRi5VU0QuSAEAAABv4q4CAgAAAAU1LjAwNAEIAAAABQAAAAExAQAAAAoxODM0NzE3MTM5AwAAAAMxNjACAAAAAjI4BAAAAAEwBwAAAAk3LzMxLzIwMTgIAAAACjEyLzMxLzIwMTUJAAAAATA3</t>
  </si>
  <si>
    <t>1sa6oVTWCNpIub+hVNYIPENJUS5OQVNEQVFHUzpGR0VOLklRX0VBUk5JTkdfQ08uQ1kyMDE3LjcvMzEvMjAxOC5MRlIuRi5VU0QuSAEAAABEbwAAAgAAAAgtMTI2LjIwMwEIAAAABQAAAAExAQAAAAoxODc2MTM0NDczAwAAAAMxNjACAAAAATcEAAAAATAHAAAACTcvMzEvMjAxOAgAAAAKMTIvMzEvMjAxNwkAAAABMASimLuhVNYIbw+fv6FU1ggrQ0lRLklRVFI0MDIwMzQ1NjkuSVFfVFJfVE9UQUxfR1JPU1NfVFYuLlVTRAEAAACJj/YXAgAAAAI1MAEGAAAABQAAAAI1NAEAAAAGMTAyMDg4AgAAAAk0MDIwMzQ1NjkDAAAACTQwMjAzNDk0MAQAAAADMTYwBgAAAAVGYWxzZQI/2rehVNYIYWIkvaFU1ghBQ0lRLkFTWDoxQUQuSVFfTUlOT1JJVFlfSU5URVJFU1RfVE9UQUwuMjAwMC45LzMwLzIwMTYuTEZSLkYuVVNELkgBAAAAxaCkAwMAAAAAAEo8i7qhVNYIzG/Av6FU1ghNQ0lRLihJTlZBTElEIElERU5USUZJRVIpLklRX1RPVEFMX1JFVl8zWVJfQU5OX0NBR1IuMjAwMC43LzMxLzIwMTguTEZSLkYuVVNELkgFAAAAAAAAAAgAAAAUKEludmFsaWQgSWRlbnRpZmllcilKPIu6oVTWCBYe8L+hVNYIL0NJUS4uSVFfRUJJVERBX0VTVC5DWTIwMTkuNy8zMS8yMDE4LkNPTi5GLlVTRC5IBQAAAAEAAAAIAAAAFChJbnZhbGlkIElkZW50aWZpZXIpHKy5vqFU1ggcrLm+oVTWCC5DSVEuSVFUUjMzMDAzMTE4NC5JUV9U</t>
  </si>
  <si>
    <t>Ul9UQVJHRVRfU1RPQ0tQUkVNSVVNXzFXAQAAAFDgqxMCAAAAAAACP9q3oVTWCGFiJL2hVNYIJUNJUS5OQVNEQVFHTTpDUkJQLklRX0ZJUlNUUFJJQ0lOR0RBVEUBAAAAJG8kDwUAAAAKMTAvMjcvMjAxNAA31sa6oVTWCPSbPr2hVNYIPkNJUS5OQVNEQVFHUzpWUlRYLklRX1RPVEFMX0VRVUlUWS5DWTIwMTcuNy8zMS8yMDE4LkxGUi5GLlVTRC5IAQAAAIuNAAACAAAACDIwNDIuMzA2AQgAAAAFAAAAATEBAAAACjE4NzQ1MzEzODYDAAAAAzE2MAIAAAAEMTI3NQQAAAABMAcAAAAJNy8zMS8yMDE4CAAAAAoxMi8zMS8yMDE3CQAAAAEwBKKYu6FU1ggMrZy/oVTWCCBDSVEuSVEzNjE4MzgyOC5JUV9MQVNUU0FMRVBSSUNFLgEAAAAUHygCAgAAAAQyLjg2AKpBlruhVNYIqkGWu6FU1gg6Q0lRLk5BU0RBUUNNOlBVTE0uSVFfRUFSTklOR19DTy4yMDAwLjcvMzEvMjAxOC5MRlIuRi5VU0QuSAEAAACfbJoBAgAAAActMTkuNzk0AQgAAAAFAAAAATEBAAAACjE4ODgxMTYyMjcDAAAAAzE2MAIAAAABNwQAAAABMAcAAAAJNy8zMS8yMDE4CAAAAAkzLzMxLzIwMTgJAAAAATBKPIu6oVTWCBfSwr+hVNYIMkNJUS5BTUVYOkFQSEIuSVFfRUJJVERBLjIwMDAuNy8zMS8yMDE4LkxGUi5GLlVTRC5IAQAAACKJAAACAAAABi05LjY3NAEIAAAABQAAAAExAQAAAAoxODg5MDE4ODQ0AwAAAAMxNjACAAAABDQwNTEEAAAAATAHAAAA</t>
  </si>
  <si>
    <t>CTcvMzEvMjAxOAgAAAAJMy8zMS8yMDE4CQAAAAEwSjyLuqFU1gjtNMW/oVTWCD5DSVEuTkFTREFRR006Q05BVC5JUV9UT1RBTF9FUVVJVFkuQ1kyMDE3LjcvMzEvMjAxOC5MRlIuRi5VU0QuSAEAAABlZ9YBAgAAAAkyNy45OTYzMTIBCAAAAAUAAAABMQEAAAAKMTg3NzYxNDE0NAMAAAADMTYwAgAAAAQxMjc1BAAAAAEwBwAAAAk3LzMxLzIwMTgIAAAACjEyLzMxLzIwMTcJAAAAATA31sa6oVTWCHcNvr+hVNYILkNJUS5OQVNEQVFDTTpHQUxULklRX01BUktFVENBUC43LzMxLzIwMTguVVNELkgBAAAAx0EQAAIAAAAKMjA1LjE3MjMyNAEGAAAABQAAAAExAQAAAAoxODg4MjQxOTEzAwAAAAMxNjACAAAABjEwMDA1NAQAAAABMAcAAAAJNy8zMS8yMDE4N9bGuqFU1ghHhLS/oVTWCBNDSVEuLklRX1RSX0VBUk5PVVRTBQAAAAEAAAAIAAAAFChJbnZhbGlkIElkZW50aWZpZXIpqkGWu6FU1giqQZa7oVTWCDlDSVEuQVNYOjFBRC5JUV9ORVRfV09SS0lOR19DQVAuMTk5Mi43LzMxLzIwMTguTEZSLkYuVVNELkgBAAAAxaCkAwIAAAAJLTAuMTk5MTU2AQgAAAAFAAAAATEBAAAACjE4MDQ1NzgzMTEDAAAAAzE2MAIAAAAEMTMxMQQAAAABMAcAAAAJNy8zMS8yMDE4CAAAAAk2LzMwLzIwMTQJAAAAATBKPIu6oVTWCMxvwL+hVNYIK0NJUS5JUVRSMTE3MjkxNDY1LklRX1RSX1RPVEFMX0dST1NTX1RWLi5VU0QBAAAAybn9</t>
  </si>
  <si>
    <t>BgIAAAADMjI1AQYAAAAFAAAAAjU0AQAAAAYxMDIwODgCAAAACTExNzI5MTQ2NQMAAAAJMTE3MjkxNTIwBAAAAAMxNjAGAAAABUZhbHNlAj/at6FU1gi6xCa9oVTWCENDSVEuTkFTREFRR1M6SU5TTS5JUV9FQklUREFfMllSX0FOTl9DQUdSLjIwMDAuNy8zMS8yMDE4LkxGUi5GLlVTRC5IAQAAABp1AAADAAAAAk5NAQgAAAAFAAAAATEBAAAACjE4ODYwNDIzMjgDAAAAAzE2MAIAAAAENDIwOQQAAAABMAcAAAAJNy8zMS8yMDE4CAAAAAkzLzMxLzIwMTgJAAAAATA31sa6oVTWCJuYqL+hVNYIJUNJUS5JUVRSMjcwNzg5NTg0LklRX1RSX0lNUExJRURfRVFfQlYBAAAA0OsjEAIAAAAJMjMuODgwNTM4AQYAAAAFAAAAAjU0AQAAAAYxMDIwOTcCAAAACTI3MDc4OTU4NAMAAAAJMjcwNzkwNjI5BAAAAAMxNjAGAAAABUZhbHNlAj/at6FU1gi6xCa9oVTWCDVDSVEuTkFTREFRR006Q05BVC5JUV9DQVBFWC4xOTk2LjcvMzEvMjAxOC5MRlIuRi5VU0QuSAEAAABlZ9YBAgAAAAktMC4wMDY0MzkBCAAAAAUAAAABMQEAAAAKMTg4NjYxNzM0MQMAAAADMTYwAgAAAAQyMDIxBAAAAAEwBwAAAAk3LzMxLzIwMTgIAAAACTMvMzEvMjAxNwkAAAABMDfWxrqhVNYIdw2+v6FU1gg9Q0lRLk5BU0RBUUNNOk1ER0wuSVFfUkVWRU5VRV9FU1QuQ1kyMDIwLjcvMzEvMjAxOC5DT04uRi5VU0QuSAEAAABMm6MIAgAAAAEwAQ4AAAAFAAAA</t>
  </si>
  <si>
    <t>AjExAQAAAAEwAgAAAAoxMDAzNTkwNDg0AwAAAAYxMDAxODAEAAAAATIGAAAAATAHAAAAAzE2MAgAAAABMAkAAAABMQoAAAABMAsAAAALMTA5NDU1NzI5NDYMAAAAATcNAAAACDgvMS8yMDE4EAAAAAk3LzMxLzIwMTgEopi7oVTWCAHUo7+hVNYII0NJUS5BU1g6SU1DLklRX0JVU0lORVNTX0RFU0NSSVBUSU9OAQAAAPNMdQADAAAAxwhJbW11cm9uIExpbWl0ZWQsIGEgYmlvcGhhcm1hY2V1dGljYWwgY29tcGFueSwgZm9jdXNlcyBvbiB0aGUgcmVzZWFyY2ggYW5kIGRldmVsb3BtZW50IG9mIGltbXVub21vZHVsYXRvcnkgcG9seWNsb25hbCBhbnRpYm9kaWVzIGZvciB0aGUgdHJlYXRtZW50IGFuZCBwcmV2ZW50aW9uIG9mIHZhcmlvdXMgZGlzZWFzZXMgdGhyb3VnaCBpdHMgb3JhbCBpbW11bm9nbG9idWxpbnMgcGxhdGZvcm0gaW4gQXVzdHJhbGlhIGFuZCBpbnRlcm5hdGlvbmFsbHkuIFRoZSBjb21wYW55IG9wZXJhdGVzIHRocm91Z2ggUmVzZWFyY2ggYW5kIERldmVsb3BtZW50LCBhbmQgSHlwZXJJbW11bmUgUHJvZHVjdHMgc2VnbWVudHMuIFRoZSBjb21wYW55IG1hcmtldHMgVHJhdmVsYW4gZm9yIHRoZSBwcmV2ZW50aW9uIG9mIHRyYXZlbGVyc+KAmSBkaWFycmhlYS4gSXRzIGxlYWQgcHJvZHVjdCBjYW5kaWRhdGUgSU1NLTEyNEUgaXMgaW4gUGhhc2UgSUkgY2xpbmljYWwgdHJpYWxzIGZvciBu</t>
  </si>
  <si>
    <t>b24tYWxjb2hvbGljIHN0ZWF0b2hlcGF0aXRpcywgc2V2ZXJlIGFsY29ob2xpYyBoZXBhdGl0aXMsIGFuZCBub24tYWxjb2hvbGljIGZhdHR5IGxpdmVyIGRpc2Vhc2UuIFRoZSBjb21wYW55IGlzIGFsc28gZGV2ZWxvcGluZyBJTU0tNTI5LCBhIGNsaW5pY2FsIHN0YWdlIHByb2R1Y3QgZm9yIGNsb3N0cmlkaXVtIGRpZmZpY2lsZSBpbmZlY3Rpb25zLiBUaGUgY29tcGFueSBoYXMgYSByZXNlYXJjaCBhbmQgZGV2ZWxvcG1lbnQgY29sbGFib3JhdGlvbiBhZ3JlZW1lbnQgd2l0aCB0aGUgV2FsdGVyIFJlZWQgQXJteSBJbnN0aXR1dGUgb2YgUmVzZWFyY2ggdG8gZGV2ZWxvcCBhIHZhY2NpbmUgZm9yIGEgZm9ybSBvZiBkeXNlbnRlcnk7IGFuZCBVUyBOYXZhbCBNZWRpY2FsIFJlc2VhcmNoIENlbnRlciB0byB0ZXN0IHRoZSByZWFjdGl2aXR5IGFuZCB0aGVyYXBldXRpYyBlZmZlY3RpdmVuZXNzIG9mIFRyYXZlbGFuIGFnYWluc3QgQ2FtcHlsb2JhY3RlciBhbmQgZW50ZXJvdG94aWdlbmljIGVzY2hlcmljaGlhIGNvbGkuIEltbXVyb24gTGltaXRlZCB3YXMgZm91bmRlZCBpbiAxOTk0IGFuZCBpcyBoZWFkcXVhcnRlcmVkIGluIENhcmx0b24sIEF1c3RyYWxpYS4ASjyLuqFU1gj0mz69oVTWCDVDSVEuTkFTREFRR1M6RkdFTi5JUV9DQVBFWC4xOTkyLjcvMzEvMjAxOC5MRlIuRi5VU0QuSAEAAABEbwAA</t>
  </si>
  <si>
    <t>AgAAAAYtMi40MjcBCAAAAAUAAAABMQEAAAAKMTg0MDkzNDY2OQMAAAADMTYwAgAAAAQyMDIxBAAAAAEwBwAAAAk3LzMxLzIwMTgIAAAACTMvMzEvMjAxNgkAAAABMASimLuhVNYIbw+fv6FU1gg1Q0lRLk5ZU0U6S0RNTi5JUV9UT1RBTF9SRVYuMTk5Ni43LzMxLzIwMTguTEZSLkYuVVNELkgBAAAAU8jZBgIAAAAGMjEuOTU4AQgAAAAFAAAAATEBAAAACjE4ODc0NDUzNTMDAAAAAzE2MAIAAAACMjgEAAAAATAHAAAACTcvMzEvMjAxOAgAAAAJMy8zMS8yMDE3CQAAAAEwN9bGuqFU1gjw+qq/oVTWCDxDSVEuTkFTREFRQ006R0FMVC5JUV9HUk9TU19NQVJHSU4uMjAwMC43LzMxLzIwMTguTEZSLkYuVVNELkgBAAAAx0EQAAMAAAAAADfWxrqhVNYIR4S0v6FU1ggyQ0lRLkFTWDoxQUQuSVFfRUJJVERBLkNZMjAxNy43LzMxLzIwMTguTEZSLkYuVVNELkgBAAAAxaCkAwIAAAAJLTMuMjMzNDgzAQgAAAAFAAAAATEBAAAACjE4NzYxODU3OTEDAAAAAzE2MAIAAAAENDA1MQQAAAABMAcAAAAJNy8zMS8yMDE4CAAAAAoxMi8zMS8yMDE3CQAAAAEwSjyLuqFU1gjMb8C/oVTWCD1DSVEuTkFTREFRR1M6U1ZSQS5JUV9SRVZFTlVFX0VTVC5DWTIwMTguNy8zMS8yMDE4LkNPTi5GLlVTRC5IAQAAAHV/hwMCAAAAATABDgAAAAUAAAACMTEBAAAAATACAAAACjEwMDM3NDg3NzgDAAAABjEwMDE4MAQAAAABMgYAAAABMAcAAAAD</t>
  </si>
  <si>
    <t>MTYwCAAAAAEwCQAAAAExCgAAAAEwCwAAAAsxMTAwMDEyNjE4NAwAAAABNw0AAAAIOC8xLzIwMTgQAAAACTcvMzEvMjAxODfWxrqhVNYIpL+vv6FU1gg9Q0lRLk5BU0RBUUdNOlBSUVIuSVFfUkVWRU5VRV9FU1QuQ1kyMDE4LjcvMzEvMjAxOC5DT04uRi5VU0QuSAEAAADv7FwNAgAAAAQyLjY1AQ4AAAAFAAAAAjExAQAAAAEwAgAAAAoxMDAyODg3NjEyAwAAAAYxMDAxODAEAAAAATMGAAAAATAHAAAAAzE2MAgAAAABMAkAAAABMQoAAAABMAsAAAALMTA5NDk2Mjc2MTAMAAAAATcNAAAACDgvMS8yMDE4EAAAAAk3LzMxLzIwMTg31sa6oVTWCNpIub+hVNYIJ0NJUS5OQVNEQVFHUzpWUlRYLklRX1BFUklPRERBVEVfSVMuMTAwMAEAAACLjQAABQAAAAoxMi8zMS8yMDE3AKpBlruhVNYIDK2cv6FU1ggrQ0lRLklRVFIxNzAyMjkzODYuSVFfVFJfVE9UQUxfR1JPU1NfVFYuLlVTRAEAAACKfiUKAgAAAAU1NjIuNQEGAAAABQAAAAI1NAEAAAAGMTAyMDg4AgAAAAkxNzAyMjkzODYDAAAACTE3MDIyOTQxMAQAAAADMTYwBgAAAAVGYWxzZQI/2rehVNYIxZ0fvaFU1ghDQ0lRLk5BU0RBUUdTOkZHRU4uSVFfRUJJVERBXzJZUl9BTk5fQ0FHUi4yMDAwLjcvMzEvMjAxOC5MRlIuRi5VU0QuSAEAAABEbwAAAwAAAAJOTQEIAAAABQAAAAExAQAAAAoxODg3NjY5NTQzAwAAAAMxNjACAAAABDQyMDkEAAAAATAHAAAACTcvMzEv</t>
  </si>
  <si>
    <t>MjAxOAgAAAAJMy8zMS8yMDE4CQAAAAEwBKKYu6FU1gi2caG/oVTWCC9DSVEuSVFUUjExNzI5MTQ2NS5JUV9UUl9JTVBMSUVEX0VWX0ZJTkFMLi5VU0QuSAEAAADJuf0GAgAAAAMyMjUBBgAAAAUAAAACNTQBAAAABjEwMjA0NQIAAAAJMTE3MjkxNDY1AwAAAAkxMTcyOTE1MjAEAAAAAzE2MAYAAAAFRmFsc2UCP9q3oVTWCIQ7Hb2hVNYIKENJUS4uSVFfQ0FQRVguMTk5Ni43LzMxLzIwMTguTEZSLkYuVVNELkgFAAAAAQAAAAgAAAAUKEludmFsaWQgSWRlbnRpZmllcikcrLm+oVTWCBysub6hVNYIJUNJUS4wLklRX1RSX1RBUkdFVF9SRVZFTlVFX0VTVC4uVVNELkgFAAAAAAAAAAgAAAAYKEludmFsaWQgVHJhbnNhY3Rpb24gSWQpAj/at6FU1gi6xCa9oVTWCC1DSVEuTkFTREFRR1M6SUNQVC5JUV9ESVZJREVORF9ZSUVMRC43LzMxLzIwMTgBAAAAgq+tAAMAAAAAAKpBlruhVNYIVjamv6FU1ggiQ0lRLklRVFIyNjM3MDcyODkuSVFfVFJfVEFSR0VUTkFNRQEAAACZ2rcPAwAAABxMdW1lbmEgUGhhcm1hY2V1dGljYWxzLCBJbmMuAAI/2rehVNYIusQmvaFU1ggtQ0lRLi5JUV9FQVJOSU5HX0NPLjE5OTIuNy8zMS8yMDE4LkxGUi5GLlVTRC5IBQAAAAEAAAAIAAAAFChJbnZhbGlkIElkZW50aWZpZXIpHKy5vqFU1ggcrLm+oVTWCDxDSVEuTkFTREFRQ006R0FMVC5JUV9FQVJOSU5HX0NPLkNZMjAxNy43LzMxLzIw</t>
  </si>
  <si>
    <t>MTguTEZSLkYuVVNELkgBAAAAx0EQAAIAAAAHLTE2LjIzNQEIAAAABQAAAAExAQAAAAoxODgwNDAwMDkwAwAAAAMxNjACAAAAATcEAAAAATAHAAAACTcvMzEvMjAxOAgAAAAKMTIvMzEvMjAxNwkAAAABMDfWxrqhVNYIR4S0v6FU1gg+Q0lRLk5BU0RBUUNNOk1ER0wuSVFfVE9UQUxfRVFVSVRZLkNZMjAxNi43LzMxLzIwMTguTEZSLkYuVVNELkgBAAAATJujCAIAAAAFMzYuNDEBCAAAAAUAAAABMQEAAAAKMTg3ODA3ODQ2NwMAAAADMTYwAgAAAAQxMjc1BAAAAAEwBwAAAAk3LzMxLzIwMTgIAAAACjEyLzMxLzIwMTYJAAAAATAEopi7oVTWCAHUo7+hVNYIOUNJUS5OQVNEQVFDTTpNREdMLklRX1RPVEFMX1JFVi4xOTkyLjcvMzEvMjAxOC5MRlIuRi5VU0QuSAEAAABMm6MIAwAAAAAABKKYu6FU1ggB1KO/oVTWCD1DSVEuTkFTREFRR006Q1JCUC5JUV9SRVZFTlVFX0VTVC5DWTIwMTkuNy8zMS8yMDE4LkNPTi5GLlVTRC5IAQAAACRvJA8CAAAAAzMuNQEOAAAABQAAAAIxMQEAAAABMAIAAAAKMTAwMzE3ODUzNAMAAAAGMTAwMTgwBAAAAAEyBgAAAAEwBwAAAAMxNjAIAAAAATAJAAAAATEKAAAAATALAAAACzExMDAxMDY3ODIzDAAAAAE3DQAAAAg4LzEvMjAxOBAAAAAJNy8zMS8yMDE4N9bGuqFU1giV5ra/oVTWCEpDSVEuKElOVkFMSUQgSURFTlRJRklFUikuSVFfRUJJVERBXzJZUl9BTk5fQ0FHUi4yMDAwLjcv</t>
  </si>
  <si>
    <t>MzEvMjAxOC5MRlIuRi5VU0QuSAUAAAAAAAAACAAAABQoSW52YWxpZCBJZGVudGlmaWVyKUo8i7qhVNYIFh7wv6FU1ggvQ0lRLi5JUV9UT1RBTF9FUVVJVFkuMjAwMC43LzMxLzIwMTguTEZSLkYuVVNELkgFAAAAAQAAAAgAAAAUKEludmFsaWQgSWRlbnRpZmllcikcrLm+oVTWCBysub6hVNYILUNJUS5OQVNEQVFHUzpGR0VOLklRX0RJVklERU5EX1lJRUxELjcvMzEvMjAxOAEAAABEbwAAAwAAAAAAqkGWu6FU1ghvD5+/oVTWCCFDSVEuLklRX01BUktFVENBUC45LzMwLzIwMTYuVVNELkgFAAAAAQAAAAgAAAAUKEludmFsaWQgSWRlbnRpZmllcikcrLm+oVTWCBysub6hVNYINUNJUS5OQVNEQVFHUzpWUlRYLklRX0RBX0NGLjIwMDAuNy8zMS8yMDE4LkxGUi5GLlVTRC5IAQAAAIuNAAACAAAABjY2LjA1OQEIAAAABQAAAAExAQAAAAoxODk3MjkzNTkwAwAAAAMxNjACAAAABDIxNjAEAAAAATAHAAAACTcvMzEvMjAxOAgAAAAJNi8zMC8yMDE4CQAAAAEwBKKYu6FU1ggMrZy/oVTWCDlDSVEuRU5YVEFNOkdMUEcuSVFfRUJJVF9NQVJHSU4uMjAwMC43LzMxLzIwMTguTEZSLkYuVVNELkgBAAAAsjEaAAIAAAAILTY4Ljc0OTQBCAAAAAUAAAABMQEAAAAKMTg4NTQ4NDc1NQMAAAACNTACAAAABDQwNTMEAAAAATAHAAAACTcvMzEvMjAxOAgAAAAJMy8zMS8yMDE4CQAAAAEwBKKYu6FU1gi2caG/oVTWCCRDSVEuTllT</t>
  </si>
  <si>
    <t>RTpLRE1OLklRX1RFVi43LzMxLzIwMTguVVNELkgBAAAAU8jZBgIAAAAKMzk1LjU1NjQzOAEGAAAABQAAAAExAQAAAAoxODg3NDQ1MjEwAwAAAAMxNjACAAAABjEwMDA2MAQAAAABMAcAAAAJNy8zMS8yMDE4N9bGuqFU1gjw+qq/oVTWCDhDSVEuQVNYOklNQy5JUV9UT1RBTF9FUVVJVFkuQ1kyMDE2LjcvMzEvMjAxOC5MRlIuRi5VU0QuSAEAAADzTHUAAgAAAAgyLjU2OTM2OQEIAAAABQAAAAExAQAAAAoxODc3NjUwOTg5AwAAAAMxNjACAAAABDEyNzUEAAAAATAHAAAACTcvMzEvMjAxOAgAAAAKMTIvMzEvMjAxNgkAAAABMEo8i7qhVNYIdw2+v6FU1ggsQ0lRLklRVFIzMzAwMzExODQuSVFfVFJfVEFSR0VUX0VCSVREQS4uVVNELkgBAAAAUOCrEwIAAAAAAAI/2rehVNYIGgAivaFU1gg3Q0lRLkFTWDoxQUQuSVFfUkVWRU5VRV9FU1QuQ1kyMDIwLjcvMzEvMjAxOC5DT04uRi5VU0QuSAEAAADFoKQDAwAAAAAASjyLuqFU1gjMb8C/oVTWCEZDSVEuTkFTREFRR006Q1JCUC5JUV9UT1RBTF9SRVZfMllSX0FOTl9DQUdSLjIwMDAuNy8zMS8yMDE4LkxGUi5GLlVTRC5IAQAAACRvJA8CAAAABzQxLjY1NzMBCAAAAAUAAAABMQEAAAAKMTg4ODU5MDM4MQMAAAADMTYwAgAAAAQ0MjA3BAAAAAEwBwAAAAk3LzMxLzIwMTgIAAAACTMvMzEvMjAxOAkAAAABMDfWxrqhVNYIlea2v6FU1ggwQ0lRLklRVFIyNTk5ODU5NjIu</t>
  </si>
  <si>
    <t>SVFfVFJfVEFSR0VUX0VCSVREQV9FU1QuLlVTRC5IAQAAACoSfw8CAAAAAAACP9q3oVTWCMWdH72hVNYIQ0NJUS5OQVNEQVFHUzpWUlRYLklRX0VCSVREQV8zWVJfQU5OX0NBR1IuMjAwMC43LzMxLzIwMTguTEZSLkYuVVNELkgBAAAAi40AAAMAAAACTk0BCAAAAAUAAAABMQEAAAAKMTg5NzI5MzU5MAMAAAADMTYwAgAAAAQ0MjIyBAAAAAEwBwAAAAk3LzMxLzIwMTgIAAAACTYvMzAvMjAxOAkAAAABMASimLuhVNYIDK2cv6FU1gglQ0lRLklRVFIxMzgyNTE0NjIuSVFfVFJfSU1QTElFRF9FUV9CVgEAAADGjD0IAgAAAAAAAj/at6FU1ghhYiS9oVTWCD9DSVEuTkFTREFRR006Q1JCUC5JUV9ORVRfV09SS0lOR19DQVAuMjAwMC43LzMxLzIwMTguTEZSLkYuVVNELkgBAAAAJG8kDwIAAAAJLTYuNTM2Nzk2AQgAAAAFAAAAATEBAAAACjE4ODg1OTAzODEDAAAAAzE2MAIAAAAEMTMxMQQAAAABMAcAAAAJNy8zMS8yMDE4CAAAAAkzLzMxLzIwMTgJAAAAATA31sa6oVTWCJXmtr+hVNYIL0NJUS4oSU5WQUxJRCBJREVOVElGSUVSKS5JUV9URVYuNy8zMS8yMDE4LlVTRC5IBQAAAAAAAAAIAAAAFChJbnZhbGlkIElkZW50aWZpZXIpSjyLuqFU1gjHu+2/oVTWCDtDSVEuRU5YVFBBOkdORlQuSVFfUkVWRU5VRV9FU1QuQ1kyMDIwLjcvMzEvMjAxOC5DT04uRi5VU0QuSAEAAAAiwZMAAgAAAAs2My4xOTQ4NTA4MQEOAAAA</t>
  </si>
  <si>
    <t>BQAAAAIxMQEAAAABMAIAAAAKMTAwMTg3NzE3OAMAAAAGMTAwMTgwBAAAAAEzBgAAAAEwBwAAAAMxNjAIAAAAATAJAAAAATEKAAAAATALAAAACzEwOTg0NTY5ODM1DAAAAAE3DQAAAAg4LzEvMjAxOBAAAAAJNy8zMS8yMDE4N9bGuqFU1gibmKi/oVTWCCxDSVEuSVFUUjQwMjAzNDU2OS5JUV9UUl9UT1RBTF9HUk9TU19UVi5VU0QuSAUAAAAAAAAACAAAABooSW52YWxpZCBDdXJyZW5jeSBSZXF1ZXN0KQI/2rehVNYIYWIkvaFU1gg/Q0lRLk5BU0RBUUNNOk1HRU4uSVFfTkVUX1dPUktJTkdfQ0FQLjIwMDAuNy8zMS8yMDE4LkxGUi5GLlVTRC5IAQAAAG/irgICAAAABTQuMTE3AQgAAAAFAAAAATEBAAAACjE4ODc2NzY5MzUDAAAAAzE2MAIAAAAEMTMxMQQAAAABMAcAAAAJNy8zMS8yMDE4CAAAAAkzLzMxLzIwMTgJAAAAATA31sa6oVTWCCKru7+hVNYIHkNJUS5JUTM2MTgzODIyLklRX0NPTVBBTllfTkFNRQEAAAAOHygCAwAAADFVbml0ZWQgU3RhdGVzIFRyZWFzdXJ5IENvbnN0YW50IE1hdHVyaXR5IC0gMSBZZWFyAAI/2rehVNYImOlHuKFU1ghBQ0lRLihJTlZBTElEIElERU5USUZJRVIpLklRX0VBUk5JTkdfQ08uMTk5Mi43LzMxLzIwMTguTEZSLkYuVVNELkgFAAAAAAAAAAgAAAAUKEludmFsaWQgSWRlbnRpZmllcilKPIu6oVTWCMe77b+hVNYIOkNJUS5OQVNEQVFHUzpTVlJBLklRX1RPVEFMX0RFQlQu</t>
  </si>
  <si>
    <t>MjAwMC43LzMxLzIwMTguTEZSLkYuVVNELkgBAAAAdX+HAwIAAAAGMTUuMjAyAQgAAAAFAAAAATEBAAAACjE4ODc3NjMwNzUDAAAAAzE2MAIAAAAENDE3MwQAAAABMAcAAAAJNy8zMS8yMDE4CAAAAAkzLzMxLzIwMTgJAAAAATA31sa6oVTWCKS/r7+hVNYIIUNJUS5JUVRSMTM4MjUxNDYyLklRX1RSX0JVWUVSTkFNRQEAAADGjD0IAwAAABxCcmlzdG9sLU15ZXJzIFNxdWliYiBDb21wYW55AAI/2rehVNYIusQmvaFU1ggsQ0lRLklRVFI0MjgxMDEwMzQuSVFfVFJfVEFSR0VUX0VCSVREQS4uVVNELkgBAAAAqk2EGQIAAAAHLTI5LjMzNwEGAAAABQAAAAIzNwEAAAAKMTg0MzM4NDY2OAIAAAAFMjE2NzcDAAAAAzE2MAQAAAABMAcAAAAIMS8xLzE5MDACP9q3oVTWCGFiJL2hVNYINUNJUS5OQVNEQVFHUzpGR0VOLklRX0NBUEVYLjIwMDAuNy8zMS8yMDE4LkxGUi5GLlVTRC5IAQAAAERvAAACAAAABi05LjcwMQEIAAAABQAAAAExAQAAAAoxODg3NjY5NTQzAwAAAAMxNjACAAAABDIwMjEEAAAAATAHAAAACTcvMzEvMjAxOAgAAAAJMy8zMS8yMDE4CQAAAAEwBKKYu6FU1ghvD5+/oVTWCCVDSVEuQU1FWDpBUEhCLklRX0JVU0lORVNTX0RFU0NSSVBUSU9OAQAAACKJAAADAAAAugZBbXBsaVBoaSBCaW9zY2llbmNlcyBDb3Jwb3JhdGlvbiwgYSBiaW90ZWNobm9sb2d5IGNvbXBhbnksIGZvY3VzZXMgb24gdGhlIGRl</t>
  </si>
  <si>
    <t>dmVsb3BtZW50IG9mIHRoZXJhcGllcyBmb3IgYW50aWJpb3RpYy1yZXNpc3RhbnQgaW5mZWN0aW9ucyB1c2luZyBiYWN0ZXJpb3BoYWdlLWJhc2VkIHRlY2hub2xvZ3kuIFRoZSBjb21wYW55IGlzIGludm9sdmVkIGluIGRldmVsb3BpbmcgQUItU0EwMSBmb3IgdGhlIHRyZWF0bWVudCBvZiBzdGFwaHlsb2NvY2N1cyBhdXJldXMgaW5mZWN0aW9uczsgYW5kIEFCLVBBMDEgZm9yIHRoZSB0cmVhdG1lbnQgb2YgcHNldWRvbW9uYXMgYWVydWdpbm9zYSBpbmZlY3Rpb25zLiBBbXBsaVBoaSBCaW9zY2llbmNlcyBDb3Jwb3JhdGlvbiBoYXMgYSBjb2xsYWJvcmF0aW9uIGFncmVlbWVudCBhbmQgYSBsaWNlbnNlIGFncmVlbWVudCB3aXRoIHRoZSBVbml2ZXJzaXR5IG9mIExlaWNlc3RlcjsgYW5kIGEgY29sbGFib3JhdGlvbiBhZ3JlZW1lbnQgd2l0aCB0aGUgV2VzdGVybiBTeWRuZXkgTG9jYWwgSGVhbHRoIERpc3RyaWN0IGFuZCB0aGUgV2VzdG1lYWQgSW5zdGl0dXRlIGZvciBNZWRpY2FsIFJlc2VhcmNoLiBUaGUgY29tcGFueSB3YXMgZm9ybWVybHkga25vd24gYXMgVGFyZ2V0ZWQgR2VuZXRpY3MgQ29ycG9yYXRpb24gYW5kIGNoYW5nZWQgaXRzIG5hbWUgdG8gQW1wbGlQaGkgQmlvc2NpZW5jZXMgQ29ycG9yYXRpb24gaW4gRmVicnVhcnkgMjAxMS4gQW1wbGlQaGkgQmlvc2NpZW5jZXMgQ29ycG9yYXRp</t>
  </si>
  <si>
    <t>b24gd2FzIGZvdW5kZWQgaW4gMTk4OSBhbmQgaXMgaGVhZHF1YXJ0ZXJlZCBpbiBTYW4gRGllZ28sIENhbGlmb3JuaWEuAEo8i7qhVNYIfKxwvaFU1ggcQ0lRLi5JUV9CVVNJTkVTU19ERVNDUklQVElPTgUAAAAAAAAACAAAABQoSW52YWxpZCBJZGVudGlmaWVyKapBlruhVNYI53YYvaFU1gg8Q0lRLk5BU0RBUUdTOkZHRU4uSVFfRUJJVERBX0VTVC5DWTIwMjAuNy8zMS8yMDE4LkNPTi5GLlVTRC5IAQAAAERvAAACAAAABzE1Ni4zODMBDgAAAAUAAAACMTEBAAAAATACAAAACjEwMDI5MjgwOTQDAAAABjEwMDE4NwQAAAABMgYAAAABMAcAAAADMTYwCAAAAAEwCQAAAAExCgAAAAEwCwAAAAsxMDg3ODE5Njg1OAwAAAABNw0AAAAIOC8xLzIwMTgQAAAACTcvMzEvMjAxOASimLuhVNYIbw+fv6FU1ggiQ0lRLklRVFI1NDg3MDQ4MTkuSVFfVFJfUENUX1NPVUdIVAEAAAAzkrQgAgAAAAMxMDAAAj/at6FU1giEOx29oVTWCDdDSVEuQU1FWDpBUEhCLklRX1RPVEFMX1JFVi5DWTIwMTcuNy8zMS8yMDE4LkxGUi5GLlVTRC5IAQAAACKJAAACAAAABTAuMTE1AQgAAAAFAAAAATEBAAAACjE4NzgzNjM3MzQDAAAAAzE2MAIAAAACMjgEAAAAATAHAAAACTcvMzEvMjAxOAgAAAAKMTIvMzEvMjAxNwkAAAABMEo8i7qhVNYIF9LCv6FU1gg/Q0lRLk5BU0RBUUdNOkNSQlAuSVFfTkVUX1dPUktJTkdfQ0FQLjE5OTIuNy8zMS8y</t>
  </si>
  <si>
    <t>MDE4LkxGUi5GLlVTRC5IAQAAACRvJA8CAAAACS0zLjUwODg5NwEIAAAABQAAAAExAQAAAAoxODQwODQ2Mzk1AwAAAAMxNjACAAAABDEzMTEEAAAAATAHAAAACTcvMzEvMjAxOAgAAAAJMy8zMS8yMDE2CQAAAAEwN9bGuqFU1giV5ra/oVTWCCFDSVEuSVFUUjI4NjQxMDczNi5JUV9UUl9CVVlFUk5BTUUBAAAA8EcSEQMAAAAPQXN0cmFaZW5lY2EgUExDAAI/2rehVNYIusQmvaFU1gg4Q0lRLk5BU0RBUUNNOkdMTUQuSVFfRUJJVERBLkNZMjAxNy43LzMxLzIwMTguTEZSLkYuVVNELkgBAAAAJGfXBgIAAAAHLTEyLjEyNQEIAAAABQAAAAExAQAAAAoxODc4MDg4NTY0AwAAAAMxNjACAAAABDQwNTEEAAAAATAHAAAACTcvMzEvMjAxOAgAAAAKMTIvMzEvMjAxNwkAAAABMDfWxrqhVNYI8iGyv6FU1ggjQ0lRLklRVFIzMTMyNTE4NzcuSVFfVFJfVE9UQUxfU1RPQ0sBAAAAJdirEgIAAAAAAAI/2rehVNYIMtkavaFU1gg8Q0lRLk5BU0RBUUdTOlNWUkEuSVFfRUJJVERBX0VTVC5DWTIwMjAuNy8zMS8yMDE4LkNPTi5GLlVTRC5IAQAAAHV/hwMCAAAABy0zNC4zMzgBDgAAAAUAAAACMTEBAAAAATACAAAACjEwMDM3NDg3ODgDAAAABjEwMDE4NwQAAAABMgYAAAABMAcAAAADMTYwCAAAAAEwCQAAAAExCgAAAAEwCwAAAAsxMDc4NzkxNzYwMgwAAAABNw0AAAAIOC8xLzIwMTgQAAAACTcvMzEvMjAxODfWxrqhVNYIpL+v</t>
  </si>
  <si>
    <t>v6FU1gg2Q0lRLk5ZU0U6S0RNTi5JUV9UT1RBTF9ERUJULjIwMDAuNy8zMS8yMDE4LkxGUi5GLlVTRC5IAQAAAFPI2QYCAAAABjMzLjA4MQEIAAAABQAAAAExAQAAAAoxODg3NDQ1MzU1AwAAAAMxNjACAAAABDQxNzMEAAAAATAHAAAACTcvMzEvMjAxOAgAAAAJMy8zMS8yMDE4CQAAAAEwN9bGuqFU1gjw+qq/oVTWCDtDSVEuTkFTREFRQ006R0xNRC5JUV9FQklUX01BUkdJTi4yMDAwLjcvMzEvMjAxOC5MRlIuRi5VU0QuSAEAAAAkZ9cGAwAAAAJOTQEIAAAABQAAAAExAQAAAAoxODg4NDkyMzkzAwAAAAMxNjACAAAABDQwNTMEAAAAATAHAAAACTcvMzEvMjAxOAgAAAAJMy8zMS8yMDE4CQAAAAEwN9bGuqFU1gjyIbK/oVTWCDtDSVEuRU5YVEFNOkdMUEcuSVFfUkVWRU5VRV9FU1QuQ1kyMDE5LjcvMzEvMjAxOC5DT04uRi5VU0QuSAEAAACyMRoAAgAAABAyNjAuOTk4MTUxMDQ4MzQ0AQ4AAAAFAAAAAjExAQAAAAEwAgAAAAoxMDAwNDY4NTUzAwAAAAYxMDAxODAEAAAAATMGAAAAATAHAAAAAzE2MAgAAAABMAkAAAABMQoAAAABMAsAAAALMTEwMDExNTM3MjQMAAAAATcNAAAACDgvMS8yMDE4EAAAAAk3LzMxLzIwMTgEopi7oVTWCLZxob+hVNYIPUNJUS5OQVNEQVFHUzpGR0VOLklRX1JFVkVOVUVfRVNULkNZMjAxOS43LzMxLzIwMTguQ09OLkYuVVNELkgBAAAARG8AAAIAAAAIMzM0LjE1MjIBDgAAAAUAAAAC</t>
  </si>
  <si>
    <t>MTEBAAAAATACAAAACjEwMDI5Mjc0OTkDAAAABjEwMDE4MAQAAAABMgYAAAABMAcAAAADMTYwCAAAAAEwCQAAAAExCgAAAAEwCwAAAAsxMTAwNDk1ODE5NwwAAAABNw0AAAAIOC8xLzIwMTgQAAAACTcvMzEvMjAxOASimLuhVNYIbw+fv6FU1ggwQ0lRLklRVFI0MDIwMzQ1NjkuSVFfVFJfVEFSR0VUX0VCSVREQV9FU1QuLlVTRC5IAQAAAImP9hcCAAAAAAACP9q3oVTWCGFiJL2hVNYIRkNJUS5OQVNEQVFHUzpTVlJBLklRX1RPVEFMX1JFVl81WVJfQU5OX0NBR1IuMjAwMC43LzMxLzIwMTguTEZSLkYuVVNELkgBAAAAdX+HAwMAAAAAADfWxrqhVNYI8iGyv6FU1gglQ0lRLklRVFIzMzAwMzExODQuSVFfVFJfTUFKX01JTl9TVEFLRQEAAABQ4KsTAwAAAAhNYWpvcml0eQACP9q3oVTWCDLZGr2hVNYIN0NJUS5BU1g6SU1DLklRX1JFVkVOVUVfRVNULkNZMjAxOS43LzMxLzIwMTguQ09OLkYuVVNELkgBAAAA80x1AAMAAAAAADfWxrqhVNYIdw2+v6FU1gg5Q0lRLk5BU0RBUUdTOkZHRU4uSVFfTklfTUFSR0lOLjIwMDAuNy8zMS8yMDE4LkxGUi5GLlVTRC5IAQAAAERvAAACAAAACS0xMDYuODk2NQEIAAAABQAAAAExAQAAAAoxODg3NjY5NTQzAwAAAAMxNjACAAAABDQwOTQEAAAAATAHAAAACTcvMzEvMjAxOAgAAAAJMy8zMS8yMDE4CQAAAAEwBKKYu6FU1ghvD5+/oVTWCD1DSVEuTkFTREFRR1M6SUNQVC5JUV9S</t>
  </si>
  <si>
    <t>RVZFTlVFX0VTVC5DWTIwMjEuNy8zMS8yMDE4LkNPTi5GLlVTRC5IAQAAAIKvrQACAAAACDYzNy42MzI1AQ4AAAAFAAAAAjExAQAAAAEwAgAAAAoxMDAxOTQxNzQ4AwAAAAYxMDAxODAEAAAAATIGAAAAATAHAAAAAzE2MAgAAAABMAkAAAABMQoAAAABMAsAAAALMTA5NzUwMzE2ODcMAAAAATcNAAAACDgvMS8yMDE4EAAAAAk3LzMxLzIwMTgEopi7oVTWCFY2pr+hVNYIMENJUS5BU1g6MUFELklRX0VCSVREQS4xOTk2LjcvMzEvMjAxOC5MRlIuRi5VU0QuSAEAAADFoKQDAgAAAAktMS45ODc1NDEBCAAAAAUAAAABMQEAAAAKMTg3NjE4NzAyNAMAAAADMTYwAgAAAAQ0MDUxBAAAAAEwBwAAAAk3LzMxLzIwMTgIAAAACjEyLzMxLzIwMTYJAAAAATBKPIu6oVTWCMxvwL+hVNYIL0NJUS5JUVRSMzQ3NTkxNTkxLklRX1RSX1RBUkdFVF9UT1RBTF9SRVYuLlVTRC5IAQAAAKfTtxQCAAAAAAACP9q3oVTWCIQ7Hb2hVNYINkNJUS5OQVNEQVFHUzpTVlJBLklRX0VCSVREQS4xOTk2LjcvMzEvMjAxOC5MRlIuRi5VU0QuSAEAAAB1f4cDAgAAAActMTMuNTc5AQgAAAAFAAAAATEBAAAACjE4ODc3NjMwNzQDAAAAAzE2MAIAAAAENDA1MQQAAAABMAcAAAAJNy8zMS8yMDE4CAAAAAkzLzMxLzIwMTcJAAAAATA31sa6oVTWCKS/r7+hVNYIKUNJUS5JUVRSNDI4MTAxMDM0LklRX0JVU0lORVNTX0RFU0NSSVBUSU9OAQAAAB1r+QID</t>
  </si>
  <si>
    <t>AAAA0wVBcyBvZiBKdWx5IDI0LCAyMDE3LCBOaXZhbGlzIFRoZXJhcGV1dGljcywgSW5jLiB3YXMgYWNxdWlyZWQgYnkgQWxwaW5lIEltbXVuZSBTY2llbmNlcyBJbmMuIGluIGEgcmV2ZXJzZSBtZXJnZXIgdHJhbnNhY3Rpb24uIE5pdmFsaXMgVGhlcmFwZXV0aWNzLCBJbmMuLCBhIHBoYXJtYWNldXRpY2FsIGNvbXBhbnksIGZvY3VzZXMgb24gdGhlIGRpc2NvdmVyeSBhbmQgZGV2ZWxvcG1lbnQgb2YgcHJvZHVjdCBjYW5kaWRhdGVzIGZvciBwYXRpZW50cyB3aXRoIGN5c3RpYyBmaWJyb3NpcyBpbiB0aGUgVW5pdGVkIFN0YXRlcy4gSXRzIGxlYWQgcHJvZHVjdCBjYW5kaWRhdGUgaXMgTjkxMTE1LCBhIHNtYWxsIG1vbGVjdWxlIGluaGliaXRvciwgd2hpY2ggaXMgaW4gUGhhc2UgSUkgY2xpbmljYWwgdHJpYWwgdGhhdCBhZGRyZXNzZXMgYSBkZWZlY3QgaW4gY3lzdGljIGZpYnJvc2lzIHRyYW5zbWVtYnJhbmUgY29uZHVjdGFuY2UgcmVndWxhdG9yIHJlc3VsdGluZyBmcm9tIG11dGF0aW9ucy4gVGhlIGNvbXBhbnkgd2FzIGZvcm1lcmx5IGtub3duIGFzIE4zMCBQaGFybWFjZXV0aWNhbHMsIEluYy4gYW5kIGNoYW5nZWQgaXRzIG5hbWUgdG8gTml2YWxpcyBUaGVyYXBldXRpY3MsIEluYy4gaW4gRmVicnVhcnkgMjAxNS4gTml2YWxpcyBUaGVyYXBldXRpY3MsIEluYy4gd2FzIGZvdW5kZWQgaW4g</t>
  </si>
  <si>
    <t>MjAwNyBhbmQgaXMgaGVhZHF1YXJ0ZXJlZCBpbiBCb3VsZGVyLCBDb2xvcmFkby4AAj/at6FU1ggaACK9oVTWCEZDSVEuTkFTREFRQ006UFVMTS5JUV9UT1RBTF9SRVZfMllSX0FOTl9DQUdSLjIwMDAuNy8zMS8yMDE4LkxGUi5GLlVTRC5IAQAAAJ9smgECAAAACC00Mi44MDk0AQgAAAAFAAAAATEBAAAACjE4ODgxMTYyMjcDAAAAAzE2MAIAAAAENDIwNwQAAAABMAcAAAAJNy8zMS8yMDE4CAAAAAkzLzMxLzIwMTgJAAAAATBKPIu6oVTWCBfSwr+hVNYINkNJUS5OQVNEQVFHTTpDTkFULklRX0VCSVREQS4xOTkyLjcvMzEvMjAxOC5MRlIuRi5VU0QuSAEAAABlZ9YBAgAAAAotMjUuMzYyODg0AQgAAAAFAAAAATEBAAAACjE4NDIwNTUyOTUDAAAAAzE2MAIAAAAENDA1MQQAAAABMAcAAAAJNy8zMS8yMDE4CAAAAAkzLzMxLzIwMTYJAAAAATA31sa6oVTWCCKru7+hVNYII0NJUS5JUVRSNTQ4NzA0ODE5LklRX1RSX0NMT1NFRF9EQVRFAQAAADOStCAFAAAACTIvMjgvMjAxOAACP9q3oVTWCIQ7Hb2hVNYINUNJUS5BU1g6MUFELklRX0VCSVRfTUFSR0lOLjIwMDAuNy8zMS8yMDE4LkxGUi5GLlVTRC5IAQAAAMWgpAMCAAAACS0yMzAuMTIzNgEIAAAABQAAAAExAQAAAAoxODc2MTg1NzkxAwAAAAE5AgAAAAQ0MDUzBAAAAAEwBwAAAAk3LzMxLzIwMTgIAAAACjEyLzMxLzIwMTcJAAAAATBKPIu6oVTWCMxvwL+hVNYI</t>
  </si>
  <si>
    <t>OkNJUS5OQVNEQVFDTTpHQUxULklRX1RPVEFMX0RFQlQuMjAwMC43LzMxLzIwMTguTEZSLkYuVVNELkgBAAAAx0EQAAIAAAABMAEIAAAABQAAAAExAQAAAAoxODg4MjQyMzk2AwAAAAMxNjACAAAABDQxNzMEAAAAATAHAAAACTcvMzEvMjAxOAgAAAAJMy8zMS8yMDE4CQAAAAEwN9bGuqFU1ghHhLS/oVTWCCtDSVEuSVFUUjQxNTYxMTgxNS5JUV9UUl9JTVBMSUVEX0VWX0VCSVRfRldEAQAAAKe7xRgCAAAAAAACP9q3oVTWCDLZGr2hVNYIOkNJUS5OQVNEQVFHUzpJQ1BULklRX1RPVEFMX0RFQlQuMjAwMC45LzMwLzIwMTYuTEZSLkYuVVNELkgBAAAAgq+tAAIAAAABMAEIAAAABQAAAAExAQAAAAoxODAyODkyOTIzAwAAAAMxNjACAAAABDQxNzMEAAAAATAHAAAACTkvMzAvMjAxNggAAAAJNi8zMC8yMDE2CQAAAAEwBKKYu6FU1ghWNqa/oVTWCDdDSVEuQU1FWDpBUEhCLklRX1RPVEFMX1JFVi5DWTIwMTYuNy8zMS8yMDE4LkxGUi5GLlVTRC5IAQAAACKJAAACAAAABDAuMjYBCAAAAAUAAAABMQEAAAAKMTg3ODM2MzczMQMAAAADMTYwAgAAAAIyOAQAAAABMAcAAAAJNy8zMS8yMDE4CAAAAAoxMi8zMS8yMDE2CQAAAAEwSjyLuqFU1ggX0sK/oVTWCEJDSVEuKElOVkFMSUQgSURFTlRJRklFUikuSVFfUFJFRl9FUVVJVFkuMjAwMC45LzMwLzIwMTYuTEZSLkYuVVNELkgFAAAAAAAAAAgAAAAUKEludmFsaWQgSWRl</t>
  </si>
  <si>
    <t>bnRpZmllcilKPIu6oVTWCBYe8L+hVNYIQ0NJUS4oSU5WQUxJRCBJREVOVElGSUVSKS5JUV9FQVJOSU5HX0NPLkNZMjAxNi43LzMxLzIwMTguTEZSLkYuVVNELkgFAAAAAAAAAAgAAAAUKEludmFsaWQgSWRlbnRpZmllcilKPIu6oVTWCMe77b+hVNYIKkNJUS5JUVRSNDI4MTAxMDM0LklRX1RSX1RBUkdFVF9FQklULi5VU0QuSAEAAACqTYQZAgAAAActMjkuNTA3AQYAAAAFAAAAAjM3AQAAAAoxODQzMzg0NjY4AgAAAAUyMTY3NQMAAAADMTYwBAAAAAEwBwAAAAgxLzEvMTkwMAI/2rehVNYIGgAivaFU1ggsQ0lRLk5BU0RBUUNNOlBVTE0uSVFfTEFTVFNBTEVQUklDRS45LzMwLzIwMTYBAAAAn2yaAQIAAAAEMS42NQBKPIu6oVTWCBfSwr+hVNYIO0NJUS5OQVNEQVFDTTpHQUxULklRX1BSRUZfRVFVSVRZLjIwMDAuOS8zMC8yMDE2LkxGUi5GLlVTRC5IAQAAAMdBEAACAAAABTcuNjgxAQgAAAAFAAAAATEBAAAACjE4MDI0ODgxNTADAAAAAzE2MAIAAAAEMTAwNQQAAAABMAcAAAAJOS8zMC8yMDE2CAAAAAk2LzMwLzIwMTYJAAAAATA31sa6oVTWCEeEtL+hVNYIP0NJUS4oSU5WQUxJRCBJREVOVElGSUVSKS5JUV9FQklUREEuQ1kyMDE3LjcvMzEvMjAxOC5MRlIuRi5VU0QuSAUAAAAAAAAACAAAABQoSW52YWxpZCBJZGVudGlmaWVyKUo8i7qhVNYIx7vtv6FU1ggaQ0lRLi5JUV9CRVRBXzVZUi43LzMxLzIwMTgF</t>
  </si>
  <si>
    <t>AAAAAQAAAAgAAAAUKEludmFsaWQgSWRlbnRpZmllcikcrLm+oVTWCBysub6hVNYINUNJUS5OQVNEQVFDTTpNR0VOLklRX0NBUEVYLjIwMDAuNy8zMS8yMDE4LkxGUi5GLlVTRC5IAQAAAG/irgICAAAABi0wLjI5NwEIAAAABQAAAAExAQAAAAoxODg3Njc2OTM1AwAAAAMxNjACAAAABDIwMjEEAAAAATAHAAAACTcvMzEvMjAxOAgAAAAJMy8zMS8yMDE4CQAAAAEwN9bGuqFU1ggiq7u/oVTWCEFDSVEuRU5YVFBBOkdORlQuSVFfRUJJVERBXzVZUl9BTk5fQ0FHUi4yMDAwLjcvMzEvMjAxOC5MRlIuRi5VU0QuSAEAAAAiwZMAAwAAAAJOTQEIAAAABQAAAAExAQAAAAoxODkwNjE5NjQ4AwAAAAI1MAIAAAAENDIzNQQAAAABMAcAAAAJNy8zMS8yMDE4CAAAAAoxMi8zMS8yMDE3CQAAAAEwN9bGuqFU1gjw+qq/oVTWCDdDSVEuRU5YVEFNOkdMUEcuSVFfVE9UQUxfUkVWLjE5OTYuNy8zMS8yMDE4LkxGUi5GLlVTRC5IAQAAALIxGgACAAAACjE4OC44OTg2MzEBCAAAAAUAAAABMQEAAAAKMTg4NTQ4NDc0MwMAAAADMTYwAgAAAAIyOAQAAAABMAcAAAAJNy8zMS8yMDE4CAAAAAkzLzMxLzIwMTcJAAAAATAEopi7oVTWCLZxob+hVNYIGENJUS4uSVFfVFJfTUFKX01JTl9TVEFLRQUAAAABAAAACAAAABQoSW52YWxpZCBJZGVudGlmaWVyKapBlruhVNYIqkGWu6FU1gg8Q0lRLk5BU0RBUUdTOklOU00uSVFfRUJJVERBX0VT</t>
  </si>
  <si>
    <t>VC5DWTIwMTguNy8zMS8yMDE4LkNPTi5GLlVTRC5IAQAAABp1AAACAAAACi0yOTcuMzA5MjEBDgAAAAUAAAACMTEBAAAAATACAAAACjEwMDEwMDE0NzUDAAAABjEwMDE4NwQAAAABMgYAAAABMAcAAAADMTYwCAAAAAEwCQAAAAExCgAAAAEwCwAAAAsxMDk4NDMzNzcwNgwAAAABNw0AAAAIOC8xLzIwMTgQAAAACTcvMzEvMjAxOASimLuhVNYIm5iov6FU1gguQ0lRLklRVFIzMTMyNTE4NzcuSVFfVFJfVEFSR0VUX1NUT0NLUFJFTUlVTV8xVwEAAAAl2KsSAgAAAAAAAj/at6FU1ghhYiS9oVTWCDxDSVEuTkFTREFRR1M6U1ZSQS5JUV9HUk9TU19NQVJHSU4uMjAwMC43LzMxLzIwMTguTEZSLkYuVVNELkgBAAAAdX+HAwMAAAAAADfWxrqhVNYIpL+vv6FU1gglQ0lRLklRVFIyNTM4NzcyMDMuSVFfVFJfTUFKX01JTl9TVEFLRQEAAADT2yEPAwAAAAhNYWpvcml0eQACP9q3oVTWCMWdH72hVNYILkNJUS5OQVNEQVFDTTpQVUxNLklRX01BUktFVENBUC43LzMxLzIwMTguVVNELkgBAAAAn2yaAQIAAAAJMTkuMjg2NTIyAQYAAAAFAAAAATEBAAAACjE4ODgxMTYwODQDAAAAAzE2MAIAAAAGMTAwMDU0BAAAAAEwBwAAAAk3LzMxLzIwMThKPIu6oVTWCBfSwr+hVNYIPENJUS5OQVNEQVFHUzpWUlRYLklRX0VBUk5JTkdfQ08uQ1kyMDE2LjcvMzEvMjAxOC5MRlIuRi5VU0QuSAEAAACLjQAAAgAAAActODQuMDMxAQgAAAAF</t>
  </si>
  <si>
    <t>AAAAATEBAAAACjE4NzQ1MzEzNTYDAAAAAzE2MAIAAAABNwQAAAABMAcAAAAJNy8zMS8yMDE4CAAAAAoxMi8zMS8yMDE2CQAAAAEwBKKYu6FU1ggMrZy/oVTWCDBDSVEuSVFUUjUzMTkyMDUwNy5JUV9UUl9UQVJHRVRfRUJJVERBX0VTVC4uVVNELkgBAAAAe3a0HwIAAAAAAAI/2rehVNYIYWIkvaFU1ghCQ0lRLk5ZU0U6S0RNTi5JUV9UT1RBTF9SRVZfNVlSX0FOTl9DQUdSLjIwMDAuNy8zMS8yMDE4LkxGUi5GLlVTRC5IAQAAAFPI2QYDAAAAAAA31sa6oVTWCFVdrb+hVNYIOUNJUS5OWVNFOktETU4uSVFfUkVWRU5VRV9FU1QuQ1kyMDIwLjcvMzEvMjAxOC5DT04uRi5VU0QuSAEAAABTyNkGAgAAAAcxMjUuNzI1AQ4AAAAFAAAAAjExAQAAAAEwAgAAAAoxMDAzNDgxODgyAwAAAAYxMDAxODAEAAAAATIGAAAAATAHAAAAAzE2MAgAAAABMAkAAAABMQoAAAABMAsAAAALMTA4ODY3MDcxNzMMAAAAATcNAAAACDgvMS8yMDE4EAAAAAk3LzMxLzIwMTg31sa6oVTWCPD6qr+hVNYIJ0NJUS5OQVNEQVFHTTpQUlFSLklRX0JFVEFfMllSLjcvMzEvMjAxOAEAAADv7FwNAgAAABAxLjg4NTk1OTYwMjg4NTIzADfWxrqhVNYI2ki5v6FU1ggnQ0lRLk5BU0RBUUdTOlZSVFguSVFfQkVUQV8xWVIuNy8zMS8yMDE4AQAAAIuNAAACAAAAEDEuMTExMzgwNTgwMzQ2MjYABKKYu6FU1ggMrZy/oVTWCDdDSVEuQVNYOjFBRC5JUV9S</t>
  </si>
  <si>
    <t>RVZFTlVFX0VTVC5DWTIwMjEuNy8zMS8yMDE4LkNPTi5GLlVTRC5IAQAAAMWgpAMDAAAAAABKPIu6oVTWCMxvwL+hVNYILkNJUS5JUVRSNDAyMDM0NTY5LklRX1RSX1RBUkdFVF9TVE9DS1BSRU1JVU1fMVcBAAAAiY/2FwIAAAAAAAI/2rehVNYIhDsdvaFU1ghHQ0lRLk5BU0RBUUdNOk1OT1YuSVFfTUlOT1JJVFlfSU5URVJFU1RfVE9UQUwuMjAwMC43LzMxLzIwMTguTEZSLkYuVVNELkgBAAAAuFSNAAMAAAAAADfWxrqhVNYIVV2tv6FU1ghDQ0lRLk5BU0RBUUdTOlNWUkEuSVFfRUJJVERBXzJZUl9BTk5fQ0FHUi4yMDAwLjcvMzEvMjAxOC5MRlIuRi5VU0QuSAEAAAB1f4cDAwAAAAAAN9bGuqFU1gjyIbK/oVTWCCVDSVEuSVFUUjI1NjY4MzY1NS5JUV9UUl9JTVBMSUVEX0VRX0JWAQAAAIeuTA8CAAAAAAACP9q3oVTWCLrEJr2hVNYIPUNJUS5OQVNEQVFHUzpTVlJBLklRX1JFVkVOVUVfRVNULkNZMjAxOS43LzMxLzIwMTguQ09OLkYuVVNELkgBAAAAdX+HAwIAAAAHMC4xNjY2NwEOAAAABQAAAAIxMQEAAAABMAIAAAAKMTAwMzc0ODc4MwMAAAAGMTAwMTgwBAAAAAEyBgAAAAEwBwAAAAMxNjAIAAAAATAJAAAAATEKAAAAATALAAAACzEwOTIxMTgxNDMwDAAAAAE3DQAAAAg4LzEvMjAxOBAAAAAJNy8zMS8yMDE4N9bGuqFU1gikv6+/oVTWCDZDSVEuQVNYOjFBRC5JUV9FQklUREFfRVNULkNZMjAxOC43LzMx</t>
  </si>
  <si>
    <t>LzIwMTguQ09OLkYuVVNELkgBAAAAxaCkAwMAAAAAAEo8i7qhVNYIzG/Av6FU1ggeQ0lRLjAuSVFfVFJfVEFSR0VUX0VCSVQuLlVTRC5IBQAAAAAAAAAIAAAAGChJbnZhbGlkIFRyYW5zYWN0aW9uIElkKQI/2rehVNYIYWIkvaFU1gg9Q0lRLk5BU0RBUUdNOlBSUVIuSVFfUkVWRU5VRV9FU1QuQ1kyMDE5LjcvMzEvMjAxOC5DT04uRi5VU0QuSAEAAADv7FwNAgAAAAU0LjY5NQEOAAAABQAAAAIxMQEAAAABMAIAAAAKMTAwMjg4NzYzNAMAAAAGMTAwMTgwBAAAAAEzBgAAAAEwBwAAAAMxNjAIAAAAATAJAAAAATEKAAAAATALAAAACzEwODI2MDcxMjkxDAAAAAE3DQAAAAg4LzEvMjAxOBAAAAAJNy8zMS8yMDE4N9bGuqFU1giV5ra/oVTWCB9DSVEuQVNYOjFBRC5JUV9GSVJTVFBSSUNJTkdEQVRFAQAAAMWgpAMFAAAACTgvMjIvMjAxNgBKPIu6oVTWCLs3W72hVNYIOUNJUS5OQVNEQVFDTTpNREdMLklRX05JX01BUkdJTi4yMDAwLjcvMzEvMjAxOC5MRlIuRi5VU0QuSAEAAABMm6MIAwAAAAAABKKYu6FU1ggB1KO/oVTWCDtDSVEuTkFTREFRR1M6U1ZSQS5JUV9QUkVGX0VRVUlUWS4yMDAwLjkvMzAvMjAxNi5MRlIuRi5VU0QuSAEAAAB1f4cDAwAAAAAAN9bGuqFU1gjyIbK/oVTWCCVDSVEuSVFUUjI1NjY4MzY1NS5JUV9UUl9NQUpfTUlOX1NUQUtFAQAAAIeuTA8DAAAACE1ham9yaXR5AAI/2rehVNYIGgAivaFU</t>
  </si>
  <si>
    <t>1gghQ0lRLk5BU0RBUUdTOlZSVFguSVFfQ09NUEFOWV9OQU1FAQAAAIuNAAADAAAAI1ZlcnRleCBQaGFybWFjZXV0aWNhbHMgSW5jb3Jwb3JhdGVkAKpBlruhVNYIrhI1vaFU1gg6Q0lRLk5BU0RBUUdTOlZSVFguSVFfVE9UQUxfREVCVC4yMDAwLjkvMzAvMjAxNi5MRlIuRi5VU0QuSAEAAACLjQAAAgAAAAc4MjAuNjM0AQgAAAAFAAAAATEBAAAACjE4MDEzMDYwNzMDAAAAAzE2MAIAAAAENDE3MwQAAAABMAcAAAAJOS8zMC8yMDE2CAAAAAk2LzMwLzIwMTYJAAAAATAEopi7oVTWCAytnL+hVNYIOkNJUS5OQVNEQVFHUzpJTlNNLklRX1RPVEFMX0RFQlQuMjAwMC43LzMxLzIwMTguTEZSLkYuVVNELkgBAAAAGnUAAAIAAAAHMzAyLjcwNgEIAAAABQAAAAExAQAAAAoxODg2MDQyMzI4AwAAAAMxNjACAAAABDQxNzMEAAAAATAHAAAACTcvMzEvMjAxOAgAAAAJMy8zMS8yMDE4CQAAAAEwBKKYu6FU1ghWNqa/oVTWCDpDSVEuTkFTREFRR006UFJRUi5JUV9FQVJOSU5HX0NPLjIwMDAuNy8zMS8yMDE4LkxGUi5GLlVTRC5IAQAAAO/sXA0CAAAACi01Mi40NDM1NjQBCAAAAAUAAAABMQEAAAAKMTg4MDk4MTkwNwMAAAADMTYwAgAAAAE3BAAAAAEwBwAAAAk3LzMxLzIwMTgIAAAACjEyLzMxLzIwMTcJAAAAATA31sa6oVTWCNpIub+hVNYIP0NJUS5OQVNEQVFHTTpNTk9WLklRX05FVF9XT1JLSU5HX0NBUC4xOTkyLjcv</t>
  </si>
  <si>
    <t>MzEvMjAxOC5MRlIuRi5VU0QuSAEAAAC4VI0AAgAAAAktMC42Nzc0NDMBCAAAAAUAAAABMQEAAAAKMTg1MDQzOTk5OQMAAAADMTYwAgAAAAQxMzExBAAAAAEwBwAAAAk3LzMxLzIwMTgIAAAACTYvMzAvMjAxNgkAAAABMDfWxrqhVNYIVV2tv6FU1gg8Q0lRLk5BU0RBUUdNOk1OT1YuSVFfRUFSTklOR19DTy5DWTIwMTcuNy8zMS8yMDE4LkxGUi5GLlVTRC5IAQAAALhUjQACAAAACi0xMS4xNjMxMzYBCAAAAAUAAAABMQEAAAAKMTg3NDAyNTEwMwMAAAADMTYwAgAAAAE3BAAAAAEwBwAAAAk3LzMxLzIwMTgIAAAACjEyLzMxLzIwMTcJAAAAATA31sa6oVTWCKS/r7+hVNYIJ0NJUS5OQVNEQVFHUzpGR0VOLklRX0JFVEFfMVlSLjcvMzEvMjAxOAEAAABEbwAAAgAAABAxLjQ3NDAwMTg5NTExMDczAASimLuhVNYIbw+fv6FU1ghGQ0lRLk5BU0RBUUdTOkZHRU4uSVFfVE9UQUxfUkVWXzVZUl9BTk5fQ0FHUi4yMDAwLjcvMzEvMjAxOC5MRlIuRi5VU0QuSAEAAABEbwAAAwAAAAAABKKYu6FU1gi2caG/oVTWCD5DSVEuTkFTREFRR006Q05BVC5JUV9DQVNIX1NUX0lOVkVTVC4yMDAwLjkvMzAvMjAxNi5MRlIuRi5VU0QuSAEAAABlZ9YBAgAAAAkzMC4yMDI1MjgBCAAAAAUAAAABMQEAAAAKMTgwMjcyOTY3MQMAAAADMTYwAgAAAAQxMDAyBAAAAAEwBwAAAAk5LzMwLzIwMTYIAAAACTYvMzAvMjAxNgkAAAABMDfWxrqh</t>
  </si>
  <si>
    <t>VNYIdw2+v6FU1gg1Q0lRLkFTWDpJTUMuSVFfVE9UQUxfUkVWLkNZMjAxNy43LzMxLzIwMTguTEZSLkYuVVNELkgBAAAA80x1AAIAAAAIMS4yNTkzNjMBCAAAAAUAAAABMQEAAAAKMTg3NzY1MDA5NgMAAAADMTYwAgAAAAIyOAQAAAABMAcAAAAJNy8zMS8yMDE4CAAAAAoxMi8zMS8yMDE3CQAAAAEwN9bGuqFU1gh3Db6/oVTWCDZDSVEuTkFTREFRQ006UFVMTS5JUV9FQklUREEuMTk5Ni43LzMxLzIwMTguTEZSLkYuVVNELkgBAAAAn2yaAQIAAAAHLTE0Ljk0NQEIAAAABQAAAAExAQAAAAoxODg4MTE2MjE4AwAAAAMxNjACAAAABDQwNTEEAAAAATAHAAAACTcvMzEvMjAxOAgAAAAJMy8zMS8yMDE3CQAAAAEwSjyLuqFU1ggX0sK/oVTWCDxDSVEuRU5YVEFNOkdMUEcuSVFfQ0FTSF9TVF9JTlZFU1QuMjAwMC43LzMxLzIwMTguTEZSLkYuVVNELkgBAAAAsjEaAAIAAAALMTM2NS4yNjU0OTIBCAAAAAUAAAABMQEAAAAKMTg4NTQ4NDc1NQMAAAADMTYwAgAAAAQxMDAyBAAAAAEwBwAAAAk3LzMxLzIwMTgIAAAACTMvMzEvMjAxOAkAAAABMASimLuhVNYItnGhv6FU1gg2Q0lRLk5BU0RBUUNNOk1HRU4uSVFfRUJJVERBLjE5OTYuNy8zMS8yMDE4LkxGUi5GLlVTRC5IAQAAAG/irgICAAAABy0yMC4wNTIBCAAAAAUAAAABMQEAAAAKMTg4NzY3NjkyMwMAAAADMTYwAgAAAAQ0MDUxBAAAAAEwBwAAAAk3LzMxLzIwMTgI</t>
  </si>
  <si>
    <t>AAAACTMvMzEvMjAxNwkAAAABMDfWxrqhVNYI2ki5v6FU1ggmQ0lRLkVOWFRQQTpHTkZULklRX1RFVi43LzMxLzIwMTguVVNELkgBAAAAIsGTAAIAAAAKNzU0LjMxMDI5NgEGAAAABQAAAAExAQAAAAoxODkwNjE5NjQ2AwAAAAMxNjACAAAABjEwMDA2MAQAAAABMAcAAAAJNy8zMS8yMDE4N9bGuqFU1gibmKi/oVTWCCFDSVEuTkFTREFRQ006TURHTC5JUV9DT01QQU5ZX05BTUUBAAAATJujCAMAAAAeTWFkcmlnYWwgUGhhcm1hY2V1dGljYWxzLCBJbmMuAKpBlruhVNYITSNnvaFU1gg1Q0lRLk5BU0RBUUdNOlBSUVIuSVFfQ0FQRVguMTk5Mi43LzMxLzIwMTguTEZSLkYuVVNELkgBAAAA7+xcDQIAAAAJLTEuNDA3NTQ4AQgAAAAFAAAAATEBAAAACjE4ODA5ODE4NTIDAAAAAzE2MAIAAAAEMjAyMQQAAAABMAcAAAAJNy8zMS8yMDE4CAAAAAoxMi8zMS8yMDE1CQAAAAEwN9bGuqFU1gjaSLm/oVTWCDlDSVEuTkFTREFRR1M6SUNQVC5JUV9UT1RBTF9SRVYuMjAwMC43LzMxLzIwMTguTEZSLkYuVVNELkgBAAAAgq+tAAIAAAAHMTQ1Ljg3MQEIAAAABQAAAAExAQAAAAoxODg4NjE1NTQwAwAAAAMxNjACAAAAAjI4BAAAAAEwBwAAAAk3LzMxLzIwMTgIAAAACTMvMzEvMjAxOAkAAAABMASimLuhVNYIVjamv6FU1gg0Q0lRLkFTWDpJTUMuSVFfRUFSTklOR19DTy4xOTk2LjcvMzEvMjAxOC5MRlIuRi5VU0QuSAEAAADz</t>
  </si>
  <si>
    <t>THUAAgAAAAktNC4yOTU1MTQBCAAAAAUAAAABMQEAAAAKMTg3NzY1MDk4OQMAAAADMTYwAgAAAAE3BAAAAAEwBwAAAAk3LzMxLzIwMTgIAAAACjEyLzMxLzIwMTYJAAAAATBKPIu6oVTWCHcNvr+hVNYILkNJUS5JUVRSNDAxOTc5Njg5LklRX1RSX1RBUkdFVF9TVE9DS1BSRU1JVU1fMU0BAAAAKbn1FwIAAAAINDgyLjEzNTUBBgAAAAUAAAACNTQBAAAABjEwMTA1NQIAAAAJNDAxOTc5Njg5AwAAAAk0MDE5ODA1OTcEAAAAAzE2MAYAAAAFRmFsc2UCP9q3oVTWCIQ7Hb2hVNYIIkNJUS5JUVRSMjUzODc3MjAzLklRX1RSX1BDVF9TT1VHSFQBAAAA09shDwIAAAADMTAwAAI/2rehVNYIGgAivaFU1gg+Q0lRLk5BU0RBUUdNOk1OT1YuSVFfVE9UQUxfRVFVSVRZLkNZMjAxNy43LzMxLzIwMTguTEZSLkYuVVNELkgBAAAAuFSNAAIAAAAIMzguNjQyMTQBCAAAAAUAAAABMQEAAAAKMTg3NDAyNTEwMwMAAAADMTYwAgAAAAQxMjc1BAAAAAEwBwAAAAk3LzMxLzIwMTgIAAAACjEyLzMxLzIwMTcJAAAAATA31sa6oVTWCKS/r7+hVNYIMENJUS4uSVFfUkVWRU5VRV9FU1QuQ1kyMDE5LjcvMzEvMjAxOC5DT04uRi5VU0QuSAUAAAABAAAACAAAABQoSW52YWxpZCBJZGVudGlmaWVyKRysub6hVNYIHKy5vqFU1ggxQ0lRLklRVFI1MzE5MjA1MDcuSVFfVFJfVEFSR0VUX1JFVkVOVUVfRVNULi5VU0QuSAEAAAB7drQfAgAAAAAA</t>
  </si>
  <si>
    <t>Aj/at6FU1giEOx29oVTWCCVDSVEuTkFTREFRQ006R0FMVC5JUV9GSVJTVFBSSUNJTkdEQVRFAQAAAMdBEAAFAAAACDkvNC8yMDAyADfWxrqhVNYI9OdrvaFU1gg1Q0lRLk5BU0RBUUdTOklDUFQuSVFfQ0FQRVguMjAwMC43LzMxLzIwMTguTEZSLkYuVVNELkgBAAAAgq+tAAIAAAAGLTYuNDU2AQgAAAAFAAAAATEBAAAACjE4ODg2MTU1NDADAAAAAzE2MAIAAAAEMjAyMQQAAAABMAcAAAAJNy8zMS8yMDE4CAAAAAkzLzMxLzIwMTgJAAAAATAEopi7oVTWCFY2pr+hVNYIKENJUS4uSVFfQ0FQRVguMTk5Mi43LzMxLzIwMTguTEZSLkYuVVNELkgFAAAAAQAAAAgAAAAUKEludmFsaWQgSWRlbnRpZmllcikcrLm+oVTWCBysub6hVNYILENJUS5JUVRSNTQ4NzA0ODE5LklRX1RSX1RPVEFMX0dST1NTX1RWLlVTRC5IBQAAAAAAAAAIAAAAGihJbnZhbGlkIEN1cnJlbmN5IFJlcXVlc3QpAj/at6FU1ghhYiS9oVTWCDpDSVEuRU5YVFBBOkdORlQuSVFfR1JPU1NfTUFSR0lOLjIwMDAuNy8zMS8yMDE4LkxGUi5GLlVTRC5IAQAAACLBkwACAAAAAzEwMAEIAAAABQAAAAExAQAAAAoxODkwNjE5NjQ4AwAAAAI1MAIAAAAENDA3NAQAAAABMAcAAAAJNy8zMS8yMDE4CAAAAAoxMi8zMS8yMDE3CQAAAAEwN9bGuqFU1gjw+qq/oVTWCC5DSVEuTkFTREFRR006Q05BVC5JUV9NQVJLRVRDQVAuNy8zMS8yMDE4LlVTRC5IAQAAAGVn</t>
  </si>
  <si>
    <t>1gECAAAACjEyMS43NTcxNzEBBgAAAAUAAAABMQEAAAAKMTg4NjYxMzk2MgMAAAADMTYwAgAAAAYxMDAwNTQEAAAAATAHAAAACTcvMzEvMjAxODfWxrqhVNYIIqu7v6FU1ggtQ0lRLk5BU0RBUUNNOlBVTE0uSVFfRElWSURFTkRfWUlFTEQuNy8zMS8yMDE4AQAAAJ9smgEDAAAAAABKPIu6oVTWCBfSwr+hVNYIKUNJUS5JUVRSMjYzNzA3Mjg5LklRX1RSX0lNUExJRURfRVFfTklfTFRNAQAAAJnatw8DAAAAAk5NAAI/2rehVNYIusQmvaFU1gg1Q0lRLkFNRVg6QVBIQi5JUV9OSV9NQVJHSU4uMjAwMC43LzMxLzIwMTguTEZSLkYuVVNELkgBAAAAIokAAAMAAAACTk0BCAAAAAUAAAABMQEAAAAKMTg4OTAxODg0NAMAAAADMTYwAgAAAAQ0MDk0BAAAAAEwBwAAAAk3LzMxLzIwMTgIAAAACTMvMzEvMjAxOAkAAAABMEo8i7qhVNYI7TTFv6FU1ggrQ0lRLklRVFIyNTk5ODU5NjIuSVFfVFJfVE9UQUxfR1JPU1NfVFYuLlVTRAEAAAAqEn8PAgAAAAo2MjUuNjY1MDA0AAI/2rehVNYIusQmvaFU1gg/Q0lRLk5BU0RBUUdNOlBSUVIuSVFfTkVUX1dPUktJTkdfQ0FQLjE5OTYuNy8zMS8yMDE4LkxGUi5GLlVTRC5IAQAAAO/sXA0CAAAACS00LjExMTY4NgEIAAAABQAAAAExAQAAAAoxODgwOTgxOTk4AwAAAAMxNjACAAAABDEzMTEEAAAAATAHAAAACTcvMzEvMjAxOAgAAAAKMTIvMzEvMjAxNgkAAAABMDfWxrqhVNYI2ki5</t>
  </si>
  <si>
    <t>v6FU1gg/Q0lRLk5BU0RBUUdTOlZSVFguSVFfTkVUX1dPUktJTkdfQ0FQLjE5OTIuNy8zMS8yMDE4LkxGUi5GLlVTRC5IAQAAAIuNAAACAAAABi0xLjExOQEIAAAABQAAAAExAQAAAAoxODUwOTAyNDkxAwAAAAMxNjACAAAABDEzMTEEAAAAATAHAAAACTcvMzEvMjAxOAgAAAAJNi8zMC8yMDE2CQAAAAEwBKKYu6FU1ggMrZy/oVTWCEVDSVEuKElOVkFMSUQgSURFTlRJRklFUikuSVFfQ0FTSF9TVF9JTlZFU1QuMjAwMC43LzMxLzIwMTguTEZSLkYuVVNELkgFAAAAAAAAAAgAAAAUKEludmFsaWQgSWRlbnRpZmllcilKPIu6oVTWCMe77b+hVNYIMENJUS5OQVNEQVFHTTpDUkJQLklRX0xBU1RTQUxFUFJJQ0UuNy8zMS8yMDE4LlVTRAEAAAAkbyQPAgAAAAQ1LjA1ADfWxrqhVNYIR4S0v6FU1gglQ0lRLklRVFI0MDIwMzQ1NjkuSVFfUFJJTUFSWV9JTkRVU1RSWQEAAAD+jWoTAwAAAA1CaW90ZWNobm9sb2d5AAI/2rehVNYIMtkavaFU1gg0Q0lRLkFTWDoxQUQuSVFfRUFSTklOR19DTy4xOTk2LjcvMzEvMjAxOC5MRlIuRi5VU0QuSAEAAADFoKQDAgAAAAktMS45ODE1ODQBCAAAAAUAAAABMQEAAAAKMTg3NjE4NzAyNAMAAAADMTYwAgAAAAE3BAAAAAEwBwAAAAk3LzMxLzIwMTgIAAAACjEyLzMxLzIwMTYJAAAAATBKPIu6oVTWCMxvwL+hVNYIIUNJUS5JUVRSMzEzMjUxODc3LklRX1RSX0JVWUVSTkFNRQEAAAAl</t>
  </si>
  <si>
    <t>2KsSAwAAABBSb2NoZSBIb2xkaW5nIEFHAAI/2rehVNYIhDsdvaFU1gg6Q0lRLk5BU0RBUUdTOlNWUkEuSVFfVE9UQUxfREVCVC4yMDAwLjkvMzAvMjAxNi5MRlIuRi5VU0QuSAEAAAB1f4cDAwAAAAAAN9bGuqFU1gjyIbK/oVTWCC9DSVEuQVNYOjFBRC5JUV9DQVBFWC4yMDAwLjcvMzEvMjAxOC5MRlIuRi5VU0QuSAEAAADFoKQDAgAAAAktMC4wMDYyODgBCAAAAAUAAAABMQEAAAAKMTg3NjE4NTc5MQMAAAADMTYwAgAAAAQyMDIxBAAAAAEwBwAAAAk3LzMxLzIwMTgIAAAACjEyLzMxLzIwMTcJAAAAATBKPIu6oVTWCMxvwL+hVNYIKUNJUS5JUVRSMjYzNzA3Mjg5LklRX0JVU0lORVNTX0RFU0NSSVBUSU9OAQAAAEkMlgcDAAAAsQdMdW1lbmEgUGhhcm1hY2V1dGljYWxzLCBJbmMuIGRldmVsb3BzIGFuZCBjb21tZXJjaWFsaXplcyBvcmFsIHRoZXJhcGV1dGljcyBmb3IgY2hvbGVzdGF0aWMgbGl2ZXIgZGlzZWFzZXMgYW5kIG1ldGFib2xpYyBkaXNvcmRlcnMuIFRoZSBjb21wYW554oCZcyBsZWFkIHByb2R1Y3QgY2FuZGlkYXRlIGluY2x1ZGVzIExVTTAwMSwgYW4gb3JhbGx5LWFkbWluaXN0ZXJlZCwgcG90ZW50LCBhbmQgc2VsZWN0aXZlIGFwaWNhbCBzb2RpdW0tZGVwZW5kZW50IGJpbGUgYWNpZCB0cmFuc3BvcnRlciAoQVNCVCkgaW5oaWJpdG9yIHRoYXQgaXMgaW4gUGhhc2UgSUkgY2xpbmljYWwg</t>
  </si>
  <si>
    <t>dHJpYWxzIGluIGNoaWxkcmVuIGZvciB0aGUgdHJlYXRtZW50IG9mIG9ycGhhbiBjaG9sZXN0YXRpYyBsaXZlciBkaXNlYXNlcyBjb21wcmlzaW5nIEFsYWdpbGxlIHN5bmRyb21lIGFuZCBwcm9ncmVzc2l2ZSBmYW1pbGlhbCBpbnRyYWhlcGF0aWMgY2hvbGVzdGFzaXMsIGFzIHdlbGwgYXMgaXMgaW4gUGhhc2UgSUkgY2xpbmljYWwgdHJpYWxzIGluIGFkdWx0cyBmb3IgdGhlIHRyZWF0bWVudCBvZiBwcmltYXJ5IGJpbGlhcnkgY2lycmhvc2lzIGFuZCBwcmltYXJ5IHNjbGVyb3NpbmcgY2hvbGFuZ2l0aXMuIEl0IGFsc28gZGV2ZWxvcHMgTFVNMDAyLCBvcmFsbHktYWRtaW5pc3RlcmVkLCBwb3RlbnQsIGFuZCBzZWxlY3RpdmUgQVNCVCBpbmhpYml0b3IgaGFzIGNvbXBsZXRlZCBQaGFzZSBJIGNsaW5pY2FsIHRyaWFscyBmb3IgdGhlIHRyZWF0bWVudCBvZiBub25hbGNvaG9saWMgc3RlYXRvaGVwYXRpdGlzLiBUaGUgY29tcGFueSB3YXMgZm91bmRlZCBpbiAyMDExIGFuZCBpcyBiYXNlZCBpbiBTYW4gRGllZ28sIENhbGlmb3JuaWEuIEFzIG9mIEp1bmUgMTEsIDIwMTQsIEx1bWVuYSBQaGFybWFjZXV0aWNhbHMsIEluYy4gb3BlcmF0ZXMgYXMgYSBzdWJzaWRpYXJ5IG9mIFNoaXJlIHBsYy4AAj/at6FU1gjFnR+9oVTWCCNDSVEuQU1FWDpBUEhCLklRX0JFVEFfMllSLjcvMzEvMjAxOAEAAAAiiQAA</t>
  </si>
  <si>
    <t>AgAAABAxLjUwNzY1OTYxNzM0MjgxAEo8i7qhVNYI7TTFv6FU1ggrQ0lRLi5JUV9FQklUREEuQ1kyMDE2LjcvMzEvMjAxOC5MRlIuRi5VU0QuSAUAAAABAAAACAAAABQoSW52YWxpZCBJZGVudGlmaWVyKRysub6hVNYIHKy5vqFU1gg6Q0lRLkFNRVg6QVBIQi5JUV9UT1RBTF9FUVVJVFkuQ1kyMDE2LjcvMzEvMjAxOC5MRlIuRi5VU0QuSAEAAAAiiQAAAgAAAAU5LjcyMwEIAAAABQAAAAExAQAAAAoxODc4MzYzNzMxAwAAAAMxNjACAAAABDEyNzUEAAAAATAHAAAACTcvMzEvMjAxOAgAAAAKMTIvMzEvMjAxNgkAAAABMEo8i7qhVNYI7TTFv6FU1gg6Q0lRLk5BU0RBUUdNOkNOQVQuSVFfRUFSTklOR19DTy4xOTk2LjcvMzEvMjAxOC5MRlIuRi5VU0QuSAEAAABlZ9YBAgAAAAotMjYuMDg0NTU3AQgAAAAFAAAAATEBAAAACjE4ODY2MTczNDEDAAAAAzE2MAIAAAABNwQAAAABMAcAAAAJNy8zMS8yMDE4CAAAAAkzLzMxLzIwMTcJAAAAATA31sa6oVTWCHcNvr+hVNYIJUNJUS5JUVRSMzEzMjUxODc3LklRX1RSX0lNUExJRURfRVFfQlYBAAAAJdirEgIAAAAAAAI/2rehVNYIxZ0fvaFU1gglQ0lRLklRVFIxNzAyMjkzODYuSVFfVFJfTUFKX01JTl9TVEFLRQEAAACKfiUKAwAAAAhNYWpvcml0eQACP9q3oVTWCMWdH72hVNYIN0NJUS5FTlhUQU06R0xQRy5JUV9UT1RBTF9SRVYuMTk5Mi43LzMxLzIwMTguTEZSLkYu</t>
  </si>
  <si>
    <t>VVNELkgBAAAAsjEaAAIAAAAJNjMuMDY0NzQ2AQgAAAAFAAAAATEBAAAACjE4Mzg3NzY1MjUDAAAAAzE2MAIAAAACMjgEAAAAATAHAAAACTcvMzEvMjAxOAgAAAAJMy8zMS8yMDE2CQAAAAEwBKKYu6FU1gi2caG/oVTWCDxDSVEuTkFTREFRR006UFJRUi5JUV9UT1RBTF9FUVVJVFkuMjAwMC43LzMxLzIwMTguTEZSLkYuVVNELkgBAAAA7+xcDQIAAAAJNDcuMjIwMjIxAQgAAAAFAAAAATEBAAAACjE4ODA5ODE5MDcDAAAAAzE2MAIAAAAEMTI3NQQAAAABMAcAAAAJNy8zMS8yMDE4CAAAAAoxMi8zMS8yMDE3CQAAAAEwN9bGuqFU1gjaSLm/oVTWCDZDSVEuTkFTREFRR006TU5PVi5JUV9FQklUREEuMjAwMC43LzMxLzIwMTguTEZSLkYuVVNELkgBAAAAuFSNAAIAAAAKLTE1LjIzODMyMwEIAAAABQAAAAExAQAAAAoxODk2NzY2MTkxAwAAAAMxNjACAAAABDQwNTEEAAAAATAHAAAACTcvMzEvMjAxOAgAAAAJNi8zMC8yMDE4CQAAAAEwN9bGuqFU1ghVXa2/oVTWCBtDSVEuQVNYOklNQy5JUV9DT01QQU5ZX05BTUUBAAAA80x1AAMAAAAPSW1tdXJvbiBMaW1pdGVkADfWxrqhVNYInDk8vaFU1gg4Q0lRLk5BU0RBUUdNOkNSQlAuSVFfRUJJVERBLkNZMjAxNi43LzMxLzIwMTguTEZSLkYuVVNELkgBAAAAJG8kDwIAAAAKLTE5Ljg5NzM5NAEIAAAABQAAAAExAQAAAAoxODc4MDc3MDcxAwAAAAMxNjACAAAABDQwNTEE</t>
  </si>
  <si>
    <t>AAAAATAHAAAACTcvMzEvMjAxOAgAAAAKMTIvMzEvMjAxNgkAAAABMDfWxrqhVNYIlea2v6FU1ggqQ0lRLkVOWFRQQTpHTkZULklRX0xBU1RTQUxFUFJJQ0UuOS8zMC8yMDE2AQAAACLBkwACAAAACTI2LjMzMDU3OQA31sa6oVTWCPD6qr+hVNYII0NJUS5OWVNFOktETU4uSVFfQkVUQV8xWVIuNy8zMS8yMDE4AQAAAFPI2QYCAAAAEjAuMDU0MTc1OTE3MTM0ODk0NgA31sa6oVTWCFVdrb+hVNYILENJUS5JUVRSMTE3MjkxNDY1LklRX1RSX1RBUkdFVF9FQklUREEuLlVTRC5IAQAAAMm5/QYCAAAAAAACP9q3oVTWCGFiJL2hVNYIPUNJUS5OQVNEQVFDTTpHTE1ELklRX1JFVkVOVUVfRVNULkNZMjAyMS43LzMxLzIwMTguQ09OLkYuVVNELkgBAAAAJGfXBgIAAAAGMTYuNzY3AQ4AAAAFAAAAAjExAQAAAAEwAgAAAAoxMDAyNTYwNjc2AwAAAAYxMDAxODAEAAAAATIGAAAAATAHAAAAAzE2MAgAAAABMAkAAAABMQoAAAABMAsAAAALMTA5ODE2NzUwOTYMAAAAATcNAAAACDgvMS8yMDE4EAAAAAk3LzMxLzIwMTg31sa6oVTWCPIhsr+hVNYIQkNJUS5BTUVYOkFQSEIuSVFfVE9UQUxfUkVWXzNZUl9BTk5fQ0FHUi4yMDAwLjcvMzEvMjAxOC5MRlIuRi5VU0QuSAEAAAAiiQAAAgAAAAgtNDAuNDM4MgEIAAAABQAAAAExAQAAAAoxODg5MDE4ODQ0AwAAAAMxNjACAAAABDQyMjAEAAAAATAHAAAACTcvMzEvMjAxOAgAAAAJ</t>
  </si>
  <si>
    <t>My8zMS8yMDE4CQAAAAEwSjyLuqFU1gjtNMW/oVTWCDlDSVEuRU5YVFBBOkdORlQuSVFfRUJJVF9NQVJHSU4uMjAwMC43LzMxLzIwMTguTEZSLkYuVVNELkgBAAAAIsGTAAMAAAACTk0BCAAAAAUAAAABMQEAAAAKMTg5MDYxOTY0OAMAAAACNTACAAAABDQwNTMEAAAAATAHAAAACTcvMzEvMjAxOAgAAAAKMTIvMzEvMjAxNwkAAAABMDfWxrqhVNYI8Pqqv6FU1ggsQ0lRLklRVFIyNTY2ODM2NTUuSVFfVFJfVE9UQUxfR1JPU1NfVFYuVVNELkgFAAAAAAAAAAgAAAAaKEludmFsaWQgQ3VycmVuY3kgUmVxdWVzdCkCP9q3oVTWCLrEJr2hVNYIKkNJUS4oSU5WQUxJRCBJREVOVElGSUVSKS5JUV9DT01QQU5ZX1RJQ0tFUgUAAAAAAAAACAAAABQoSW52YWxpZCBJZGVudGlmaWVyKQI/2rehVNYIMtkavaFU1ggvQ0lRLklRVFI0MDE5Nzk2ODkuSVFfVFJfVEFSR0VUX1RPVEFMX1JFVi4uVVNELkgBAAAAKbn1FwIAAAAFMS4xNjUBBgAAAAUAAAACMzcBAAAACjE4MDI2MDM1NzMCAAAAAjI4AwAAAAMxNjAEAAAAATAHAAAACDEvMS8xOTAwAj/at6FU1ggaACK9oVTWCDlDSVEuTkFTREFRR1M6U1ZSQS5JUV9UT1RBTF9SRVYuMTk5Ni43LzMxLzIwMTguTEZSLkYuVVNELkgBAAAAdX+HAwIAAAADMC40AQgAAAAFAAAAATEBAAAACjE4ODc3NjMwNzQDAAAAAzE2MAIAAAACMjgEAAAAATAHAAAACTcvMzEvMjAxOAgAAAAJMy8z</t>
  </si>
  <si>
    <t>MS8yMDE3CQAAAAEwN9bGuqFU1gikv6+/oVTWCDxDSVEuTkFTREFRQ006TUdFTi5JUV9FQklUREFfRVNULkNZMjAxOS43LzMxLzIwMTguQ09OLkYuVVNELkgBAAAAb+KuAgMAAAAAADfWxrqhVNYI2ki5v6FU1gg3Q0lRLk5BU0RBUUNNOk1HRU4uSVFfUEVSSU9EREFURV9JUy4yMDAwLjcvMzEvMjAxOC5MRlIuRgEAAABv4q4CBQAAAAkzLzMxLzIwMTgAN9bGuqFU1gjaSLm/oVTWCDJDSVEuTkFTREFRR1M6T1ZJRC5JUV9UT1RBTF9SRVYuMjAwMC4xMC8xOC8yMDE2Li4uLgEAAAAg0DcRAwAAAAAAAj/at6FU1gio1VO4oVTWCDpDSVEuRU5YVFBBOkdORlQuSVFfVE9UQUxfRVFVSVRZLjE5OTIuNy8zMS8yMDE4LkxGUi5GLlVTRC5IAQAAACLBkwACAAAACTYwLjE4NTcxOAEIAAAABQAAAAExAQAAAAoxODQzNjU5OTc4AwAAAAMxNjACAAAABDEyNzUEAAAAATAHAAAACTcvMzEvMjAxOAgAAAAKMTIvMzEvMjAxNQkAAAABMDfWxrqhVNYI8Pqqv6FU1ggsQ0lRLk5BU0RBUUdTOklDUFQuSVFfTEFTVFNBTEVQUklDRS45LzMwLzIwMTYBAAAAgq+tAAIAAAAGMTY0LjU5AKpBlruhVNYIVjamv6FU1ggvQ0lRLklRVFIzMTMyNTE4NzcuSVFfVFJfVEFSR0VUX1RPVEFMX1JFVi4uVVNELkgBAAAAJdirEgIAAAAAAAI/2rehVNYIYWIkvaFU1gggQ0lRLklRVFI0MDIwMzQ1NjkuSVFfVFJfRUFSTk9VVFMBAAAAiY/2FwIAAAAA</t>
  </si>
  <si>
    <t>AAI/2rehVNYIhDsdvaFU1gglQ0lRLklRVFIyNzAxMTEzNjguSVFfVFJfTUFKX01JTl9TVEFLRQEAAACIkhkQAwAAAAhNYWpvcml0eQACP9q3oVTWCMWdH72hVNYIIkNJUS5JUVRSNTQ4NzA0ODE5LklRX1RSX1RPVEFMX0NBU0gBAAAAM5K0IAIAAAAEMTEwMAEGAAAABQAAAAI1NAEAAAAGMTAxMDU2AgAAAAk1NDg3MDQ4MTkDAAAACTU0ODcwNzQ4MAQAAAADMTYwBgAAAAVGYWxzZQI/2rehVNYIMtkavaFU1ggkQ0lRLk5BU0RBUUdTOlNWUkEuSVFfRUZGRUNUX1RBWF9SQVRFAQAAAHV/hwMDAAAAAk5NAQgAAAAFAAAAATEBAAAACjE5MjA1MjEyNDcDAAAAAzE2MAIAAAAENDM3NgQAAAABMAcAAAAKMTEvMjcvMjAxOAgAAAAJOS8zMC8yMDE4CQAAAAEwN9bGuqFU1gjyIbK/oVTWCDFDSVEuSVFUUjI1NjY4MzY1NS5JUV9UUl9UQVJHRVRfUkVWRU5VRV9FU1QuLlVTRC5IAQAAAIeuTA8CAAAAAAACP9q3oVTWCGFiJL2hVNYIIENJUS5JUTM2MTgzODM0LklRX0xBU1RTQUxFUFJJQ0UuAQAAABofKAICAAAABDIuOTgAqkGWu6FU1giqQZa7oVTWCCFDSVEuTkFTREFRQ006TUdFTi5JUV9DT01QQU5ZX05BTUUBAAAAb+KuAgMAAAAaTWlyYWdlbiBUaGVyYXBldXRpY3MsIEluYy4AN9bGuqFU1gjbDnO9oVTWCCFDSVEuTkFTREFRR1M6U1ZSQS5JUV9DT01QQU5ZX05BTUUBAAAAdX+HAwMAAAALU2F2YXJhIEluYy4AN9bG</t>
  </si>
  <si>
    <t>uqFU1ggNml29oVTWCC9DSVEuTkFTREFRR1M6T1ZJRC5JUV9FQklUREEuMjAwMC4xMC8xOC8yMDE2Li4uLgEAAAAg0DcRAwAAAAAAAj/at6FU1gio1VO4oVTWCCNDSVEuSVFUUjEzODI1MTQ2Mi5JUV9UUl9UT1RBTF9TVE9DSwEAAADGjD0IAgAAAAAAAj/at6FU1ghhYiS9oVTWCCFDSVEuSVFUUjI1OTk4NTk2Mi5JUV9UUl9CVVlFUk5BTUUBAAAAKhJ/DwMAAAA3U3RyYXR1cyBNZWRpYSBHcm91cCwgSW5jLiAobmthOlJlc3RvcmdlbmV4IENvcnBvcmF0aW9uKQACP9q3oVTWCLrEJr2hVNYIMENJUS5OQVNEQVFHTTpDTkFULklRX0xBU1RTQUxFUFJJQ0UuNy8zMS8yMDE4LlVTRAEAAABlZ9YBAgAAAAQ0LjA1ADfWxrqhVNYIIqu7v6FU1gg3Q0lRLk5BU0RBUUdTOlZSVFguSVFfUEVSSU9EREFURV9JUy4yMDAwLjcvMzEvMjAxOC5MRlIuRgEAAACLjQAABQAAAAk2LzMwLzIwMTgAqkGWu6FU1ggMrZy/oVTWCCNDSVEuQU1FWDpBUEhCLklRX1BFUklPRERBVEVfSVMuMTAwMAEAAAAiiQAABQAAAAoxMi8zMS8yMDE3AEo8i7qhVNYIF9LCv6FU1ggpQ0lRLklRVFIzNDc1OTE1OTEuSVFfQlVTSU5FU1NfREVTQ1JJUFRJT04BAAAAAKX2BAMAAACxBUFmZmVyZW50IFBoYXJtYWNldXRpY2FscywgSW5jLiByZXNlYXJjaGVzIGFuZCBkZXZlbG9wcyBkcnVncyBmb3IgdGhlIHRyZWF0bWVudCBvZiBkZWJpbGl0YXRpbmcg</t>
  </si>
  <si>
    <t>bmV1cm9nZW5pYyBkaXNvcmRlcnMuIEl0IGRldmVsb3BzIFAyWDMsIGEgcHVyaW5lcmdpYyByZWNlcHRvciB0aGF0IHBsYXlzIGEgcm9sZSBpbiB0aGUgc2Vuc2l0aXphdGlvbiBvZiBuZXJ2ZXM7IEFGLTIxOSwgYSBzZWxlY3RpdmUgUDJYMyBhbnRhZ29uaXN0IGZvciB0aGUgdHJlYXRtZW50IG9mIHBhdGhvbG9naWMgY291Z2g7IGFuZCBQMlgzIGFudGFnb25pc3QgdGhhdCBibG9ja3MgUDJYMyBpbiB0aGUgY2Fyb3RpZCBib2R5LiBJdCBvZmZlcnMgcHJvZ3JhbXMgaW4gdGhlIGFyZWFzIG9mIHJlc3BpcmF0b3J5IGRpc2Vhc2VzLCByZXNpc3RhbnQgaHlwZXJ0ZW5zaW9uLCBQMlgzIGJpb2xvZ3ksIGNhcmRpb3Zhc2N1bGFyIGRpc2Vhc2VzLCBhbmQgY2hyb25pYyBwYWluIGFuZCBvdGhlciBpbmRpY2F0aW9uczsgYW5kIGNsaW5pY2FsIHRyaWFscy4gVGhlIGNvbXBhbnkgd2FzIGZvdW5kZWQgaW4gMjAwOSBhbmQgaXMgYmFzZWQgaW4gU2FuIE1hdGVvLCBDYWxpZm9ybmlhLiBBcyBvZiBKdWx5IDI2LCAyMDE2LCBBZmZlcmVudCBQaGFybWFjZXV0aWNhbHMsIEluYy4gb3BlcmF0ZXMgYXMgYSBzdWJzaWRpYXJ5IG9mIE1lcmNrICYgQ28uLCBJbmMuAAI/2rehVNYIGgAivaFU1gg7Q0lRLk5BU0RBUUNNOlBVTE0uSVFfUFJFRl9FUVVJVFkuMjAwMC43LzMxLzIwMTguTEZSLkYuVVNELkgBAAAAn2yaAQMA</t>
  </si>
  <si>
    <t>AAAAAEo8i7qhVNYIF9LCv6FU1ggoQ0lRLk5BU0RBUUNNOkdBTFQuSVFfVEVWLjcvMzEvMjAxOC5VU0QuSAEAAADHQRAAAgAAAAoyMTAuMTQ2MzI0AQYAAAAFAAAAATEBAAAACjE4ODgyNDE5MTMDAAAAAzE2MAIAAAAGMTAwMDYwBAAAAAEwBwAAAAk3LzMxLzIwMTg31sa6oVTWCEeEtL+hVNYIHUNJUS4wLklRX0JVU0lORVNTX0RFU0NSSVBUSU9OBQAAAAAAAAAIAAAAFChJbnZhbGlkIElkZW50aWZpZXIpAj/at6FU1ghhYiS9oVTWCCdDSVEuTkFTREFRR1M6U1ZSQS5JUV9CRVRBXzVZUi43LzMxLzIwMTgBAAAAdX+HAwMAAAAAADfWxrqhVNYIpL+vv6FU1gg7Q0lRLk5ZU0U6S0RNTi5JUV9ORVRfV09SS0lOR19DQVAuMjAwMC43LzMxLzIwMTguTEZSLkYuVVNELkgBAAAAU8jZBgIAAAAHLTE0LjgxNwEIAAAABQAAAAExAQAAAAoxODg3NDQ1MzU1AwAAAAMxNjACAAAABDEzMTEEAAAAATAHAAAACTcvMzEvMjAxOAgAAAAJMy8zMS8yMDE4CQAAAAEwN9bGuqFU1ghVXa2/oVTWCDZDSVEuTkFTREFRR1M6U1ZSQS5JUV9FQklUREEuMTk5Mi43LzMxLzIwMTguTEZSLkYuVVNELkgBAAAAdX+HAwMAAAAAADfWxrqhVNYIpL+vv6FU1ggjQ0lRLklRVFIyNTM4NzcyMDMuSVFfVFJfVE9UQUxfU1RPQ0sBAAAA09shDwIAAAAAAAI/2rehVNYIYWIkvaFU1gg7Q0lRLk5BU0RBUUdTOlZSVFguSVFfUFJFRl9FUVVJVFkuMjAw</t>
  </si>
  <si>
    <t>MC43LzMxLzIwMTguTEZSLkYuVVNELkgBAAAAi40AAAMAAAAAAKpBlruhVNYIDK2cv6FU1gg6Q0lRLk5BU0RBUUdTOklOU00uSVFfRUFSTklOR19DTy4xOTk2LjcvMzEvMjAxOC5MRlIuRi5VU0QuSAEAAAAadQAAAgAAAAgtMTgwLjE1NQEIAAAABQAAAAExAQAAAAoxODg2MDQyMjk3AwAAAAMxNjACAAAAATcEAAAAATAHAAAACTcvMzEvMjAxOAgAAAAJMy8zMS8yMDE3CQAAAAEwN9bGuqFU1gibmKi/oVTWCClDSVEuSVEzNjE4MzgzMS5JUV9MQVNUU0FMRVBSSUNFLjcvMzEvMjAxOAEAAAAXHygCAgAAAAQyLjg1AAI/2rehVNYIhDsdvaFU1ggxQ0lRLklRVFI1NDg3MDQ4MTkuSVFfVFJfVEFSR0VUX1JFVkVOVUVfRVNULi5VU0QuSAEAAAAzkrQgAgAAAAAAAj/at6FU1giEOx29oVTWCDVDSVEuTkFTREFRR006Q1JCUC5JUV9DQVBFWC4yMDAwLjcvMzEvMjAxOC5MRlIuRi5VU0QuSAEAAAAkbyQPAgAAAAktMS45MzcwMDkBCAAAAAUAAAABMQEAAAAKMTg4ODU5MDM4MQMAAAADMTYwAgAAAAQyMDIxBAAAAAEwBwAAAAk3LzMxLzIwMTgIAAAACTMvMzEvMjAxOAkAAAABMDfWxrqhVNYIlea2v6FU1ggiQ0lRLklRVFIyNjM3MDcyODkuSVFfVFJfVE9UQUxfQ0FTSAEAAACZ2rcPAgAAAAUzMDAuMwEGAAAABQAAAAI1NAEAAAAGMTAxMDU2AgAAAAkyNjM3MDcyODkDAAAACTI2MzcwNzQwMgQAAAADMTYwBgAAAAVGYWxz</t>
  </si>
  <si>
    <t>ZQI/2rehVNYIhDsdvaFU1ggnQ0lRLkVOWFRQQTpHTkZULklRX0JVU0lORVNTX0RFU0NSSVBUSU9OAQAAACLBkwADAAAAtgRHZW5maXQgU0EsIGEgYmlvcGhhcm1hY2V1dGljYWwgY29tcGFueSwgZGV2ZWxvcHMgdGhlcmFwZXV0aWMgYW5kIGRpYWdub3N0aWMgc29sdXRpb25zIGZvciBtZXRhYm9saWMgYW5kIGluZmxhbW1hdG9yeSBkaXNlYXNlcywgd2l0aCBhIHBhcnRpY3VsYXIgZm9jdXMgb24gdGhlIGxpdmVyIHdvcmxkd2lkZS4gSXQgb2ZmZXJzIGRpYWdub3N0aWMgc29sdXRpb25zIGluIHZhcmlvdXMgdGhlcmFwZXV0aWMgYXJlYXMsIHN1Y2ggYXMgbWV0YWJvbGljIGRpc2Vhc2VzLCBsaXZlciBkaXNlYXNlcywgbm9uLWFsY29ob2xpYyBzdGVhdG8taGVwYXRpdGlzLCBjaG9sZXN0YXRpYyBsaXZlciBkaXNlYXNlcywgaW5mbGFtbWF0aW9uIGFuZCBhdXRvaW1tdW5lIGRpc2Vhc2VzLCBhbmQgaW5mbGFtbWF0b3J5IGJvd2VsIGRpc2Vhc2VzLiBUaGUgY29tcGFueeKAmXMgcGlwZWxpbmUgcHJvZHVjdCBjb21wcmlzZXMgRWxhZmlicmFub3IsIGJpb21hcmtlcnMsIFRHRlRYMSwgYW5kIFRHRlRYNC4gR2VuZml0IFNBIHdhcyBmb3VuZGVkIGluIDE5OTkgYW5kIGlzIGhlYWRxdWFydGVyZWQgaW4gTG9vcywgRnJhbmNlLgA31sa6oVTWCFaJK72hVNYIP0NJUS5OQVNEQVFDTTpQVUxNLklRX05FVF9X</t>
  </si>
  <si>
    <t>T1JLSU5HX0NBUC4yMDAwLjcvMzEvMjAxOC5MRlIuRi5VU0QuSAEAAACfbJoBAgAAAAYtMy4xNzMBCAAAAAUAAAABMQEAAAAKMTg4ODExNjIyNwMAAAADMTYwAgAAAAQxMzExBAAAAAEwBwAAAAk3LzMxLzIwMTgIAAAACTMvMzEvMjAxOAkAAAABMEo8i7qhVNYIF9LCv6FU1gg2Q0lRLk5BU0RBUUNNOk1ER0wuSVFfRUJJVERBLjE5OTIuNy8zMS8yMDE4LkxGUi5GLlVTRC5IAQAAAEybowgDAAAAAAAEopi7oVTWCAHUo7+hVNYIQ0NJUS5OQVNEQVFDTTpHTE1ELklRX0VCSVREQV8zWVJfQU5OX0NBR1IuMjAwMC43LzMxLzIwMTguTEZSLkYuVVNELkgBAAAAJGfXBgMAAAACTk0BCAAAAAUAAAABMQEAAAAKMTg4ODQ5MjM5MwMAAAADMTYwAgAAAAQ0MjIyBAAAAAEwBwAAAAk3LzMxLzIwMTgIAAAACTMvMzEvMjAxOAkAAAABMDfWxrqhVNYIR4S0v6FU1gg6Q0lRLk5ZU0U6S0RNTi5JUV9DQVNIX1NUX0lOVkVTVC4yMDAwLjcvMzEvMjAxOC5MRlIuRi5VU0QuSAEAAABTyNkGAgAAAAY0OS4xNjcBCAAAAAUAAAABMQEAAAAKMTg4NzQ0NTM1NQMAAAADMTYwAgAAAAQxMDAyBAAAAAEwBwAAAAk3LzMxLzIwMTgIAAAACTMvMzEvMjAxOAkAAAABMDfWxrqhVNYI8Pqqv6FU1gg7Q0lRLk5BU0RBUUdNOlBSUVIuSVFfVE9UQUxfUkVWLkNZMjAxNy43LzMxLzIwMTguTEZSLkYuVVNELkgBAAAA7+xcDQIAAAAIMS4wNDQ2NjkB</t>
  </si>
  <si>
    <t>CAAAAAUAAAABMQEAAAAKMTg4MDk4MTkwNwMAAAADMTYwAgAAAAIyOAQAAAABMAcAAAAJNy8zMS8yMDE4CAAAAAoxMi8zMS8yMDE3CQAAAAEwN9bGuqFU1giV5ra/oVTWCC5DSVEuSVFUUjEzODI1MTQ2Mi5JUV9UUl9UQVJHRVRfU1RPQ0tQUkVNSVVNXzFNAQAAAMaMPQgCAAAAAAACP9q3oVTWCMWdH72hVNYIPENJUS5OQVNEQVFHTTpDTkFULklRX0VCSVREQV9FU1QuQ1kyMDIwLjcvMzEvMjAxOC5DT04uRi5VU0QuSAEAAABlZ9YBAwAAAAAAN9bGuqFU1ggiq7u/oVTWCDlDSVEuRU5YVEFNOkdMUEcuSVFfUFJFRl9FUVVJVFkuMjAwMC45LzMwLzIwMTYuTEZSLkYuVVNELkgBAAAAsjEaAAMAAAAAAASimLuhVNYItnGhv6FU1gguQ0lRLk5BU0RBUUNNOkdMTUQuSVFfTUFSS0VUQ0FQLjkvMzAvMjAxNi5VU0QuSAEAAAAkZ9cGAgAAAAk0OS4yOTYyMjMBBgAAAAUAAAABMQEAAAAKMTgwMjkxNDI4MgMAAAADMTYwAgAAAAYxMDAwNTQEAAAAATAHAAAACTkvMzAvMjAxNjfWxrqhVNYI8iGyv6FU1gg/Q0lRLk5BU0RBUUNNOlBVTE0uSVFfTkVUX1dPUktJTkdfQ0FQLjE5OTIuNy8zMS8yMDE4LkxGUi5GLlVTRC5IAQAAAJ9smgECAAAABi0xLjMyMQEIAAAABQAAAAExAQAAAAoxODQwMjUxNzg0AwAAAAMxNjACAAAABDEzMTEEAAAAATAHAAAACTcvMzEvMjAxOAgAAAAJMy8zMS8yMDE2CQAAAAEwSjyLuqFU1ggX0sK/</t>
  </si>
  <si>
    <t>oVTWCClDSVEuSVEzNjE4MzgyOC5JUV9MQVNUU0FMRVBSSUNFLjcvMzEvMjAxOAEAAAAUHygCAgAAAAQyLjc3AAI/2rehVNYIhDsdvaFU1ggkQ0lRLk5BU0RBUUdNOlBSUVIuSVFfRUZGRUNUX1RBWF9SQVRFAQAAAO/sXA0DAAAAAk5NAQgAAAAFAAAAATEBAAAACjE5MjIwOTQ3MDMDAAAAAjUwAgAAAAQ0Mzc2BAAAAAEwBwAAAAoxMS8yNy8yMDE4CAAAAAk5LzMwLzIwMTgJAAAAATA31sa6oVTWCNpIub+hVNYII0NJUS5JUVRSMjcwMTExMzY4LklRX1RSX1RPVEFMX1NUT0NLAQAAAIiSGRACAAAACTI3LjA4ODg2NAEGAAAABQAAAAI1NAEAAAAGMTAxMDU3AgAAAAkyNzAxMTEzNjgDAAAACTI3MDExMTY3OQQAAAADMTYwBgAAAAVGYWxzZQI/2rehVNYIGgAivaFU1ghHQ0lRLk5BU0RBUUdTOklDUFQuSVFfTUlOT1JJVFlfSU5URVJFU1RfVE9UQUwuMjAwMC45LzMwLzIwMTYuTEZSLkYuVVNELkgBAAAAgq+tAAMAAAAAAASimLuhVNYIVjamv6FU1ggYQ0lRLi5JUV9QUklNQVJZX0lORFVTVFJZBQAAAAEAAAAIAAAAFChJbnZhbGlkIElkZW50aWZpZXIpqkGWu6FU1giqQZa7oVTWCDxDSVEuTkFTREFRQ006R0FMVC5JUV9FQVJOSU5HX0NPLkNZMjAxNi43LzMxLzIwMTguTEZSLkYuVVNELkgBAAAAx0EQAAIAAAAHLTIxLjQzNgEIAAAABQAAAAExAQAAAAoxODgwNDAwMDYwAwAAAAMxNjACAAAAATcEAAAAATAHAAAA</t>
  </si>
  <si>
    <t>CTcvMzEvMjAxOAgAAAAKMTIvMzEvMjAxNgkAAAABMDfWxrqhVNYIR4S0v6FU1gg5Q0lRLkFNRVg6QVBIQi5JUV9SRVZFTlVFX0VTVC5DWTIwMjEuNy8zMS8yMDE4LkNPTi5GLlVTRC5IAQAAACKJAAACAAAABDk4LjEBDgAAAAUAAAACMTEBAAAAATACAAAACjEwMDMzMzQ3NzkDAAAABjEwMDE4MAQAAAABMgYAAAABMAcAAAADMTYwCAAAAAEwCQAAAAExCgAAAAEwCwAAAAsxMDkyMDg4MDcwNQwAAAABNw0AAAAIOC8xLzIwMTgQAAAACTcvMzEvMjAxOEo8i7qhVNYI7TTFv6FU1gg8Q0lRLk5BU0RBUUdNOkNSQlAuSVFfRUFSTklOR19DTy5DWTIwMTYuNy8zMS8yMDE4LkxGUi5GLlVTRC5IAQAAACRvJA8CAAAACi0xOS45OTg2NzUBCAAAAAUAAAABMQEAAAAKMTg3ODA3NzA3MQMAAAADMTYwAgAAAAE3BAAAAAEwBwAAAAk3LzMxLzIwMTgIAAAACjEyLzMxLzIwMTYJAAAAATA31sa6oVTWCJXmtr+hVNYIPkNJUS5OQVNEQVFHTTpQUlFSLklRX1RPVEFMX0VRVUlUWS5DWTIwMTYuNy8zMS8yMDE4LkxGUi5GLlVTRC5IAQAAAO/sXA0CAAAACTU2LjA5MjA1MQEIAAAABQAAAAExAQAAAAoxODgwOTgxOTk4AwAAAAMxNjACAAAABDEyNzUEAAAAATAHAAAACTcvMzEvMjAxOAgAAAAKMTIvMzEvMjAxNgkAAAABMDfWxrqhVNYI2ki5v6FU1ggoQ0lRLkFNRVg6QVBIQi5JUV9MQVNUU0FMRVBSSUNFLjkvMzAvMjAxNgEAAAAi</t>
  </si>
  <si>
    <t>iQAAAgAAAAQxNS4yAEo8i7qhVNYI7TTFv6FU1gg9Q0lRLk5BU0RBUUdNOkNOQVQuSVFfUkVWRU5VRV9FU1QuQ1kyMDE4LjcvMzEvMjAxOC5DT04uRi5VU0QuSAEAAABlZ9YBAgAAAAg0MC4yNTY2NwEOAAAABQAAAAIxMQEAAAABMAIAAAAKMTAwMTkxMzEzNQMAAAAGMTAwMTgwBAAAAAEyBgAAAAEwBwAAAAMxNjAIAAAAATAJAAAAATEKAAAAATALAAAACzEwODY1NTY3OTY3DAAAAAE3DQAAAAg4LzEvMjAxOBAAAAAJNy8zMS8yMDE4N9bGuqFU1ggiq7u/oVTWCDxDSVEuTkFTREFRQ006R0xNRC5JUV9UT1RBTF9FUVVJVFkuMTk5Ni43LzMxLzIwMTguTEZSLkYuVVNELkgBAAAAJGfXBgIAAAAFOC4yOTgBCAAAAAUAAAABMQEAAAAKMTg4ODQ5MjMyMAMAAAADMTYwAgAAAAQxMjc1BAAAAAEwBwAAAAk3LzMxLzIwMTgIAAAACTMvMzEvMjAxNwkAAAABMDfWxrqhVNYI8iGyv6FU1ggpQ0lRLklRMzYxODM4NDAuSVFfTEFTVFNBTEVQUklDRS43LzMxLzIwMTgBAAAAIB8oAgIAAAAEMy4wMwACP9q3oVTWCIQ7Hb2hVNYII0NJUS5JUVRSMjU2NjgzNjU1LklRX1RSX0NMT1NFRF9EQVRFAQAAAIeuTA8FAAAACTIvMjcvMjAxNAACP9q3oVTWCLrEJr2hVNYIPUNJUS5OQVNEQVFHTTpNTk9WLklRX0VCSVREQV9NQVJHSU4uMjAwMC43LzMxLzIwMTguTEZSLkYuVVNELkgBAAAAuFSNAAMAAAAAADfWxrqhVNYIVV2tv6FU1gg4</t>
  </si>
  <si>
    <t>Q0lRLk5BU0RBUUdNOkNOQVQuSVFfRUJJVERBLkNZMjAxNi43LzMxLzIwMTguTEZSLkYuVVNELkgBAAAAZWfWAQIAAAAKLTI5LjcyNTkyNwEIAAAABQAAAAExAQAAAAoxODc3NjE0MTgwAwAAAAMxNjACAAAABDQwNTEEAAAAATAHAAAACTcvMzEvMjAxOAgAAAAKMTIvMzEvMjAxNgkAAAABMDfWxrqhVNYIIqu7v6FU1ggvQ0lRLklRVFI0MDIwMzQ1NjkuSVFfVFJfVEFSR0VUX1RPVEFMX1JFVi4uVVNELkgBAAAAiY/2FwIAAAAAAAI/2rehVNYIhDsdvaFU1ggwQ0lRLkFTWDpJTUMuSVFfRUJJVERBLjE5OTYuNy8zMS8yMDE4LkxGUi5GLlVTRC5IAQAAAPNMdQACAAAACS02LjI1MDQyMgEIAAAABQAAAAExAQAAAAoxODc3NjUwOTg5AwAAAAMxNjACAAAABDQwNTEEAAAAATAHAAAACTcvMzEvMjAxOAgAAAAKMTIvMzEvMjAxNgkAAAABMDfWxrqhVNYIdw2+v6FU1gg4Q0lRLkFTWDpJTUMuSVFfVE9UQUxfRVFVSVRZLkNZMjAxNy43LzMxLzIwMTguTEZSLkYuVVNELkgBAAAA80x1AAIAAAAIMy44OTMyNzUBCAAAAAUAAAABMQEAAAAKMTg3NzY1MDA5NgMAAAADMTYwAgAAAAQxMjc1BAAAAAEwBwAAAAk3LzMxLzIwMTgIAAAACjEyLzMxLzIwMTcJAAAAATBKPIu6oVTWCMxvwL+hVNYIIkNJUS5JUVRSMjg2NDEwNzM2LklRX1RSX1RPVEFMX0NBU0gBAAAA8EcSEQIAAAAAAAI/2rehVNYIMtkavaFU1gg9Q0lRLk5BU0RB</t>
  </si>
  <si>
    <t>UUdTOlNWUkEuSVFfUkVWRU5VRV9FU1QuQ1kyMDIxLjcvMzEvMjAxOC5DT04uRi5VU0QuSAEAAAB1f4cDAgAAAAgxNDkuOTUyOAEOAAAABQAAAAIxMQEAAAABMAIAAAAKMTAwMzc0ODc5MwMAAAAGMTAwMTgwBAAAAAEyBgAAAAEwBwAAAAMxNjAIAAAAATAJAAAAATEKAAAAATALAAAACzEwOTIxMTgxMzY0DAAAAAE3DQAAAAg4LzEvMjAxOBAAAAAJNy8zMS8yMDE4N9bGuqFU1gikv6+/oVTWCD5DSVEuTkFTREFRR1M6RkdFTi5JUV9DQVNIX1NUX0lOVkVTVC4yMDAwLjkvMzAvMjAxNi5MRlIuRi5VU0QuSAEAAABEbwAAAgAAAAcyMzAuNTE2AQgAAAAFAAAAATEBAAAACjE4MDIzNTYyMjMDAAAAAzE2MAIAAAAEMTAwMgQAAAABMAcAAAAJOS8zMC8yMDE2CAAAAAk2LzMwLzIwMTYJAAAAATAEopi7oVTWCLZxob+hVNYIKUNJUS5JUVRSMjUzODc3MjAzLklRX1RSX0lNUExJRURfRVFfTklfTFRNAQAAANPbIQ8CAAAAAAACP9q3oVTWCMWdH72hVNYIN0NJUS5OQVNEQVFHTTpQUlFSLklRX1BFUklPRERBVEVfSVMuMjAwMC43LzMxLzIwMTguTEZSLkYBAAAA7+xcDQUAAAAKMTIvMzEvMjAxNwA31sa6oVTWCJXmtr+hVNYIPUNJUS5OQVNEQVFDTTpQVUxNLklRX0VCSVREQV9NQVJHSU4uMjAwMC43LzMxLzIwMTguTEZSLkYuVVNELkgBAAAAn2yaAQMAAAACTk0BCAAAAAUAAAABMQEAAAAKMTg4ODExNjIyNwMAAAADMTYw</t>
  </si>
  <si>
    <t>AgAAAAQ0MDQ3BAAAAAEwBwAAAAk3LzMxLzIwMTgIAAAACTMvMzEvMjAxOAkAAAABMEo8i7qhVNYIF9LCv6FU1gg4Q0lRLkVOWFRQQTpHTkZULklRX1RPVEFMX0RFQlQuMjAwMC43LzMxLzIwMTguTEZSLkYuVVNELkgBAAAAIsGTAAIAAAAKMTk2LjYyODI0MgEIAAAABQAAAAExAQAAAAoxODkwNjE5NjQ4AwAAAAMxNjACAAAABDQxNzMEAAAAATAHAAAACTcvMzEvMjAxOAgAAAAKMTIvMzEvMjAxNwkAAAABMDfWxrqhVNYIm5iov6FU1gg6Q0lRLk5BU0RBUUdNOkNOQVQuSVFfRUFSTklOR19DTy4yMDAwLjcvMzEvMjAxOC5MRlIuRi5VU0QuSAEAAABlZ9YBAgAAAAotMTguNzkxNDEzAQgAAAAFAAAAATEBAAAACjE4ODY2MTczNDADAAAAAzE2MAIAAAABNwQAAAABMAcAAAAJNy8zMS8yMDE4CAAAAAkzLzMxLzIwMTgJAAAAATA31sa6oVTWCHcNvr+hVNYIIENJUS5JUTM2MTgzODIyLklRX0xBU1RTQUxFUFJJQ0UuAQAAAA4fKAICAAAAAzIuNwCqQZa7oVTWCKpBlruhVNYIIENJUS5JUTM2MTgzODQwLklRX0xBU1RTQUxFUFJJQ0UuAQAAACAfKAICAAAABDMuMjIAqkGWu6FU1giqQZa7oVTWCC9DSVEuSVFUUjExNzI5MTQ2NS5JUV9UUl9UQVJHRVRfVE9UQUxfUkVWLi5VU0QuSAEAAADJuf0GAgAAAAAAAj/at6FU1gjFnR+9oVTWCCFDSVEuSVFUUjQyODEwMTAzNC5JUV9UUl9CVVlFUk5BTUUBAAAAqk2EGQMAAAAc</t>
  </si>
  <si>
    <t>QWxwaW5lIEltbXVuZSBTY2llbmNlcywgSW5jLgACP9q3oVTWCIQ7Hb2hVNYILENJUS5OQVNEQVFHUzpWUlRYLklRX0xBU1RTQUxFUFJJQ0UuOS8zMC8yMDE2AQAAAIuNAAACAAAABTg3LjIxAKpBlruhVNYIDK2cv6FU1gg5Q0lRLk5BU0RBUUdNOkNOQVQuSVFfVE9UQUxfUkVWLjE5OTYuNy8zMS8yMDE4LkxGUi5GLlVTRC5IAQAAAGVn1gECAAAACDcuNzk3MDQ2AQgAAAAFAAAAATEBAAAACjE4ODY2MTczNDEDAAAAAzE2MAIAAAACMjgEAAAAATAHAAAACTcvMzEvMjAxOAgAAAAJMy8zMS8yMDE3CQAAAAEwN9bGuqFU1ggiq7u/oVTWCCFDSVEuQVNYOklNQy5JUV9CRVRBXzVZUi43LzMxLzIwMTgBAAAA80x1AAIAAAARMC45MTE3MDY0NDI5MjY4MTUASjyLuqFU1gh3Db6/oVTWCDlDSVEuTkFTREFRR006TU5PVi5JUV9UT1RBTF9SRVYuMTk5Ni43LzMxLzIwMTguTEZSLkYuVVNELkgBAAAAuFSNAAMAAAAAADfWxrqhVNYIVV2tv6FU1ggqQ0lRLklRVFIyNzA3ODk1ODQuSVFfVFJfVEFSR0VUX0VCSVQuLlVTRC5IAQAAANDrIxACAAAACC0yMTAuNDU3AQYAAAAFAAAAAjM3AQAAAAoxNjkwMTk5ODM3AgAAAAUyMTY3NQMAAAADMTYwBAAAAAEwBwAAAAgxLzEvMTkwMAI/2rehVNYIGgAivaFU1gg6Q0lRLk5BU0RBUUNNOk1ER0wuSVFfVE9UQUxfREVCVC4yMDAwLjkvMzAvMjAxNi5MRlIuRi5VU0QuSAEAAABMm6MI</t>
  </si>
  <si>
    <t>AgAAAAk1MC44MTUxNjEBCAAAAAUAAAABMQEAAAAKMTgwODQ2OTQ2NgMAAAADMTYwAgAAAAQ0MTczBAAAAAEwBwAAAAk5LzMwLzIwMTYIAAAACTMvMzEvMjAxNgkAAAABMASimLuhVNYIAdSjv6FU1ghDQ0lRLk5BU0RBUUdNOkNOQVQuSVFfRUJJVERBXzJZUl9BTk5fQ0FHUi4yMDAwLjcvMzEvMjAxOC5MRlIuRi5VU0QuSAEAAABlZ9YBAwAAAAJOTQEIAAAABQAAAAExAQAAAAoxODg2NjE3MzQwAwAAAAMxNjACAAAABDQyMDkEAAAAATAHAAAACTcvMzEvMjAxOAgAAAAJMy8zMS8yMDE4CQAAAAEwN9bGuqFU1gh3Db6/oVTWCDpDSVEuTkFTREFRQ006R0FMVC5JUV9FQVJOSU5HX0NPLjE5OTYuNy8zMS8yMDE4LkxGUi5GLlVTRC5IAQAAAMdBEAACAAAABy0xOS41NzMBCAAAAAUAAAABMQEAAAAKMTg4ODI0MjM4NwMAAAADMTYwAgAAAAE3BAAAAAEwBwAAAAk3LzMxLzIwMTgIAAAACTMvMzEvMjAxNwkAAAABMDfWxrqhVNYIR4S0v6FU1gguQ0lRLklRVFI0MjgxMDEwMzQuSVFfVFJfVEFSR0VUX1NUT0NLUFJFTUlVTV8xTQEAAACqTYQZAgAAAAAAAj/at6FU1ghhYiS9oVTWCCJDSVEuSVFUUjMzMDAzMTE4NC5JUV9UUl9UQVJHRVROQU1FAQAAAFDgqxMDAAAAE05pbWJ1cyBBcG9sbG8sIEluYy4AAj/at6FU1ghhYiS9oVTWCEdDSVEuTkFTREFRQ006TUdFTi5JUV9NSU5PUklUWV9JTlRFUkVTVF9UT1RBTC4yMDAw</t>
  </si>
  <si>
    <t>LjcvMzEvMjAxOC5MRlIuRi5VU0QuSAEAAABv4q4CAwAAAAAAN9bGuqFU1gjaSLm/oVTWCCdDSVEuTkFTREFRQ006R0FMVC5JUV9QRVJJT0REQVRFX0lTLjEwMDABAAAAx0EQAAUAAAAKMTIvMzEvMjAxNwA31sa6oVTWCEeEtL+hVNYIO0NJUS5OQVNEQVFHUzpJQ1BULklRX1RPVEFMX1JFVi5DWTIwMTYuNy8zMS8yMDE4LkxGUi5GLlVTRC5IAQAAAIKvrQACAAAABjI0Ljk1MQEIAAAABQAAAAExAQAAAAoxODc3MDExNDYwAwAAAAMxNjACAAAAAjI4BAAAAAEwBwAAAAk3LzMxLzIwMTgIAAAACjEyLzMxLzIwMTYJAAAAATAEopi7oVTWCFY2pr+hVNYIJUNJUS5JUVRSNDE1NjExODE1LklRX1RSX01BSl9NSU5fU1RBS0UBAAAAp7vFGAMAAAAITWFqb3JpdHkAAj/at6FU1giEOx29oVTWCCpDSVEuSVFUUjMxMzI1MTg3Ny5JUV9UUl9UQVJHRVRfRUJJVC4uVVNELkgBAAAAJdirEgIAAAAAAAI/2rehVNYIMtkavaFU1ggtQ0lRLk5BU0RBUUNNOk1HRU4uSVFfRElWSURFTkRfWUlFTEQuNy8zMS8yMDE4AQAAAG/irgIDAAAAAAA31sa6oVTWCCKru7+hVNYIL0NJUS5OQVNEQVFHUzpPVklELklRX0NBU0hfRVFVSVYuLjUvNC8yMDE3Li4uVVNEAQAAACDQNxECAAAACTUxLjkzOTY2MQEIAAAABQAAAAExAQAAAAoxODM1OTUzNzE2AwAAAAMxNjACAAAABDEwOTYEAAAAATAHAAAACDUvNC8yMDE3CAAAAAoxMi8zMS8yMDE2</t>
  </si>
  <si>
    <t>CQAAAAEwAj/at6FU1gio1VO4oVTWCCdDSVEuTkFTREFRQ006R0xNRC5JUV9CRVRBXzFZUi43LzMxLzIwMTgBAAAAJGfXBgIAAAARMC40MjU5MTU3NjgxMzU4MDIAN9bGuqFU1gjyIbK/oVTWCDpDSVEuTkFTREFRR006TU5PVi5JUV9FQVJOSU5HX0NPLjE5OTYuNy8zMS8yMDE4LkxGUi5GLlVTRC5IAQAAALhUjQACAAAACi0xMC4wOTAyMjIBCAAAAAUAAAABMQEAAAAKMTg5Njc2NjE3MgMAAAADMTYwAgAAAAE3BAAAAAEwBwAAAAk3LzMxLzIwMTgIAAAACTYvMzAvMjAxNwkAAAABMDfWxrqhVNYIpL+vv6FU1ggnQ0lRLk5BU0RBUUdNOlBSUVIuSVFfQkVUQV81WVIuNy8zMS8yMDE4AQAAAO/sXA0CAAAAETAuNTM1OTcyODEzNzIyMDU0ADfWxrqhVNYI2ki5v6FU1gglQ0lRLklRVFI1NDg3MDQ4MTkuSVFfUFJJTUFSWV9JTkRVU1RSWQEAAACgVjggAwAAACBMaWZlIFNjaWVuY2VzIFRvb2xzIGFuZCBTZXJ2aWNlcwACP9q3oVTWCIQ7Hb2hVNYIMUNJUS5JUVRSMjYzNzA3Mjg5LklRX1RSX1RBUkdFVF9SRVZFTlVFX0VTVC4uVVNELkgBAAAAmdq3DwIAAAAAAAI/2rehVNYIGgAivaFU1ggtQ0lRLk5BU0RBUUdNOlBSUVIuSVFfRElWSURFTkRfWUlFTEQuNy8zMS8yMDE4AQAAAO/sXA0DAAAAAAA31sa6oVTWCNpIub+hVNYIPENJUS5OQVNEQVFHTTpDTkFULklRX0VCSVREQV9FU1QuQ1kyMDE5LjcvMzEvMjAxOC5D</t>
  </si>
  <si>
    <t>T04uRi5VU0QuSAEAAABlZ9YBAwAAAAAAN9bGuqFU1ggiq7u/oVTWCCdDSVEuTkFTREFRR006TU5PVi5JUV9CRVRBXzVZUi43LzMxLzIwMTgBAAAAuFSNAAIAAAARMC4zMzEyMzkwMDQwODQyOTUAN9bGuqFU1gikv6+/oVTWCCJDSVEuSVFUUjQyODEwMTAzNC5JUV9UUl9UQVJHRVROQU1FAQAAAKpNhBkDAAAAGk5pdmFsaXMgVGhlcmFwZXV0aWNzLCBJbmMuAAI/2rehVNYIMtkavaFU1ggiQ0lRLklRVFIyNTM4NzcyMDMuSVFfVFJfVEFSR0VUTkFNRQEAAADT2yEPAwAAABVBcHRhbGlzIEhvbGRpbmdzIEluYy4AAj/at6FU1giEOx29oVTWCDdDSVEuTllTRTpLRE1OLklRX1BSRUZfRVFVSVRZLjIwMDAuOS8zMC8yMDE2LkxGUi5GLlVTRC5IAQAAAFPI2QYDAAAAAAA31sa6oVTWCFVdrb+hVNYINUNJUS5OQVNEQVFHUzpWUlRYLklRX0NBUEVYLjIwMDAuNy8zMS8yMDE4LkxGUi5GLlVTRC5IAQAAAIuNAAACAAAACC0xMjkuODM1AQgAAAAFAAAAATEBAAAACjE4OTcyOTM1OTADAAAAAzE2MAIAAAAEMjAyMQQAAAABMAcAAAAJNy8zMS8yMDE4CAAAAAk2LzMwLzIwMTgJAAAAATAEopi7oVTWCAytnL+hVNYIIENJUS5JUTU5MjExNjM3LklRX0NPTVBBTllfVElDS0VSAQAAAHV/hwMDAAAADU5hc2RhcUdTOlNWUkEAAj/at6FU1ggy2Rq9oVTWCCFDSVEuSVFUUjE3MDIyOTM4Ni5JUV9UUl9CVVlFUk5BTUUBAAAAin4l</t>
  </si>
  <si>
    <t>CgMAAAAiQmlvZ2VuIElkZWMgSW5jLiAobmthOkJpb2dlbiBJbmMuKQACP9q3oVTWCIQ7Hb2hVNYIO0NJUS5OWVNFOktETU4uSVFfTkVUX1dPUktJTkdfQ0FQLjE5OTYuNy8zMS8yMDE4LkxGUi5GLlVTRC5IAQAAAFPI2QYCAAAABy0xNy4wODUBCAAAAAUAAAABMQEAAAAKMTg4NzQ0NTM1MwMAAAADMTYwAgAAAAQxMzExBAAAAAEwBwAAAAk3LzMxLzIwMTgIAAAACTMvMzEvMjAxNwkAAAABMDfWxrqhVNYIVV2tv6FU1ggnQ0lRLk5BU0RBUUdTOlNWUkEuSVFfUEVSSU9EREFURV9JUy4xMDAwAQAAAHV/hwMFAAAACjEyLzMxLzIwMTcAN9bGuqFU1gikv6+/oVTWCB1DSVEuTkFTREFRR006Q1JCUC5JUV9FWENIQU5HRQEAAAAkbyQPAwAAAAhOYXNkYXFHTQA31sa6oVTWCPSbPr2hVNYIOkNJUS5OQVNEQVFDTTpNR0VOLklRX1RPVEFMX0RFQlQuMjAwMC45LzMwLzIwMTYuTEZSLkYuVVNELkgBAAAAb+KuAgMAAAAAADfWxrqhVNYIIqu7v6FU1gg/Q0lRLk5BU0RBUUdNOkNOQVQuSVFfTkVUX1dPUktJTkdfQ0FQLjE5OTIuNy8zMS8yMDE4LkxGUi5GLlVTRC5IAQAAAGVn1gECAAAACS0xLjIzNDQ5NQEIAAAABQAAAAExAQAAAAoxODQyMDU1Mjk1AwAAAAMxNjACAAAABDEzMTEEAAAAATAHAAAACTcvMzEvMjAxOAgAAAAJMy8zMS8yMDE2CQAAAAEwN9bGuqFU1ggiq7u/oVTWCCdDSVEuTkFTREFRR1M6SUNQVC5JUV9Q</t>
  </si>
  <si>
    <t>RVJJT0REQVRFX0lTLjEwMDABAAAAgq+tAAUAAAAKMTIvMzEvMjAxNwAEopi7oVTWCFY2pr+hVNYIJUNJUS5JUVRSMzMwMDMxMTg0LklRX1BSSU1BUllfSU5EVVNUUlkBAAAAIeCrEwMAAAAgTGlmZSBTY2llbmNlcyBUb29scyBhbmQgU2VydmljZXMAAj/at6FU1gjFnR+9oVTWCEVDSVEuRU5YVEFNOkdMUEcuSVFfTUlOT1JJVFlfSU5URVJFU1RfVE9UQUwuMjAwMC45LzMwLzIwMTYuTEZSLkYuVVNELkgBAAAAsjEaAAMAAAAAAASimLuhVNYItnGhv6FU1gglQ0lRLkVOWFRQQTpHTkZULklRX0JFVEFfMllSLjcvMzEvMjAxOAEAAAAiwZMAAgAAABAxLjg4MDI5NTUwNDM4NjQzADfWxrqhVNYI8Pqqv6FU1gg+Q0lRLk5BU0RBUUdTOlZSVFguSVFfQ0FTSF9TVF9JTlZFU1QuMjAwMC43LzMxLzIwMTguTEZSLkYuVVNELkgBAAAAi40AAAIAAAAIMjc2Ny43NTUBCAAAAAUAAAABMQEAAAAKMTg5NzI5MzU5MAMAAAADMTYwAgAAAAQxMDAyBAAAAAEwBwAAAAk3LzMxLzIwMTgIAAAACTYvMzAvMjAxOAkAAAABMKpBlruhVNYIDK2cv6FU1gghQ0lRLklRVFIyNTY2ODM2NTUuSVFfVFJfQlVZRVJOQU1FAQAAAIeuTA8DAAAAF01hc3QgVGhlcmFwZXV0aWNzLCBJbmMuAAI/2rehVNYIGgAivaFU1ggvQ0lRLklRVFIyODY0MTA3MzYuSVFfVFJfSU1QTElFRF9FVl9GSU5BTC4uVVNELkgBAAAA8EcSEQIAAAAAAAI/2rehVNYI</t>
  </si>
  <si>
    <t>GgAivaFU1ggpQ0lRLklRVFI0MDIwMzQ1NjkuSVFfVFJfSU1QTElFRF9FUV9OSV9MVE0BAAAAiY/2FwIAAAAAAAI/2rehVNYIhDsdvaFU1ggpQ0lRLklRMzYxODM4MTYuSVFfTEFTVFNBTEVQUklDRS43LzMxLzIwMTgBAAAACB8oAgIAAAAEMi4wMwACP9q3oVTWCIQ7Hb2hVNYIOENJUS5OQVNEQVFDTTpHQUxULklRX0VCSVREQS5DWTIwMTYuNy8zMS8yMDE4LkxGUi5GLlVTRC5IAQAAAMdBEAACAAAABy0yMS40NzQBCAAAAAUAAAABMQEAAAAKMTg4MDQwMDA2MAMAAAADMTYwAgAAAAQ0MDUxBAAAAAEwBwAAAAk3LzMxLzIwMTgIAAAACjEyLzMxLzIwMTYJAAAAATA31sa6oVTWCEeEtL+hVNYILkNJUS4uSVFfUFJFRl9FUVVJVFkuMjAwMC45LzMwLzIwMTYuTEZSLkYuVVNELkgFAAAAAQAAAAgAAAAUKEludmFsaWQgSWRlbnRpZmllcikcrLm+oVTWCBysub6hVNYIL0NJUS5BU1g6MUFELklRX0NBUEVYLjE5OTIuNy8zMS8yMDE4LkxGUi5GLlVTRC5IAQAAAMWgpAMCAAAACS0wLjAwMjE2NQEIAAAABQAAAAExAQAAAAoxODA0NTc4MzExAwAAAAMxNjACAAAABDIwMjEEAAAAATAHAAAACTcvMzEvMjAxOAgAAAAJNi8zMC8yMDE0CQAAAAEwSjyLuqFU1gjMb8C/oVTWCDxDSVEuTkFTREFRQ006R0FMVC5JUV9FQklUREFfRVNULkNZMjAxOC43LzMxLzIwMTguQ09OLkYuVVNELkgBAAAAx0EQAAMAAAAAADfWxrqhVNYI</t>
  </si>
  <si>
    <t>R4S0v6FU1gg8Q0lRLk5BU0RBUUdNOk1OT1YuSVFfRUJJVERBX0VTVC5DWTIwMjAuNy8zMS8yMDE4LkNPTi5GLlVTRC5IAQAAALhUjQACAAAABi0xNy43OQEOAAAABQAAAAIxMQEAAAABMAIAAAAKMTAwMDU5MzYxNgMAAAAGMTAwMTg3BAAAAAEyBgAAAAEwBwAAAAMxNjAIAAAAATAJAAAAATEKAAAAATALAAAACzEwODMyMTk0ODc5DAAAAAE3DQAAAAg4LzEvMjAxOBAAAAAJNy8zMS8yMDE4N9bGuqFU1ghVXa2/oVTWCDVDSVEuTkFTREFRR1M6SU5TTS5JUV9DQVBFWC4xOTk2LjcvMzEvMjAxOC5MRlIuRi5VU0QuSAEAAAAadQAAAgAAAAYtNC4wMjkBCAAAAAUAAAABMQEAAAAKMTg4NjA0MjI5NwMAAAADMTYwAgAAAAQyMDIxBAAAAAEwBwAAAAk3LzMxLzIwMTgIAAAACTMvMzEvMjAxNwkAAAABMDfWxrqhVNYIm5iov6FU1ggpQ0lRLk5BU0RBUUNNOk1HRU4uSVFfQlVTSU5FU1NfREVTQ1JJUFRJT04BAAAAb+KuAgMAAADDC01pcmFnZW4gVGhlcmFwZXV0aWNzLCBJbmMuLCBhIGNsaW5pY2FsLXN0YWdlIGJpb3BoYXJtYWNldXRpY2FsIGNvbXBhbnksIGVuZ2FnZXMgaW4gZGlzY292ZXJpbmcgYW5kIGRldmVsb3BpbmcgcHJvcHJpZXRhcnkgUk5BLXRhcmdldGVkIHRoZXJhcGllcyB3aXRoIGEgc3BlY2lmaWMgZm9jdXMgb24gbWljcm9STkFzIGFuZCB0aGVpciByb2xlIGluIGRpc2Vhc2VzIHdoZXJlIHRoZXJl</t>
  </si>
  <si>
    <t>IGlzIGEgaGlnaCB1bm1ldCBtZWRpY2FsIG5lZWQuIEl0cyB0aHJlZSBsZWFkIHByb2R1Y3QgY2FuZGlkYXRlcyBpbmNsdWRlIGNvYm9tYXJzZW4sIGFuIGluaGliaXRvciBvZiBtaWNyb1JOQS0xNTUsIHdoaWNoIGlzIGluIFBoYXNlIEkgY2xpbmljYWwgdHJpYWwgZm9yIHRyZWF0aW5nIGN1dGFuZW91cyBULWNlbGwgbHltcGhvbWE7IE1SRy0yMDEsIGEgcmVwbGFjZW1lbnQgZm9yIG1pY3JvUk5BLTI5LCB3aGljaCBpcyBpbiBQaGFzZSBJIGNsaW5pY2FsIHRyaWFsIHRoYXQgaXMgZm91bmQgYXQgbG93IGxldmVscyBpbiB2YXJpb3VzIHBhdGhvbG9naWNhbCBmaWJyb3RpYyBjb25kaXRpb25zLCBpbmNsdWRpbmcgY3V0YW5lb3VzLCBjYXJkaWFjLCByZW5hbCwgaGVwYXRpYywgYW5kIHB1bG1vbmFyeSBmaWJyb3NpcywgYXMgd2VsbCBhcyBzeXN0ZW1pYyBzY2xlcm9zaXM7IGFuZCBNUkctMTEwLCBhbiBpbmhpYml0b3Igb2YgbWljcm9STkEtOTIgdGhhdCBpcyBleHByZXNzZWQgaW4gZW5kb3RoZWxpYWwgY2VsbHMgYW5kIGhhcyBzaG93biB0byBhY2NlbGVyYXRlIHRoZSBmb3JtYXRpb24gb2YgbmV3IGJsb29kIHZlc3NlbHMgaW4gcHJlY2xpbmljYWwgbW9kZWxzIG9mIGhlYXJ0IGZhaWx1cmUsIHBlcmlwaGVyYWwgaXNjaGVtaWEsIGFuZCBkZXJtYWwgd291bmRpbmcgaW4gdGhlIFVuaXRlZCBTdGF0</t>
  </si>
  <si>
    <t>ZXMgYW5kIEphcGFuLiBUaGUgY29tcGFueSBhbHNvIGRldmVsb3BzIE1SRy0xMDcsIGFuIGluaGliaXRvciBvZiBtaVItMTU1IGZvciB0cmVhdGluZyBuZXVyb25hbCBhbXlvdHJvcGhpYyBsYXRlcmFsIHNjbGVyb3NpcywgYW5kIG90aGVyIG5ldXJvZGVnZW5lcmF0aXZlIGluZGljYXRpb25zLCBpbmNsdWRpbmcgc3BpbmFsIGNvcmQgaW5qdXJ5LiBJdCBhbHNvIGRldmVsb3BzIHByZWNsaW5pY2FsIHByb2R1Y3QgY2FuZGlkYXRlcyBmb3IgdHJlYXRpbmcgdmFyaW91cyBpbmRpY2F0aW9ucywgaW5jbHVkaW5nIG9uY29sb2d5LCB2aXN1YWwgcGF0aG9sb2dpZXMsIG5ldXJvZGVnZW5lcmF0aW9uLCBhbmQgaGVhcmluZyBsb3NzLiBNaXJhZ2VuIFRoZXJhcGV1dGljcywgSW5jLiBoYXMgYSBjb2xsYWJvcmF0aW9uIGFncmVlbWVudCB3aXRoIExlcyBMYWJvcmF0b2lyZXMgU2VydmllciBhbmQgSW5zdGl0dXQgZGUgUmVjaGVyY2hlcyBTZXJ2aWVyIGZvciB0aGUgZGV2ZWxvcG1lbnQgb2YgTVJHLTExMC4gVGhlIGNvbXBhbnkgd2FzIGZvdW5kZWQgaW4gMjAwNiBhbmQgaXMgYmFzZWQgaW4gQm91bGRlciwgQ29sb3JhZG8uADfWxrqhVNYIKnF1vaFU1gg3Q0lRLkVOWFRBTTpHTFBHLklRX1RPVEFMX1JFVi4yMDAwLjcvMzEvMjAxOC5MRlIuRi5VU0QuSAEAAACyMRoAAgAAAAoxOTguMjE3MzIyAQgAAAAFAAAA</t>
  </si>
  <si>
    <t>ATEBAAAACjE4ODU0ODQ3NTUDAAAAAzE2MAIAAAACMjgEAAAAATAHAAAACTcvMzEvMjAxOAgAAAAJMy8zMS8yMDE4CQAAAAEwBKKYu6FU1gi2caG/oVTWCCxDSVEuSVFUUjI1OTk4NTk2Mi5JUV9UUl9UT1RBTF9HUk9TU19UVi5VU0QuSAUAAAAAAAAACAAAABooSW52YWxpZCBDdXJyZW5jeSBSZXF1ZXN0KQI/2rehVNYIusQmvaFU1ggkQ0lRLi5JUV9UUl9UQVJHRVRfUkVWRU5VRV9FU1QuLlVTRC5IBQAAAAEAAAAIAAAAFChJbnZhbGlkIElkZW50aWZpZXIpqkGWu6FU1giqQZa7oVTWCDZDSVEuTkFTREFRR006TU5PVi5JUV9FQklUREEuMTk5Ni43LzMxLzIwMTguTEZSLkYuVVNELkgBAAAAuFSNAAIAAAAKLTEwLjA5MzYzNAEIAAAABQAAAAExAQAAAAoxODk2NzY2MTcyAwAAAAMxNjACAAAABDQwNTEEAAAAATAHAAAACTcvMzEvMjAxOAgAAAAJNi8zMC8yMDE3CQAAAAEwN9bGuqFU1ghVXa2/oVTWCB9DSVEuSVE5NjgzMjM0LklRX0NPTVBBTllfVElDS0VSAQAAACLBkwADAAAAC0VOWFRQQTpHTkZUAAI/2rehVNYI53YYvaFU1gghQ0lRLklRVFI0MTU2MTE4MTUuSVFfVFJfQlVZRVJOQU1FAQAAAKe7xRgDAAAAC1NhdmFyYSBJbmMuAAI/2rehVNYIMtkavaFU1gg2Q0lRLi5JUV9FQklUREFfMllSX0FOTl9DQUdSLjIwMDAuNy8zMS8yMDE4LkxGUi5GLlVTRC5IBQAAAAEAAAAIAAAAFChJbnZhbGlkIElkZW50</t>
  </si>
  <si>
    <t>aWZpZXIpHKy5vqFU1ggcrLm+oVTWCDdDSVEuRU5YVFBBOkdORlQuSVFfVE9UQUxfUkVWLjE5OTYuNy8zMS8yMDE4LkxGUi5GLlVTRC5IAQAAACLBkwACAAAACDcuMDI5NDUyAQgAAAAFAAAAATEBAAAACjE4OTA2MTk2MTEDAAAAAzE2MAIAAAACMjgEAAAAATAHAAAACTcvMzEvMjAxOAgAAAAKMTIvMzEvMjAxNgkAAAABMDfWxrqhVNYIm5iov6FU1ggdQ0lRLk5BU0RBUUNNOk1ER0wuSVFfRVhDSEFOR0UBAAAATJujCAMAAAAITmFzZGFxQ00AqkGWu6FU1ghNI2e9oVTWCEdDSVEuTkFTREFRR006Q1JCUC5JUV9NSU5PUklUWV9JTlRFUkVTVF9UT1RBTC4yMDAwLjcvMzEvMjAxOC5MRlIuRi5VU0QuSAEAAAAkbyQPAwAAAAAAN9bGuqFU1ghHhLS/oVTWCDZDSVEuTkFTREFRR1M6VlJUWC5JUV9FQklUREEuMjAwMC43LzMxLzIwMTguTEZSLkYuVVNELkgBAAAAi40AAAIAAAAHNTgzLjU4MgEIAAAABQAAAAExAQAAAAoxODk3MjkzNTkwAwAAAAMxNjACAAAABDQwNTEEAAAAATAHAAAACTcvMzEvMjAxOAgAAAAJNi8zMC8yMDE4CQAAAAEwBKKYu6FU1ggMrZy/oVTWCC5DSVEuSVFUUjI3MDc4OTU4NC5JUV9UUl9UQVJHRVRfU1RPQ0tQUkVNSVVNXzFXAQAAANDrIxACAAAABzQzLjk2ODkBBgAAAAUAAAACNTQBAAAABjEwMTA1NAIAAAAJMjcwNzg5NTg0AwAAAAkyNzA3OTA2MjkEAAAAAzE2MAYAAAAFRmFsc2UCP9q3</t>
  </si>
  <si>
    <t>oVTWCMWdH72hVNYIN0NJUS5BTUVYOkFQSEIuSVFfUFJFRl9FUVVJVFkuMjAwMC43LzMxLzIwMTguTEZSLkYuVVNELkgBAAAAIokAAAMAAAAAAEo8i7qhVNYIF9LCv6FU1ggpQ0lRLklRVFI0MDIwMzQ1NjkuSVFfQlVTSU5FU1NfREVTQ1JJUFRJT04BAAAA/o1qEwMAAADnA0FrYXJuYSBUaGVyYXBldXRpY3MgTHRkLiwgYSBiaW9waGFybWFjZXV0aWNhbCBjb21wYW55LCBkZXZlbG9wcyBzbWFsbCBtb2xlY3VsZSB0aGVyYXBldXRpY3MgdGhhdCB0YXJnZXQgaW5mbGFtbWF0b3J5IGFuZCBmaWJyb3RpYyBkaXNlYXNlcy4gSXQgb2ZmZXJzIG5vbi1iaWxlIGFjaWQgRlhSIGFnb25pc3QsIGEgdGhlcmFwZXV0aWMgZm9yIHRoZSB0cmVhdG1lbnQgb2Ygbm9uYWxjb2hvbGljIHN0ZWF0b2hlcGF0aXRpcyBhbmQgZmF0dHktbGl2ZXIgZGlzZWFzZXMuIFRoZSBjb21wYW55IHdhcyBpbmNvcnBvcmF0ZWQgaW4gMjAxNCBhbmQgaXMgYmFzZWQgaW4gQ2FtYnJpZGdlLCBVbml0ZWQgS2luZ2RvbSB3aXRoIGFuIGFkZGl0aW9uYWwgb2ZmaWNlIGluIFNhbiBEaWVnbywgQ2FsaWZvcm5pYS4gQXMgb2YgQXVndXN0IDI2LCAyMDE2LCBBa2FybmEgVGhlcmFwZXV0aWNzIEx0ZC4gb3BlcmF0ZXMgYXMgYSBzdWJzaWRpYXJ5IG9mIEFsbGVyZ2FuIHBsYy4AAj/at6FU1ghhYiS9oVTWCClDSVEuSVFUUjI1NjY4MzY1NS5JUV9C</t>
  </si>
  <si>
    <t>VVNJTkVTU19ERVNDUklQVElPTgEAAADCXQgDAwAAAMwFQWlyZXMgUGhhcm1hY2V1dGljYWxzLCBJbmMuIG9wZXJhdGVzIGEgY2xpbmljYWwgc3RhZ2UgcGhhcm1hY2V1dGljYWwgY29tcGFueSBhbmQgZGV2ZWxvcHMgdGhlcmFwaWVzIHRvIHRyZWF0IHB1bG1vbmFyeSBkaXNvcmRlcnMuIFRoZSBjb21wYW55IG9mZmVycyBBaXJvbml0ZSwgYW4gaW5oYWxlZCBkcnVnIHRoYXQgaXMgdXNlZCB0byB0cmVhdCBhZHVsdCBhbmQgcGVkaWF0cmljIHB1bG1vbmFyeSBoeXBlcnRlbnNpb24sIGN5c3RpYyBmaWJyb3NpcywgcG5ldW1vbmlhLCBhbmQgb3RoZXIgcmVzcGlyYXRvcnkgaW5mZWN0aW9ucy4gSXRzIHByb2R1Y3RzIGFyZSBhbHNvIHVzZWQgaW4gdHJhbnNwbGFudGF0aW9uLCBoZWFydCBmYWlsdXJlLCBhbmQgb3RoZXIgY2FyZGlvdmFzY3VsYXIgaW5kaWNhdGlvbnMuIFRoZSBjb21wYW55IGFsc28gcHJvdmlkZXMgYSBkZWxpdmVyeSBkZXZpY2UsIGEgaGFuZC1oZWxkIGFuZCBwb3J0YWJsZSBuZWJ1bGl6ZXIgdGhhdCBkZWxpdmVycyBhIHRhcmdldGVkIG1pc3QgaW50byB0aGUgcGF0aWVudOKAmXMgbHVuZ3MuIFRoZSBjb21wYW55IHdhcyBmb3VuZGVkIGluIDIwMDYgYW5kIGlzIGJhc2VkIGluIFNhbiBEaWVnbywgQ2FsaWZvcm5pYS4gQXMgb2YgRmVicnVhcnkgMjcsIDIwMTQsIEFpcmVzIFBoYXJt</t>
  </si>
  <si>
    <t>YWNldXRpY2FscywgSW5jLiBvcGVyYXRlcyBhcyBhIHN1YnNpZGlhcnkgb2YgTWFzdCBUaGVyYXBldXRpY3MsIEluYy4AAj/at6FU1gi6xCa9oVTWCCVDSVEuSVFUUjEzODI1MTQ2Mi5JUV9QUklNQVJZX0lORFVTVFJZAQAAAKBtfAEDAAAAD1BoYXJtYWNldXRpY2FscwACP9q3oVTWCMWdH72hVNYIPENJUS5OQVNEQVFHUzpJQ1BULklRX0dST1NTX01BUkdJTi4yMDAwLjcvMzEvMjAxOC5MRlIuRi5VU0QuSAEAAACCr60AAgAAAAc5OC45MzQ2AQgAAAAFAAAAATEBAAAACjE4ODg2MTU1NDADAAAAAzE2MAIAAAAENDA3NAQAAAABMAcAAAAJNy8zMS8yMDE4CAAAAAkzLzMxLzIwMTgJAAAAATAEopi7oVTWCFY2pr+hVNYINUNJUS5BTUVYOkFQSEIuSVFfVE9UQUxfUkVWLjIwMDAuNy8zMS8yMDE4LkxGUi5GLlVTRC5IAQAAACKJAAACAAAABTAuMDg2AQgAAAAFAAAAATEBAAAACjE4ODkwMTg4NDQDAAAAAzE2MAIAAAACMjgEAAAAATAHAAAACTcvMzEvMjAxOAgAAAAJMy8zMS8yMDE4CQAAAAEwSjyLuqFU1ggX0sK/oVTWCDtDSVEuTkFTREFRR1M6SU5TTS5JUV9FQklUX01BUkdJTi4yMDAwLjcvMzEvMjAxOC5MRlIuRi5VU0QuSAEAAAAadQAAAwAAAAAABKKYu6FU1gibmKi/oVTWCBVDSVEuMC5JUV9UUl9CVVlFUk5BTUUFAAAAAAAAAAgAAAAYKEludmFsaWQgVHJhbnNhY3Rpb24gSWQpAj/at6FU1gjFnR+9oVTW</t>
  </si>
  <si>
    <t>CCVDSVEuSVFUUjI1Mzg3NzIwMy5JUV9QUklNQVJZX0lORFVTVFJZAQAAAHx7+gQDAAAAD1BoYXJtYWNldXRpY2FscwACP9q3oVTWCLrEJr2hVNYIP0NJUS5OQVNEQVFDTTpHTE1ELklRX05FVF9XT1JLSU5HX0NBUC4yMDAwLjcvMzEvMjAxOC5MRlIuRi5VU0QuSAEAAAAkZ9cGAgAAAAYtMi4zMzMBCAAAAAUAAAABMQEAAAAKMTg4ODQ5MjM5MwMAAAADMTYwAgAAAAQxMzExBAAAAAEwBwAAAAk3LzMxLzIwMTgIAAAACTMvMzEvMjAxOAkAAAABMDfWxrqhVNYI8iGyv6FU1gg9Q0lRLk5BU0RBUUNNOkdBTFQuSVFfRUJJVERBX01BUkdJTi4yMDAwLjcvMzEvMjAxOC5MRlIuRi5VU0QuSAEAAADHQRAAAwAAAAAAN9bGuqFU1ghHhLS/oVTWCB1DSVEuTkFTREFRQ006R0xNRC5JUV9FWENIQU5HRQEAAAAkZ9cGAwAAAAhOYXNkYXFDTQA31sa6oVTWCMkQVL2hVNYINUNJUS5BU1g6SU1DLklRX1RPVEFMX1JFVi5DWTIwMTYuNy8zMS8yMDE4LkxGUi5GLlVTRC5IAQAAAPNMdQACAAAACDAuODcyNzcyAQgAAAAFAAAAATEBAAAACjE4Nzc2NTA5ODkDAAAAAzE2MAIAAAACMjgEAAAAATAHAAAACTcvMzEvMjAxOAgAAAAKMTIvMzEvMjAxNgkAAAABMDfWxrqhVNYIdw2+v6FU1ggjQ0lRLklRVFIyNjM3MDcyODkuSVFfVFJfVE9UQUxfU1RPQ0sBAAAAmdq3DwIAAAAAAAI/2rehVNYIhDsdvaFU1ggvQ0lRLklRVFIxMzgyNTE0</t>
  </si>
  <si>
    <t>NjIuSVFfVFJfVEFSR0VUX1RPVEFMX1JFVi4uVVNELkgBAAAAxow9CAIAAAAAAAI/2rehVNYIYWIkvaFU1gg4Q0lRLk5ZU0U6S0RNTi5JUV9FQklUREFfRVNULkNZMjAxOS43LzMxLzIwMTguQ09OLkYuVVNELkgBAAAAU8jZBgMAAAAAADfWxrqhVNYI8Pqqv6FU1ggdQ0lRLk5BU0RBUUdNOlBSUVIuSVFfRVhDSEFOR0UBAAAA7+xcDQMAAAAITmFzZGFxR00AN9bGuqFU1gjNsDK9oVTWCCVDSVEuSVFUUjI1Mzg3NzIwMy5JUV9UUl9JTVBMSUVEX0VRX0JWAQAAANPbIQ8CAAAAAAACP9q3oVTWCMWdH72hVNYIKUNJUS5OQVNEQVFHUzpWUlRYLklRX0JVU0lORVNTX0RFU0NSSVBUSU9OAQAAAIuNAAADAAAAtw5WZXJ0ZXggUGhhcm1hY2V1dGljYWxzIEluY29ycG9yYXRlZCwgYSBiaW90ZWNobm9sb2d5IGNvbXBhbnksIGRldmVsb3BzIG1lZGljaW5lcyBmb3Igc2VyaW91cyBkaXNlYXNlcy4gVGhlIGNvbXBhbnkgZm9jdXNlcyBvbiBkZXZlbG9waW5nIGFuZCBjb21tZXJjaWFsaXppbmcgdGhlcmFwaWVzIGZvciB0aGUgdHJlYXRtZW50IG9mIGN5c3RpYyBmaWJyb3NpcyAoQ0YpIGFuZCBhZHZhbmNpbmcgaXRzIHJlc2VhcmNoIGFuZCBkZXZlbG9wbWVudCBwcm9ncmFtcy4gSXQgbWFya2V0cyBPUktBTUJJIChsdW1hY2FmdG9yIGluIGNvbWJpbmF0aW9uIHdpdGggaXZhY2FmdG9yKSB0byB0cmVhdCBwYXRpZW50</t>
  </si>
  <si>
    <t>cyB3aXRoIENGIDEyIHllYXJzIG9mIGFnZSBhbmQgb2xkZXIgd2hvIGFyZSBob21venlnb3VzIGZvciB0aGUgRjUwOGRlbCBtdXRhdGlvbiBpbiB0aGVpciBjeXN0aWMgZmlicm9zaXMgdHJhbnNtZW1icmFuZSBjb25kdWN0YW5jZSByZWd1bGF0b3IgKENGVFIpIGdlbmU7IEtBTFlERUNPIChpdmFjYWZ0b3IpIGZvciB0aGUgdHJlYXRtZW50IG9mIHBhdGllbnRzIHdpdGggQ0Ygd2hvIGhhdmUgc3BlY2lmaWMgbXV0YXRpb25zIGluIHRoZWlyIENGVFIgZ2VuZSwgaW5jbHVkaW5nIHRoZSBHNTUxRCBtdXRhdGlvbjsgYW5kIFNZTURFS08gKHRlemFjYWZ0b3IgaW4gY29tYmluYXRpb24gd2l0aCBpdmFjYWZ0b3IpIHRvIHRyZWF0IHBhdGllbnRzIHdpdGggQ0YgMTIgeWVhcnMgb2YgYWdlIGFuZCBvbGRlciB3aG8gYXJlIEY1MDhkZWwgaG9tb3p5Z291cyBvciB3aG8gaGF2ZSAxIG11dGF0aW9uIHRoYXQgaXMgcmVzcG9uc2l2ZSB0byB0ZXphY2FmdG9yL2l2YWNhZnRvci4gVGhlIGNvbXBhbnkgYWxzbyBkZXZlbG9wcyBWWC02NTkgYW5kIFZYLTQ0NSwgd2hpY2ggYXJlIENGVFIgY29ycmVjdG9yIGNvbXBvdW5kcyBpbiBQaGFzZSBJSSBjbGluaWNhbCB0cmlhbDsgVlgtMTUwIHRoYXQgaXMgaW4gUGhhc2UgSUkgY2xpbmljYWwgdHJpYWwgdG8gdHJlYXQgcGFpbjsgVlgtMTI4LCB3aGljaCBpcyBpbiBQaGFz</t>
  </si>
  <si>
    <t>ZSBJIGNsaW5pY2FsIHRyaWFsIGZvciB0aGUgdHJlYXRtZW50IG9mIHBhaW47IENUWDAwMSwgYW4gaW52ZXN0aWdhdGlvbmFsIGdlbmUgZWRpdGluZyB0cmVhdG1lbnQgdGhhdCBpcyBpbiBQaGFzZSBJL0lJIHRyaWFsIGZvciB0aGUgdHJlYXRtZW50IG9mIGJldGEtdGhhbGFzc2VtaWEgYW5kIHNpY2tsZSBjZWxsIGRpc2Vhc2U7IHBpbW9kaXZpciAoSk5KLTYzNjIzODcyKSwgd2hpY2ggaXMgaW4gYSBQaGFzZSBJSUkgY2xpbmljYWwgZGV2ZWxvcG1lbnQgcHJvZ3JhbSB0byB0cmVhdCBpbmZsdWVuemE7IGFuZCBWWC0yMTAgdG8gdHJlYXQgYWN1dGUgc3BpbmFsIGNvcmQgaW5qdXJ5LiBJdCBzZWxscyBpdHMgcHJvZHVjdHMgcHJpbWFyaWx5IHRvIHNwZWNpYWx0eSBwaGFybWFjeSBwcm92aWRlcnMgaW4gTm9ydGggQW1lcmljYSwgYXMgd2VsbCBhcyBnb3Zlcm5tZW50LW93bmVkIGFuZCBzdXBwb3J0ZWQgY3VzdG9tZXJzIGludGVybmF0aW9uYWxseS4gVGhlIGNvbXBhbnkgaGFzIGNvbGxhYm9yYXRpb25zIHdpdGggQ3lzdGljIEZpYnJvc2lzIEZvdW5kYXRpb24gVGhlcmFwZXV0aWNzIEluY29ycG9yYXRlZDsgQ1JJU1BSIFRoZXJhcGV1dGljcyBBRzsgTW9kZXJuYSBUaGVyYXBldXRpY3MsIEluYy47IEJpb0F4b25lIEJpb3NjaWVuY2VzLCBJbmMuOyBQYXJpb24gU2NpZW5jZXMsIEluYy47IE1lcmNr</t>
  </si>
  <si>
    <t>IEtHYUE7IEphbnNzZW4gUGhhcm1hY2V1dGljYWxzLCBJbmM7IGFuZCBRLVN0YXRlIEJpb3NjaWVuY2VzLCBJbmMuIFRoZSBjb21wYW55IHdhcyBmb3VuZGVkIGluIDE5ODkgYW5kIGlzIGhlYWRxdWFydGVyZWQgaW4gQm9zdG9uLCBNYXNzYWNodXNldHRzLgCqQZa7oVTWCK4SNb2hVNYIGENJUS4uSVFfVFJfSU1QTElFRF9FUV9CVgUAAAABAAAACAAAABQoSW52YWxpZCBJZGVudGlmaWVyKapBlruhVNYIqkGWu6FU1gg5Q0lRLkFNRVg6QVBIQi5JUV9SRVZFTlVFX0VTVC5DWTIwMTguNy8zMS8yMDE4LkNPTi5GLlVTRC5IAQAAACKJAAACAAAAAzAuMgEOAAAABQAAAAIxMQEAAAABMAIAAAAKMTAwMjI1NTM5OAMAAAAGMTAwMTgwBAAAAAEyBgAAAAEwBwAAAAMxNjAIAAAAATAJAAAAATEKAAAAATALAAAACzEwOTIzMjM0MjI1DAAAAAE3DQAAAAg4LzEvMjAxOBAAAAAJNy8zMS8yMDE4SjyLuqFU1gjtNMW/oVTWCCJDSVEuSVFUUjMxMzI1MTg3Ny5JUV9UUl9QQ1RfU09VR0hUAQAAACXYqxICAAAAAzEwMAACP9q3oVTWCMWdH72hVNYIO0NJUS5OQVNEQVFHUzpWUlRYLklRX1BSRUZfRVFVSVRZLjIwMDAuOS8zMC8yMDE2LkxGUi5GLlVTRC5IAQAAAIuNAAADAAAAAAAEopi7oVTWCAytnL+hVNYIPENJUS5OQVNEQVFHUzpTVlJBLklRX0VBUk5JTkdfQ08uQ1kyMDE2LjcvMzEvMjAxOC5MRlIuRi5VU0QuSAEAAAB1</t>
  </si>
  <si>
    <t>f4cDAgAAAActMTAuOTIzAQgAAAAFAAAAATEBAAAACjE4NzgzNjQzNzgDAAAAAzE2MAIAAAABNwQAAAABMAcAAAAJNy8zMS8yMDE4CAAAAAoxMi8zMS8yMDE2CQAAAAEwN9bGuqFU1gikv6+/oVTWCDlDSVEuTkFTREFRR006Q1JCUC5JUV9UT1RBTF9SRVYuMjAwMC43LzMxLzIwMTguTEZSLkYuVVNELkgBAAAAJG8kDwIAAAAHMi4wOTY5NAEIAAAABQAAAAExAQAAAAoxODg4NTkwMzgxAwAAAAMxNjACAAAAAjI4BAAAAAEwBwAAAAk3LzMxLzIwMTgIAAAACTMvMzEvMjAxOAkAAAABMDfWxrqhVNYIlea2v6FU1ghAQ0lRLkFTWDpJTUMuSVFfVE9UQUxfUkVWXzVZUl9BTk5fQ0FHUi4yMDAwLjcvMzEvMjAxOC5MRlIuRi5VU0QuSAEAAADzTHUAAwAAAAJOTQEIAAAABQAAAAExAQAAAAoxODc3NjUwMDk2AwAAAAE5AgAAAAQ0MjMzBAAAAAEwBwAAAAk3LzMxLzIwMTgIAAAACjEyLzMxLzIwMTcJAAAAATBKPIu6oVTWCMxvwL+hVNYIPUNJUS4oSU5WQUxJRCBJREVOVElGSUVSKS5JUV9FQklUREEuMTk5Mi43LzMxLzIwMTguTEZSLkYuVVNELkgFAAAAAAAAAAgAAAAUKEludmFsaWQgSWRlbnRpZmllcilKPIu6oVTWCMe77b+hVNYIQENJUS5BU1g6MUFELklRX1RPVEFMX1JFVl8zWVJfQU5OX0NBR1IuMjAwMC43LzMxLzIwMTguTEZSLkYuVVNELkgBAAAAxaCkAwMAAAAAAEo8i7qhVNYIzG/Av6FU1ggnQ0lRLk5BU0RB</t>
  </si>
  <si>
    <t>UUNNOk1ER0wuSVFfQkVUQV8xWVIuNy8zMS8yMDE4AQAAAEybowgCAAAAEDEuMzg2NjAzMjY4MTg2NjQABKKYu6FU1ggB1KO/oVTWCDBDSVEuTkFTREFRQ006R0FMVC5JUV9MQVNUU0FMRVBSSUNFLjcvMzEvMjAxOC5VU0QBAAAAx0EQAAIAAAAENS4wNQA31sa6oVTWCEeEtL+hVNYIPENJUS5OQVNEQVFDTTpNREdMLklRX1RPVEFMX0VRVUlUWS4xOTkyLjcvMzEvMjAxOC5MRlIuRi5VU0QuSAEAAABMm6MIAgAAAAotNTAuNjI1ODkzAQgAAAAFAAAAATEBAAAACjE4NDE4MzU0MTcDAAAAAzE2MAIAAAAEMTI3NQQAAAABMAcAAAAJNy8zMS8yMDE4CAAAAAkzLzMxLzIwMTYJAAAAATAEopi7oVTWCAHUo7+hVNYITUNJUS4oSU5WQUxJRCBJREVOVElGSUVSKS5JUV9UT1RBTF9SRVZfNVlSX0FOTl9DQUdSLjIwMDAuNy8zMS8yMDE4LkxGUi5GLlVTRC5IBQAAAAAAAAAIAAAAFChJbnZhbGlkIElkZW50aWZpZXIpSjyLuqFU1ggWHvC/oVTWCCpDSVEuSVFUUjQwMTk3OTY4OS5JUV9UUl9UQVJHRVRfRUJJVC4uVVNELkgBAAAAKbn1FwIAAAAHLTQxLjM0OAEGAAAABQAAAAIzNwEAAAAKMTgwMjYwMzU3MwIAAAAFMjE2NzUDAAAAAzE2MAQAAAABMAcAAAAIMS8xLzE5MDACP9q3oVTWCDLZGr2hVNYIMUNJUS5BU1g6SU1DLklRX1BFUklPRERBVEVfSVMuMjAwMC43LzMxLzIwMTguTEZSLkYBAAAA80x1AAUAAAAKMTIvMzEv</t>
  </si>
  <si>
    <t>MjAxNwA31sa6oVTWCHcNvr+hVNYIQ0NJUS5OQVNEQVFHUzpJQ1BULklRX0VCSVREQV8yWVJfQU5OX0NBR1IuMjAwMC43LzMxLzIwMTguTEZSLkYuVVNELkgBAAAAgq+tAAMAAAACTk0BCAAAAAUAAAABMQEAAAAKMTg4ODYxNTU0MAMAAAADMTYwAgAAAAQ0MjA5BAAAAAEwBwAAAAk3LzMxLzIwMTgIAAAACTMvMzEvMjAxOAkAAAABMASimLuhVNYIVjamv6FU1ggrQ0lRLklRVFIyNTY2ODM2NTUuSVFfVFJfVE9UQUxfR1JPU1NfVFYuLlVTRAEAAACHrkwPAgAAAAg0LjQ1MDc1OQEGAAAABQAAAAI1NAEAAAAGMTAyMDg4AgAAAAkyNTY2ODM2NTUDAAAACTI1NjY4Mzc2NAQAAAADMTYwBgAAAAVGYWxzZQI/2rehVNYIusQmvaFU1ggrQ0lRLi5JUV9FQklUREEuQ1kyMDE3LjcvMzEvMjAxOC5MRlIuRi5VU0QuSAUAAAABAAAACAAAABQoSW52YWxpZCBJZGVudGlmaWVyKRysub6hVNYIHKy5vqFU1gg6Q0lRLkFNRVg6QVBIQi5JUV9UT1RBTF9FUVVJVFkuQ1kyMDE3LjcvMzEvMjAxOC5MRlIuRi5VU0QuSAEAAAAiiQAAAgAAAAU3LjczMQEIAAAABQAAAAExAQAAAAoxODc4MzYzNzM0AwAAAAMxNjACAAAABDEyNzUEAAAAATAHAAAACTcvMzEvMjAxOAgAAAAKMTIvMzEvMjAxNwkAAAABMEo8i7qhVNYI7TTFv6FU1gg4Q0lRLk5BU0RBUUdTOlNWUkEuSVFfRUJJVERBLkNZMjAxNy43LzMxLzIwMTguTEZSLkYuVVNELkgB</t>
  </si>
  <si>
    <t>AAAAdX+HAwIAAAAHLTI1LjE1MwEIAAAABQAAAAExAQAAAAoxODc4MzY0Mzk5AwAAAAMxNjACAAAABDQwNTEEAAAAATAHAAAACTcvMzEvMjAxOAgAAAAKMTIvMzEvMjAxNwkAAAABMDfWxrqhVNYIpL+vv6FU1ghDQ0lRLk5BU0RBUUNNOkdBTFQuSVFfRUJJVERBXzVZUl9BTk5fQ0FHUi4yMDAwLjcvMzEvMjAxOC5MRlIuRi5VU0QuSAEAAADHQRAAAwAAAAJOTQEIAAAABQAAAAExAQAAAAoxODg4MjQyMzk2AwAAAAMxNjACAAAABDQyMzUEAAAAATAHAAAACTcvMzEvMjAxOAgAAAAJMy8zMS8yMDE4CQAAAAEwN9bGuqFU1ghHhLS/oVTWCDZDSVEuTkFTREFRQ006R0FMVC5JUV9FQklUREEuMTk5Mi43LzMxLzIwMTguTEZSLkYuVVNELkgBAAAAx0EQAAIAAAAHLTIxLjE2OAEIAAAABQAAAAExAQAAAAoxODQyMjE0NDg1AwAAAAMxNjACAAAABDQwNTEEAAAAATAHAAAACTcvMzEvMjAxOAgAAAAJMy8zMS8yMDE2CQAAAAEwN9bGuqFU1ghHhLS/oVTWCDJDSVEuLklRX05FVF9XT1JLSU5HX0NBUC4yMDAwLjcvMzEvMjAxOC5MRlIuRi5VU0QuSAUAAAABAAAACAAAABQoSW52YWxpZCBJZGVudGlmaWVyKRysub6hVNYIHKy5vqFU1ggjQ0lRLklRVFIyNTk5ODU5NjIuSVFfVFJfQ0xPU0VEX0RBVEUBAAAAKhJ/DwUAAAAJMy8yOC8yMDE0AAI/2rehVNYIMtkavaFU1ghDQ0lRLk5BU0RBUUdTOlZSVFguSVFfRUJJVERBXzJZ</t>
  </si>
  <si>
    <t>Ul9BTk5fQ0FHUi4yMDAwLjcvMzEvMjAxOC5MRlIuRi5VU0QuSAEAAACLjQAAAwAAAAJOTQEIAAAABQAAAAExAQAAAAoxODk3MjkzNTkwAwAAAAMxNjACAAAABDQyMDkEAAAAATAHAAAACTcvMzEvMjAxOAgAAAAJNi8zMC8yMDE4CQAAAAEwBKKYu6FU1ggMrZy/oVTWCCNDSVEuTllTRTpLRE1OLklRX1BFUklPRERBVEVfSVMuMTAwMAEAAABTyNkGBQAAAAoxMi8zMS8yMDE3ADfWxrqhVNYI8Pqqv6FU1ghEQ0lRLkVOWFRBTTpHTFBHLklRX1RPVEFMX1JFVl8zWVJfQU5OX0NBR1IuMjAwMC43LzMxLzIwMTguTEZSLkYuVVNELkgBAAAAsjEaAAIAAAAHMjIuNTAzMgEIAAAABQAAAAExAQAAAAoxODg1NDg0NzU1AwAAAAI1MAIAAAAENDIyMAQAAAABMAcAAAAJNy8zMS8yMDE4CAAAAAkzLzMxLzIwMTgJAAAAATAEopi7oVTWCLZxob+hVNYIOENJUS5OWVNFOktETU4uSVFfVE9UQUxfRVFVSVRZLjE5OTIuNy8zMS8yMDE4LkxGUi5GLlVTRC5IAQAAAFPI2QYCAAAACC0zMDIuNzA3AQgAAAAFAAAAATEBAAAACjE4NDIzODgxNDUDAAAAAzE2MAIAAAAEMTI3NQQAAAABMAcAAAAJNy8zMS8yMDE4CAAAAAkzLzMxLzIwMTYJAAAAATA31sa6oVTWCFVdrb+hVNYIJ0NJUS5OQVNEQVFHUzpJQ1BULklRX0JFVEFfMllSLjcvMzEvMjAxOAEAAACCr60AAgAAABAxLjkzOTA3NzU4NDE1NTU0AASimLuhVNYIVjamv6FU1ggjQ0lR</t>
  </si>
  <si>
    <t>LklRVFI0MTU2MTE4MTUuSVFfVFJfVE9UQUxfU1RPQ0sBAAAAp7vFGAIAAAAAAAI/2rehVNYIMtkavaFU1ggvQ0lRLklRVFIyNTk5ODU5NjIuSVFfVFJfVEFSR0VUX1RPVEFMX1JFVi4uVVNELkgBAAAAKhJ/DwIAAAAAAAI/2rehVNYIGgAivaFU1gguQ0lRLk5BU0RBUUdNOkNSQlAuSVFfTUFSS0VUQ0FQLjkvMzAvMjAxNi5VU0QuSAEAAAAkbyQPAgAAAAoyOTcuMDUwNTAyAQYAAAAFAAAAATEBAAAACjE4MDMzMTE0NjcDAAAAAzE2MAIAAAAGMTAwMDU0BAAAAAEwBwAAAAk5LzMwLzIwMTY31sa6oVTWCJXmtr+hVNYIOUNJUS5OQVNEQVFHTTpDUkJQLklRX05JX01BUkdJTi4yMDAwLjcvMzEvMjAxOC5MRlIuRi5VU0QuSAEAAAAkbyQPAwAAAAJOTQEIAAAABQAAAAExAQAAAAoxODg4NTkwMzgxAwAAAAMxNjACAAAABDQwOTQEAAAAATAHAAAACTcvMzEvMjAxOAgAAAAJMy8zMS8yMDE4CQAAAAEwN9bGuqFU1giV5ra/oVTWCDhDSVEuTkFTREFRQ006TURHTC5JUV9FQklUREEuQ1kyMDE2LjcvMzEvMjAxOC5MRlIuRi5VU0QuSAEAAABMm6MIAgAAAAotMjMuMTIyODQ0AQgAAAAFAAAAATEBAAAACjE4NzgwNzg0NjcDAAAAAzE2MAIAAAAENDA1MQQAAAABMAcAAAAJNy8zMS8yMDE4CAAAAAoxMi8zMS8yMDE2CQAAAAEwBKKYu6FU1ggB1KO/oVTWCCdDSVEuTkFTREFRR1M6SU5TTS5JUV9CRVRBXzVZUi43LzMxLzIw</t>
  </si>
  <si>
    <t>MTgBAAAAGnUAAAIAAAAQMS4wNzQ1ODM4NTk4NTMxNQA31sa6oVTWCJuYqL+hVNYIHUNJUS5OQVNEQVFHTTpDTkFULklRX0VYQ0hBTkdFAQAAAGVn1gEDAAAACE5hc2RhcUdNADfWxrqhVNYIooVpvaFU1ghHQ0lRLk5BU0RBUUdNOlBSUVIuSVFfTUlOT1JJVFlfSU5URVJFU1RfVE9UQUwuMjAwMC43LzMxLzIwMTguTEZSLkYuVVNELkgBAAAA7+xcDQIAAAAJLTAuMDQ1NjI5AQgAAAAFAAAAATEBAAAACjE4ODA5ODE5MDcDAAAAAzE2MAIAAAAEMTMxMgQAAAABMAcAAAAJNy8zMS8yMDE4CAAAAAoxMi8zMS8yMDE3CQAAAAEwN9bGuqFU1giV5ra/oVTWCC5DSVEuSVFUUjI1OTk4NTk2Mi5JUV9UUl9UQVJHRVRfU1RPQ0tQUkVNSVVNXzFNAQAAACoSfw8CAAAAAAACP9q3oVTWCMWdH72hVNYILkNJUS5JUVRSMjUzODc3MjAzLklRX1RSX1RBUkdFVF9TVE9DS1BSRU1JVU1fMU0BAAAA09shDwIAAAAAAAI/2rehVNYIusQmvaFU1gg9Q0lRLk5BU0RBUUdTOkZHRU4uSVFfUkVWRU5VRV9FU1QuQ1kyMDIxLjcvMzEvMjAxOC5DT04uRi5VU0QuSAEAAABEbwAAAgAAAAg1MjkuMTc5NQEOAAAABQAAAAIxMQEAAAABMAIAAAAKMTAwMjkyODA5NQMAAAAGMTAwMTgwBAAAAAEyBgAAAAEwBwAAAAMxNjAIAAAAATAJAAAAATEKAAAAATALAAAACzExMDA0OTU4MTMxDAAAAAE3DQAAAAg4LzEvMjAxOBAAAAAJNy8zMS8yMDE4BKKY</t>
  </si>
  <si>
    <t>u6FU1ghvD5+/oVTWCB1DSVEuTkFTREFRR1M6SU5TTS5JUV9FWENIQU5HRQEAAAAadQAAAwAAAAhOYXNkYXFHUwCqQZa7oVTWCFaJK72hVNYIKENJUS5OQVNEQVFDTTpQVUxNLklRX1RFVi43LzMxLzIwMTguVVNELkgBAAAAn2yaAQIAAAAJMjAuMjU3NTIxAQYAAAAFAAAAATEBAAAACjE4ODgxMTYwODQDAAAAAzE2MAIAAAAGMTAwMDYwBAAAAAEwBwAAAAk3LzMxLzIwMThKPIu6oVTWCBfSwr+hVNYIMENJUS4oSU5WQUxJRCBJREVOVElGSUVSKS5JUV9CVVNJTkVTU19ERVNDUklQVElPTgUAAAAAAAAACAAAABQoSW52YWxpZCBJZGVudGlmaWVyKUo8i7qhVNYI2SGGvaFU1gg6Q0lRLk5BU0RBUUdNOlBSUVIuSVFfRUFSTklOR19DTy4xOTk2LjcvMzEvMjAxOC5MRlIuRi5VU0QuSAEAAADv7FwNAgAAAAktNDEuMjc4MzcBCAAAAAUAAAABMQEAAAAKMTg4MDk4MTk5OAMAAAADMTYwAgAAAAE3BAAAAAEwBwAAAAk3LzMxLzIwMTgIAAAACjEyLzMxLzIwMTYJAAAAATA31sa6oVTWCNpIub+hVNYIIUNJUS5JUTExNDc3OTk0MC5JUV9DT01QQU5ZX1RJQ0tFUgEAAAAkZ9cGAwAAAA1OYXNkYXFDTTpHTE1EAAI/2rehVNYIMtkavaFU1gglQ0lRLklRVFIyNzAxMTEzNjguSVFfUFJJTUFSWV9JTkRVU1RSWQEAAAASkhkQAwAAAA1CaW90ZWNobm9sb2d5AAI/2rehVNYIusQmvaFU1ggmQ0lRLkFTWDoxQUQuSVFfTEFTVFNB</t>
  </si>
  <si>
    <t>TEVQUklDRS45LzMwLzIwMTYBAAAAxaCkAwIAAAAHMC4xODc3OQBKPIu6oVTWCMxvwL+hVNYIRkNJUS5OQVNEQVFHUzpJQ1BULklRX1RPVEFMX1JFVl8yWVJfQU5OX0NBR1IuMjAwMC43LzMxLzIwMTguTEZSLkYuVVNELkgBAAAAgq+tAAIAAAAIODA0Ljc1NDIBCAAAAAUAAAABMQEAAAAKMTg4ODYxNTU0MAMAAAADMTYwAgAAAAQ0MjA3BAAAAAEwBwAAAAk3LzMxLzIwMTgIAAAACTMvMzEvMjAxOAkAAAABMASimLuhVNYIVjamv6FU1gg+Q0lRLk5BU0RBUUdTOkZHRU4uSVFfQ0FTSF9TVF9JTlZFU1QuMjAwMC43LzMxLzIwMTguTEZSLkYuVVNELkgBAAAARG8AAAIAAAAHNzAzLjc2OAEIAAAABQAAAAExAQAAAAoxODg3NjY5NTQzAwAAAAMxNjACAAAABDEwMDIEAAAAATAHAAAACTcvMzEvMjAxOAgAAAAJMy8zMS8yMDE4CQAAAAEwBKKYu6FU1ggMrZy/oVTWCDRDSVEuQVNYOjFBRC5JUV9FQVJOSU5HX0NPLjE5OTIuNy8zMS8yMDE4LkxGUi5GLlVTRC5IAQAAAMWgpAMCAAAACS0xLjE3Nzc1NQEIAAAABQAAAAExAQAAAAoxODA0NTc4MzExAwAAAAMxNjACAAAAATcEAAAAATAHAAAACTcvMzEvMjAxOAgAAAAJNi8zMC8yMDE0CQAAAAEwSjyLuqFU1gjMb8C/oVTWCDlDSVEuTkFTREFRR1M6RkdFTi5JUV9UT1RBTF9SRVYuMjAwMC43LzMxLzIwMTguTEZSLkYuVVNELkgBAAAARG8AAAIAAAAHMTI4LjE1MQEIAAAA</t>
  </si>
  <si>
    <t>BQAAAAExAQAAAAoxODg3NjY5NTQzAwAAAAMxNjACAAAAAjI4BAAAAAEwBwAAAAk3LzMxLzIwMTgIAAAACTMvMzEvMjAxOAkAAAABMASimLuhVNYIbw+fv6FU1ggWQ0lRLi5JUV9DT01QQU5ZX1RJQ0tFUgUAAAABAAAACAAAABQoSW52YWxpZCBJZGVudGlmaWVyKapBlruhVNYIqkGWu6FU1ggvQ0lRLklRVFIzMzAwMzExODQuSVFfVFJfSU1QTElFRF9FVl9GSU5BTC4uVVNELkgBAAAAUOCrEwIAAAAEMTIwMAEGAAAABQAAAAI1NAEAAAAGMTAyMDQ1AgAAAAkzMzAwMzExODQDAAAACTMzMDAzMTc1NAQAAAADMTYwBgAAAAVGYWxzZQI/2rehVNYIYWIkvaFU1gg2Q0lRLk5BU0RBUUNNOk1HRU4uSVFfRUJJVERBLjE5OTIuNy8zMS8yMDE4LkxGUi5GLlVTRC5IAQAAAG/irgICAAAABy0xMS44NzgBCAAAAAUAAAABMQEAAAAKMTgzNDcxNzEzOQMAAAADMTYwAgAAAAQ0MDUxBAAAAAEwBwAAAAk3LzMxLzIwMTgIAAAACjEyLzMxLzIwMTUJAAAAATA31sa6oVTWCNpIub+hVNYIQENJUS5BU1g6SU1DLklRX1RPVEFMX1JFVl8yWVJfQU5OX0NBR1IuMjAwMC43LzMxLzIwMTguTEZSLkYuVVNELkgBAAAA80x1AAIAAAAHMjguODk5NQEIAAAABQAAAAExAQAAAAoxODc3NjUwMDk2AwAAAAE5AgAAAAQ0MjA3BAAAAAEwBwAAAAk3LzMxLzIwMTgIAAAACjEyLzMxLzIwMTcJAAAAATBKPIu6oVTWCMxvwL+hVNYIIUNJUS5JUVRS</t>
  </si>
  <si>
    <t>MjcwMTExMzY4LklRX1RSX0JVWUVSTkFNRQEAAACIkhkQAwAAADJPbmNvdGh5cmVvbiBJbmMgKG5rYTpDYXNjYWRpYW4gVGhlcmFwZXV0aWNzLCBJbmMuKQACP9q3oVTWCMWdH72hVNYIPENJUS5OQVNEQVFHUzpJTlNNLklRX1RPVEFMX0VRVUlUWS4yMDAwLjcvMzEvMjAxOC5MRlIuRi5VU0QuSAEAAAAadQAAAgAAAAc0MzQuODU2AQgAAAAFAAAAATEBAAAACjE4ODYwNDIzMjgDAAAAAzE2MAIAAAAEMTI3NQQAAAABMAcAAAAJNy8zMS8yMDE4CAAAAAkzLzMxLzIwMTgJAAAAATA31sa6oVTWCJuYqL+hVNYIPUNJUS5OQVNEQVFDTTpNREdMLklRX1JFVkVOVUVfRVNULkNZMjAyMS43LzMxLzIwMTguQ09OLkYuVVNELkgBAAAATJujCAIAAAAHMi4xMDAzMwEOAAAABQAAAAIxMQEAAAABMAIAAAAKMTAwMzU5MDQ4OQMAAAAGMTAwMTgwBAAAAAEyBgAAAAEwBwAAAAMxNjAIAAAAATAJAAAAATEKAAAAATALAAAACzEwOTQ1NTcyODY4DAAAAAE3DQAAAAg4LzEvMjAxOBAAAAAJNy8zMS8yMDE4BKKYu6FU1ggB1KO/oVTWCDhDSVEuTllTRTpLRE1OLklRX1RPVEFMX0VRVUlUWS4xOTk2LjcvMzEvMjAxOC5MRlIuRi5VU0QuSAEAAABTyNkGAgAAAActMTkuNjE1AQgAAAAFAAAAATEBAAAACjE4ODc0NDUzNTMDAAAAAzE2MAIAAAAEMTI3NQQAAAABMAcAAAAJNy8zMS8yMDE4CAAAAAkzLzMxLzIwMTcJAAAAATA31sa6oVTW</t>
  </si>
  <si>
    <t>CFVdrb+hVNYIPENJUS5OQVNEQVFHTTpDUkJQLklRX0VCSVREQV9FU1QuQ1kyMDE4LjcvMzEvMjAxOC5DT04uRi5VU0QuSAEAAAAkbyQPAgAAAActNDcuNzQzAQ4AAAAFAAAAAjExAQAAAAEwAgAAAAoxMDAzMTc4NTI5AwAAAAYxMDAxODcEAAAAATIGAAAAATAHAAAAAzE2MAgAAAABMAkAAAABMQoAAAABMAsAAAALMTA5MTUxNTc4NzUMAAAAATcNAAAACDgvMS8yMDE4EAAAAAk3LzMxLzIwMTg31sa6oVTWCJXmtr+hVNYIKUNJUS5JUVRSMzEzMjUxODc3LklRX1RSX0lNUExJRURfRVFfTklfTFRNAQAAACXYqxICAAAAAAACP9q3oVTWCGFiJL2hVNYIK0NJUS5JUVRSNDAyMDM0NTY5LklRX1RSX0lNUExJRURfRVZfRUJJVF9GV0QBAAAAiY/2FwIAAAAAAAI/2rehVNYIGgAivaFU1gg8Q0lRLk5BU0RBUUdNOkNOQVQuSVFfVE9UQUxfRVFVSVRZLjE5OTIuNy8zMS8yMDE4LkxGUi5GLlVTRC5IAQAAAGVn1gECAAAACTMxLjM1MTE3NQEIAAAABQAAAAExAQAAAAoxODQyMDU1Mjk1AwAAAAMxNjACAAAABDEyNzUEAAAAATAHAAAACTcvMzEvMjAxOAgAAAAJMy8zMS8yMDE2CQAAAAEwN9bGuqFU1gh3Db6/oVTWCC5DSVEuSVFUUjQxNTYxMTgxNS5JUV9UUl9UQVJHRVRfU1RPQ0tQUkVNSVVNXzFNAQAAAKe7xRgCAAAAAAACP9q3oVTWCBoAIr2hVNYIH0NJUS4wLklRX1RSX1RPVEFMX0dST1NTX1RWLi5VU0QFAAAAAAAA</t>
  </si>
  <si>
    <t>AAgAAAAYKEludmFsaWQgVHJhbnNhY3Rpb24gSWQpAj/at6FU1gjFnR+9oVTWCCFDSVEuQU1FWDpBUEhCLklRX0ZJUlNUUFJJQ0lOR0RBVEUBAAAAIokAAAUAAAAJNS8yMC8xOTk0AEo8i7qhVNYIK0puvaFU1gg4Q0lRLkFTWDoxQUQuSVFfVE9UQUxfRVFVSVRZLkNZMjAxNy43LzMxLzIwMTguTEZSLkYuVVNELkgBAAAAxaCkAwIAAAAIMy40ODIyMzMBCAAAAAUAAAABMQEAAAAKMTg3NjE4NTc5MQMAAAADMTYwAgAAAAQxMjc1BAAAAAEwBwAAAAk3LzMxLzIwMTgIAAAACjEyLzMxLzIwMTcJAAAAATBKPIu6oVTWCMxvwL+hVNYIHUNJUS5JUTI4NDg0LklRX0NPTVBBTllfVElDS0VSAQAAAERvAAADAAAADU5hc2RhcUdTOkZHRU4AAj/at6FU1ggy2Rq9oVTWCDxDSVEuTkFTREFRR006Q05BVC5JUV9UT1RBTF9FUVVJVFkuMTk5Ni43LzMxLzIwMTguTEZSLkYuVVNELkgBAAAAZWfWAQIAAAAJMTkuNDYwNzQ0AQgAAAAFAAAAATEBAAAACjE4ODY2MTczNDEDAAAAAzE2MAIAAAAEMTI3NQQAAAABMAcAAAAJNy8zMS8yMDE4CAAAAAkzLzMxLzIwMTcJAAAAATA31sa6oVTWCHcNvr+hVNYINUNJUS5OQVNEQVFDTTpHQUxULklRX0RBX0NGLjIwMDAuNy8zMS8yMDE4LkxGUi5GLlVTRC5IAQAAAMdBEAACAAAAATABCAAAAAUAAAABMQEAAAAKMTg4ODI0MjM5NgMAAAADMTYwAgAAAAQyMTYwBAAAAAEwBwAAAAk3LzMxLzIw</t>
  </si>
  <si>
    <t>MTgIAAAACTMvMzEvMjAxOAkAAAABMDfWxrqhVNYIR4S0v6FU1ggiQ0lRLklRVFIyODY0MTA3MzYuSVFfVFJfUENUX1NPVUdIVAEAAADwRxIRAgAAAAMxMDAAAj/at6FU1ggy2Rq9oVTWCD9DSVEuTkFTREFRR1M6SUNQVC5JUV9ORVRfV09SS0lOR19DQVAuMTk5Ni43LzMxLzIwMTguTEZSLkYuVVNELkgBAAAAgq+tAAIAAAAHLTQ1LjcwNwEIAAAABQAAAAExAQAAAAoxODg4NjE1NTE5AwAAAAMxNjACAAAABDEzMTEEAAAAATAHAAAACTcvMzEvMjAxOAgAAAAJMy8zMS8yMDE3CQAAAAEwBKKYu6FU1ghWNqa/oVTWCDpDSVEuTkFTREFRR006TU5PVi5JUV9FQVJOSU5HX0NPLjIwMDAuNy8zMS8yMDE4LkxGUi5GLlVTRC5IAQAAALhUjQACAAAACi0xMy4wNDUxNjUBCAAAAAUAAAABMQEAAAAKMTg5Njc2NjE5MQMAAAADMTYwAgAAAAE3BAAAAAEwBwAAAAk3LzMxLzIwMTgIAAAACTYvMzAvMjAxOAkAAAABMDfWxrqhVNYIpL+vv6FU1ggsQ0lRLkFNRVg6QVBIQi5JUV9MQVNUU0FMRVBSSUNFLjcvMzEvMjAxOC5VU0QBAAAAIokAAAIAAAAEMS4wNABKPIu6oVTWCBfSwr+hVNYIOkNJUS5OQVNEQVFDTTpQVUxNLklRX1RPVEFMX0RFQlQuMjAwMC43LzMxLzIwMTguTEZSLkYuVVNELkgBAAAAn2yaAQIAAAAFMi41MjQBCAAAAAUAAAABMQEAAAAKMTg4ODExNjIyNwMAAAADMTYwAgAAAAQ0MTczBAAAAAEwBwAAAAk3LzMx</t>
  </si>
  <si>
    <t>LzIwMTgIAAAACTMvMzEvMjAxOAkAAAABMEo8i7qhVNYIF9LCv6FU1ggpQ0lRLklRVFIyNzAxMTEzNjguSVFfQlVTSU5FU1NfREVTQ1JJUFRJT04BAAAAEpIZEAMAAAD/A0FscGluZSBCaW9zY2llbmNlcywgSW5jLiBkZXZlbG9wcyB0aGVyYXBpZXMgZm9yIGNhbmNlciBhbmQgcmFyZSBkaXNlYXNlcyB1c2luZyBuYW5vcGFydGljbGVzIGFuZCBkcnVnIGRldmVsb3BtZW50LiBJdCBkZXZlbG9wcyBpdHMgcHJvZHVjdHMgYmFzZWQgb24gcHJvdG9jZWxsIHRlY2hub2xvZ3kgZm9yIHRoZSBkZXZlbG9wbWVudCBvZiBwcm9kdWN0IGNhbmRpZGF0ZXMgaW4gb25jb2xvZ3ksIGltbXVub3RoZXJhcHksIGFuZCByYXJlIGRpc2Vhc2VzLiBUaGUgY29tcGFueeKAmXMgdGhlcmFwZXV0aWMgYXJlYXMgaW5jbHVkZSBseXNvc29tYWwgc3RvcmFnZSwgb25jb2xvZ3ksIGFuZCBjeXN0aWMgZmlicm9zaXMuIFRoZSBjb21wYW55IHdhcyBmb3VuZGVkIGluIDIwMTIgYW5kIGlzIGJhc2VkIGluIFNlYXR0bGUsIFdhc2hpbmd0b24uIEFzIG9mIEF1Z3VzdCA4LCAyMDE0LCBBbHBpbmUgQmlvc2NpZW5jZXMsIEluYy4gb3BlcmF0ZXMgYXMgYSBzdWJzaWRpYXJ5IG9mIE9uY290aHlyZW9uIEluYy4AAj/at6FU1ggaACK9oVTWCDlDSVEuTkFTREFRQ006UFVMTS5JUV9UT1RBTF9SRVYuMTk5Ni43LzMxLzIwMTguTEZSLkYuVVNE</t>
  </si>
  <si>
    <t>LkgBAAAAn2yaAQIAAAAFMC40MzkBCAAAAAUAAAABMQEAAAAKMTg4ODExNjIxOAMAAAADMTYwAgAAAAIyOAQAAAABMAcAAAAJNy8zMS8yMDE4CAAAAAkzLzMxLzIwMTcJAAAAATBKPIu6oVTWCBfSwr+hVNYIOUNJUS5BU1g6MUFELklRX05FVF9XT1JLSU5HX0NBUC4xOTk2LjcvMzEvMjAxOC5MRlIuRi5VU0QuSAEAAADFoKQDAgAAAAktMC4zMzc2NTcBCAAAAAUAAAABMQEAAAAKMTg3NjE4NzAyNAMAAAADMTYwAgAAAAQxMzExBAAAAAEwBwAAAAk3LzMxLzIwMTgIAAAACjEyLzMxLzIwMTYJAAAAATBKPIu6oVTWCMxvwL+hVNYIPkNJUS5OQVNEQVFDTTpQVUxNLklRX0NBU0hfU1RfSU5WRVNULjIwMDAuOS8zMC8yMDE2LkxGUi5GLlVTRC5IAQAAAJ9smgECAAAABjEwLjc4OAEIAAAABQAAAAExAQAAAAoxODAxNzIxNTk5AwAAAAMxNjACAAAABDEwMDIEAAAAATAHAAAACTkvMzAvMjAxNggAAAAJNi8zMC8yMDE2CQAAAAEwSjyLuqFU1ggX0sK/oVTWCD5DSVEuTkFTREFRQ006TURHTC5JUV9UT1RBTF9FUVVJVFkuQ1kyMDE3LjcvMzEvMjAxOC5MRlIuRi5VU0QuSAEAAABMm6MIAgAAAAcxODIuMjU5AQgAAAAFAAAAATEBAAAACjE4NzgwNzg0NzMDAAAAAzE2MAIAAAAEMTI3NQQAAAABMAcAAAAJNy8zMS8yMDE4CAAAAAoxMi8zMS8yMDE3CQAAAAEwBKKYu6FU1ggB1KO/oVTWCDFDSVEuQU1FWDpBUEhCLklRX0RB</t>
  </si>
  <si>
    <t>X0NGLjIwMDAuNy8zMS8yMDE4LkxGUi5GLlVTRC5IAQAAACKJAAACAAAABTAuMzc4AQgAAAAFAAAAATEBAAAACjE4ODkwMTg4NDQDAAAAAzE2MAIAAAAEMjE2MAQAAAABMAcAAAAJNy8zMS8yMDE4CAAAAAkzLzMxLzIwMTgJAAAAATBKPIu6oVTWCO00xb+hVNYINkNJUS4uSVFfRUJJVERBXzVZUl9BTk5fQ0FHUi4yMDAwLjcvMzEvMjAxOC5MRlIuRi5VU0QuSAUAAAABAAAACAAAABQoSW52YWxpZCBJZGVudGlmaWVyKRysub6hVNYIHKy5vqFU1ggsQ0lRLk5BU0RBUUNNOk1ER0wuSVFfTEFTVFNBTEVQUklDRS45LzMwLzIwMTYBAAAATJujCAIAAAAFMTIuNjgAqkGWu6FU1ggB1KO/oVTWCD9DSVEuTkFTREFRR006Q05BVC5JUV9ORVRfV09SS0lOR19DQVAuMTk5Ni43LzMxLzIwMTguTEZSLkYuVVNELkgBAAAAZWfWAQIAAAAKLTMzLjE5NTcwMwEIAAAABQAAAAExAQAAAAoxODg2NjE3MzQxAwAAAAMxNjACAAAABDEzMTEEAAAAATAHAAAACTcvMzEvMjAxOAgAAAAJMy8zMS8yMDE3CQAAAAEwN9bGuqFU1ggiq7u/oVTWCCBDSVEuSVEyNjg5NzU2Ny5JUV9DT01QQU5ZX1RJQ0tFUgEAAACfbJoBAwAAAA1OYXNkYXFDTTpQVUxNAAI/2rehVNYIMtkavaFU1gg5Q0lRLk5BU0RBUUdTOklDUFQuSVFfVE9UQUxfUkVWLjE5OTYuNy8zMS8yMDE4LkxGUi5GLlVTRC5IAQAAAIKvrQACAAAABjQ1LjU1NAEIAAAABQAAAAEx</t>
  </si>
  <si>
    <t>AQAAAAoxODg4NjE1NTE5AwAAAAMxNjACAAAAAjI4BAAAAAEwBwAAAAk3LzMxLzIwMTgIAAAACTMvMzEvMjAxNwkAAAABMASimLuhVNYIVjamv6FU1gg5Q0lRLk5BU0RBUUdTOlZSVFguSVFfVE9UQUxfUkVWLjE5OTYuNy8zMS8yMDE4LkxGUi5GLlVTRC5IAQAAAIuNAAACAAAACDIxMzEuMzQyAQgAAAAFAAAAATEBAAAACjE4OTcyOTM1OTEDAAAAAzE2MAIAAAACMjgEAAAAATAHAAAACTcvMzEvMjAxOAgAAAAJNi8zMC8yMDE3CQAAAAEwqkGWu6FU1ggMrZy/oVTWCDJDSVEuQU1FWDpBUEhCLklRX0VCSVREQS4xOTkyLjcvMzEvMjAxOC5MRlIuRi5VU0QuSAEAAAAiiQAAAgAAAActMTIuMTMzAQgAAAAFAAAAATEBAAAACjE4NDIyODI3NzYDAAAAAzE2MAIAAAAENDA1MQQAAAABMAcAAAAJNy8zMS8yMDE4CAAAAAkzLzMxLzIwMTYJAAAAATBKPIu6oVTWCO00xb+hVNYIO0NJUS5OQVNEQVFDTTpNR0VOLklRX1BSRUZfRVFVSVRZLjIwMDAuOS8zMC8yMDE2LkxGUi5GLlVTRC5IAQAAAG/irgIDAAAAAAA31sa6oVTWCCKru7+hVNYIL0NJUS5JUVRSMjU2NjgzNjU1LklRX1RSX0lNUExJRURfRVZfRklOQUwuLlVTRC5IAQAAAIeuTA8CAAAACDQuNDUwNzU5AQYAAAAFAAAAAjU0AQAAAAYxMDIwNDUCAAAACTI1NjY4MzY1NQMAAAAJMjU2NjgzNzY0BAAAAAMxNjAGAAAABUZhbHNlAj/at6FU1gjFnR+9oVTWCDpDSVEu</t>
  </si>
  <si>
    <t>TkFTREFRR1M6VlJUWC5JUV9FQVJOSU5HX0NPLjE5OTYuNy8zMS8yMDE4LkxGUi5GLlVTRC5IAQAAAIuNAAACAAAABzI2OC45MzkBCAAAAAUAAAABMQEAAAAKMTg5NzI5MzU5MQMAAAADMTYwAgAAAAE3BAAAAAEwBwAAAAk3LzMxLzIwMTgIAAAACTYvMzAvMjAxNwkAAAABMASimLuhVNYIDK2cv6FU1ghBQ0lRLkVOWFRBTTpHTFBHLklRX0VCSVREQV81WVJfQU5OX0NBR1IuMjAwMC43LzMxLzIwMTguTEZSLkYuVVNELkgBAAAAsjEaAAMAAAACTk0BCAAAAAUAAAABMQEAAAAKMTg4NTQ4NDc1NQMAAAACNTACAAAABDQyMzUEAAAAATAHAAAACTcvMzEvMjAxOAgAAAAJMy8zMS8yMDE4CQAAAAEwBKKYu6FU1ggB1KO/oVTWCC5DSVEuKElOVkFMSUQgSURFTlRJRklFUikuSVFfQkVUQV8yWVIuNy8zMS8yMDE4BQAAAAAAAAAIAAAAFChJbnZhbGlkIElkZW50aWZpZXIpSjyLuqFU1gjHu+2/oVTWCEZDSVEuKElOVkFMSUQgSURFTlRJRklFUikuSVFfTkVUX1dPUktJTkdfQ0FQLjE5OTYuNy8zMS8yMDE4LkxGUi5GLlVTRC5IBQAAAAAAAAAIAAAAFChJbnZhbGlkIElkZW50aWZpZXIpSjyLuqFU1gjHu+2/oVTWCCxDSVEuRU5YVEFNOkdMUEcuSVFfTUFSS0VUQ0FQLjkvMzAvMjAxNi5VU0QuSAEAAACyMRoAAgAAAAsyOTY0Ljg1MzkwMgEGAAAABQAAAAExAQAAAAoxODAwOTY3MzQzAwAAAAMxNjACAAAABjEwMDA1NAQA</t>
  </si>
  <si>
    <t>AAABMAcAAAAJOS8zMC8yMDE2qkGWu6FU1gi2caG/oVTWCDhDSVEuQVNYOjFBRC5JUV9UT1RBTF9FUVVJVFkuQ1kyMDE2LjcvMzEvMjAxOC5MRlIuRi5VU0QuSAEAAADFoKQDAgAAAAg2LjAxMDcwNQEIAAAABQAAAAExAQAAAAoxODc2MTg3MDI0AwAAAAMxNjACAAAABDEyNzUEAAAAATAHAAAACTcvMzEvMjAxOAgAAAAKMTIvMzEvMjAxNgkAAAABMEo8i7qhVNYIzG/Av6FU1ghGQ0lRLk5BU0RBUUdTOlNWUkEuSVFfVE9UQUxfUkVWXzNZUl9BTk5fQ0FHUi4yMDAwLjcvMzEvMjAxOC5MRlIuRi5VU0QuSAEAAAB1f4cDAwAAAAAAN9bGuqFU1gjyIbK/oVTWCDBDSVEuTkFTREFRR1M6VlJUWC5JUV9MQVNUU0FMRVBSSUNFLjcvMzEvMjAxOC5VU0QBAAAAi40AAAIAAAAGMTc1LjA1AKpBlruhVNYIDK2cv6FU1gg8Q0lRLk5BU0RBUUNNOk1HRU4uSVFfRUJJVERBX0VTVC5DWTIwMTguNy8zMS8yMDE4LkNPTi5GLlVTRC5IAQAAAG/irgIDAAAAAAA31sa6oVTWCNpIub+hVNYIO0NJUS5OQVNEQVFHTTpQUlFSLklRX1BSRUZfRVFVSVRZLjIwMDAuNy8zMS8yMDE4LkxGUi5GLlVTRC5IAQAAAO/sXA0DAAAAAAA31sa6oVTWCJXmtr+hVNYIPUNJUS5OQVNEQVFHUzpJQ1BULklRX1JFVkVOVUVfRVNULkNZMjAyMC43LzMxLzIwMTguQ09OLkYuVVNELkgBAAAAgq+tAAIAAAAJMzI2Ljg1MTYyAQ4AAAAFAAAAAjExAQAAAAEw</t>
  </si>
  <si>
    <t>AgAAAAoxMDAxNjY1NjE0AwAAAAYxMDAxODAEAAAAATIGAAAAATAHAAAAAzE2MAgAAAABMAkAAAABMQoAAAABMAsAAAALMTA5NzUwMzE2OTkMAAAAATcNAAAACDgvMS8yMDE4EAAAAAk3LzMxLzIwMTgEopi7oVTWCFY2pr+hVNYIN0NJUS5OQVNEQVFHUzpJTlNNLklRX1BFUklPRERBVEVfSVMuMjAwMC43LzMxLzIwMTguTEZSLkYBAAAAGnUAAAUAAAAJMy8zMS8yMDE4AASimLuhVNYIVjamv6FU1ghDQ0lRLk5BU0RBUUdNOkNOQVQuSVFfRUJJVERBXzNZUl9BTk5fQ0FHUi4yMDAwLjcvMzEvMjAxOC5MRlIuRi5VU0QuSAEAAABlZ9YBAwAAAAJOTQEIAAAABQAAAAExAQAAAAoxODg2NjE3MzQwAwAAAAMxNjACAAAABDQyMjIEAAAAATAHAAAACTcvMzEvMjAxOAgAAAAJMy8zMS8yMDE4CQAAAAEwN9bGuqFU1gh3Db6/oVTWCDZDSVEuTkFTREFRR006TU5PVi5JUV9FQklUREEuMTk5Mi43LzMxLzIwMTguTEZSLkYuVVNELkgBAAAAuFSNAAIAAAAKLTEwLjkwOTc1MwEIAAAABQAAAAExAQAAAAoxODUwNDM5OTk5AwAAAAMxNjACAAAABDQwNTEEAAAAATAHAAAACTcvMzEvMjAxOAgAAAAJNi8zMC8yMDE2CQAAAAEwN9bGuqFU1ghVXa2/oVTWCB5DSVEuSVEzNjE4MzgzNy5JUV9DT01QQU5ZX05BTUUBAAAAHR8oAgMAAAAyVW5pdGVkIFN0YXRlcyBUcmVhc3VyeSBDb25zdGFudCBNYXR1cml0eSAtIDEwIFllYXIAAj/a</t>
  </si>
  <si>
    <t>t6FU1gjDrky4oVTWCDhDSVEuTkFTREFRR006Q05BVC5JUV9FQklUREEuQ1kyMDE3LjcvMzEvMjAxOC5MRlIuRi5VU0QuSAEAAABlZ9YBAgAAAAotMTcuNDQyMTgxAQgAAAAFAAAAATEBAAAACjE4Nzc2MTQxNDQDAAAAAzE2MAIAAAAENDA1MQQAAAABMAcAAAAJNy8zMS8yMDE4CAAAAAoxMi8zMS8yMDE3CQAAAAEwN9bGuqFU1ggiq7u/oVTWCCJDSVEuSVFUUjMxMzI1MTg3Ny5JUV9UUl9UQVJHRVROQU1FAQAAACXYqxIDAAAAGkFkaGVyb24gVGhlcmFwZXV0aWNzLCBJbmMuAAI/2rehVNYIYWIkvaFU1ghEQ0lRLkVOWFRBTTpHTFBHLklRX1RPVEFMX1JFVl81WVJfQU5OX0NBR1IuMjAwMC43LzMxLzIwMTguTEZSLkYuVVNELkgBAAAAsjEaAAIAAAAGMi4wNTEyAQgAAAAFAAAAATEBAAAACjE4ODU0ODQ3NTUDAAAAAjUwAgAAAAQ0MjMzBAAAAAEwBwAAAAk3LzMxLzIwMTgIAAAACTMvMzEvMjAxOAkAAAABMASimLuhVNYItnGhv6FU1ggqQ0lRLklRVFIyNTM4NzcyMDMuSVFfVFJfVEFSR0VUX0VCSVQuLlVTRC5IAQAAANPbIQ8CAAAABzE4Ni4wOTYBBgAAAAUAAAACMzcBAAAACjE2NjU1NDM0MzICAAAABTIxNjc1AwAAAAMxNjAEAAAAATAHAAAACDEvMS8xOTAwAj/at6FU1ggaACK9oVTWCCxDSVEuLklRX1RPVEFMX1JFVi4xOTk2LjcvMzEvMjAxOC5MRlIuRi5VU0QuSAUAAAABAAAACAAAABQoSW52YWxpZCBJ</t>
  </si>
  <si>
    <t>ZGVudGlmaWVyKRysub6hVNYIHKy5vqFU1gg9Q0lRLk5BU0RBUUNNOk1HRU4uSVFfUkVWRU5VRV9FU1QuQ1kyMDIwLjcvMzEvMjAxOC5DT04uRi5VU0QuSAEAAABv4q4CAgAAAAcyLjM3NzI1AQ4AAAAFAAAAAjExAQAAAAEwAgAAAAoxMDAzNjMwNTg2AwAAAAYxMDAxODAEAAAAATIGAAAAATAHAAAAAzE2MAgAAAABMAkAAAABMQoAAAABMAsAAAALMTA4ODYyNDkzNjIMAAAAATcNAAAACDgvMS8yMDE4EAAAAAk3LzMxLzIwMTg31sa6oVTWCNpIub+hVNYINUNJUS5OQVNEQVFHTTpDUkJQLklRX0RBX0NGLjIwMDAuNy8zMS8yMDE4LkxGUi5GLlVTRC5IAQAAACRvJA8CAAAACDAuMzA2MDYxAQgAAAAFAAAAATEBAAAACjE4ODg1OTAzODEDAAAAAzE2MAIAAAAEMjE2MAQAAAABMAcAAAAJNy8zMS8yMDE4CAAAAAkzLzMxLzIwMTgJAAAAATA31sa6oVTWCJXmtr+hVNYIO0NJUS5OQVNEQVFDTTpHQUxULklRX1BSRUZfRVFVSVRZLjIwMDAuNy8zMS8yMDE4LkxGUi5GLlVTRC5IAQAAAMdBEAACAAAABTguOTYyAQgAAAAFAAAAATEBAAAACjE4ODgyNDIzOTYDAAAAAzE2MAIAAAAEMTAwNQQAAAABMAcAAAAJNy8zMS8yMDE4CAAAAAkzLzMxLzIwMTgJAAAAATA31sa6oVTWCEeEtL+hVNYILkNJUS5OQVNEQVFHUzpJQ1BULklRX01BUktFVENBUC45LzMwLzIwMTYuVVNELkgBAAAAgq+tAAIAAAALNDA2OS43MTQyMjYBBgAA</t>
  </si>
  <si>
    <t>AAUAAAABMQEAAAAKMTgwMjg5MTQ4MgMAAAADMTYwAgAAAAYxMDAwNTQEAAAAATAHAAAACTkvMzAvMjAxNqpBlruhVNYIVjamv6FU1ggzQ0lRLkFTWDpJTUMuSVFfVE9UQUxfUkVWLjIwMDAuNy8zMS8yMDE4LkxGUi5GLlVTRC5IAQAAAPNMdQACAAAACDEuMjU5MzYzAQgAAAAFAAAAATEBAAAACjE4Nzc2NTAwOTYDAAAAAzE2MAIAAAACMjgEAAAAATAHAAAACTcvMzEvMjAxOAgAAAAKMTIvMzEvMjAxNwkAAAABMDfWxrqhVNYIdw2+v6FU1ggaQ0lRLi5JUV9CRVRBXzJZUi43LzMxLzIwMTgFAAAAAQAAAAgAAAAUKEludmFsaWQgSWRlbnRpZmllcikcrLm+oVTWCBysub6hVNYIPUNJUS5FTlhUUEE6R05GVC5JUV9ORVRfV09SS0lOR19DQVAuMTk5Mi43LzMxLzIwMTguTEZSLkYuVVNELkgBAAAAIsGTAAIAAAAJLTAuODM2Mjc1AQgAAAAFAAAAATEBAAAACjE4NDM2NTk5NzgDAAAAAzE2MAIAAAAEMTMxMQQAAAABMAcAAAAJNy8zMS8yMDE4CAAAAAoxMi8zMS8yMDE1CQAAAAEwN9bGuqFU1gjw+qq/oVTWCCdDSVEuTkFTREFRR006UFJRUi5JUV9CRVRBXzFZUi43LzMxLzIwMTgBAAAA7+xcDQIAAAAPMS41MTAxNDk5NDEyOTMxADfWxrqhVNYI2ki5v6FU1gg8Q0lRLk5BU0RBUUdNOkNOQVQuSVFfRUFSTklOR19DTy5DWTIwMTcuNy8zMS8yMDE4LkxGUi5GLlVTRC5IAQAAAGVn1gECAAAACi0xNy4zOTY0MTMBCAAA</t>
  </si>
  <si>
    <t>AAUAAAABMQEAAAAKMTg3NzYxNDE0NAMAAAADMTYwAgAAAAE3BAAAAAEwBwAAAAk3LzMxLzIwMTgIAAAACjEyLzMxLzIwMTcJAAAAATA31sa6oVTWCHcNvr+hVNYILkNJUS5JUVRSNDAyMDM0NTY5LklRX1RSX1RBUkdFVF9TVE9DS1BSRU1JVU1fMU0BAAAAiY/2FwIAAAAAAAI/2rehVNYIMtkavaFU1ggsQ0lRLklRVFIyNjM3MDcyODkuSVFfVFJfVE9UQUxfR1JPU1NfVFYuVVNELkgFAAAAAAAAAAgAAAAaKEludmFsaWQgQ3VycmVuY3kgUmVxdWVzdCkCP9q3oVTWCMWdH72hVNYIRkNJUS5OQVNEQVFHUzpGR0VOLklRX1RPVEFMX1JFVl8yWVJfQU5OX0NBR1IuMjAwMC43LzMxLzIwMTguTEZSLkYuVVNELkgBAAAARG8AAAIAAAAILTE4LjQ3NDQBCAAAAAUAAAABMQEAAAAKMTg4NzY2OTU0MwMAAAADMTYwAgAAAAQ0MjA3BAAAAAEwBwAAAAk3LzMxLzIwMTgIAAAACTMvMzEvMjAxOAkAAAABMASimLuhVNYItnGhv6FU1gguQ0lRLk5ZU0U6QkhWTi5JUV9UT1RBTF9SRVYuMjAwMC4xMC8xOC8yMDE2Li4uLgEAAADcZyAPAwAAAAAAAj/at6FU1gio1VO4oVTWCCxDSVEuSVFUUjUzMTkyMDUwNy5JUV9UUl9UQVJHRVRfRUJJVERBLi5VU0QuSAEAAAB7drQfAgAAAAAAAj/at6FU1ggy2Rq9oVTWCENDSVEuTkFTREFRQ006UFVMTS5JUV9FQklUREFfNVlSX0FOTl9DQUdSLjIwMDAuNy8zMS8yMDE4LkxGUi5GLlVTRC5I</t>
  </si>
  <si>
    <t>AQAAAJ9smgEDAAAAAABKPIu6oVTWCBfSwr+hVNYII0NJUS5JUVRSNDAyMDM0NTY5LklRX1RSX1RPVEFMX1NUT0NLAQAAAImP9hcCAAAAAAACP9q3oVTWCBoAIr2hVNYIIUNJUS5BU1g6SU1DLklRX0JFVEFfMllSLjcvMzEvMjAxOAEAAADzTHUAAgAAABEwLjUxNDc0NDUwNDE5MTQ1MQBKPIu6oVTWCHcNvr+hVNYIPUNJUS5OQVNEQVFHUzpJTlNNLklRX1JFVkVOVUVfRVNULkNZMjAyMS43LzMxLzIwMTguQ09OLkYuVVNELkgBAAAAGnUAAAIAAAAJNDk3LjE5NjY3AQ4AAAAFAAAAAjExAQAAAAEwAgAAAAoxMDAxODMzMjAzAwAAAAYxMDAxODAEAAAAATIGAAAAATAHAAAAAzE2MAgAAAABMAkAAAABMQoAAAABMAsAAAALMTEwMTE1NjkyNzQMAAAAATcNAAAACDgvMS8yMDE4EAAAAAk3LzMxLzIwMTgEopi7oVTWCJuYqL+hVNYIR0NJUS5OQVNEQVFDTTpQVUxNLklRX01JTk9SSVRZX0lOVEVSRVNUX1RPVEFMLjIwMDAuNy8zMS8yMDE4LkxGUi5GLlVTRC5IAQAAAJ9smgEDAAAAAABKPIu6oVTWCBfSwr+hVNYIIENJUS5JUTQ1MDE1NjYzLklRX0NPTVBBTllfVElDS0VSAQAAAG/irgIDAAAADU5hc2RhcUNNOk1HRU4AAj/at6FU1ggy2Rq9oVTWCD5DSVEuTkFTREFRR1M6SUNQVC5JUV9DQVNIX1NUX0lOVkVTVC4yMDAwLjcvMzEvMjAxOC5MRlIuRi5VU0QuSAEAAACCr60AAgAAAAczMjYuMDkyAQgAAAAFAAAAATEB</t>
  </si>
  <si>
    <t>AAAACjE4ODg2MTU1NDADAAAAAzE2MAIAAAAEMTAwMgQAAAABMAcAAAAJNy8zMS8yMDE4CAAAAAkzLzMxLzIwMTgJAAAAATAEopi7oVTWCFY2pr+hVNYILENJUS5JUVRSNDAxOTc5Njg5LklRX1RSX1RBUkdFVF9FQklUREEuLlVTRC5IAQAAACm59RcCAAAABy00MS4yMjkBBgAAAAUAAAACMzcBAAAACjE4MDI2MDM1NzMCAAAABTIxNjc3AwAAAAMxNjAEAAAAATAHAAAACDEvMS8xOTAwAj/at6FU1giEOx29oVTWCClDSVEuSVEzNjE4MzgzNC5JUV9MQVNUU0FMRVBSSUNFLjcvMzEvMjAxOAEAAAAaHygCAgAAAAQyLjkyAAI/2rehVNYIhDsdvaFU1gg6Q0lRLk5BU0RBUUdTOkZHRU4uSVFfVE9UQUxfREVCVC4yMDAwLjcvMzEvMjAxOC5MRlIuRi5VU0QuSAEAAABEbwAAAgAAAAcxMTUuNDQ0AQgAAAAFAAAAATEBAAAACjE4ODc2Njk1NDMDAAAAAzE2MAIAAAAENDE3MwQAAAABMAcAAAAJNy8zMS8yMDE4CAAAAAkzLzMxLzIwMTgJAAAAATAEopi7oVTWCAytnL+hVNYIMUNJUS5JUVRSMjcwMTExMzY4LklRX1RSX1RBUkdFVF9SRVZFTlVFX0VTVC4uVVNELkgBAAAAiJIZEAIAAAAAAAI/2rehVNYIusQmvaFU1ghHQ0lRLk5BU0RBUUNNOk1HRU4uSVFfTUlOT1JJVFlfSU5URVJFU1RfVE9UQUwuMjAwMC45LzMwLzIwMTYuTEZSLkYuVVNELkgBAAAAb+KuAgMAAAAAADfWxrqhVNYIIqu7v6FU1gggQ0lRLklRMzYxODM4</t>
  </si>
  <si>
    <t>MTMuSVFfTEFTVFNBTEVQUklDRS4BAAAABR8oAgIAAAAEMi4yNACqQZa7oVTWCKpBlruhVNYINENJUS5BU1g6MUFELklRX1RPVEFMX0RFQlQuMjAwMC43LzMxLzIwMTguTEZSLkYuVVNELkgBAAAAxaCkAwIAAAABMAEIAAAABQAAAAExAQAAAAoxODc2MTg1NzkxAwAAAAMxNjACAAAABDQxNzMEAAAAATAHAAAACTcvMzEvMjAxOAgAAAAKMTIvMzEvMjAxNwkAAAABMEo8i7qhVNYIzG/Av6FU1gggQ0lRLklRVFIxMTcyOTE0NjUuSVFfVFJfRUFSTk9VVFMBAAAAybn9BgIAAAAAAAI/2rehVNYIxZ0fvaFU1gg8Q0lRLk5BU0RBUUdTOlZSVFguSVFfRUFSTklOR19DTy5DWTIwMTcuNy8zMS8yMDE4LkxGUi5GLlVTRC5IAQAAAIuNAAACAAAABjkxLjYzNQEIAAAABQAAAAExAQAAAAoxODc0NTMxMzg2AwAAAAMxNjACAAAAATcEAAAAATAHAAAACTcvMzEvMjAxOAgAAAAKMTIvMzEvMjAxNwkAAAABMASimLuhVNYIDK2cv6FU1ggvQ0lRLkFTWDpJTUMuSVFfQ0FQRVguMTk5Ni43LzMxLzIwMTguTEZSLkYuVVNELkgBAAAA80x1AAIAAAAJLTAuMDAxMzU5AQgAAAAFAAAAATEBAAAACjE4Nzc2NTA5ODkDAAAAAzE2MAIAAAAEMjAyMQQAAAABMAcAAAAJNy8zMS8yMDE4CAAAAAoxMi8zMS8yMDE2CQAAAAEwSjyLuqFU1gh3Db6/oVTWCDpDSVEuTkFTREFRQ006UFVMTS5JUV9FQVJOSU5HX0NPLjE5OTYuNy8zMS8yMDE4LkxG</t>
  </si>
  <si>
    <t>Ui5GLlVTRC5IAQAAAJ9smgECAAAABy0yNS42NTcBCAAAAAUAAAABMQEAAAAKMTg4ODExNjIxOAMAAAADMTYwAgAAAAE3BAAAAAEwBwAAAAk3LzMxLzIwMTgIAAAACTMvMzEvMjAxNwkAAAABMEo8i7qhVNYIF9LCv6FU1gg1Q0lRLk5BU0RBUUdTOklDUFQuSVFfQ0FQRVguMTk5Mi43LzMxLzIwMTguTEZSLkYuVVNELkgBAAAAgq+tAAIAAAAGLTYuNDEyAQgAAAAFAAAAATEBAAAACjE4NDE4NDI4NjgDAAAAAzE2MAIAAAAEMjAyMQQAAAABMAcAAAAJNy8zMS8yMDE4CAAAAAkzLzMxLzIwMTYJAAAAATAEopi7oVTWCFY2pr+hVNYILENJUS5JUVRSNDE1NjExODE1LklRX1RSX1RPVEFMX0dST1NTX1RWLlVTRC5IBQAAAAAAAAAIAAAAGihJbnZhbGlkIEN1cnJlbmN5IFJlcXVlc3QpAj/at6FU1giEOx29oVTWCD9DSVEuTkFTREFRQ006R0xNRC5JUV9ORVRfV09SS0lOR19DQVAuMTk5Ni43LzMxLzIwMTguTEZSLkYuVVNELkgBAAAAJGfXBgIAAAAGLTMuNDgzAQgAAAAFAAAAATEBAAAACjE4ODg0OTIzMjADAAAAAzE2MAIAAAAEMTMxMQQAAAABMAcAAAAJNy8zMS8yMDE4CAAAAAkzLzMxLzIwMTcJAAAAATA31sa6oVTWCPIhsr+hVNYIK0NJUS5JUVRSMjcwNzg5NTg0LklRX1RSX1RPVEFMX0dST1NTX1RWLi5VU0QBAAAA0OsjEAIAAAALODkyOS4xNDc3MjYBBgAAAAUAAAACNTQBAAAABjEwMjA4OAIAAAAJMjcwNzg5</t>
  </si>
  <si>
    <t>NTg0AwAAAAkyNzA3OTA2MjkEAAAAAzE2MAYAAAAFRmFsc2UCP9q3oVTWCLrEJr2hVNYIPENJUS5OQVNEQVFHTTpDTkFULklRX0VBUk5JTkdfQ08uQ1kyMDE2LjcvMzEvMjAxOC5MRlIuRi5VU0QuSAEAAABlZ9YBAgAAAAotMjkuNzMzNDQxAQgAAAAFAAAAATEBAAAACjE4Nzc2MTQxODADAAAAAzE2MAIAAAABNwQAAAABMAcAAAAJNy8zMS8yMDE4CAAAAAoxMi8zMS8yMDE2CQAAAAEwN9bGuqFU1gh3Db6/oVTWCDBDSVEuQVNYOklNQy5JUV9FQklUREEuMjAwMC43LzMxLzIwMTguTEZSLkYuVVNELkgBAAAA80x1AAIAAAAJLTUuODIwMTM2AQgAAAAFAAAAATEBAAAACjE4Nzc2NTAwOTYDAAAAAzE2MAIAAAAENDA1MQQAAAABMAcAAAAJNy8zMS8yMDE4CAAAAAoxMi8zMS8yMDE3CQAAAAEwN9bGuqFU1gh3Db6/oVTWCEZDSVEuTkFTREFRQ006R0xNRC5JUV9UT1RBTF9SRVZfNVlSX0FOTl9DQUdSLjIwMDAuNy8zMS8yMDE4LkxGUi5GLlVTRC5IAQAAACRn1wYDAAAAAAA31sa6oVTWCEeEtL+hVNYIOkNJUS5OQVNEQVFHUzpJTlNNLklRX0VBUk5JTkdfQ08uMTk5Mi43LzMxLzIwMTguTEZSLkYuVVNELkgBAAAAGnUAAAIAAAAILTEyNC4zNDYBCAAAAAUAAAABMQEAAAAKMTgzOTc2MjI1MgMAAAADMTYwAgAAAAE3BAAAAAEwBwAAAAk3LzMxLzIwMTgIAAAACTMvMzEvMjAxNgkAAAABMDfWxrqhVNYIm5iov6FU1gg1</t>
  </si>
  <si>
    <t>Q0lRLkVOWFRBTTpHTFBHLklRX1BFUklPRERBVEVfSVMuMjAwMC43LzMxLzIwMTguTEZSLkYBAAAAsjEaAAUAAAAJMy8zMS8yMDE4AASimLuhVNYItnGhv6FU1ghDQ0lRLkFNRVg6QVBIQi5JUV9NSU5PUklUWV9JTlRFUkVTVF9UT1RBTC4yMDAwLjcvMzEvMjAxOC5MRlIuRi5VU0QuSAEAAAAiiQAAAwAAAAAASjyLuqFU1ggX0sK/oVTWCD1DSVEuTkFTREFRQ006R0xNRC5JUV9FQklUREFfTUFSR0lOLjIwMDAuNy8zMS8yMDE4LkxGUi5GLlVTRC5IAQAAACRn1wYDAAAAAk5NAQgAAAAFAAAAATEBAAAACjE4ODg0OTIzOTMDAAAAAzE2MAIAAAAENDA0NwQAAAABMAcAAAAJNy8zMS8yMDE4CAAAAAkzLzMxLzIwMTgJAAAAATA31sa6oVTWCPIhsr+hVNYINkNJUS5OQVNEQVFDTTpHQUxULklRX0VCSVREQS4yMDAwLjcvMzEvMjAxOC5MRlIuRi5VU0QuSAEAAADHQRAAAgAAAAktMTUuNDc4NzUBCAAAAAUAAAABMQEAAAAKMTg4ODI0MjM5NgMAAAADMTYwAgAAAAQ0MDUxBAAAAAEwBwAAAAk3LzMxLzIwMTgIAAAACTMvMzEvMjAxOAkAAAABMDfWxrqhVNYIR4S0v6FU1gg8Q0lRLk5BU0RBUUNNOlBVTE0uSVFfVE9UQUxfRVFVSVRZLjE5OTIuNy8zMS8yMDE4LkxGUi5GLlVTRC5IAQAAAJ9smgECAAAABTI4LjE3AQgAAAAFAAAAATEBAAAACjE4NDAyNTE3ODQDAAAAAzE2MAIAAAAEMTI3NQQAAAABMAcAAAAJNy8zMS8y</t>
  </si>
  <si>
    <t>MDE4CAAAAAkzLzMxLzIwMTYJAAAAATBKPIu6oVTWCBfSwr+hVNYIOENJUS5FTlhUQU06R0xQRy5JUV9FQVJOSU5HX0NPLjE5OTIuNy8zMS8yMDE4LkxGUi5GLlVTRC5IAQAAALIxGgACAAAACi03Ny43MDk2OTgBCAAAAAUAAAABMQEAAAAKMTgzODc3NjUyNQMAAAADMTYwAgAAAAE3BAAAAAEwBwAAAAk3LzMxLzIwMTgIAAAACTMvMzEvMjAxNgkAAAABMASimLuhVNYItnGhv6FU1gguQ0lRLk5BU0RBUUNNOk1HRU4uSVFfTUFSS0VUQ0FQLjcvMzEvMjAxOC5VU0QuSAEAAABv4q4CAgAAAAoyMDMuNDk2NTk0AQYAAAAFAAAAATEBAAAACjE4ODc2NzY1ODUDAAAAAzE2MAIAAAAGMTAwMDU0BAAAAAEwBwAAAAk3LzMxLzIwMTg31sa6oVTWCNpIub+hVNYIPENJUS5OQVNEQVFHUzpGR0VOLklRX1RPVEFMX0VRVUlUWS4yMDAwLjcvMzEvMjAxOC5MRlIuRi5VU0QuSAEAAABEbwAAAgAAAAc1MTguNzg5AQgAAAAFAAAAATEBAAAACjE4ODc2Njk1NDMDAAAAAzE2MAIAAAAEMTI3NQQAAAABMAcAAAAJNy8zMS8yMDE4CAAAAAkzLzMxLzIwMTgJAAAAATAEopi7oVTWCG8Pn7+hVNYIN0NJUS5OQVNEQVFHUzpGR0VOLklRX1BFUklPRERBVEVfSVMuMjAwMC43LzMxLzIwMTguTEZSLkYBAAAARG8AAAUAAAAJMy8zMS8yMDE4AASimLuhVNYIDK2cv6FU1gglQ0lRLkVOWFRBTTpHTFBHLklRX0JFVEFfMVlSLjcvMzEvMjAxOAEA</t>
  </si>
  <si>
    <t>AACyMRoAAgAAABAxLjEyMzYyNTM2MDA0MTA3AASimLuhVNYItnGhv6FU1ghGQ0lRLk5BU0RBUUNNOk1ER0wuSVFfVE9UQUxfUkVWXzVZUl9BTk5fQ0FHUi4yMDAwLjcvMzEvMjAxOC5MRlIuRi5VU0QuSAEAAABMm6MIAwAAAAAABKKYu6FU1ggB1KO/oVTWCD5DSVEuTkFTREFRQ006UFVMTS5JUV9UT1RBTF9FUVVJVFkuQ1kyMDE2LjcvMzEvMjAxOC5MRlIuRi5VU0QuSAEAAACfbJoBAgAAAAU4Ljc2MQEIAAAABQAAAAExAQAAAAoxODc4MTY0NTk3AwAAAAMxNjACAAAABDEyNzUEAAAAATAHAAAACTcvMzEvMjAxOAgAAAAKMTIvMzEvMjAxNgkAAAABMEo8i7qhVNYIF9LCv6FU1gg6Q0lRLk5BU0RBUUNNOk1HRU4uSVFfVE9UQUxfREVCVC4yMDAwLjcvMzEvMjAxOC5MRlIuRi5VU0QuSAEAAABv4q4CAgAAAAYxMC4wMTgBCAAAAAUAAAABMQEAAAAKMTg4NzY3NjkzNQMAAAADMTYwAgAAAAQ0MTczBAAAAAEwBwAAAAk3LzMxLzIwMTgIAAAACTMvMzEvMjAxOAkAAAABMDfWxrqhVNYI2ki5v6FU1gguQ0lRLklRVFIyNTM4NzcyMDMuSVFfVFJfVEFSR0VUX1NUT0NLUFJFTUlVTV8xVwEAAADT2yEPAgAAAAAAAj/at6FU1ghhYiS9oVTWCEJDSVEuKElOVkFMSUQgSURFTlRJRklFUikuSVFfRUJJVF9NQVJHSU4uMjAwMC43LzMxLzIwMTguTEZSLkYuVVNELkgFAAAAAAAAAAgAAAAUKEludmFsaWQgSWRlbnRpZmllcilK</t>
  </si>
  <si>
    <t>PIu6oVTWCMe77b+hVNYIQ0NJUS5OQVNEQVFDTTpNREdMLklRX0VCSVREQV81WVJfQU5OX0NBR1IuMjAwMC43LzMxLzIwMTguTEZSLkYuVVNELkgBAAAATJujCAMAAAAAAASimLuhVNYIVjamv6FU1gghQ0lRLklRVFIxMTcyOTE0NjUuSVFfVFJfQlVZRVJOQU1FAQAAAMm5/QYDAAAAFUdpbGVhZCBTY2llbmNlcywgSW5jLgACP9q3oVTWCGFiJL2hVNYINkNJUS5OQVNEQVFDTTpHTE1ELklRX0VCSVREQS4xOTkyLjcvMzEvMjAxOC5MRlIuRi5VU0QuSAEAAAAkZ9cGAgAAAActMTIuMzk1AQgAAAAFAAAAATEBAAAACjE4NDQ3NjMxODQDAAAAAzE2MAIAAAAENDA1MQQAAAABMAcAAAAJNy8zMS8yMDE4CAAAAAkzLzMxLzIwMTYJAAAAATA31sa6oVTWCPIhsr+hVNYIJUNJUS5JUVRSMzQ3NTkxNTkxLklRX1BSSU1BUllfSU5EVVNUUlkBAAAAAKX2BAMAAAANQmlvdGVjaG5vbG9neQACP9q3oVTWCGFiJL2hVNYIOkNJUS5OQVNEQVFHTTpDTkFULklRX1RPVEFMX0RFQlQuMjAwMC45LzMwLzIwMTYuTEZSLkYuVVNELkgBAAAAZWfWAQIAAAABMQEIAAAABQAAAAExAQAAAAoxODAyNzI5NjcxAwAAAAMxNjACAAAABDQxNzMEAAAAATAHAAAACTkvMzAvMjAxNggAAAAJNi8zMC8yMDE2CQAAAAEwN9bGuqFU1gh3Db6/oVTWCC5DSVEuTkFTREFRR1M6SUNQVC5JUV9NQVJLRVRDQVAuNy8zMS8yMDE4LlVTRC5IAQAAAIKvrQAC</t>
  </si>
  <si>
    <t>AAAACzI2OTYuMTkwNTE5AQYAAAAFAAAAATEBAAAACjE4ODg2MTUxMTUDAAAAAzE2MAIAAAAGMTAwMDU0BAAAAAEwBwAAAAk3LzMxLzIwMTiqQZa7oVTWCFY2pr+hVNYIKENJUS5BU1g6MUFELklRX01BUktFVENBUC43LzMxLzIwMTguVVNELkgBAAAAxaCkAwIAAAAIMjUuNzU3OTUBBgAAAAUAAAABMQEAAAAKMTg3NjE4NTMxNwMAAAADMTYwAgAAAAYxMDAwNTQEAAAAATAHAAAACTcvMzEvMjAxOEo8i7qhVNYIzG/Av6FU1ggrQ0lRLklRVFIzMzAwMzExODQuSVFfVFJfVE9UQUxfR1JPU1NfVFYuLlVTRAEAAABQ4KsTAgAAAAQxMjAwAQYAAAAFAAAAAjU0AQAAAAYxMDIwODgCAAAACTMzMDAzMTE4NAMAAAAJMzMwMDMxNzU0BAAAAAMxNjAGAAAABUZhbHNlAj/at6FU1giEOx29oVTWCDVDSVEuTkFTREFRQ006UFVMTS5JUV9DQVBFWC4yMDAwLjcvMzEvMjAxOC5MRlIuRi5VU0QuSAEAAACfbJoBAgAAAAYtMC4wNzQBCAAAAAUAAAABMQEAAAAKMTg4ODExNjIyNwMAAAADMTYwAgAAAAQyMDIxBAAAAAEwBwAAAAk3LzMxLzIwMTgIAAAACTMvMzEvMjAxOAkAAAABMEo8i7qhVNYIF9LCv6FU1gg6Q0lRLk5BU0RBUUNNOlBVTE0uSVFfRUFSTklOR19DTy4xOTkyLjcvMzEvMjAxOC5MRlIuRi5VU0QuSAEAAACfbJoBAgAAAActMzAuMDMzAQgAAAAFAAAAATEBAAAACjE4NDAyNTE3ODQDAAAAAzE2MAIAAAABNwQAAAAB</t>
  </si>
  <si>
    <t>MAcAAAAJNy8zMS8yMDE4CAAAAAkzLzMxLzIwMTYJAAAAATBKPIu6oVTWCBfSwr+hVNYIPENJUS5OQVNEQVFDTTpNR0VOLklRX1RPVEFMX0VRVUlUWS4xOTk2LjcvMzEvMjAxOC5MRlIuRi5VU0QuSAEAAABv4q4CAgAAAAY0Ny45OTQBCAAAAAUAAAABMQEAAAAKMTg4NzY3NjkyMwMAAAADMTYwAgAAAAQxMjc1BAAAAAEwBwAAAAk3LzMxLzIwMTgIAAAACTMvMzEvMjAxNwkAAAABMDfWxrqhVNYIIqu7v6FU1gg8Q0lRLk5BU0RBUUNNOlBVTE0uSVFfRUJJVERBX0VTVC5DWTIwMjAuNy8zMS8yMDE4LkNPTi5GLlVTRC5IAQAAAJ9smgEDAAAAAABKPIu6oVTWCBfSwr+hVNYINUNJUS5OWVNFOktETU4uSVFfVE9UQUxfUkVWLjE5OTIuNy8zMS8yMDE4LkxGUi5GLlVTRC5IAQAAAFPI2QYCAAAABjM3LjY2NAEIAAAABQAAAAExAQAAAAoxODQyMzg4MTQ1AwAAAAMxNjACAAAAAjI4BAAAAAEwBwAAAAk3LzMxLzIwMTgIAAAACTMvMzEvMjAxNgkAAAABMDfWxrqhVNYI8Pqqv6FU1gg+Q0lRLk5BU0RBUUdTOlNWUkEuSVFfVE9UQUxfRVFVSVRZLkNZMjAxNi43LzMxLzIwMTguTEZSLkYuVVNELkgBAAAAdX+HAwIAAAAFOC4yODkBCAAAAAUAAAABMQEAAAAKMTg3ODM2NDM3OAMAAAADMTYwAgAAAAQxMjc1BAAAAAEwBwAAAAk3LzMxLzIwMTgIAAAACjEyLzMxLzIwMTYJAAAAATA31sa6oVTWCPIhsr+hVNYILENJUS4oSU5W</t>
  </si>
  <si>
    <t>QUxJRCBJREVOVElGSUVSKS5JUV9GSVJTVFBSSUNJTkdEQVRFBQAAAAAAAAAIAAAAFChJbnZhbGlkIElkZW50aWZpZXIpAj/at6FU1gjzg4i9oVTWCDhDSVEuRU5YVEFNOkdMUEcuSVFfRUFSTklOR19DTy4xOTk2LjcvMzEvMjAxOC5MRlIuRi5VU0QuSAEAAACyMRoAAgAAAAg0Ljc2NTgyNQEIAAAABQAAAAExAQAAAAoxODg1NDg0NzQzAwAAAAMxNjACAAAAATcEAAAAATAHAAAACTcvMzEvMjAxOAgAAAAJMy8zMS8yMDE3CQAAAAEwBKKYu6FU1gi2caG/oVTWCCtDSVEuSVFUUjQxNTYxMTgxNS5JUV9UUl9UT1RBTF9HUk9TU19UVi4uVVNEAQAAAKe7xRgCAAAAAAACP9q3oVTWCIQ7Hb2hVNYIFENJUS4uSVFfVFJfQlVZRVJOQU1FBQAAAAEAAAAIAAAAFChJbnZhbGlkIElkZW50aWZpZXIpqkGWu6FU1giqQZa7oVTWCB9DSVEuLklRX0xBU1RTQUxFUFJJQ0UuOS8zMC8yMDE2BQAAAAEAAAAIAAAAFChJbnZhbGlkIElkZW50aWZpZXIpHKy5vqFU1ggcrLm+oVTWCCxDSVEuTkFTREFRR1M6SU5TTS5JUV9MQVNUU0FMRVBSSUNFLjkvMzAvMjAxNgEAAAAadQAAAgAAAAUxNC41MgA31sa6oVTWCJuYqL+hVNYIH0NJUS5BU1g6SU1DLklRX0ZJUlNUUFJJQ0lOR0RBVEUBAAAA80x1AAUAAAAJNC8zMC8xOTk5ADfWxrqhVNYInDk8vaFU1ggpQ0lRLklRVFIyODY0MTA3MzYuSVFfQlVTSU5FU1NfREVTQ1JJUFRJT04BAAAA</t>
  </si>
  <si>
    <t>iTP4AgMAAACOBkNvcnJpZG9yIFBoYXJtYWNldXRpY2FscywgSW5jLiBkZXZlbG9wcyBzbWFsbCBtb2xlY3VsZSBpbmhpYml0b3JzIG9mIGFyZ2luYXNlIGFuZCBzZXJvdG9uaW4gdG8gdHJlYXQgcHVsbW9uYXJ5IGRpc2Vhc2VzIGFzc29jaWF0ZWQgd2l0aCBpbmZsYW1tYXRpb24sIGZpYnJvc2lzLCBhbmQgZW5kb3RoZWxpYWwgZHlzZnVuY3Rpb24uIEl0cyBwcm9kdWN0cyBpbmNsdWRlIEMtMjAxLCBhIHNtYWxsIG1vbGVjdWxlIGFyZ2luYXNlIGluaGliaXRvciB0aGF0IGluaGliaXRzIEFyZ2luYXNlIEkgYW5kIElJIGluIHRoZSBzaW5nbGUgbmFub21vbGFyIHJhbmdlLCBhbmQgaW5jcmVhc2VzIG5vIHByb2R1Y3Rpb24gaW4gaHVtYW4gcHVsbW9uYXJ5IGFydGVyeSBlbmRvdGhlbGlhbCBjZWxsczsgYW5kIEMtMzAxLCBhIG5vdmVsIGFyZ2luYXNlIGluaGliaXRvciBmb3IgdGhlIHRyZWF0bWVudCBvZiBwdWxtb25hcnkgZGlzb3JkZXJzIHN1Y2ggYXMgUEFILCBDT1BELCBhbmQgSVBGLiBUaGUgY29tcGFueSB3YXMgZm9ybWVybHkga25vd24gYXMgQXJnaW5ldGl4LCBJbmMuIGFuZCBjaGFuZ2VkIGl0cyBuYW1lIHRvIENvcnJpZG9yIFBoYXJtYWNldXRpY2FscywgSW5jLiBpbiBKdW5lLCAyMDEwLiBUaGUgY29tcGFueSB3YXMgZm91bmRlZCBpbiAyMDA3IGFuZCBpcyBiYXNlZCBpbiBUb3dzb24s</t>
  </si>
  <si>
    <t>IE1hcnlsYW5kLiBBcyBvZiBEZWNlbWJlciAzMSwgMjAxNCwgQ29ycmlkb3IgUGhhcm1hY2V1dGljYWxzLCBJbmMuIG9wZXJhdGVzIGFzIGEgc3Vic2lkaWFyeSBvZiBBc3RyYVplbmVjYSBQTEMuAAI/2rehVNYIMtkavaFU1ggwQ0lRLkFTWDoxQUQuSVFfRUJJVERBLjE5OTIuNy8zMS8yMDE4LkxGUi5GLlVTRC5IAQAAAMWgpAMCAAAACS0xLjE3NjcwMwEIAAAABQAAAAExAQAAAAoxODA0NTc4MzExAwAAAAMxNjACAAAABDQwNTEEAAAAATAHAAAACTcvMzEvMjAxOAgAAAAJNi8zMC8yMDE0CQAAAAEwSjyLuqFU1gjMb8C/oVTWCDtDSVEuTkFTREFRR1M6VlJUWC5JUV9UT1RBTF9SRVYuQ1kyMDE3LjcvMzEvMjAxOC5MRlIuRi5VU0QuSAEAAACLjQAAAgAAAAgyNDg4LjY1MgEIAAAABQAAAAExAQAAAAoxODc0NTMxMzg2AwAAAAMxNjACAAAAAjI4BAAAAAEwBwAAAAk3LzMxLzIwMTgIAAAACjEyLzMxLzIwMTcJAAAAATAEopi7oVTWCAytnL+hVNYILENJUS5OQVNEQVFDTTpHQUxULklRX0xBU1RTQUxFUFJJQ0UuOS8zMC8yMDE2AQAAAMdBEAACAAAABDEuMTMAN9bGuqFU1ghHhLS/oVTWCC1DSVEuTkFTREFRR1M6SU5TTS5JUV9ESVZJREVORF9ZSUVMRC43LzMxLzIwMTgBAAAAGnUAAAMAAAAAADfWxrqhVNYIm5iov6FU1gg+Q0lRLk5BU0RBUUdTOklDUFQuSVFfQ0FTSF9TVF9JTlZFU1QuMjAwMC45LzMwLzIw</t>
  </si>
  <si>
    <t>MTYuTEZSLkYuVVNELkgBAAAAgq+tAAIAAAAHNDM5LjQ4NwEIAAAABQAAAAExAQAAAAoxODAyODkyOTIzAwAAAAMxNjACAAAABDEwMDIEAAAAATAHAAAACTkvMzAvMjAxNggAAAAJNi8zMC8yMDE2CQAAAAEwBKKYu6FU1ghWNqa/oVTWCDpDSVEuTkFTREFRR006Q05BVC5JUV9FQVJOSU5HX0NPLjE5OTIuNy8zMS8yMDE4LkxGUi5GLlVTRC5IAQAAAGVn1gECAAAACi0yNS40NDA4NDYBCAAAAAUAAAABMQEAAAAKMTg0MjA1NTI5NQMAAAADMTYwAgAAAAE3BAAAAAEwBwAAAAk3LzMxLzIwMTgIAAAACTMvMzEvMjAxNgkAAAABMDfWxrqhVNYIdw2+v6FU1gg6Q0lRLkVOWFRQQTpHTkZULklRX0VCSVREQV9FU1QuQ1kyMDIwLjcvMzEvMjAxOC5DT04uRi5VU0QuSAEAAAAiwZMAAgAAABEtNzQuMjcwMDc2MDkxNDU2NwEOAAAABQAAAAIxMQEAAAABMAIAAAAKMTAwMTg3NzE3OAMAAAAGMTAwMTg3BAAAAAEzBgAAAAEwBwAAAAMxNjAIAAAAATAJAAAAATEKAAAAATALAAAACzEwOTg0NjQ5NDk4DAAAAAE3DQAAAAg4LzEvMjAxOBAAAAAJNy8zMS8yMDE4N9bGuqFU1gjw+qq/oVTWCDNDSVEuRU5YVEFNOkdMUEcuSVFfQ0FQRVguMjAwMC43LzMxLzIwMTguTEZSLkYuVVNELkgBAAAAsjEaAAIAAAAJLTYuODg0MzE3AQgAAAAFAAAAATEBAAAACjE4ODU0ODQ3NTUDAAAAAzE2MAIAAAAEMjAyMQQAAAABMAcAAAAJNy8zMS8y</t>
  </si>
  <si>
    <t>MDE4CAAAAAkzLzMxLzIwMTgJAAAAATAEopi7oVTWCLZxob+hVNYINUNJUS5OQVNEQVFHTTpNTk9WLklRX0NBUEVYLjIwMDAuNy8zMS8yMDE4LkxGUi5GLlVTRC5IAQAAALhUjQACAAAACS0wLjAxMDIwNwEIAAAABQAAAAExAQAAAAoxODk2NzY2MTkxAwAAAAMxNjACAAAABDIwMjEEAAAAATAHAAAACTcvMzEvMjAxOAgAAAAJNi8zMC8yMDE4CQAAAAEwN9bGuqFU1gikv6+/oVTWCC5DSVEuSVFUUjI4NjQxMDczNi5JUV9UUl9UQVJHRVRfU1RPQ0tQUkVNSVVNXzFXAQAAAPBHEhECAAAAAAACP9q3oVTWCBoAIr2hVNYIMkNJUS5BTUVYOkFQSEIuSVFfRUJJVERBLjE5OTYuNy8zMS8yMDE4LkxGUi5GLlVTRC5IAQAAACKJAAACAAAABy0xMi4yOTEBCAAAAAUAAAABMQEAAAAKMTg4OTAxODg0MgMAAAADMTYwAgAAAAQ0MDUxBAAAAAEwBwAAAAk3LzMxLzIwMTgIAAAACTMvMzEvMjAxNwkAAAABMEo8i7qhVNYI7TTFv6FU1gg/Q0lRLk5BU0RBUUdTOklOU00uSVFfTkVUX1dPUktJTkdfQ0FQLjE5OTIuNy8zMS8yMDE4LkxGUi5GLlVTRC5IAQAAABp1AAACAAAABy0xNC4yNTEBCAAAAAUAAAABMQEAAAAKMTgzOTc2MjI1MgMAAAADMTYwAgAAAAQxMzExBAAAAAEwBwAAAAk3LzMxLzIwMTgIAAAACTMvMzEvMjAxNgkAAAABMDfWxrqhVNYIm5iov6FU1gg3Q0lRLkVOWFRBTTpHTFBHLklRX05JX01BUkdJTi4yMDAwLjcv</t>
  </si>
  <si>
    <t>MzEvMjAxOC5MRlIuRi5VU0QuSAEAAACyMRoAAgAAAAgtODYuNjMwMgEIAAAABQAAAAExAQAAAAoxODg1NDg0NzU1AwAAAAI1MAIAAAAENDA5NAQAAAABMAcAAAAJNy8zMS8yMDE4CAAAAAkzLzMxLzIwMTgJAAAAATAEopi7oVTWCLZxob+hVNYIKUNJUS5JUVRSMTM4MjUxNDYyLklRX1RSX0lNUExJRURfRVFfTklfTFRNAQAAAMaMPQgCAAAAAAACP9q3oVTWCLrEJr2hVNYIQ0NJUS5OQVNEQVFDTTpHTE1ELklRX0VCSVREQV8yWVJfQU5OX0NBR1IuMjAwMC43LzMxLzIwMTguTEZSLkYuVVNELkgBAAAAJGfXBgMAAAACTk0BCAAAAAUAAAABMQEAAAAKMTg4ODQ5MjM5MwMAAAADMTYwAgAAAAQ0MjA5BAAAAAEwBwAAAAk3LzMxLzIwMTgIAAAACTMvMzEvMjAxOAkAAAABMDfWxrqhVNYIR4S0v6FU1gg2Q0lRLk5BU0RBUUdTOlZSVFguSVFfRUJJVERBLjE5OTIuNy8zMS8yMDE4LkxGUi5GLlVTRC5IAQAAAIuNAAACAAAABy02Ny4wMzQBCAAAAAUAAAABMQEAAAAKMTg1MDkwMjQ5MQMAAAADMTYwAgAAAAQ0MDUxBAAAAAEwBwAAAAk3LzMxLzIwMTgIAAAACTYvMzAvMjAxNgkAAAABMASimLuhVNYIDK2cv6FU1gg+Q0lRLk5BU0RBUUdTOlNWUkEuSVFfVE9UQUxfRVFVSVRZLkNZMjAxNy43LzMxLzIwMTguTEZSLkYuVVNELkgBAAAAdX+HAwIAAAAHMTE5LjMwOQEIAAAABQAAAAExAQAAAAoxODc4MzY0Mzk5AwAAAAMx</t>
  </si>
  <si>
    <t>NjACAAAABDEyNzUEAAAAATAHAAAACTcvMzEvMjAxOAgAAAAKMTIvMzEvMjAxNwkAAAABMDfWxrqhVNYI8iGyv6FU1gg0Q0lRLkVOWFRBTTpHTFBHLklRX0VCSVREQS4xOTk2LjcvMzEvMjAxOC5MRlIuRi5VU0QuSAEAAACyMRoAAgAAAAktMi4wNDEyNzUBCAAAAAUAAAABMQEAAAAKMTg4NTQ4NDc0MwMAAAADMTYwAgAAAAQ0MDUxBAAAAAEwBwAAAAk3LzMxLzIwMTgIAAAACTMvMzEvMjAxNwkAAAABMASimLuhVNYItnGhv6FU1gghQ0lRLk5ZU0U6S0RNTi5JUV9GSVJTVFBSSUNJTkdEQVRFAQAAAFPI2QYFAAAACTcvMjcvMjAxNgA31sa6oVTWCP/AZL2hVNYIOkNJUS5OQVNEQVFDTTpNREdMLklRX0VBUk5JTkdfQ08uMjAwMC43LzMxLzIwMTguTEZSLkYuVVNELkgBAAAATJujCAIAAAAHLTMxLjUxOQEIAAAABQAAAAExAQAAAAoxODg3ODE0MTEzAwAAAAMxNjACAAAAATcEAAAAATAHAAAACTcvMzEvMjAxOAgAAAAJMy8zMS8yMDE4CQAAAAEwBKKYu6FU1ggB1KO/oVTWCBVDSVEuLklRX1RSX1BDVF9TT1VHSFQFAAAAAQAAAAgAAAAUKEludmFsaWQgSWRlbnRpZmllcimqQZa7oVTWCKpBlruhVNYIO0NJUS5OQVNEQVFDTTpNR0VOLklRX1RPVEFMX1JFVi5DWTIwMTcuNy8zMS8yMDE4LkxGUi5GLlVTRC5IAQAAAG/irgICAAAABTQuMDAzAQgAAAAFAAAAATEBAAAACjE4Nzg1NjM5OTADAAAAAzE2MAIAAAACMjgE</t>
  </si>
  <si>
    <t>AAAAATAHAAAACTcvMzEvMjAxOAgAAAAKMTIvMzEvMjAxNwkAAAABMDfWxrqhVNYI2ki5v6FU1ggjQ0lRLklRVFIzMTMyNTE4NzcuSVFfVFJfQ0xPU0VEX0RBVEUBAAAAJdirEgUAAAAKMTAvMzEvMjAxNQACP9q3oVTWCMWdH72hVNYIJ0NJUS5BU1g6MUFELklRX0RJVklERU5EX1lJRUxELjcvMzEvMjAxOAEAAADFoKQDAwAAAAAASjyLuqFU1gjMb8C/oVTWCC5DSVEuSVFUUjI3MDExMTM2OC5JUV9UUl9UQVJHRVRfU1RPQ0tQUkVNSVVNXzFXAQAAAIiSGRACAAAAAAACP9q3oVTWCIQ7Hb2hVNYIQUNJUS5FTlhUUEE6R05GVC5JUV9FQklUREFfM1lSX0FOTl9DQUdSLjIwMDAuNy8zMS8yMDE4LkxGUi5GLlVTRC5IAQAAACLBkwADAAAAAk5NAQgAAAAFAAAAATEBAAAACjE4OTA2MTk2NDgDAAAAAjUwAgAAAAQ0MjIyBAAAAAEwBwAAAAk3LzMxLzIwMTgIAAAACjEyLzMxLzIwMTcJAAAAATA31sa6oVTWCPD6qr+hVNYILkNJUS4uSVFfVE9UQUxfUkVWLkNZMjAxNi43LzMxLzIwMTguTEZSLkYuVVNELkgFAAAAAQAAAAgAAAAUKEludmFsaWQgSWRlbnRpZmllcikcrLm+oVTWCBysub6hVNYIGUNJUS4wLklRX1RSX0lNUExJRURfRVFfQlYFAAAAAAAAAAgAAAAYKEludmFsaWQgVHJhbnNhY3Rpb24gSWQpAj/at6FU1giEOx29oVTWCChDSVEuTkFTREFRR1M6SUNQVC5JUV9URVYuNy8zMS8yMDE4LlVTRC5IAQAAAIKv</t>
  </si>
  <si>
    <t>rQACAAAACzI3MjkuNTQ3NTE4AQYAAAAFAAAAATEBAAAACjE4ODg2MTUxMTUDAAAAAzE2MAIAAAAGMTAwMDYwBAAAAAEwBwAAAAk3LzMxLzIwMTiqQZa7oVTWCFY2pr+hVNYIPENJUS5OQVNEQVFHUzpTVlJBLklRX0VBUk5JTkdfQ08uQ1kyMDE3LjcvMzEvMjAxOC5MRlIuRi5VU0QuSAEAAAB1f4cDAgAAAActMjkuNzk3AQgAAAAFAAAAATEBAAAACjE4NzgzNjQzOTkDAAAAAzE2MAIAAAABNwQAAAABMAcAAAAJNy8zMS8yMDE4CAAAAAoxMi8zMS8yMDE3CQAAAAEwN9bGuqFU1gikv6+/oVTWCDdDSVEuQVNYOjFBRC5JUV9SRVZFTlVFX0VTVC5DWTIwMTkuNy8zMS8yMDE4LkNPTi5GLlVTRC5IAQAAAMWgpAMDAAAAAABKPIu6oVTWCMxvwL+hVNYIO0NJUS5FTlhUQU06R0xQRy5JUV9SRVZFTlVFX0VTVC5DWTIwMjEuNy8zMS8yMDE4LkNPTi5GLlVTRC5IAQAAALIxGgACAAAAEDM3Ny44ODAwNzAzMzY0NzgBDgAAAAUAAAACMTEBAAAAATACAAAACjEwMDI5MTk0OTMDAAAABjEwMDE4MAQAAAABMwYAAAABMAcAAAADMTYwCAAAAAEwCQAAAAExCgAAAAEwCwAAAAsxMTA1Nzc5MjUwMwwAAAABNw0AAAAIOC8xLzIwMTgQAAAACTcvMzEvMjAxOASimLuhVNYItnGhv6FU1ghEQ0lRLihJTlZBTElEIElERU5USUZJRVIpLklRX1JFVkVOVUVfRVNULkNZMjAxOC43LzMxLzIwMTguQ09OLkYuVVNELkgFAAAAAAAAAAgAAAAU</t>
  </si>
  <si>
    <t>KEludmFsaWQgSWRlbnRpZmllcilKPIu6oVTWCMe77b+hVNYIKENJUS5BU1g6MUFELklRX01BUktFVENBUC45LzMwLzIwMTYuVVNELkgBAAAAxaCkAwIAAAAJMTguOTI3MDUzAQYAAAAFAAAAATEBAAAACjE4MTE1NzkyNjMDAAAAAzE2MAIAAAAGMTAwMDU0BAAAAAEwBwAAAAk5LzMwLzIwMTZKPIu6oVTWCMxvwL+hVNYIPUNJUS5FTlhUQU06R0xQRy5JUV9ORVRfV09SS0lOR19DQVAuMjAwMC43LzMxLzIwMTguTEZSLkYuVVNELkgBAAAAsjEaAAIAAAALLTI0MS41Njk1NDUBCAAAAAUAAAABMQEAAAAKMTg4NTQ4NDc1NQMAAAADMTYwAgAAAAQxMzExBAAAAAEwBwAAAAk3LzMxLzIwMTgIAAAACTMvMzEvMjAxOAkAAAABMASimLuhVNYItnGhv6FU1gglQ0lRLklRVFIyNTk5ODU5NjIuSVFfUFJJTUFSWV9JTkRVU1RSWQEAAABWyX4CAwAAAA9QaGFybWFjZXV0aWNhbHMAAj/at6FU1gjFnR+9oVTWCCRDSVEuTkFTREFRR1M6SU5TTS5JUV9FRkZFQ1RfVEFYX1JBVEUBAAAAGnUAAAMAAAACTk0BCAAAAAUAAAABMQEAAAAKMTkxNjY4NzMzOQMAAAADMTYwAgAAAAQ0Mzc2BAAAAAEwBwAAAAoxMS8yNy8yMDE4CAAAAAk5LzMwLzIwMTgJAAAAATA31sa6oVTWCJuYqL+hVNYIPkNJUS5OQVNEQVFDTTpQVUxNLklRX0NBU0hfU1RfSU5WRVNULjIwMDAuNy8zMS8yMDE4LkxGUi5GLlVTRC5IAQAAAJ9smgECAAAABTEuNTUz</t>
  </si>
  <si>
    <t>AQgAAAAFAAAAATEBAAAACjE4ODgxMTYyMjcDAAAAAzE2MAIAAAAEMTAwMgQAAAABMAcAAAAJNy8zMS8yMDE4CAAAAAkzLzMxLzIwMTgJAAAAATBKPIu6oVTWCBfSwr+hVNYIO0NJUS5OQVNEQVFDTTpNREdMLklRX1RPVEFMX1JFVi5DWTIwMTYuNy8zMS8yMDE4LkxGUi5GLlVTRC5IAQAAAEybowgDAAAAAAAEopi7oVTWCAHUo7+hVNYILENJUS5JUVRSMjYzNzA3Mjg5LklRX1RSX1RBUkdFVF9FQklUREEuLlVTRC5IAQAAAJnatw8CAAAABy0xNS4wNDMBBgAAAAUAAAACMzcBAAAACjE2Njc2MDc3NDcCAAAABTIxNjc3AwAAAAMxNjAEAAAAATAHAAAACDEvMS8xOTAwAj/at6FU1ggaACK9oVTWCDxDSVEuTkFTREFRR1M6SU5TTS5JUV9FQVJOSU5HX0NPLkNZMjAxNi43LzMxLzIwMTguTEZSLkYuVVNELkgBAAAAGnUAAAIAAAAILTE3Ni4yNzMBCAAAAAUAAAABMQEAAAAKMTg3NjA0NDk0OAMAAAADMTYwAgAAAAE3BAAAAAEwBwAAAAk3LzMxLzIwMTgIAAAACjEyLzMxLzIwMTYJAAAAATA31sa6oVTWCJuYqL+hVNYIPENJUS4oSU5WQUxJRCBJREVOVElGSUVSKS5JUV9DQVBFWC4yMDAwLjcvMzEvMjAxOC5MRlIuRi5VU0QuSAUAAAAAAAAACAAAABQoSW52YWxpZCBJZGVudGlmaWVyKUo8i7qhVNYIx7vtv6FU1gg/Q0lRLk5BU0RBUUdNOkNOQVQuSVFfTkVUX1dPUktJTkdfQ0FQLjIwMDAuNy8zMS8yMDE4LkxGUi5G</t>
  </si>
  <si>
    <t>LlVTRC5IAQAAAGVn1gECAAAABy0yMy41MjkBCAAAAAUAAAABMQEAAAAKMTg4NjYxNzM0MAMAAAADMTYwAgAAAAQxMzExBAAAAAEwBwAAAAk3LzMxLzIwMTgIAAAACTMvMzEvMjAxOAkAAAABMDfWxrqhVNYIdw2+v6FU1ghDQ0lRLk5BU0RBUUdTOlNWUkEuSVFfRUJJVERBXzVZUl9BTk5fQ0FHUi4yMDAwLjcvMzEvMjAxOC5MRlIuRi5VU0QuSAEAAAB1f4cDAwAAAAAAN9bGuqFU1gjyIbK/oVTWCDtDSVEuTkFTREFRR1M6SU5TTS5JUV9QUkVGX0VRVUlUWS4yMDAwLjcvMzEvMjAxOC5MRlIuRi5VU0QuSAEAAAAadQAAAwAAAAAABKKYu6FU1ghWNqa/oVTWCEpDSVEuKElOVkFMSUQgSURFTlRJRklFUikuSVFfRUJJVERBXzNZUl9BTk5fQ0FHUi4yMDAwLjcvMzEvMjAxOC5MRlIuRi5VU0QuSAUAAAAAAAAACAAAABQoSW52YWxpZCBJZGVudGlmaWVyKUo8i7qhVNYIFh7wv6FU1ggwQ0lRLk5BU0RBUUNNOk1HRU4uSVFfTEFTVFNBTEVQUklDRS43LzMxLzIwMTguVVNEAQAAAG/irgICAAAABDYuNzQAN9bGuqFU1gjaSLm/oVTWCC9DSVEuLklRX0dST1NTX01BUkdJTi4yMDAwLjcvMzEvMjAxOC5MRlIuRi5VU0QuSAUAAAABAAAACAAAABQoSW52YWxpZCBJZGVudGlmaWVyKRysub6hVNYIHKy5vqFU1gg7Q0lRLk5BU0RBUUdNOlBSUVIuSVFfUFJFRl9FUVVJVFkuMjAwMC45LzMwLzIwMTYuTEZSLkYuVVNELkgBAAAA</t>
  </si>
  <si>
    <t>7+xcDQMAAAAAADfWxrqhVNYI2ki5v6FU1gg1Q0lRLk5BU0RBUUdTOklOU00uSVFfQ0FQRVguMTk5Mi43LzMxLzIwMTguTEZSLkYuVVNELkgBAAAAGnUAAAIAAAAGLTIuNzc4AQgAAAAFAAAAATEBAAAACjE4Mzk3NjIyNTIDAAAAAzE2MAIAAAAEMjAyMQQAAAABMAcAAAAJNy8zMS8yMDE4CAAAAAkzLzMxLzIwMTYJAAAAATA31sa6oVTWCJuYqL+hVNYIIkNJUS5JUVRSMzMwMDMxMTg0LklRX1RSX1BDVF9TT1VHSFQBAAAAUOCrEwIAAAADMTAwAAI/2rehVNYIhDsdvaFU1gg/Q0lRLk5BU0RBUUNNOk1ER0wuSVFfTkVUX1dPUktJTkdfQ0FQLjIwMDAuNy8zMS8yMDE4LkxGUi5GLlVTRC5IAQAAAEybowgCAAAABS01LjkyAQgAAAAFAAAAATEBAAAACjE4ODc4MTQxMTMDAAAAAzE2MAIAAAAEMTMxMQQAAAABMAcAAAAJNy8zMS8yMDE4CAAAAAkzLzMxLzIwMTgJAAAAATAEopi7oVTWCAHUo7+hVNYIKUNJUS5JUVRSNTMxOTIwNTA3LklRX0JVU0lORVNTX0RFU0NSSVBUSU9OAQAAAEx2tB8DAAAAvgJBcyBvZiBKdWx5IDI1LCAyMDE3LCBDVC02NTYgRHJ1ZyAmIFJlbGF0ZWQgQXNzZXRzIG9mIENvbmNlcnQgUGhhcm1hY2V1dGljYWxzIEluYy4gd2FzIGFjcXVpcmVkIGJ5IFZlcnRleCBQaGFybWFjZXV0aWNhbHMgKEV1cm9wZSkgTGltaXRlZC4gQ1QtNjU2IERydWcgJiBSZWxhdGVkIEFzc2V0cyBvZiBDb25jZXJ0</t>
  </si>
  <si>
    <t>IFBoYXJtYWNldXRpY2FscyBJbmMuIGNvbXByaXNlcyBkcnVncyBhbmQgcmVsYXRlZCBhc3NldHMgZm9yIHRoZSB0cmVhdG1lbnQgb2Ygb2YgY3lzdGljIGZpYnJvc2lzLiBUaGUgYXNzZXQgaXMgbG9jYXRlZCBpbiB0aGUgVW5pdGVkIFN0YXRlcy4AAj/at6FU1ghhYiS9oVTWCEZDSVEuTkFTREFRR006Q05BVC5JUV9UT1RBTF9SRVZfMllSX0FOTl9DQUdSLjIwMDAuNy8zMS8yMDE4LkxGUi5GLlVTRC5IAQAAAGVn1gEDAAAAAAA31sa6oVTWCHcNvr+hVNYIOUNJUS5OQVNEQVFDTTpHQUxULklRX05JX01BUkdJTi4yMDAwLjcvMzEvMjAxOC5MRlIuRi5VU0QuSAEAAADHQRAAAwAAAAAAN9bGuqFU1ghHhLS/oVTWCDVDSVEuTkFTREFRQ006TUdFTi5JUV9DQVBFWC4xOTk2LjcvMzEvMjAxOC5MRlIuRi5VU0QuSAEAAABv4q4CAgAAAAYtMC4xODkBCAAAAAUAAAABMQEAAAAKMTg4NzY3NjkyMwMAAAADMTYwAgAAAAQyMDIxBAAAAAEwBwAAAAk3LzMxLzIwMTgIAAAACTMvMzEvMjAxNwkAAAABMDfWxrqhVNYIIqu7v6FU1gg5Q0lRLk5BU0RBUUdTOlZSVFguSVFfTklfTUFSR0lOLjIwMDAuNy8zMS8yMDE4LkxGUi5GLlVTRC5IAQAAAIuNAAACAAAABzE1LjgzNjUBCAAAAAUAAAABMQEAAAAKMTg5NzI5MzU5MAMAAAADMTYwAgAAAAQ0MDk0BAAAAAEwBwAAAAk3LzMxLzIwMTgIAAAACTYvMzAvMjAxOAkAAAABMASi</t>
  </si>
  <si>
    <t>mLuhVNYIDK2cv6FU1gg4Q0lRLk5BU0RBUUdTOlNWUkEuSVFfRUJJVERBLkNZMjAxNi43LzMxLzIwMTguTEZSLkYuVVNELkgBAAAAdX+HAwIAAAAHLTEwLjYwMgEIAAAABQAAAAExAQAAAAoxODc4MzY0Mzc4AwAAAAMxNjACAAAABDQwNTEEAAAAATAHAAAACTcvMzEvMjAxOAgAAAAKMTIvMzEvMjAxNgkAAAABMDfWxrqhVNYIpL+vv6FU1gg7Q0lRLk5BU0RBUUNNOk1HRU4uSVFfUFJFRl9FUVVJVFkuMjAwMC43LzMxLzIwMTguTEZSLkYuVVNELkgBAAAAb+KuAgMAAAAAADfWxrqhVNYI2ki5v6FU1gg5Q0lRLk5BU0RBUUdNOk1OT1YuSVFfTklfTUFSR0lOLjIwMDAuNy8zMS8yMDE4LkxGUi5GLlVTRC5IAQAAALhUjQADAAAAAAA31sa6oVTWCFVdrb+hVNYIOkNJUS5OQVNEQVFHTTpDUkJQLklRX1RPVEFMX0RFQlQuMjAwMC45LzMwLzIwMTYuTEZSLkYuVVNELkgBAAAAJG8kDwIAAAAIMC4wMjk2MTEBCAAAAAUAAAABMQEAAAAKMTgwMzMxMjU0NwMAAAADMTYwAgAAAAQ0MTczBAAAAAEwBwAAAAk5LzMwLzIwMTYIAAAACTYvMzAvMjAxNgkAAAABMDfWxrqhVNYIlea2v6FU1ggoQ0lRLihJTlZBTElEIElERU5USUZJRVIpLklRX0NPTVBBTllfTkFNRQUAAAAAAAAACAAAABQoSW52YWxpZCBJZGVudGlmaWVyKUo8i7qhVNYIjr+DvaFU1gg8Q0lRLihJTlZBTElEIElERU5USUZJRVIpLklRX0RBX0NGLjIwMDAuNy8z</t>
  </si>
  <si>
    <t>MS8yMDE4LkxGUi5GLlVTRC5IBQAAAAAAAAAIAAAAFChJbnZhbGlkIElkZW50aWZpZXIpSjyLuqFU1ggWHvC/oVTWCCJDSVEuSVFUUjE3MDIyOTM4Ni5JUV9UUl9UQVJHRVROQU1FAQAAAIp+JQoDAAAAD1N0cm9tZWRpeCwgSW5jLgACP9q3oVTWCLrEJr2hVNYIOUNJUS5OWVNFOktETU4uSVFfRUJJVERBX01BUkdJTi4yMDAwLjcvMzEvMjAxOC5MRlIuRi5VU0QuSAEAAABTyNkGAwAAAAJOTQEIAAAABQAAAAExAQAAAAoxODg3NDQ1MzU1AwAAAAMxNjACAAAABDQwNDcEAAAAATAHAAAACTcvMzEvMjAxOAgAAAAJMy8zMS8yMDE4CQAAAAEwN9bGuqFU1ghVXa2/oVTWCClDSVEuSVFUUjQwMTk3OTY4OS5JUV9CVVNJTkVTU19ERVNDUklQVElPTgEAAAAITv0BAwAAAPUEVG9iaXJhIFRoZXJhcGV1dGljcywgSW5jLiwgYSBjbGluaWNhbC1zdGFnZSBiaW9waGFybWFjZXV0aWNhbCBjb21wYW55LCBmb2N1c2VzIG9uIHRoZSBkZXZlbG9wbWVudCBhbmQgY29tbWVyY2lhbGl6YXRpb24gb2YgdGhlcmFwZXV0aWNzIHRvIHRyZWF0IGxpdmVyIGRpc2Vhc2UsIGluZmxhbW1hdGlvbiwgZmlicm9zaXMsIGFuZCBISVYuIEl0cyBsZWFkIHByb2R1Y3QgY2FuZGlkYXRlIGluY2x1ZGVzIGNlbmljcml2aXJvYywgYW4gaW1tdW5vbW9kdWxhdG9yIGFuZCBkdWFsIGluaGliaXRvciBvZiBDQ1IyIGFuZCBDQ1I1LCB3aGljaCBp</t>
  </si>
  <si>
    <t>cyBpbiBQaGFzZSAyYSBzdHVkeSBmb3IgdGhlIHRyZWF0bWVudCBvZiBwcmltYXJ5IHNjbGVyb3NpbmcgY2hvbGFuZ2l0aXMgYW5kIG5vbi1hbGNvaG9saWMgc3RlYXRvaGVwYXRpdGlzIGRpc2Vhc2U7IGFuZCBQaGFzZSAyYiBzdHVkeSBmb3IgSElWLiBUaGUgY29tcGFueSB3YXMgZm91bmRlZCBpbiAyMDA2IGFuZCBpcyBoZWFkcXVhcnRlcmVkIGluIFNvdXRoIFNhbiBGcmFuY2lzY28sIENhbGlmb3JuaWEuIEFzIG9mIE5vdmVtYmVyIDEsIDIwMTYsIFRvYmlyYSBUaGVyYXBldXRpY3MsIEluYy4gb3BlcmF0ZXMgYXMgYSBzdWJzaWRpYXJ5IG9mIEFsbGVyZ2FuIHBsYy4AAj/at6FU1ggy2Rq9oVTWCClDSVEuTkFTREFRR1M6SUNQVC5JUV9CVVNJTkVTU19ERVNDUklQVElPTgEAAACCr60AAwAAAMgKSW50ZXJjZXB0IFBoYXJtYWNldXRpY2FscywgSW5jLiwgYSBiaW9waGFybWFjZXV0aWNhbCBjb21wYW55LCBmb2N1c2VzIG9uIHRoZSBkZXZlbG9wbWVudCBhbmQgY29tbWVyY2lhbGl6YXRpb24gb2YgdGhlcmFwZXV0aWNzIGluIHRoZSBVbml0ZWQgU3RhdGVzLCBFdXJvcGUsIGFuZCBDYW5hZGEuIEl0cyBsZWFkIHByb2R1Y3QgY2FuZGlkYXRlIGlzIG9iZXRpY2hvbGljIGFjaWQgKE9DQSksIGEgYmlsZSBhY2lkIGFuYWxvZywgd2hpY2ggaGFzIGEgc3RydWN0dXJlIGJhc2VkIG9uIGEgbmF0dXJhbGx5</t>
  </si>
  <si>
    <t>IG9jY3VycmluZyBodW1hbiBiaWxlIGFjaWQgdGhhdCBzZWxlY3RpdmVseSBiaW5kcyB0byBhbmQgYWN0aXZhdGVzIHRoZSBmYXJuZXNvaWQgWCByZWNlcHRvciAoRlhSKS4gVGhlIGNvbXBhbnkgaXMgZGV2ZWxvcGluZyBPQ0EgdG8gdHJlYXQgdmFyaW91cyBub24tdmlyYWwgcHJvZ3Jlc3NpdmUgbGl2ZXIgZGlzZWFzZXMsIHN1Y2ggYXMgbm9uYWxjb2hvbGljIHN0ZWF0b2hlcGF0aXRpcyAoTkFTSCksIHByaW1hcnkgc2NsZXJvc2luZyBjaG9sYW5naXRpcywgYW5kIGJpbGlhcnkgYXRyZXNpYS4gSXQgYWxzbyBwcm92aWRlcyBPQ0EgdW5kZXIgdGhlIE9jYWxpdmEgYnJhbmQgbmFtZSBmb3IgdGhlIHRyZWF0bWVudCBvZiBwcmltYXJ5IGJpbGlhcnkgY2hvbGFuZ2l0aXMgKFBCQykuIEluIGFkZGl0aW9uLCB0aGUgY29tcGFueSBpcyBkZXZlbG9waW5nIElOVC03NjcsIGFuIG9yYWxseSBhZG1pbmlzdGVyZWQgZHVhbCBGWFIgYW5kIFRHUjUgYWdvbmlzdCwgYSBzZWNvbmQgZGVkaWNhdGVkIGJpbGUgYWNpZCByZWNlcHRvciB0aGF0IGhhcyBjb21wbGV0ZWQgYSBQaGFzZSAxIGNsaW5pY2FsIHRyaWFsOyBhbmQgSU5ULTc3NywgYW4gb3JhbGx5IGFkbWluaXN0ZXJlZCBUR1I1IGFnb25pc3QsIHdoaWNoIGNvbXBsZXRlZCBwcmVjbGluaWNhbCBzdHVkaWVzIGZvciB0aGUgdHJlYXRtZW50IG9mIHR5cGUg</t>
  </si>
  <si>
    <t>MiBkaWFiZXRlcywgYXNzb2NpYXRlZCBtZXRhYm9saWMgZGlzb3JkZXJzLCBhbmQgb3RoZXIgZ2FzdHJvaW50ZXN0aW5hbCBpbmRpY2F0aW9ucy4gSW50ZXJjZXB0IFBoYXJtYWNldXRpY2FscywgSW5jLiBoYXMgYSBsaWNlbnNlIGFncmVlbWVudCB3aXRoIFN1bWl0b21vIERhaW5pcHBvbiBQaGFybWEgQ28uIEx0ZC4gZm9yIHRoZSByZXNlYXJjaCwgZGV2ZWxvcG1lbnQsIGFuZCBjb21tZXJjaWFsaXphdGlvbiBvZiBPQ0EgYXMgYSB0aGVyYXBldXRpYyBmb3IgdGhlIHRyZWF0bWVudCBvZiBQQkMgYW5kIE5BU0ggaW4gSmFwYW4gYW5kIENoaW5hLiBUaGUgY29tcGFueSB3YXMgZm91bmRlZCBpbiAyMDAyIGFuZCBpcyBoZWFkcXVhcnRlcmVkIGluIE5ldyBZb3JrLCBOZXcgWW9yay4AqkGWu6FU1gicOTy9oVTWCCxDSVEuSVFUUjQwMjAzNDU2OS5JUV9UUl9UQVJHRVRfRUJJVERBLi5VU0QuSAEAAACJj/YXAgAAAAAAAj/at6FU1giEOx29oVTWCDxDSVEuTkFTREFRR1M6U1ZSQS5JUV9UT1RBTF9FUVVJVFkuMTk5Ni43LzMxLzIwMTguTEZSLkYuVVNELkgBAAAAdX+HAwIAAAAFMy41MjMBCAAAAAUAAAABMQEAAAAKMTg4Nzc2MzA3NAMAAAADMTYwAgAAAAQxMjc1BAAAAAEwBwAAAAk3LzMxLzIwMTgIAAAACTMvMzEvMjAxNwkAAAABMDfWxrqhVNYI8iGyv6FU1ghGQ0lRLihJTlZBTElEIElERU5USUZJRVIp</t>
  </si>
  <si>
    <t>LklRX05FVF9XT1JLSU5HX0NBUC4xOTkyLjcvMzEvMjAxOC5MRlIuRi5VU0QuSAUAAAAAAAAACAAAABQoSW52YWxpZCBJZGVudGlmaWVyKUo8i7qhVNYIx7vtv6FU1ghGQ0lRLk5BU0RBUUdNOk1OT1YuSVFfVE9UQUxfUkVWXzJZUl9BTk5fQ0FHUi4yMDAwLjcvMzEvMjAxOC5MRlIuRi5VU0QuSAEAAAC4VI0AAwAAAAAAN9bGuqFU1gikv6+/oVTWCC5DSVEuKElOVkFMSUQgSURFTlRJRklFUikuSVFfQkVUQV81WVIuNy8zMS8yMDE4BQAAAAAAAAAIAAAAFChJbnZhbGlkIElkZW50aWZpZXIpSjyLuqFU1gjHu+2/oVTWCD9DSVEuTkFTREFRQ006R0FMVC5JUV9ORVRfV09SS0lOR19DQVAuMTk5Ni43LzMxLzIwMTguTEZSLkYuVVNELkgBAAAAx0EQAAIAAAAGLTQuMDA5AQgAAAAFAAAAATEBAAAACjE4ODgyNDIzODcDAAAAAzE2MAIAAAAEMTMxMQQAAAABMAcAAAAJNy8zMS8yMDE4CAAAAAkzLzMxLzIwMTcJAAAAATA31sa6oVTWCEeEtL+hVNYIOENJUS5OQVNEQVFDTTpNREdMLklRX0VCSVREQS5DWTIwMTcuNy8zMS8yMDE4LkxGUi5GLlVTRC5IAQAAAEybowgCAAAABy0zMS45ODUBCAAAAAUAAAABMQEAAAAKMTg3ODA3ODQ3MwMAAAADMTYwAgAAAAQ0MDUxBAAAAAEwBwAAAAk3LzMxLzIwMTgIAAAACjEyLzMxLzIwMTcJAAAAATAEopi7oVTWCAHUo7+hVNYIPUNJUS5OQVNEQVFHUzpWUlRYLklRX1JFVkVOVUVf</t>
  </si>
  <si>
    <t>RVNULkNZMjAyMC43LzMxLzIwMTguQ09OLkYuVVNELkgBAAAAi40AAAIAAAAKNDMzMi4xODEzOAEOAAAABQAAAAIxMQEAAAABMAIAAAAKMTAwMDEzMDgzNgMAAAAGMTAwMTgwBAAAAAEyBgAAAAEwBwAAAAMxNjAIAAAAATAJAAAAATEKAAAAATALAAAACzEwOTk3Mjk1MDc1DAAAAAE3DQAAAAg4LzEvMjAxOBAAAAAJNy8zMS8yMDE4BKKYu6FU1ggMrZy/oVTWCDVDSVEuTkFTREFRR006UFJRUi5JUV9DQVBFWC4yMDAwLjcvMzEvMjAxOC5MRlIuRi5VU0QuSAEAAADv7FwNAgAAAAktMC4xNDUyOTMBCAAAAAUAAAABMQEAAAAKMTg4MDk4MTkwNwMAAAADMTYwAgAAAAQyMDIxBAAAAAEwBwAAAAk3LzMxLzIwMTgIAAAACjEyLzMxLzIwMTcJAAAAATA31sa6oVTWCNpIub+hVNYIPENJUS5OQVNEQVFDTTpQVUxNLklRX1RPVEFMX0VRVUlUWS4yMDAwLjcvMzEvMjAxOC5MRlIuRi5VU0QuSAEAAACfbJoBAgAAAAU3LjUyOAEIAAAABQAAAAExAQAAAAoxODg4MTE2MjI3AwAAAAMxNjACAAAABDEyNzUEAAAAATAHAAAACTcvMzEvMjAxOAgAAAAJMy8zMS8yMDE4CQAAAAEwSjyLuqFU1ggX0sK/oVTWCC9DSVEuSVFUUjQxNTYxMTgxNS5JUV9UUl9JTVBMSUVEX0VWX0ZJTkFMLi5VU0QuSAEAAACnu8UYAgAAAAAAAj/at6FU1ggaACK9oVTWCCxDSVEuTkFTREFRR1M6RkdFTi5JUV9MQVNUU0FMRVBSSUNFLjkvMzAvMjAxNgEA</t>
  </si>
  <si>
    <t>AABEbwAAAgAAAAQyMC43AKpBlruhVNYIbw+fv6FU1gg6Q0lRLk5BU0RBUUdTOkZHRU4uSVFfRUFSTklOR19DTy4yMDAwLjcvMzEvMjAxOC5MRlIuRi5VU0QuSAEAAABEbwAAAgAAAAgtMTM2Ljk4OQEIAAAABQAAAAExAQAAAAoxODg3NjY5NTQzAwAAAAMxNjACAAAAATcEAAAAATAHAAAACTcvMzEvMjAxOAgAAAAJMy8zMS8yMDE4CQAAAAEwBKKYu6FU1ghvD5+/oVTWCClDSVEuSVFUUjI3MDc4OTU4NC5JUV9CVVNJTkVTU19ERVNDUklQVElPTgEAAAAsagEAAwAAAMgKSW50ZXJNdW5lLCBJbmMuLCBhIGJpb3RlY2hub2xvZ3kgY29tcGFueSwgZm9jdXNlcyBvbiB0aGUgcmVzZWFyY2gsIGRldmVsb3BtZW50LCBhbmQgY29tbWVyY2lhbGl6YXRpb24gb2YgdGhlcmFwaWVzIGZvciBwdWxtb25vbG9neSBhbmQgb3JwaGFuIGZpYnJvdGljIGRpc2Vhc2VzIGluIE5vcnRoIEFtZXJpY2EgYW5kIEV1cm9wZS4gVGhlIGNvbXBhbnkgZGV2ZWxvcHMgdGhlcmFwaWVzIGZvciB0aGUgdHJlYXRtZW50IG9mIGlkaW9wYXRoaWMgcHVsbW9uYXJ5IGZpYnJvc2lzIChJUEYpLCBhIHByb2dyZXNzaXZlLCBpcnJldmVyc2libGUsIGFuZCBmYXRhbCBsdW5nIGRpc2Vhc2UuIEl0IG1hcmtldHMgYW5kIHNlbGxzIHBpcmZlbmlkb25lLCBhbiBvcmFsbHkgYWN0aXZlLCBhbnRpLWZpYnJvdGljIGFnZW50IHRoYXQgaW5oaWJpdHMg</t>
  </si>
  <si>
    <t>dGhlIHN5bnRoZXNpcyBvZiBUR0YtYmV0YSBhbmQgVE5GLWFscGhhIHVuZGVyIHRoZSBFc2JyaWV0IG5hbWUgZm9yIHRoZSB0cmVhdG1lbnQgb2YgYWR1bHRzIHdpdGggbWlsZCB0byBtb2RlcmF0ZSBJUEYgaW4gdGhlIEV1cm9wZWFuIFVuaW9uIGFuZCBDYW5hZGEuIFRoZSBjb21wYW554oCZcyBwaXJmZW5pZG9uZSBoYXMgYWxzbyBjb21wbGV0ZWQgdGhyZWUgUGhhc2UgSUlJIGNsaW5pY2FsIHRyaWFscyBmb3IgdGhlIHRyZWF0bWVudCBvZiBJUEYgaW4gdGhlIFVuaXRlZCBTdGF0ZXMuIFRoZSBjb21wYW55IHByb3ZpZGVzIHBpcmZlbmlkb25lIHVuZGVyIHRoZSBQaXJlc3BhIHRyYWRlIG5hbWUgZm9yIHRoZSB0cmVhdG1lbnQgb2YgSVBGIGluIEphcGFuIGFuZCBTb3V0aCBLb3JlYTsgYW5kIGlzIGFsc28gYXBwcm92ZWQgZm9yIHRoZSB0cmVhdG1lbnQgb2YgSVBGIGluIENoaW5hLCBJbmRpYSwgQXJnZW50aW5hLCBhbmQgTWV4aWNvLiBJdHMgcmVzZWFyY2ggcHJvZ3JhbXMgYXJlIGZvY3VzZWQgb24gdGhlIGRpc2NvdmVyeSBvZiB0YXJnZXRlZCwgc21hbGwtbW9sZWN1bGUgdGhlcmFwZXV0aWNzIGFuZCBiaW9tYXJrZXJzIHRvIHRyZWF0IGFuZCBtb25pdG9yIHNlcmlvdXMgcHVsbW9uYXJ5IGFuZCBmaWJyb3RpYyBkaXNlYXNlcy4gVGhlIGNvbXBhbnkgd2FzIGZvcm1lcmx5IGtub3duIGFzIElu</t>
  </si>
  <si>
    <t>dGVyTXVuZSBQaGFybWFjZXV0aWNhbHMsIEluYy4gYW5kIGNoYW5nZWQgaXRzIG5hbWUgdG8gSW50ZXJNdW5lLCBJbmMuIGluIEFwcmlsIDIwMDEuIEludGVyTXVuZSwgSW5jLiB3YXMgZm91bmRlZCBpbiAxOTk4IGFuZCBpcyBoZWFkcXVhcnRlcmVkIGluIEJyaXNiYW5lLCBDYWxpZm9ybmlhLiBBcyBvZiBTZXB0ZW1iZXIgMjksIDIwMTQsIEludGVyTXVuZSwgSW5jLiBvcGVyYXRlcyBhcyBhIHN1YnNpZGlhcnkgb2YgUm9jaGUgSG9sZGluZyBBRy4AAj/at6FU1gi6xCa9oVTWCEVDSVEuRU5YVFBBOkdORlQuSVFfTUlOT1JJVFlfSU5URVJFU1RfVE9UQUwuMjAwMC43LzMxLzIwMTguTEZSLkYuVVNELkgBAAAAIsGTAAMAAAAAADfWxrqhVNYIm5iov6FU1gg1Q0lRLk5BU0RBUUNNOk1HRU4uSVFfQ0FQRVguMTk5Mi43LzMxLzIwMTguTEZSLkYuVVNELkgBAAAAb+KuAgIAAAAGLTAuMzE1AQgAAAAFAAAAATEBAAAACjE4MzQ3MTcxMzkDAAAAAzE2MAIAAAAEMjAyMQQAAAABMAcAAAAJNy8zMS8yMDE4CAAAAAoxMi8zMS8yMDE1CQAAAAEwN9bGuqFU1ggiq7u/oVTWCDtDSVEuTkFTREFRR006UFJRUi5JUV9UT1RBTF9SRVYuQ1kyMDE2LjcvMzEvMjAxOC5MRlIuRi5VU0QuSAEAAADv7FwNAgAAAAgxLjcyMjc5MQEIAAAABQAAAAExAQAAAAoxODgwOTgxOTk4AwAAAAMxNjACAAAAAjI4BAAAAAEwBwAAAAk3LzMx</t>
  </si>
  <si>
    <t>LzIwMTgIAAAACjEyLzMxLzIwMTYJAAAAATA31sa6oVTWCJXmtr+hVNYIJUNJUS5JUVRSNTQ4NzA0ODE5LklRX1RSX0lNUExJRURfRVFfQlYBAAAAM5K0IAIAAAAAAAI/2rehVNYIGgAivaFU1gg2Q0lRLkFNRVg6QVBIQi5JUV9FQVJOSU5HX0NPLjIwMDAuNy8zMS8yMDE4LkxGUi5GLlVTRC5IAQAAACKJAAACAAAABy0xMi43MjYBCAAAAAUAAAABMQEAAAAKMTg4OTAxODg0NAMAAAADMTYwAgAAAAE3BAAAAAEwBwAAAAk3LzMxLzIwMTgIAAAACTMvMzEvMjAxOAkAAAABMEo8i7qhVNYI7TTFv6FU1gg4Q0lRLkVOWFRQQTpHTkZULklRX0VBUk5JTkdfQ08uMTk5Ni43LzMxLzIwMTguTEZSLkYuVVNELkgBAAAAIsGTAAIAAAAKLTM1LjUzOTk1NgEIAAAABQAAAAExAQAAAAoxODkwNjE5NjExAwAAAAMxNjACAAAAATcEAAAAATAHAAAACTcvMzEvMjAxOAgAAAAKMTIvMzEvMjAxNgkAAAABMDfWxrqhVNYI8Pqqv6FU1gg2Q0lRLkVOWFRQQTpHTkZULklRX0VCSVREQS5DWTIwMTcuNy8zMS8yMDE4LkxGUi5GLlVTRC5IAQAAACLBkwACAAAACS02Ni45NTI0NQEIAAAABQAAAAExAQAAAAoxODkwNjE5NjQ4AwAAAAMxNjACAAAABDQwNTEEAAAAATAHAAAACTcvMzEvMjAxOAgAAAAKMTIvMzEvMjAxNwkAAAABMDfWxrqhVNYI8Pqqv6FU1ghCQ0lRLk5ZU0U6S0RNTi5JUV9UT1RBTF9SRVZfMllSX0FOTl9DQUdSLjIwMDAu</t>
  </si>
  <si>
    <t>Ny8zMS8yMDE4LkxGUi5GLlVTRC5IAQAAAFPI2QYCAAAACC01Ni40ODc4AQgAAAAFAAAAATEBAAAACjE4ODc0NDUzNTUDAAAAAzE2MAIAAAAENDIwNwQAAAABMAcAAAAJNy8zMS8yMDE4CAAAAAkzLzMxLzIwMTgJAAAAATA31sa6oVTWCFVdrb+hVNYIQ0NJUS5OQVNEQVFDTTpNR0VOLklRX0VCSVREQV8yWVJfQU5OX0NBR1IuMjAwMC43LzMxLzIwMTguTEZSLkYuVVNELkgBAAAAb+KuAgMAAAAAADfWxrqhVNYIIqu7v6FU1ggyQ0lRLk5ZU0U6S0RNTi5JUV9FQklUREEuMTk5Mi43LzMxLzIwMTguTEZSLkYuVVNELkgBAAAAU8jZBgIAAAAHLTY5LjU4NwEIAAAABQAAAAExAQAAAAoxODQyMzg4MTQ1AwAAAAMxNjACAAAABDQwNTEEAAAAATAHAAAACTcvMzEvMjAxOAgAAAAJMy8zMS8yMDE2CQAAAAEwN9bGuqFU1gjw+qq/oVTWCDVDSVEuQVNYOklNQy5JUV9QUkVGX0VRVUlUWS4yMDAwLjcvMzEvMjAxOC5MRlIuRi5VU0QuSAEAAADzTHUAAwAAAAAAN9bGuqFU1gh3Db6/oVTWCD1DSVEuTkFTREFRR1M6RkdFTi5JUV9SRVZFTlVFX0VTVC5DWTIwMjAuNy8zMS8yMDE4LkNPTi5GLlVTRC5IAQAAAERvAAACAAAABzM2MC43MTkBDgAAAAUAAAACMTEBAAAAATACAAAACjEwMDI5MjgwOTQDAAAABjEwMDE4MAQAAAABMgYAAAABMAcAAAADMTYwCAAAAAEwCQAAAAExCgAAAAEwCwAAAAsxMDkzMTgzOTQ4MAwAAAABNw0A</t>
  </si>
  <si>
    <t>AAAIOC8xLzIwMTgQAAAACTcvMzEvMjAxOASimLuhVNYIbw+fv6FU1gg5Q0lRLk5BU0RBUUNNOk1ER0wuSVFfVE9UQUxfUkVWLjIwMDAuNy8zMS8yMDE4LkxGUi5GLlVTRC5IAQAAAEybowgDAAAAAAAEopi7oVTWCAHUo7+hVNYIJUNJUS5JUVRSNDI4MTAxMDM0LklRX1RSX0lNUExJRURfRVFfQlYBAAAAqk2EGQIAAAAAAAI/2rehVNYIMtkavaFU1ggiQ0lRLklRVFI0MTU2MTE4MTUuSVFfVFJfUENUX1NPVUdIVAEAAACnu8UYAgAAAAMxMDAAAj/at6FU1giEOx29oVTWCD1DSVEuTkFTREFRR1M6U1ZSQS5JUV9SRVZFTlVFX0VTVC5DWTIwMjAuNy8zMS8yMDE4LkNPTi5GLlVTRC5IAQAAAHV/hwMCAAAACDI4LjkyMjI1AQ4AAAAFAAAAAjExAQAAAAEwAgAAAAoxMDAzNzQ4Nzg4AwAAAAYxMDAxODAEAAAAATIGAAAAATAHAAAAAzE2MAgAAAABMAkAAAABMQoAAAABMAsAAAALMTA5MjExODE0MTgMAAAAATcNAAAACDgvMS8yMDE4EAAAAAk3LzMxLzIwMTg31sa6oVTWCKS/r7+hVNYIPENJUS5OQVNEQVFHTTpDUkJQLklRX0VBUk5JTkdfQ08uQ1kyMDE3LjcvMzEvMjAxOC5MRlIuRi5VU0QuSAEAAAAkbyQPAgAAAAotMzIuNDIxNjEyAQgAAAAFAAAAATEBAAAACjE4NzgwNzcwNjkDAAAAAzE2MAIAAAABNwQAAAABMAcAAAAJNy8zMS8yMDE4CAAAAAoxMi8zMS8yMDE3CQAAAAEwN9bGuqFU1giV5ra/oVTWCC9DSVEu</t>
  </si>
  <si>
    <t>SVFUUjEzODI1MTQ2Mi5JUV9UUl9JTVBMSUVEX0VWX0ZJTkFMLi5VU0QuSAEAAADGjD0IAgAAAAM0NzUBBgAAAAUAAAACNTQBAAAABjEwMjA0NQIAAAAJMTM4MjUxNDYyAwAAAAkxMzgyNTE4MTkEAAAAAzE2MAYAAAAFRmFsc2UCP9q3oVTWCGFiJL2hVNYIPkNJUS5OQVNEQVFHTTpQUlFSLklRX1RPVEFMX0VRVUlUWS5DWTIwMTcuNy8zMS8yMDE4LkxGUi5GLlVTRC5IAQAAAO/sXA0CAAAACTQ3LjIyMDIyMQEIAAAABQAAAAExAQAAAAoxODgwOTgxOTA3AwAAAAMxNjACAAAABDEyNzUEAAAAATAHAAAACTcvMzEvMjAxOAgAAAAKMTIvMzEvMjAxNwkAAAABMDfWxrqhVNYI2ki5v6FU1ggsQ0lRLklRVFIzMTMyNTE4NzcuSVFfVFJfVEFSR0VUX0VCSVREQS4uVVNELkgBAAAAJdirEgIAAAAAAAI/2rehVNYIGgAivaFU1gguQ0lRLk5BU0RBUUNNOkdBTFQuSVFfTUFSS0VUQ0FQLjkvMzAvMjAxNi5VU0QuSAEAAADHQRAAAgAAAAkzMy4wODcxMzgBBgAAAAUAAAABMQEAAAAKMTgwMjQ4NTc1NgMAAAADMTYwAgAAAAYxMDAwNTQEAAAAATAHAAAACTkvMzAvMjAxNjfWxrqhVNYIR4S0v6FU1gghQ0lRLklRVFI1MzE5MjA1MDcuSVFfVFJfQlVZRVJOQU1FAQAAAHt2tB8DAAAAJ1ZlcnRleCBQaGFybWFjZXV0aWNhbHMgKEV1cm9wZSkgTGltaXRlZAACP9q3oVTWCBoAIr2hVNYIIENJUS5JUVRSNDI4MTAxMDM0LklRX1RS</t>
  </si>
  <si>
    <t>X0VBUk5PVVRTAQAAAKpNhBkCAAAAAAACP9q3oVTWCGFiJL2hVNYIKUNJUS5JUVRSMjg2NDEwNzM2LklRX1RSX0lNUExJRURfRVFfTklfTFRNAQAAAPBHEhECAAAAAAACP9q3oVTWCLrEJr2hVNYIPENJUS5OQVNEQVFDTTpNREdMLklRX0VBUk5JTkdfQ08uQ1kyMDE3LjcvMzEvMjAxOC5MRlIuRi5VU0QuSAEAAABMm6MIAgAAAActMzEuMTU0AQgAAAAFAAAAATEBAAAACjE4NzgwNzg0NzMDAAAAAzE2MAIAAAABNwQAAAABMAcAAAAJNy8zMS8yMDE4CAAAAAoxMi8zMS8yMDE3CQAAAAEwBKKYu6FU1ggB1KO/oVTWCEdDSVEuTkFTREFRR1M6U1ZSQS5JUV9NSU5PUklUWV9JTlRFUkVTVF9UT1RBTC4yMDAwLjkvMzAvMjAxNi5MRlIuRi5VU0QuSAEAAAB1f4cDAwAAAAAAN9bGuqFU1gjyIbK/oVTWCCJDSVEuSVFUUjM0NzU5MTU5MS5JUV9UUl9QQ1RfU09VR0hUAQAAAKfTtxQCAAAAAzEwMAACP9q3oVTWCBoAIr2hVNYINENJUS5FTlhUUEE6R05GVC5JUV9FQklUREEuMTk5Mi43LzMxLzIwMTguTEZSLkYuVVNELkgBAAAAIsGTAAIAAAAKLTE4Ljg0MjI0OAEIAAAABQAAAAExAQAAAAoxODQzNjU5OTc4AwAAAAMxNjACAAAABDQwNTEEAAAAATAHAAAACTcvMzEvMjAxOAgAAAAKMTIvMzEvMjAxNQkAAAABMDfWxrqhVNYIm5iov6FU1ggrQ0lRLklRVFI0MDE5Nzk2ODkuSVFfVFJfVE9UQUxfR1JPU1NfVFYuLlVTRAEA</t>
  </si>
  <si>
    <t>AAApufUXAgAAAAsxNzAyLjMxMDEzMwEGAAAABQAAAAI1NAEAAAAGMTAyMDg4AgAAAAk0MDE5Nzk2ODkDAAAACTQwMTk4MDU5NwQAAAADMTYwBgAAAAVGYWxzZQI/2rehVNYIYWIkvaFU1ggfQ0lRLkVOWFRQQTpHTkZULklRX0NPTVBBTllfTkFNRQEAAAAiwZMAAwAAAAlHZW5maXQgU0EAN9bGuqFU1ggBJym9oVTWCEZDSVEuTkFTREFRR1M6VlJUWC5JUV9UT1RBTF9SRVZfMllSX0FOTl9DQUdSLjIwMDAuNy8zMS8yMDE4LkxGUi5GLlVTRC5IAQAAAIuNAAACAAAABzI5Ljc2OTcBCAAAAAUAAAABMQEAAAAKMTg5NzI5MzU5MAMAAAADMTYwAgAAAAQ0MjA3BAAAAAEwBwAAAAk3LzMxLzIwMTgIAAAACTYvMzAvMjAxOAkAAAABMASimLuhVNYIDK2cv6FU1ggsQ0lRLk5BU0RBUUdNOlBSUVIuSVFfTEFTVFNBTEVQUklDRS45LzMwLzIwMTYBAAAA7+xcDQIAAAAENi42NwA31sa6oVTWCNpIub+hVNYIKkNJUS5OWVNFOktETU4uSVFfTUFSS0VUQ0FQLjkvMzAvMjAxNi5VU0QuSAEAAABTyNkGAgAAAAozMzAuODc3NDA4AQYAAAAFAAAAATEBAAAACjE4MTAwMTczNTgDAAAAAzE2MAIAAAAGMTAwMDU0BAAAAAEwBwAAAAk5LzMwLzIwMTY31sa6oVTWCFVdrb+hVNYIOkNJUS5OQVNEQVFDTTpHTE1ELklRX1RPVEFMX0RFQlQuMjAwMC45LzMwLzIwMTYuTEZSLkYuVVNELkgBAAAAJGfXBgIAAAABMAEIAAAABQAAAAExAQAA</t>
  </si>
  <si>
    <t>AAoxODAyOTIxNTA4AwAAAAMxNjACAAAABDQxNzMEAAAAATAHAAAACTkvMzAvMjAxNggAAAAJNi8zMC8yMDE2CQAAAAEwN9bGuqFU1gjyIbK/oVTWCCdDSVEuTkFTREFRR006Q05BVC5JUV9CRVRBXzJZUi43LzMxLzIwMTgBAAAAZWfWAQIAAAAQMS45OTY1OTM5ODcyMzI0MQA31sa6oVTWCHcNvr+hVNYIIkNJUS5JUVRSMjcwNzg5NTg0LklRX1RSX1RPVEFMX0NBU0gBAAAA0OsjEAIAAAALODEyMC40ODEzMTYBBgAAAAUAAAACNTQBAAAABjEwMTA1NgIAAAAJMjcwNzg5NTg0AwAAAAkyNzA3OTA2MjkEAAAAAzE2MAYAAAAFRmFsc2UCP9q3oVTWCBoAIr2hVNYIIkNJUS5FTlhUUEE6R05GVC5JUV9FRkZFQ1RfVEFYX1JBVEUBAAAAIsGTAAMAAAACTk0BCAAAAAUAAAABMQEAAAAKMTkwOTU3NTAxNAMAAAACNTACAAAABDQzNzYEAAAAATAHAAAACjExLzI3LzIwMTgIAAAACTYvMzAvMjAxOAkAAAABMDfWxrqhVNYI8Pqqv6FU1ggsQ0lRLklRVFIzMzAwMzExODQuSVFfVFJfVE9UQUxfR1JPU1NfVFYuVVNELkgFAAAAAAAAAAgAAAAaKEludmFsaWQgQ3VycmVuY3kgUmVxdWVzdCkCP9q3oVTWCIQ7Hb2hVNYIRUNJUS5FTlhUQU06R0xQRy5JUV9NSU5PUklUWV9JTlRFUkVTVF9UT1RBTC4yMDAwLjcvMzEvMjAxOC5MRlIuRi5VU0QuSAEAAACyMRoAAwAAAAAABKKYu6FU1gi2caG/oVTWCEdDSVEuTkFTREFRR1M6RkdF</t>
  </si>
  <si>
    <t>Ti5JUV9NSU5PUklUWV9JTlRFUkVTVF9UT1RBTC4yMDAwLjkvMzAvMjAxNi5MRlIuRi5VU0QuSAEAAABEbwAAAgAAAAYxOS4yNzEBCAAAAAUAAAABMQEAAAAKMTgwMjM1NjIyMwMAAAADMTYwAgAAAAQxMzEyBAAAAAEwBwAAAAk5LzMwLzIwMTYIAAAACTYvMzAvMjAxNgkAAAABMASimLuhVNYIbw+fv6FU1ghEQ0lRLihJTlZBTElEIElERU5USUZJRVIpLklRX1JFVkVOVUVfRVNULkNZMjAxOS43LzMxLzIwMTguQ09OLkYuVVNELkgFAAAAAAAAAAgAAAAUKEludmFsaWQgSWRlbnRpZmllcilKPIu6oVTWCMe77b+hVNYIPENJUS5OQVNEQVFHUzpWUlRYLklRX0VCSVREQV9FU1QuQ1kyMDIwLjcvMzEvMjAxOC5DT04uRi5VU0QuSAEAAACLjQAAAgAAAAoyMDIwLjgzODc4AQ4AAAAFAAAAAjExAQAAAAEwAgAAAAoxMDAwMTMwODM2AwAAAAYxMDAxODcEAAAAATIGAAAAATAHAAAAAzE2MAgAAAABMAkAAAABMQoAAAABMAsAAAALMTA5OTM4NTEwMjcMAAAAATcNAAAACDgvMS8yMDE4EAAAAAk3LzMxLzIwMTgEopi7oVTWCAytnL+hVNYIEENJUS4uSVFfRVhDSEFOR0UFAAAAAAAAAAgAAAAUKEludmFsaWQgSWRlbnRpZmllcimqQZa7oVTWCOd2GL2hVNYINkNJUS5BU1g6SU1DLklRX0VCSVREQV9FU1QuQ1kyMDE5LjcvMzEvMjAxOC5DT04uRi5VU0QuSAEAAADzTHUAAwAAAAAAN9bGuqFU1gh3Db6/oVTWCC9DSVEuLklR</t>
  </si>
  <si>
    <t>X0VBUk5JTkdfQ08uQ1kyMDE3LjcvMzEvMjAxOC5MRlIuRi5VU0QuSAUAAAABAAAACAAAABQoSW52YWxpZCBJZGVudGlmaWVyKRysub6hVNYIHKy5vqFU1ggvQ0lRLklRVFI1MzE5MjA1MDcuSVFfVFJfSU1QTElFRF9FVl9GSU5BTC4uVVNELkgBAAAAe3a0HwIAAAADMjUwAQYAAAAFAAAAAjU0AQAAAAYxMDIwNDUCAAAACTUzMTkyMDUwNwMAAAAJNTMxOTIxNzA2BAAAAAMxNjAGAAAABUZhbHNlAj/at6FU1ggy2Rq9oVTWCClDSVEuSVFUUjI1OTk4NTk2Mi5JUV9CVVNJTkVTU19ERVNDUklQVElPTgEAAABWyX4CAwAAALwGUGFsb21hIFBoYXJtYWNldXRpY2FscywgSW5jLiBvcGVyYXRlcyBhcyBhIGRydWcgZGV2ZWxvcG1lbnQgY29tcGFueSB0aGF0IG1hbnVmYWN0dXJlcyBhbmQgY29tbWVyY2lhbGl6ZXMgZHJ1Z3MgYWdhaW5zdCBkaXNlYXNlcyBpbnZvbHZpbmcgYWJlcnJhbnQgdXAtcmVndWxhdGlvbiBvZiB0aGUgUEkzSy9Ba3QvbVRPUiBwYXRod2F5LiBJdHMgcG9ydGZvbGlvIGluY2x1ZGVzIFBhbG9taWRzLCB0aGUgbm9uLXN0ZXJvaWRhbCBzbWFsbCBtb2xlY3VsZSBkcnVncyBmb3IgdGhlIHRyZWF0bWVudCBvZiBjYW5jZXI7IG9jdWxhciBkaXNlYXNlcywgc3VjaCBhcyBtYWN1bGFyIGRlZ2VuZXJhdGlvbiBhbmQgZGlhYmV0aWMgcmV0aW5vcGF0aHk7IGFydGhyaXRpczsgZmlicm90aWMgZGlz</t>
  </si>
  <si>
    <t>ZWFzZXMgdGhhdCBpbmNsdWRlIHJlbmFsIGFuZCBwdWxtb25hcnkgZmlicm9zaXM7IHNraW4gZGlzZWFzZXMsIHN1Y2ggYXMgcHNvcmlhc2lzLCBhdG9waWMgZGVybWF0aXRpcywgYW5kIHBob3RvZGFtYWdlL3dyaW5rbGluZzsgYW50aXZpcmFsIGRpc2Vhc2VzLCBpbmNsdWRpbmcgSElWL0FJRFM7IGFuZCBjZW50cmFsIG5lcnZvdXMgc3lzdGVtIGRpc29yZGVycyB0aGF0IGluY2x1ZGUgZXBpbGVwc3kgYW5kIG5ldXJvZGVnZW5lcmF0aXZlIGRpc2Vhc2VzLiBUaGUgY29tcGFueSB3YXMgZm91bmRlZCBpbiAyMDA1IGFuZCBpcyBiYXNlZCBpbiBKYW1haWNhIFBsYWluLCBNYXNzYWNodXNldHRzLiBBcyBvZiBNYXJjaCAyOCwgMjAxNCwgUGFsb21hIFBoYXJtYWNldXRpY2FscywgSW5jLiBvcGVyYXRlcyBhcyBhIHN1YnNpZGlhcnkgb2YgUmVzdG9yZ2VuZXggQ29ycG9yYXRpb24uAAI/2rehVNYIYWIkvaFU1gglQ0lRLklRVFI1MzE5MjA1MDcuSVFfUFJJTUFSWV9JTkRVU1RSWQEAAABMdrQfAwAAAA9QaGFybWFjZXV0aWNhbHMAAj/at6FU1ggy2Rq9oVTWCChDSVEuTkFTREFRR006Q1JCUC5JUV9URVYuNy8zMS8yMDE4LlVTRC5IAQAAACRvJA8CAAAACjIxNy44MjI2MDQBBgAAAAUAAAABMQEAAAAKMTg4ODU4OTYzNAMAAAADMTYwAgAAAAYxMDAwNjAEAAAAATAHAAAACTcvMzEvMjAxODfWxrqhVNYIR4S0</t>
  </si>
  <si>
    <t>v6FU1gg3Q0lRLkFTWDoxQUQuSVFfRUJJVERBX01BUkdJTi4yMDAwLjcvMzEvMjAxOC5MRlIuRi5VU0QuSAEAAADFoKQDAgAAAAktMjI5LjY5MDIBCAAAAAUAAAABMQEAAAAKMTg3NjE4NTc5MQMAAAABOQIAAAAENDA0NwQAAAABMAcAAAAJNy8zMS8yMDE4CAAAAAoxMi8zMS8yMDE3CQAAAAEwSjyLuqFU1gjMb8C/oVTWCCNDSVEuSVFUUjI4NjQxMDczNi5JUV9UUl9UT1RBTF9TVE9DSwEAAADwRxIRAgAAAAAAAj/at6FU1ggy2Rq9oVTWCDlDSVEuTkFTREFRR1M6SU5TTS5JUV9UT1RBTF9SRVYuMTk5Mi43LzMxLzIwMTguTEZSLkYuVVNELkgBAAAAGnUAAAMAAAAAAASimLuhVNYIm5iov6FU1gg9Q0lRLk5BU0RBUUdTOlZSVFguSVFfUkVWRU5VRV9FU1QuQ1kyMDIxLjcvMzEvMjAxOC5DT04uRi5VU0QuSAEAAACLjQAAAgAAAAo1MjE3LjEyNTMzAQ4AAAAFAAAAAjExAQAAAAEwAgAAAAoxMDAwOTA5MTAzAwAAAAYxMDAxODAEAAAAATIGAAAAATAHAAAAAzE2MAgAAAABMAkAAAABMQoAAAABMAsAAAALMTA5OTcyOTUwNTEMAAAAATcNAAAACDgvMS8yMDE4EAAAAAk3LzMxLzIwMTgEopi7oVTWCAytnL+hVNYIK0NJUS5JUVRSMzMwMDMxMTg0LklRX1RSX0lNUExJRURfRVZfRUJJVF9GV0QBAAAAUOCrEwIAAAAAAAI/2rehVNYIMtkavaFU1gguQ0lRLklRVFIyNTY2ODM2NTUuSVFfVFJfVEFSR0VUX1NUT0NLUFJF</t>
  </si>
  <si>
    <t>TUlVTV8xVwEAAACHrkwPAgAAAAAAAj/at6FU1gjFnR+9oVTWCDlDSVEuTkFTREFRR006UFJRUi5JUV9OSV9NQVJHSU4uMjAwMC43LzMxLzIwMTguTEZSLkYuVVNELkgBAAAA7+xcDQMAAAACTk0BCAAAAAUAAAABMQEAAAAKMTg4MDk4MTkwNwMAAAACNTACAAAABDQwOTQEAAAAATAHAAAACTcvMzEvMjAxOAgAAAAKMTIvMzEvMjAxNwkAAAABMDfWxrqhVNYI2ki5v6FU1ggjQ0lRLklRVFI0MjgxMDEwMzQuSVFfVFJfQ0xPU0VEX0RBVEUBAAAAqk2EGQUAAAAJNy8yNC8yMDE3AAI/2rehVNYIGgAivaFU1ggqQ0lRLklRVFIyNzAxMTEzNjguSVFfVFJfVEFSR0VUX0VCSVQuLlVTRC5IAQAAAIiSGRACAAAACC0xLjE0MDc4AQYAAAAFAAAAAjM3AQAAAAoxNzEyNDg3OTIyAgAAAAUyMTY3NQMAAAADMTYwBAAAAAEwBwAAAAgxLzEvMTkwMAI/2rehVNYIGgAivaFU1gg3Q0lRLk5BU0RBUUNNOlBVTE0uSVFfUEVSSU9EREFURV9JUy4yMDAwLjcvMzEvMjAxOC5MRlIuRgEAAACfbJoBBQAAAAkzLzMxLzIwMTgASjyLuqFU1ggX0sK/oVTWCDNDSVEuQVNYOjFBRC5JUV9UT1RBTF9SRVYuMjAwMC43LzMxLzIwMTguTEZSLkYuVVNELkgBAAAAxaCkAwIAAAAIMS40MDc3NTgBCAAAAAUAAAABMQEAAAAKMTg3NjE4NTc5MQMAAAADMTYwAgAAAAIyOAQAAAABMAcAAAAJNy8zMS8yMDE4CAAAAAoxMi8zMS8yMDE3CQAAAAEwSjyL</t>
  </si>
  <si>
    <t>uqFU1gjMb8C/oVTWCEZDSVEuTkFTREFRQ006R0FMVC5JUV9UT1RBTF9SRVZfNVlSX0FOTl9DQUdSLjIwMDAuNy8zMS8yMDE4LkxGUi5GLlVTRC5IAQAAAMdBEAADAAAAAAA31sa6oVTWCEeEtL+hVNYIOkNJUS5FTlhUQU06R0xQRy5JUV9UT1RBTF9FUVVJVFkuMTk5Mi43LzMxLzIwMTguTEZSLkYuVVNELkgBAAAAsjEaAAIAAAAKODI5LjczMDY1MwEIAAAABQAAAAExAQAAAAoxODM4Nzc2NTI1AwAAAAMxNjACAAAABDEyNzUEAAAAATAHAAAACTcvMzEvMjAxOAgAAAAJMy8zMS8yMDE2CQAAAAEwBKKYu6FU1gi2caG/oVTWCDxDSVEuTkFTREFRR1M6SU5TTS5JUV9UT1RBTF9FUVVJVFkuMTk5Ni43LzMxLzIwMTguTEZSLkYuVVNELkgBAAAAGnUAAAIAAAAHMTIxLjY4NAEIAAAABQAAAAExAQAAAAoxODg2MDQyMjk3AwAAAAMxNjACAAAABDEyNzUEAAAAATAHAAAACTcvMzEvMjAxOAgAAAAJMy8zMS8yMDE3CQAAAAEwN9bGuqFU1gibmKi/oVTWCDVDSVEuTkFTREFRR006Q1JCUC5JUV9DQVBFWC4xOTkyLjcvMzEvMjAxOC5MRlIuRi5VU0QuSAEAAAAkbyQPAgAAAAktMC4xNzc2MzIBCAAAAAUAAAABMQEAAAAKMTg0MDg0NjM5NQMAAAADMTYwAgAAAAQyMDIxBAAAAAEwBwAAAAk3LzMxLzIwMTgIAAAACTMvMzEvMjAxNgkAAAABMDfWxrqhVNYIlea2v6FU1gg2Q0lRLk5BU0RBUUNNOkdMTUQuSVFfRUJJVERBLjIw</t>
  </si>
  <si>
    <t>MDAuNy8zMS8yMDE4LkxGUi5GLlVTRC5IAQAAACRn1wYCAAAABy0xMS40MjEBCAAAAAUAAAABMQEAAAAKMTg4ODQ5MjM5MwMAAAADMTYwAgAAAAQ0MDUxBAAAAAEwBwAAAAk3LzMxLzIwMTgIAAAACTMvMzEvMjAxOAkAAAABMDfWxrqhVNYI8iGyv6FU1ggxQ0lRLk5ZU0U6S0RNTi5JUV9DQVBFWC4xOTk2LjcvMzEvMjAxOC5MRlIuRi5VU0QuSAEAAABTyNkGAgAAAAYtMC4yNTYBCAAAAAUAAAABMQEAAAAKMTg4NzQ0NTM1MwMAAAADMTYwAgAAAAQyMDIxBAAAAAEwBwAAAAk3LzMxLzIwMTgIAAAACTMvMzEvMjAxNwkAAAABMDfWxrqhVNYIVV2tv6FU1ggjQ0lRLjAuSVFfVFJfVEFSR0VUX1RPVEFMX1JFVi4uVVNELkgFAAAAAAAAAAgAAAAYKEludmFsaWQgVHJhbnNhY3Rpb24gSWQpAj/at6FU1ggaACK9oVTWCDpDSVEuTkFTREFRR006Q05BVC5JUV9UT1RBTF9ERUJULjIwMDAuNy8zMS8yMDE4LkxGUi5GLlVTRC5IAQAAAGVn1gECAAAABjEzLjM0MwEIAAAABQAAAAExAQAAAAoxODg2NjE3MzQwAwAAAAMxNjACAAAABDQxNzMEAAAAATAHAAAACTcvMzEvMjAxOAgAAAAJMy8zMS8yMDE4CQAAAAEwN9bGuqFU1ggiq7u/oVTWCClDSVEuSVFUUjE3MDIyOTM4Ni5JUV9UUl9JTVBMSUVEX0VRX05JX0xUTQEAAACKfiUKAgAAAAAAAj/at6FU1gi6xCa9oVTWCCNDSVEuSVFUUjQyODEwMTAzNC5JUV9UUl9UT1RBTF9T</t>
  </si>
  <si>
    <t>VE9DSwEAAACqTYQZAgAAAAAAAj/at6FU1ggaACK9oVTWCD9DSVEuQU1FWDpBUEhCLklRX0VCSVREQV81WVJfQU5OX0NBR1IuMjAwMC43LzMxLzIwMTguTEZSLkYuVVNELkgBAAAAIokAAAMAAAAAAEo8i7qhVNYI7TTFv6FU1gggQ0lRLklRMTEzODI2NTguSVFfQ09NUEFOWV9USUNLRVIBAAAAgq+tAAMAAAANTmFzZGFxR1M6SUNQVAACP9q3oVTWCDLZGr2hVNYIM0NJUS4oSU5WQUxJRCBJREVOVElGSUVSKS5JUV9HUC4yMDAwLjcvMzEvMjAxOC4uLlVTRAUAAAAAAAAACAAAABQoSW52YWxpZCBJZGVudGlmaWVyKQI/2rehVNYI53YYvaFU1gguQ0lRLk5BU0RBUUNNOlBVTE0uSVFfTUFSS0VUQ0FQLjkvMzAvMjAxNi5VU0QuSAEAAACfbJoBAgAAAAYyNC41ODUBBgAAAAUAAAABMQEAAAAKMTgwMTcyMDU4MgMAAAADMTYwAgAAAAYxMDAwNTQEAAAAATAHAAAACTkvMzAvMjAxNko8i7qhVNYIF9LCv6FU1gg9Q0lRLk5BU0RBUUdTOlZSVFguSVFfUkVWRU5VRV9FU1QuQ1kyMDE5LjcvMzEvMjAxOC5DT04uRi5VU0QuSAEAAACLjQAAAgAAAAozNTY5LjgxMjA5AQ4AAAAFAAAAAjExAQAAAAEwAgAAAAoxMDAwMTMwODM1AwAAAAYxMDAxODAEAAAAATIGAAAAATAHAAAAAzE2MAgAAAABMAkAAAABMQoAAAABMAsAAAALMTA5OTczNDcxMzMMAAAAATcNAAAACDgvMS8yMDE4EAAAAAk3LzMxLzIwMTgEopi7oVTWCAytnL+h</t>
  </si>
  <si>
    <t>VNYIO0NJUS5OQVNEQVFHUzpWUlRYLklRX0VCSVRfTUFSR0lOLjIwMDAuNy8zMS8yMDE4LkxGUi5GLlVTRC5IAQAAAIuNAAACAAAABjE5LjczMgEIAAAABQAAAAExAQAAAAoxODk3MjkzNTkwAwAAAAMxNjACAAAABDQwNTMEAAAAATAHAAAACTcvMzEvMjAxOAgAAAAJNi8zMC8yMDE4CQAAAAEwBKKYu6FU1ggMrZy/oVTWCCFDSVEuSVExMTQ5MzU4OTEuSVFfQ09NUEFOWV9USUNLRVIBAAAAU8jZBgMAAAAJTllTRTpLRE1OAAI/2rehVNYIMtkavaFU1gg6Q0lRLk5BU0RBUUdTOkZHRU4uSVFfVE9UQUxfREVCVC4yMDAwLjkvMzAvMjAxNi5MRlIuRi5VU0QuSAEAAABEbwAAAgAAAAYxMTIuOTEBCAAAAAUAAAABMQEAAAAKMTgwMjM1NjIyMwMAAAADMTYwAgAAAAQ0MTczBAAAAAEwBwAAAAk5LzMwLzIwMTYIAAAACTYvMzAvMjAxNgkAAAABMASimLuhVNYIbw+fv6FU1gguQ0lRLk5BU0RBUUNNOkdMTUQuSVFfTUFSS0VUQ0FQLjcvMzEvMjAxOC5VU0QuSAEAAAAkZ9cGAgAAAAoyODQuMDEyMTYxAQYAAAAFAAAAATEBAAAACjE4ODg0OTA5NzADAAAAAzE2MAIAAAAGMTAwMDU0BAAAAAEwBwAAAAk3LzMxLzIwMTg31sa6oVTWCPIhsr+hVNYIIUNJUS4uSVFfVFJfVEFSR0VUX1NUT0NLUFJFTUlVTV8xVwUAAAABAAAACAAAABQoSW52YWxpZCBJZGVudGlmaWVyKapBlruhVNYIqkGWu6FU1gg1Q0lRLk5BU0RBUUdTOlNW</t>
  </si>
  <si>
    <t>UkEuSVFfQ0FQRVguMTk5Mi43LzMxLzIwMTguTEZSLkYuVVNELkgBAAAAdX+HAwMAAAAAADfWxrqhVNYIpL+vv6FU1ghGQ0lRLihJTlZBTElEIElERU5USUZJRVIpLklRX05FVF9XT1JLSU5HX0NBUC4yMDAwLjcvMzEvMjAxOC5MRlIuRi5VU0QuSAUAAAAAAAAACAAAABQoSW52YWxpZCBJZGVudGlmaWVyKUo8i7qhVNYIx7vtv6FU1ggiQ0lRLklRVFIyNzA3ODk1ODQuSVFfVFJfVEFSR0VUTkFNRQEAAADQ6yMQAwAAAA9JbnRlck11bmUsIEluYy4AAj/at6FU1gjFnR+9oVTWCEFDSVEuKElOVkFMSUQgSURFTlRJRklFUikuSVFfRUFSTklOR19DTy4xOTk2LjcvMzEvMjAxOC5MRlIuRi5VU0QuSAUAAAAAAAAACAAAABQoSW52YWxpZCBJZGVudGlmaWVyKUo8i7qhVNYIx7vtv6FU1ghDQ0lRLk5ZU0U6S0RNTi5JUV9NSU5PUklUWV9JTlRFUkVTVF9UT1RBTC4yMDAwLjkvMzAvMjAxNi5MRlIuRi5VU0QuSAEAAABTyNkGAwAAAAAAN9bGuqFU1ghVXa2/oVTWCClDSVEuTllTRTpLRE1OLklRX0RJVklERU5EX1lJRUxELjcvMzEvMjAxOAEAAABTyNkGAwAAAAAAN9bGuqFU1ghVXa2/oVTWCDhDSVEuTkFTREFRQ006R0FMVC5JUV9FQklUREEuQ1kyMDE3LjcvMzEvMjAxOC5MRlIuRi5VU0QuSAEAAADHQRAAAgAAAActMTYuMjQ2AQgAAAAFAAAAATEBAAAACjE4ODA0MDAwOTADAAAAAzE2MAIAAAAENDA1MQQAAAABMAcA</t>
  </si>
  <si>
    <t>AAAJNy8zMS8yMDE4CAAAAAoxMi8zMS8yMDE3CQAAAAEwN9bGuqFU1ghHhLS/oVTWCD1DSVEuTkFTREFRR1M6VlJUWC5JUV9FQklUREFfTUFSR0lOLjIwMDAuNy8zMS8yMDE4LkxGUi5GLlVTRC5IAQAAAIuNAAACAAAABzIyLjI1MDcBCAAAAAUAAAABMQEAAAAKMTg5NzI5MzU5MAMAAAADMTYwAgAAAAQ0MDQ3BAAAAAEwBwAAAAk3LzMxLzIwMTgIAAAACTYvMzAvMjAxOAkAAAABMASimLuhVNYIDK2cv6FU1ggjQ0lRLklRVFI1NDg3MDQ4MTkuSVFfVFJfVE9UQUxfU1RPQ0sBAAAAM5K0IAIAAAAAAAI/2rehVNYIMtkavaFU1ggvQ0lRLklRVFIzNDc1OTE1OTEuSVFfVFJfSU1QTElFRF9FVl9GSU5BTC4uVVNELkgBAAAAp9O3FAIAAAAEMTI1MAEGAAAABQAAAAI1NAEAAAAGMTAyMDQ1AgAAAAkzNDc1OTE1OTEDAAAACTM0NzU5MjgxNQQAAAADMTYwBgAAAAVGYWxzZQI/2rehVNYIhDsdvaFU1gglQ0lRLk5BU0RBUUdTOklOU00uSVFfRklSU1RQUklDSU5HREFURQEAAAAadQAABQAAAAg2LzEvMjAwMACqQZa7oVTWCFaJK72hVNYIOkNJUS5BTUVYOkFQSEIuSVFfQ0FTSF9TVF9JTlZFU1QuMjAwMC45LzMwLzIwMTYuTEZSLkYuVVNELkgBAAAAIokAAAIAAAAFNy4xNDQBCAAAAAUAAAABMQEAAAAKMTgwNDAxNTQ0OQMAAAADMTYwAgAAAAQxMDAyBAAAAAEwBwAAAAk5LzMwLzIwMTYIAAAACTYvMzAvMjAxNgkAAAAB</t>
  </si>
  <si>
    <t>MEo8i7qhVNYI7TTFv6FU1ggoQ0lRLk5BU0RBUUdNOlBSUVIuSVFfVEVWLjcvMzEvMjAxOC5VU0QuSAEAAADv7FwNAgAAAAoxNzYuNDYxMTk1AQYAAAAFAAAAAjI5AgAAAAYxMDAwNjABAAAACjE4ODgzMzEyNTUDAAAAAzE2MAQAAAABMAcAAAAJNy8zMS8yMDE4N9bGuqFU1giV5ra/oVTWCCJDSVEuSVFUUjI1OTk4NTk2Mi5JUV9UUl9QQ1RfU09VR0hUAQAAACoSfw8CAAAAAzEwMAACP9q3oVTWCIQ7Hb2hVNYIMUNJUS5OWVNFOktETU4uSVFfQ0FQRVguMTk5Mi43LzMxLzIwMTguTEZSLkYuVVNELkgBAAAAU8jZBgIAAAAFLTAuNDkBCAAAAAUAAAABMQEAAAAKMTg0MjM4ODE0NQMAAAADMTYwAgAAAAQyMDIxBAAAAAEwBwAAAAk3LzMxLzIwMTgIAAAACTMvMzEvMjAxNgkAAAABMDfWxrqhVNYIVV2tv6FU1ggnQ0lRLk5BU0RBUUNNOlBVTE0uSVFfQkVUQV8xWVIuNy8zMS8yMDE4AQAAAJ9smgECAAAAEDEuNzMyOTk0MzEzMTc0MjIASjyLuqFU1ggX0sK/oVTWCCNDSVEuSVFUUjMzMDAzMTE4NC5JUV9UUl9DTE9TRURfREFURQEAAABQ4KsTBQAAAAAAAj/at6FU1giEOx29oVTWCDZDSVEuQVNYOjFBRC5JUV9UT1RBTF9FUVVJVFkuMjAwMC43LzMxLzIwMTguTEZSLkYuVVNELkgBAAAAxaCkAwIAAAAIMy40ODIyMzMBCAAAAAUAAAABMQEAAAAKMTg3NjE4NTc5MQMAAAADMTYwAgAAAAQxMjc1BAAAAAEwBwAAAAk3</t>
  </si>
  <si>
    <t>LzMxLzIwMTgIAAAACjEyLzMxLzIwMTcJAAAAATBKPIu6oVTWCMxvwL+hVNYIL0NJUS5BU1g6MUFELklRX0NBUEVYLjE5OTYuNy8zMS8yMDE4LkxGUi5GLlVTRC5IAQAAAMWgpAMCAAAACS0wLjAwMTMyOAEIAAAABQAAAAExAQAAAAoxODc2MTg3MDI0AwAAAAMxNjACAAAABDIwMjEEAAAAATAHAAAACTcvMzEvMjAxOAgAAAAKMTIvMzEvMjAxNgkAAAABMEo8i7qhVNYIzG/Av6FU1gg/Q0lRLk5BU0RBUUdNOlBSUVIuSVFfTkVUX1dPUktJTkdfQ0FQLjIwMDAuNy8zMS8yMDE4LkxGUi5GLlVTRC5IAQAAAO/sXA0CAAAACS00Ljg5MTkzMQEIAAAABQAAAAExAQAAAAoxODgwOTgxOTA3AwAAAAMxNjACAAAABDEzMTEEAAAAATAHAAAACTcvMzEvMjAxOAgAAAAKMTIvMzEvMjAxNwkAAAABMDfWxrqhVNYI2ki5v6FU1gg+Q0lRLk5BU0RBUUNNOlBVTE0uSVFfVE9UQUxfRVFVSVRZLkNZMjAxNy43LzMxLzIwMTguTEZSLkYuVVNELkgBAAAAn2yaAQIAAAAGMTAuMTM3AQgAAAAFAAAAATEBAAAACjE4NzgxNjQ2MzgDAAAAAzE2MAIAAAAEMTI3NQQAAAABMAcAAAAJNy8zMS8yMDE4CAAAAAoxMi8zMS8yMDE3CQAAAAEwSjyLuqFU1ggX0sK/oVTWCCpDSVEuSVFUUjE3MDIyOTM4Ni5JUV9UUl9UQVJHRVRfRUJJVC4uVVNELkgBAAAAin4lCgIAAAAAAAI/2rehVNYIhDsdvaFU1ggjQ0lRLkFNRVg6QVBIQi5JUV9CRVRBXzFZ</t>
  </si>
  <si>
    <t>Ui43LzMxLzIwMTgBAAAAIokAAAIAAAAQMi4wOTAwODc2MzEwMTAwOABKPIu6oVTWCO00xb+hVNYIH0NJUS5JUTE3MTY2NTguSVFfQ09NUEFOWV9USUNLRVIBAAAAsjEaAAMAAAALRU5YVEFNOkdMUEcAAj/at6FU1ggy2Rq9oVTWCCBDSVEuSVEzNjE4MzgzNy5JUV9MQVNUU0FMRVBSSUNFLgEAAAAdHygCAgAAAAQzLjA3AKpBlruhVNYIqkGWu6FU1ggvQ0lRLklRVFIyODY0MTA3MzYuSVFfVFJfVEFSR0VUX1RPVEFMX1JFVi4uVVNELkgBAAAA8EcSEQIAAAAAAAI/2rehVNYIGgAivaFU1gg6Q0lRLk5BU0RBUUNNOkdBTFQuSVFfVE9UQUxfREVCVC4yMDAwLjkvMzAvMjAxNi5MRlIuRi5VU0QuSAEAAADHQRAAAgAAAAEwAQgAAAAFAAAAATEBAAAACjE4MDI0ODgxNTADAAAAAzE2MAIAAAAENDE3MwQAAAABMAcAAAAJOS8zMC8yMDE2CAAAAAk2LzMwLzIwMTYJAAAAATA31sa6oVTWCEeEtL+hVNYILkNJUS5OQVNEQVFHUzpWUlRYLklRX01BUktFVENBUC43LzMxLzIwMTguVVNELkgBAAAAi40AAAIAAAAMNDQ3MzUuNzY3MzIyAQYAAAAFAAAAATEBAAAACjE4OTcyOTA5MDADAAAAAzE2MAIAAAAGMTAwMDU0BAAAAAEwBwAAAAk3LzMxLzIwMTiqQZa7oVTWCAytnL+hVNYIQUNJUS5BU1g6MUFELklRX01JTk9SSVRZX0lOVEVSRVNUX1RPVEFMLjIwMDAuNy8zMS8yMDE4LkxGUi5GLlVTRC5IAQAAAMWgpAMDAAAAAABK</t>
  </si>
  <si>
    <t>PIu6oVTWCMxvwL+hVNYIK0NJUS5JUVRSMjg2NDEwNzM2LklRX1RSX1RPVEFMX0dST1NTX1RWLi5VU0QBAAAA8EcSEQIAAAAAAAI/2rehVNYIusQmvaFU1gg2Q0lRLk5BU0RBUUNNOk1ER0wuSVFfRUJJVERBLjIwMDAuNy8zMS8yMDE4LkxGUi5GLlVTRC5IAQAAAEybowgCAAAACi0zMi45NTYwMzkBCAAAAAUAAAABMQEAAAAKMTg4NzgxNDExMwMAAAADMTYwAgAAAAQ0MDUxBAAAAAEwBwAAAAk3LzMxLzIwMTgIAAAACTMvMzEvMjAxOAkAAAABMASimLuhVNYIAdSjv6FU1gguQ0lRLklRVFIxMTcyOTE0NjUuSVFfVFJfVEFSR0VUX1NUT0NLUFJFTUlVTV8xVwEAAADJuf0GAgAAAAAAAj/at6FU1gjFnR+9oVTWCEZDSVEuTkFTREFRR1M6VlJUWC5JUV9UT1RBTF9SRVZfM1lSX0FOTl9DQUdSLjIwMDAuNy8zMS8yMDE4LkxGUi5GLlVTRC5IAQAAAIuNAAACAAAABzYxLjAyODcBCAAAAAUAAAABMQEAAAAKMTg5NzI5MzU5MAMAAAADMTYwAgAAAAQ0MjIwBAAAAAEwBwAAAAk3LzMxLzIwMTgIAAAACTYvMzAvMjAxOAkAAAABMASimLuhVNYIDK2cv6FU1ggjQ0lRLk5ZU0U6S0RNTi5JUV9CRVRBXzJZUi43LzMxLzIwMTgBAAAAU8jZBgIAAAARMC45NTQzODI2ODUwNTYxNjgAN9bGuqFU1ghVXa2/oVTWCD1DSVEuTkFTREFRQ006UFVMTS5JUV9SRVZFTlVFX0VTVC5DWTIwMjAuNy8zMS8yMDE4LkNPTi5GLlVTRC5IAQAA</t>
  </si>
  <si>
    <t>AJ9smgECAAAABDM5LjUBDgAAAAUAAAACMTEBAAAAATACAAAACjEwMDMxNDA1NzADAAAABjEwMDE4MAQAAAABMgYAAAABMAcAAAADMTYwCAAAAAEwCQAAAAExCgAAAAEwCwAAAAsxMDc5Njc3NDIzNwwAAAABNw0AAAAIOC8xLzIwMTgQAAAACTcvMzEvMjAxOEo8i7qhVNYIF9LCv6FU1ghCQ0lRLihJTlZBTElEIElERU5USUZJRVIpLklRX1BSRUZfRVFVSVRZLjIwMDAuNy8zMS8yMDE4LkxGUi5GLlVTRC5IBQAAAAAAAAAIAAAAFChJbnZhbGlkIElkZW50aWZpZXIpSjyLuqFU1gjHu+2/oVTWCDNDSVEuRU5YVFBBOkdORlQuSVFfQ0FQRVguMTk5Mi43LzMxLzIwMTguTEZSLkYuVVNELkgBAAAAIsGTAAIAAAAJLTAuODU3OTk2AQgAAAAFAAAAATEBAAAACjE4NDM2NTk5NzgDAAAAAzE2MAIAAAAEMjAyMQQAAAABMAcAAAAJNy8zMS8yMDE4CAAAAAoxMi8zMS8yMDE1CQAAAAEwN9bGuqFU1gjw+qq/oVTWCCJDSVEuSVFUUjI3MDExMTM2OC5JUV9UUl9UQVJHRVROQU1FAQAAAIiSGRADAAAAGEFscGluZSBCaW9zY2llbmNlcywgSW5jLgACP9q3oVTWCIQ7Hb2hVNYIN0NJUS5OQVNEQVFHTTpDTkFULklRX1BFUklPRERBVEVfSVMuMjAwMC43LzMxLzIwMTguTEZSLkYBAAAAZWfWAQUAAAAJMy8zMS8yMDE4ADfWxrqhVNYIIqu7v6FU1ggjQ0lRLklRVFI0MDIwMzQ1NjkuSVFfVFJfQ0xPU0VEX0RBVEUBAAAAiY/2FwUA</t>
  </si>
  <si>
    <t>AAAJOC8yNi8yMDE2AAI/2rehVNYIYWIkvaFU1ghHQ0lRLk5BU0RBUUdNOk1OT1YuSVFfTUlOT1JJVFlfSU5URVJFU1RfVE9UQUwuMjAwMC45LzMwLzIwMTYuTEZSLkYuVVNELkgBAAAAuFSNAAMAAAAAADfWxrqhVNYIpL+vv6FU1gguQ0lRLklRVFI0MDE5Nzk2ODkuSVFfVFJfVEFSR0VUX1NUT0NLUFJFTUlVTV8xVwEAAAApufUXAgAAAAg1MjQuNDQ5MwEGAAAABQAAAAI1NAEAAAAGMTAxMDU0AgAAAAk0MDE5Nzk2ODkDAAAACTQwMTk4MDU5NwQAAAADMTYwBgAAAAVGYWxzZQI/2rehVNYIGgAivaFU1ggrQ0lRLkVOWFRBTTpHTFBHLklRX0RJVklERU5EX1lJRUxELjcvMzEvMjAxOAEAAACyMRoAAwAAAAAAqkGWu6FU1gi2caG/oVTWCDFDSVEuSVFUUjI3MDc4OTU4NC5JUV9UUl9UQVJHRVRfUkVWRU5VRV9FU1QuLlVTRC5IAQAAANDrIxACAAAACDI0NC4wOTQyAAI/2rehVNYIMtkavaFU1ggdQ0lRLk5BU0RBUUNNOlBVTE0uSVFfRVhDSEFOR0UBAAAAn2yaAQMAAAAITmFzZGFxQ00ASjyLuqFU1gh7rlG9oVTWCENDSVEuTkFTREFRR006TU5PVi5JUV9FQklUREFfM1lSX0FOTl9DQUdSLjIwMDAuNy8zMS8yMDE4LkxGUi5GLlVTRC5IAQAAALhUjQADAAAAAk5NAQgAAAAFAAAAATEBAAAACjE4OTY3NjYxOTEDAAAAAzE2MAIAAAAENDIyMgQAAAABMAcAAAAJNy8zMS8yMDE4CAAAAAk2LzMwLzIwMTgJAAAAATA3</t>
  </si>
  <si>
    <t>1sa6oVTWCKS/r7+hVNYIKUNJUS5OQVNEQVFHUzpTVlJBLklRX0JVU0lORVNTX0RFU0NSSVBUSU9OAQAAAHV/hwMDAAAA5gRTYXZhcmEgSW5jLiBvcGVyYXRlcyBhcyBhbiBvcnBoYW4gbHVuZyBkaXNlYXNlIGNvbXBhbnkuIEl0cyBsZWFkIHByb2R1Y3QgY2FuZGlkYXRlIGluY2x1ZGVzIE1vbGdyYWRleCwgYW4gaW5oYWxlZCBncmFudWxvY3l0ZS1tYWNyb3BoYWdlIGNvbG9ueS1zdGltdWxhdGluZyBmYWN0b3IsIHdoaWNoIGlzIGluIFBoYXNlIElJSSBkZXZlbG9wbWVudCBzdGFnZSBmb3IgdGhlIHRyZWF0bWVudCBvZiBwdWxtb25hcnkgYWx2ZW9sYXIgcHJvdGVpbm9zaXM7IGFuZCBpbiBQaGFzZSBJSWEgZGV2ZWxvcG1lbnQgc3RhZ2UgZm9yIHRyZWF0aW5nIG5vbnR1YmVyY3Vsb3VzIG15Y29iYWN0ZXJpYWwgYW5kIGx1bmcgaW5mZWN0aW9uLiBUaGUgY29tcGFueSBpcyBhbHNvIGRldmVsb3BpbmcgQWVyb1ZhbmMsIGFuIGluaGFsZWQgdmFuY29teWNpbiB0aGF0IGlzIGluIFBoYXNlIElJSSBzdGFnZSBmb3IgdGhlIHRyZWF0bWVudCBvZiBtZXRoaWNpbGxpbi1yZXNpc3RhbnQgc3RhcGh5bG9jb2NjdXMgYXVyZXVzIGx1bmcgaW5mZWN0aW9uIGluIGluZGl2aWR1YWxzIGxpdmluZyB3aXRoIGN5c3RpYyBmaWJyb3Npcy4gVGhlIGNvbXBhbnkgaXMgaGVhZHF1YXJ0ZXJlZCBpbiBBdXN0aW4sIFRl</t>
  </si>
  <si>
    <t>eGFzLgA31sa6oVTWCF/8X72hVNYIIkNJUS5JUVRSNTMxOTIwNTA3LklRX1RSX1RBUkdFVE5BTUUBAAAAe3a0HwMAAAA6Q29uY2VydCBQaGFybWFjZXV0aWNhbHMgSW5jLiwgQ1QtNjU2IERydWcgJiBSZWxhdGVkIEFzc2V0cwACP9q3oVTWCIQ7Hb2hVNYILENJUS5JUVRSMzQ3NTkxNTkxLklRX1RSX1RBUkdFVF9FQklUREEuLlVTRC5IAQAAAKfTtxQCAAAAAAACP9q3oVTWCGFiJL2hVNYINUNJUS5OQVNEQVFDTTpHTE1ELklRX0NBUEVYLjE5OTYuNy8zMS8yMDE4LkxGUi5GLlVTRC5IAQAAACRn1wYCAAAABi0wLjAxNgEIAAAABQAAAAExAQAAAAoxODg4NDkyMzIwAwAAAAMxNjACAAAABDIwMjEEAAAAATAHAAAACTcvMzEvMjAxOAgAAAAJMy8zMS8yMDE3CQAAAAEwN9bGuqFU1gjyIbK/oVTWCDtDSVEuTkFTREFRR1M6VlJUWC5JUV9UT1RBTF9SRVYuQ1kyMDE2LjcvMzEvMjAxOC5MRlIuRi5VU0QuSAEAAACLjQAAAgAAAAgxNzAyLjE3NwEIAAAABQAAAAExAQAAAAoxODc0NTMxMzU2AwAAAAMxNjACAAAAAjI4BAAAAAEwBwAAAAk3LzMxLzIwMTgIAAAACjEyLzMxLzIwMTYJAAAAATAEopi7oVTWCAytnL+hVNYIJUNJUS5JUVRSMjg2NDEwNzM2LklRX1RSX01BSl9NSU5fU1RBS0UBAAAA8EcSEQMAAAAITWFqb3JpdHkAAj/at6FU1ghhYiS9oVTWCB1DSVEuSVEyOTk3OC5JUV9DT01QQU5ZX1RJQ0tFUgEAAAAa</t>
  </si>
  <si>
    <t>dQAAAwAAAA1OYXNkYXFHUzpJTlNNAAI/2rehVNYI53YYvaFU1gg7Q0lRLk5BU0RBUUdNOk1OT1YuSVFfUFJFRl9FUVVJVFkuMjAwMC45LzMwLzIwMTYuTEZSLkYuVVNELkgBAAAAuFSNAAMAAAAAADfWxrqhVNYIpL+vv6FU1gg1Q0lRLihJTlZBTElEIElERU5USUZJRVIpLklRX01BUktFVENBUC43LzMxLzIwMTguVVNELkgFAAAAAAAAAAgAAAAUKEludmFsaWQgSWRlbnRpZmllcilKPIu6oVTWCOxG2L+hVNYINkNJUS5OWVNFOktETU4uSVFfRUFSTklOR19DTy4xOTkyLjcvMzEvMjAxOC5MRlIuRi5VU0QuSAEAAABTyNkGAgAAAAgtMTUyLjI0NwEIAAAABQAAAAExAQAAAAoxODQyMzg4MTQ1AwAAAAMxNjACAAAAATcEAAAAATAHAAAACTcvMzEvMjAxOAgAAAAJMy8zMS8yMDE2CQAAAAEwN9bGuqFU1ghVXa2/oVTWCCVDSVEuTkFTREFRQ006UFVMTS5JUV9GSVJTVFBSSUNJTkdEQVRFAQAAAJ9smgEFAAAACTYvMTYvMjAxNQBKPIu6oVTWCMkQVL2hVNYIL0NJUS5JUVRSMjUzODc3MjAzLklRX1RSX1RBUkdFVF9UT1RBTF9SRVYuLlVTRC5IAQAAANPbIQ8CAAAABzcwMC4xNzkBBgAAAAUAAAACMzcBAAAACjE2NjU1NDM0MzICAAAAAjI4AwAAAAMxNjAEAAAAATAHAAAACDEvMS8xOTAwAj/at6FU1giEOx29oVTWCDpDSVEuTkFTREFRR1M6SU5TTS5JUV9UT1RBTF9ERUJULjIwMDAuOS8zMC8yMDE2LkxGUi5GLlVT</t>
  </si>
  <si>
    <t>RC5IAQAAABp1AAACAAAABjI0LjgyNQEIAAAABQAAAAExAQAAAAoxODAxNjk1NzI0AwAAAAMxNjACAAAABDQxNzMEAAAAATAHAAAACTkvMzAvMjAxNggAAAAJNi8zMC8yMDE2CQAAAAEwN9bGuqFU1gibmKi/oVTWCDxDSVEuTkFTREFRR1M6U1ZSQS5JUV9FQklUREFfRVNULkNZMjAxOS43LzMxLzIwMTguQ09OLkYuVVNELkgBAAAAdX+HAwIAAAAHLTU0LjYxMwEOAAAABQAAAAIxMQEAAAABMAIAAAAKMTAwMzc0ODc4MwMAAAAGMTAwMTg3BAAAAAEyBgAAAAEwBwAAAAMxNjAIAAAAATAJAAAAATEKAAAAATALAAAACzEwNzg3OTE3NjU2DAAAAAE3DQAAAAg4LzEvMjAxOBAAAAAJNy8zMS8yMDE4N9bGuqFU1gikv6+/oVTWCCdDSVEuTkFTREFRR1M6SUNQVC5JUV9CRVRBXzFZUi43LzMxLzIwMTgBAAAAgq+tAAIAAAAPMS4zMzAyMzg1NzQzOTg1AASimLuhVNYIVjamv6FU1ggtQ0lRLk5BU0RBUUNNOk1ER0wuSVFfRElWSURFTkRfWUlFTEQuNy8zMS8yMDE4AQAAAEybowgDAAAAAACqQZa7oVTWCAHUo7+hVNYIOUNJUS5OQVNEQVFHUzpJQ1BULklRX05JX01BUkdJTi4yMDAwLjcvMzEvMjAxOC5MRlIuRi5VU0QuSAEAAACCr60AAgAAAAktMjQxLjMyNzYBCAAAAAUAAAABMQEAAAAKMTg4ODYxNTU0MAMAAAADMTYwAgAAAAQ0MDk0BAAAAAEwBwAAAAk3LzMxLzIwMTgIAAAACTMvMzEvMjAxOAkAAAABMASimLuhVNYI</t>
  </si>
  <si>
    <t>Vjamv6FU1ggzQ0lRLk5ZU0U6S0RNTi5JUV9QRVJJT0REQVRFX0lTLjIwMDAuNy8zMS8yMDE4LkxGUi5GAQAAAFPI2QYFAAAACTMvMzEvMjAxOAA31sa6oVTWCPD6qr+hVNYINUNJUS5OQVNEQVFHUzpGR0VOLklRX0NBUEVYLjE5OTYuNy8zMS8yMDE4LkxGUi5GLlVTRC5IAQAAAERvAAACAAAABS0wLjk5AQgAAAAFAAAAATEBAAAACjE4ODc2Njk1MzYDAAAAAzE2MAIAAAAEMjAyMQQAAAABMAcAAAAJNy8zMS8yMDE4CAAAAAkzLzMxLzIwMTcJAAAAATAEopi7oVTWCG8Pn7+hVNYIKENJUS4uSVFfQ0FQRVguMjAwMC43LzMxLzIwMTguTEZSLkYuVVNELkgFAAAAAQAAAAgAAAAUKEludmFsaWQgSWRlbnRpZmllcikcrLm+oVTWCBysub6hVNYIIENJUS5JUVRSMjg2NDEwNzM2LklRX1RSX0VBUk5PVVRTAQAAAPBHEhECAAAAAAACP9q3oVTWCMWdH72hVNYINUNJUS5OQVNEQVFDTTpQVUxNLklRX0RBX0NGLjIwMDAuNy8zMS8yMDE4LkxGUi5GLlVTRC5IAQAAAJ9smgECAAAABTAuMjQyAQgAAAAFAAAAATEBAAAACjE4ODgxMTYyMjcDAAAAAzE2MAIAAAAEMjE2MAQAAAABMAcAAAAJNy8zMS8yMDE4CAAAAAkzLzMxLzIwMTgJAAAAATBKPIu6oVTWCBfSwr+hVNYILkNJUS5OQVNEQVFHTTpQUlFSLklRX01BUktFVENBUC43LzMxLzIwMTguVVNELkgBAAAA7+xcDQIAAAAKMjEzLjg3NjQ5NgEGAAAABQAAAAIyOQIAAAAG</t>
  </si>
  <si>
    <t>MTAwMDU0AQAAAAoxODg4MzMxMjU1AwAAAAMxNjAEAAAAATAHAAAACTcvMzEvMjAxODfWxrqhVNYIlea2v6FU1gg7Q0lRLk5BU0RBUUNNOk1HRU4uSVFfVE9UQUxfUkVWLkNZMjAxNi43LzMxLzIwMTguTEZSLkYuVVNELkgBAAAAb+KuAgIAAAAFMy40NzcBCAAAAAUAAAABMQEAAAAKMTg3ODU2NDA0MQMAAAADMTYwAgAAAAIyOAQAAAABMAcAAAAJNy8zMS8yMDE4CAAAAAoxMi8zMS8yMDE2CQAAAAEwN9bGuqFU1gjaSLm/oVTWCDdDSVEuTkFTREFRQ006R0xNRC5JUV9QRVJJT0REQVRFX0lTLjIwMDAuNy8zMS8yMDE4LkxGUi5GAQAAACRn1wYFAAAACTMvMzEvMjAxOAA31sa6oVTWCPIhsr+hVNYIFENJUS4uSVFfQ09NUEFOWV9OQU1FBQAAAAAAAAAIAAAAFChJbnZhbGlkIElkZW50aWZpZXIp5FB/uqFU1gjndhi9oVTWCC5DSVEuLklRX1RPVEFMX1JFVi5DWTIwMTcuNy8zMS8yMDE4LkxGUi5GLlVTRC5IBQAAAAEAAAAIAAAAFChJbnZhbGlkIElkZW50aWZpZXIpHKy5vqFU1ggcrLm+oVTWCCFDSVEuQVNYOjFBRC5JUV9QRVJJT0REQVRFX0lTLjEwMDABAAAAxaCkAwUAAAAJNi8zMC8yMDE4AEo8i7qhVNYIzG/Av6FU1ggiQ0lRLklRVFI0MjgxMDEwMzQuSVFfVFJfVE9UQUxfQ0FTSAEAAACqTYQZAgAAAAAAAj/at6FU1ggaACK9oVTWCCVDSVEuSVFUUjEzODI1MTQ2Mi5JUV9UUl9NQUpfTUlOX1NUQUtFAQAA</t>
  </si>
  <si>
    <t>AMaMPQgDAAAACE1ham9yaXR5AAI/2rehVNYIusQmvaFU1ggeQ0lRLkFTWDoxQUQuSVFfRUZGRUNUX1RBWF9SQVRFAQAAAMWgpAMDAAAAAABKPIu6oVTWCMxvwL+hVNYIOkNJUS5FTlhUQU06R0xQRy5JUV9FQklUREFfRVNULkNZMjAxOS43LzMxLzIwMTguQ09OLkYuVVNELkgBAAAAsjEaAAIAAAARLTE2Ny42MjY0NDgyNjg1NTIBDgAAAAUAAAACMTEBAAAAATACAAAACjEwMDA0Njg1NTMDAAAABjEwMDE4NwQAAAABMwYAAAABMAcAAAADMTYwCAAAAAEwCQAAAAExCgAAAAEwCwAAAAsxMTAwMTE1MzY1MgwAAAABNw0AAAAIOC8xLzIwMTgQAAAACTcvMzEvMjAxOASimLuhVNYItnGhv6FU1gguQ0lRLkVOWFRQQTpHTkZULklRX0xBU1RTQUxFUFJJQ0UuNy8zMS8yMDE4LlVTRAEAAAAiwZMAAgAAAAkyOC4zNDQwNjEAN9bGuqFU1gibmKi/oVTWCDVDSVEuQU1FWDpBUEhCLklRX1RPVEFMX1JFVi4xOTkyLjcvMzEvMjAxOC5MRlIuRi5VU0QuSAEAAAAiiQAAAgAAAAUwLjQ3OQEIAAAABQAAAAExAQAAAAoxODQyMjgyNzc2AwAAAAMxNjACAAAAAjI4BAAAAAEwBwAAAAk3LzMxLzIwMTgIAAAACTMvMzEvMjAxNgkAAAABMEo8i7qhVNYIF9LCv6FU1ggsQ0lRLklRVFIxNzAyMjkzODYuSVFfVFJfVE9UQUxfR1JPU1NfVFYuVVNELkgFAAAAAAAAAAgAAAAaKEludmFsaWQgQ3VycmVuY3kgUmVxdWVzdCkCP9q3oVTWCMWd</t>
  </si>
  <si>
    <t>H72hVNYIO0NJUS5OQVNEQVFDTTpNREdMLklRX1RPVEFMX1JFVi5DWTIwMTcuNy8zMS8yMDE4LkxGUi5GLlVTRC5IAQAAAEybowgDAAAAAAAEopi7oVTWCAHUo7+hVNYIPENJUS5OQVNEQVFHUzpJTlNNLklRX0VBUk5JTkdfQ08uQ1kyMDE3LjcvMzEvMjAxOC5MRlIuRi5VU0QuSAEAAAAadQAAAgAAAAgtMTkyLjY0OQEIAAAABQAAAAExAQAAAAoxODc2MDQ1MDE2AwAAAAMxNjACAAAAATcEAAAAATAHAAAACTcvMzEvMjAxOAgAAAAKMTIvMzEvMjAxNwkAAAABMDfWxrqhVNYIm5iov6FU1ghAQ0lRLkFTWDoxQUQuSVFfVE9UQUxfUkVWXzJZUl9BTk5fQ0FHUi4yMDAwLjcvMzEvMjAxOC5MRlIuRi5VU0QuSAEAAADFoKQDAwAAAAAASjyLuqFU1gjMb8C/oVTWCB5DSVEuSVEzNjE4MzgxMy5JUV9DT01QQU5ZX05BTUUBAAAABR8oAgMAAAAyVW5pdGVkIFN0YXRlcyBUcmVhc3VyeSBDb25zdGFudCBNYXR1cml0eSAtIDEgTW9udGgAAj/at6FU1giY6Ue4oVTWCB5DSVEuLklRX1RSX0lNUExJRURfRVZfRUJJVF9GV0QFAAAAAQAAAAgAAAAUKEludmFsaWQgSWRlbnRpZmllcimqQZa7oVTWCKpBlruhVNYINUNJUS5OQVNEQVFHTTpDUkJQLklRX0NBUEVYLjE5OTYuNy8zMS8yMDE4LkxGUi5GLlVTRC5IAQAAACRvJA8CAAAACS0wLjMyNzg0MQEIAAAABQAAAAExAQAAAAoxODg4NTkwMzYzAwAAAAMxNjACAAAABDIwMjEE</t>
  </si>
  <si>
    <t>AAAAATAHAAAACTcvMzEvMjAxOAgAAAAJMy8zMS8yMDE3CQAAAAEwN9bGuqFU1giV5ra/oVTWCEJDSVEuQU1FWDpBUEhCLklRX1RPVEFMX1JFVl8yWVJfQU5OX0NBR1IuMjAwMC43LzMxLzIwMTguTEZSLkYuVVNELkgBAAAAIokAAAIAAAAILTU3LjYyNzgBCAAAAAUAAAABMQEAAAAKMTg4OTAxODg0NAMAAAADMTYwAgAAAAQ0MjA3BAAAAAEwBwAAAAk3LzMxLzIwMTgIAAAACTMvMzEvMjAxOAkAAAABMEo8i7qhVNYI7TTFv6FU1ggjQ0lRLklRVFIzNDc1OTE1OTEuSVFfVFJfQ0xPU0VEX0RBVEUBAAAAp9O3FAUAAAAJNy8yNi8yMDE2AAI/2rehVNYIGgAivaFU1gg4Q0lRLkFNRVg6QVBIQi5JUV9FQklUREFfRVNULkNZMjAyMC43LzMxLzIwMTguQ09OLkYuVVNELkgBAAAAIokAAAIAAAAELTQuMQEOAAAABQAAAAIxMQEAAAABMAIAAAAKMTAwMzMzNDc3OAMAAAAGMTAwMTg3BAAAAAEyBgAAAAEwBwAAAAMxNjAIAAAAATAJAAAAATEKAAAAATALAAAACzEwOTIwODgwNzgzDAAAAAE3DQAAAAg4LzEvMjAxOBAAAAAJNy8zMS8yMDE4SjyLuqFU1gjtNMW/oVTWCCNDSVEuSVFUUjUzMTkyMDUwNy5JUV9UUl9UT1RBTF9TVE9DSwEAAAB7drQfAgAAAAAAAj/at6FU1ggaACK9oVTWCCVDSVEuSVFUUjI3MDc4OTU4NC5JUV9QUklNQVJZX0lORFVTVFJZAQAAACxqAQADAAAADUJpb3RlY2hub2xvZ3kAAj/at6FU1ggy2Rq9</t>
  </si>
  <si>
    <t>oVTWCClDSVEuSVFUUjEzODI1MTQ2Mi5JUV9CVVNJTkVTU19ERVNDUklQVElPTgEAAACgbXwBAwAAALcFQW1pcmEgUGhhcm1hY2V1dGljYWxzLCBJbmMuIGRldmVsb3BzIHNtYWxsIG1vbGVjdWxhciBkcnVncyB0byB0cmVhdCBpbmZsYW1tYXRvcnkgYW5kIGZpYnJvdGljL3Jlc3BpcmF0b3J5IGRpc2Vhc2VzIHJlbGF0ZWQgdG8gYmlvYWN0aXZlIGxpcGlkIHBhdGh3YXlzLiBUaGUgY29tcGFueSBidWlsZHMgaW5zaWdodHMgaW50byB2YXJpb3VzIGJpb2FjdGl2ZSBsaXBpZCBwYXRod2F5cywgc3VjaCBhcyBsZXVrb3RyaWVuZSwgcHJvc3RhZ2xhbmRpbiwgYW5kIGx5c29waG9zcGhvbGlwaWQsIGFzIHdlbGwgYXMgY29tcGxleCBzaWduYWxpbmcgcHJvY2Vzc2VzIHRoYXQgY29udHJvbCBjaHJvbmljIG9ic3RydWN0aXZlIHB1bG1vbmFyeSwgY2FyZGlvdmFzY3VsYXIsIGFuZCBmaWJyb3RpYyBkaXNlYXNlcywgYXMgd2VsbCBhcyBhc3RobWEuIFRoZSBjb21wYW55IG9mZmVycyBBTTEwMy9BTTgwMywgd2hpY2ggYXJlIG9yYWwgaW5oaWJpdG9ycyBvZiA1LWxpcG94eWdlbmFzZS1hY3RpdmF0aW5nIHByb3RlaW4uIFRoZSBjb21wYW55IHdhcyBmb3VuZGVkIGluIDIwMDUgYW5kIGlzIGJhc2VkIGluIFNhbiBEaWVnbywgQ2FsaWZvcm5pYS4gQXMgb2YgU2VwdGVtYmVyIDcsIDIwMTEsIEFtaXJhIFBoYXJt</t>
  </si>
  <si>
    <t>YWNldXRpY2FscywgSW5jLiBvcGVyYXRlcyBhcyBhIHN1YnNpZGlhcnkgb2YgQnJpc3RvbC1NeWVycyBTcXVpYmIgQ29tcGFueS4AAj/at6FU1ghhYiS9oVTWCCdDSVEuTkFTREFRQ006TURHTC5JUV9QRVJJT0REQVRFX0lTLjEwMDABAAAATJujCAUAAAAKMTIvMzEvMjAxNwAEopi7oVTWCAHUo7+hVNYIRUNJUS4oSU5WQUxJRCBJREVOVElGSUVSKS5JUV9DQVNIX1NUX0lOVkVTVC4yMDAwLjkvMzAvMjAxNi5MRlIuRi5VU0QuSAUAAAAAAAAACAAAABQoSW52YWxpZCBJZGVudGlmaWVyKUo8i7qhVNYIFh7wv6FU1gg4Q0lRLk5BU0RBUUdTOlZSVFguSVFfRUJJVERBLkNZMjAxNy43LzMxLzIwMTguTEZSLkYuVVNELkgBAAAAi40AAAIAAAAHNjE0LjIyNgEIAAAABQAAAAExAQAAAAoxODc0NTMxMzg2AwAAAAMxNjACAAAABDQwNTEEAAAAATAHAAAACTcvMzEvMjAxOAgAAAAKMTIvMzEvMjAxNwkAAAABMASimLuhVNYIDK2cv6FU1ghDQ0lRLk5BU0RBUUdNOkNOQVQuSVFfRUJJVERBXzVZUl9BTk5fQ0FHUi4yMDAwLjcvMzEvMjAxOC5MRlIuRi5VU0QuSAEAAABlZ9YBAwAAAAJOTQEIAAAABQAAAAExAQAAAAoxODg2NjE3MzQwAwAAAAMxNjACAAAABDQyMzUEAAAAATAHAAAACTcvMzEvMjAxOAgAAAAJMy8zMS8yMDE4CQAAAAEwN9bGuqFU1gh3Db6/oVTWCDlDSVEuRU5YVFBBOkdORlQuSVFfVE9UQUxfUkVWLkNZ</t>
  </si>
  <si>
    <t>MjAxNy43LzMxLzIwMTguTEZSLkYuVVNELkgBAAAAIsGTAAIAAAAIOC4wMjcxMzcBCAAAAAUAAAABMQEAAAAKMTg5MDYxOTY0OAMAAAADMTYwAgAAAAIyOAQAAAABMAcAAAAJNy8zMS8yMDE4CAAAAAoxMi8zMS8yMDE3CQAAAAEwN9bGuqFU1gibmKi/oVTWCCVDSVEuSVFUUjMxMzI1MTg3Ny5JUV9UUl9NQUpfTUlOX1NUQUtFAQAAACXYqxIDAAAACE1ham9yaXR5AAI/2rehVNYIMtkavaFU1ghDQ0lRLk5ZU0U6S0RNTi5JUV9NSU5PUklUWV9JTlRFUkVTVF9UT1RBTC4yMDAwLjcvMzEvMjAxOC5MRlIuRi5VU0QuSAEAAABTyNkGAwAAAAAAN9bGuqFU1gjw+qq/oVTWCDtDSVEuTkFTREFRR006Q05BVC5JUV9QUkVGX0VRVUlUWS4yMDAwLjcvMzEvMjAxOC5MRlIuRi5VU0QuSAEAAABlZ9YBAwAAAAAAN9bGuqFU1ggiq7u/oVTWCEFDSVEuRU5YVEFNOkdMUEcuSVFfRUJJVERBXzNZUl9BTk5fQ0FHUi4yMDAwLjcvMzEvMjAxOC5MRlIuRi5VU0QuSAEAAACyMRoAAwAAAAJOTQEIAAAABQAAAAExAQAAAAoxODg1NDg0NzU1AwAAAAI1MAIAAAAENDIyMgQAAAABMAcAAAAJNy8zMS8yMDE4CAAAAAkzLzMxLzIwMTgJAAAAATAEopi7oVTWCLZxob+hVNYINUNJUS5OWVNFOktETU4uSVFfVE9UQUxfUkVWLjIwMDAuNy8zMS8yMDE4LkxGUi5GLlVTRC5IAQAAAFPI2QYCAAAABTcuMTMxAQgAAAAFAAAAATEBAAAACjE4ODc0</t>
  </si>
  <si>
    <t>NDUzNTUDAAAAAzE2MAIAAAACMjgEAAAAATAHAAAACTcvMzEvMjAxOAgAAAAJMy8zMS8yMDE4CQAAAAEwN9bGuqFU1gjw+qq/oVTWCDpDSVEuRU5YVFBBOkdORlQuSVFfRUJJVERBX0VTVC5DWTIwMTkuNy8zMS8yMDE4LkNPTi5GLlVTRC5IAQAAACLBkwACAAAAEDMxLjcwNzA4MDE3MzkwNTUBDgAAAAUAAAACMTEBAAAAATACAAAACjEwMDE4NzcxNzcDAAAABjEwMDE4NwQAAAABMwYAAAABMAcAAAADMTYwCAAAAAEwCQAAAAExCgAAAAEwCwAAAAsxMDk4Njc1MjgzMgwAAAABNw0AAAAIOC8xLzIwMTgQAAAACTcvMzEvMjAxODfWxrqhVNYI8Pqqv6FU1ggpQ0lRLk5BU0RBUUNNOk1ER0wuSVFfQlVTSU5FU1NfREVTQ1JJUFRJT04BAAAATJujCAMAAADzBk1hZHJpZ2FsIFBoYXJtYWNldXRpY2FscywgSW5jLiwgYSBjbGluaWNhbC1zdGFnZSBiaW9waGFybWFjZXV0aWNhbCBjb21wYW55LCBmb2N1c2VzIG9uIHRoZSBkZXZlbG9wbWVudCBhbmQgY29tbWVyY2lhbGl6YXRpb24gb2YgdGhlcmFwZXV0aWMgY2FuZGlkYXRlcyBmb3IgdGhlIHRyZWF0bWVudCBvZiBjYXJkaW92YXNjdWxhciwgbWV0YWJvbGljLCBhbmQgbGl2ZXIgZGlzZWFzZXMuIFRoZSBjb21wYW554oCZcyBsZWFkIGNhbmRpZGF0ZSBpcyBNR0wtMzE5NiwgYW4gb3JhbGx5IGFkbWluaXN0ZXJlZCwgc21hbGwtbW9sZWN1bGUsIGxpdmVyLWRpcmVj</t>
  </si>
  <si>
    <t>dGVkLCB0aHlyb2lkIGhvcm1vbmUgcmVjZXB0b3IgKFRIUikgw58tc2VsZWN0aXZlIGFnb25pc3QsIHdoaWNoIGlzIGluIFBoYXNlIElJIGNsaW5pY2FsIHRyaWFscyBmb3IgdGhlIHRyZWF0bWVudCBvZiBub24tYWxjb2hvbGljIHN0ZWF0b2hlcGF0aXRpcyBhbmQgaGV0ZXJvenlnb3VzIGZhbWlsaWFsIGh5cGVyY2hvbGVzdGVyb2xlbWlhLiBJdCBpcyBhbHNvIGRldmVsb3BpbmcgTUdMLTM3NDUsIGEgVEhSLcOfLXNlbGVjdGl2ZSBzbWFsbCBtb2xlY3VsZSB0aGF0IGlzIGluIHByZWNsaW5pY2FsIHRyaWFscy4gVGhlIGNvbXBhbnkgaGFzIHJlc2VhcmNoLCBkZXZlbG9wbWVudCwgYW5kIGNvbW1lcmNpYWxpemF0aW9uIGFncmVlbWVudCB3aXRoIEhvZmZtYW5uLUxhIFJvY2hlIHRvIGRldmVsb3AsIHVzZSwgc2VsbCwgb2ZmZXIgZm9yIHNhbGUsIGFuZCBpbXBvcnQgdmFyaW91cyBsaWNlbnNlZCBwcm9kdWN0cy4gTWFkcmlnYWwgUGhhcm1hY2V1dGljYWxzLCBJbmMuIHdhcyBmb3VuZGVkIGluIDIwMTEgYW5kIGlzIGhlYWRxdWFydGVyZWQgaW4gV2VzdCBDb25zaG9ob2NrZW4sIFBlbm5zeWx2YW5pYS4AqkGWu6FU1ghNI2e9oVTWCDhDSVEuQU1FWDpBUEhCLklRX0dST1NTX01BUkdJTi4yMDAwLjcvMzEvMjAxOC5MRlIuRi5VU0QuSAEAAAAiiQAAAwAAAAJOTQEIAAAABQAAAAExAQAAAAoxODg5MDE4</t>
  </si>
  <si>
    <t>ODQ0AwAAAAMxNjACAAAABDQwNzQEAAAAATAHAAAACTcvMzEvMjAxOAgAAAAJMy8zMS8yMDE4CQAAAAEwSjyLuqFU1gjtNMW/oVTWCB9DSVEuRU5YVEFNOkdMUEcuSVFfQ09NUEFOWV9OQU1FAQAAALIxGgADAAAADEdhbGFwYWdvcyBOVgCqQZa7oVTWCA9MT72hVNYIMUNJUS5JUVRSMzMwMDMxMTg0LklRX1RSX1RBUkdFVF9SRVZFTlVFX0VTVC4uVVNELkgBAAAAUOCrEwIAAAAAAAI/2rehVNYIGgAivaFU1gg8Q0lRLk5BU0RBUUdNOlBSUVIuSVFfVE9UQUxfRVFVSVRZLjE5OTIuNy8zMS8yMDE4LkxGUi5GLlVTRC5IAQAAAO/sXA0CAAAACTk3LjUyODEwMgEIAAAABQAAAAExAQAAAAoxODgwOTgxODUyAwAAAAMxNjACAAAABDEyNzUEAAAAATAHAAAACTcvMzEvMjAxOAgAAAAKMTIvMzEvMjAxNQkAAAABMDfWxrqhVNYI2ki5v6FU1gghQ0lRLk5BU0RBUUNNOlBVTE0uSVFfQ09NUEFOWV9OQU1FAQAAAJ9smgEDAAAAD1B1bG1hdHJpeCwgSW5jLgBKPIu6oVTWCHuuUb2hVNYIPENJUS5OQVNEQVFHTTpQUlFSLklRX0VCSVREQV9FU1QuQ1kyMDE5LjcvMzEvMjAxOC5DT04uRi5VU0QuSAEAAADv7FwNAwAAAAAAN9bGuqFU1gjaSLm/oVTWCDVDSVEuRU5YVFBBOkdORlQuSVFfUEVSSU9EREFURV9JUy4yMDAwLjcvMzEvMjAxOC5MRlIuRgEAAAAiwZMABQAAAAoxMi8zMS8yMDE3ADfWxrqhVNYIm5iov6FU1ggkQ0lR</t>
  </si>
  <si>
    <t>Lk5BU0RBUUNNOkdMTUQuSVFfRUZGRUNUX1RBWF9SQVRFAQAAACRn1wYDAAAAAk5NAQgAAAAFAAAAATEBAAAACjE5MTk4NTY2MDYDAAAAAzE2MAIAAAAENDM3NgQAAAABMAcAAAAKMTEvMjcvMjAxOAgAAAAJOS8zMC8yMDE4CQAAAAEwN9bGuqFU1ghHhLS/oVTWCD1DSVEuTkFTREFRR1M6SU5TTS5JUV9SRVZFTlVFX0VTVC5DWTIwMjAuNy8zMS8yMDE4LkNPTi5GLlVTRC5IAQAAABp1AAACAAAACTE3Ni42MDQzOQEOAAAABQAAAAIxMQEAAAABMAIAAAAKMTAwMTgxNjgzMAMAAAAGMTAwMTgwBAAAAAEyBgAAAAEwBwAAAAMxNjAIAAAAATAJAAAAATEKAAAAATALAAAACzEwOTg0MzM3NjUxDAAAAAE3DQAAAAg4LzEvMjAxOBAAAAAJNy8zMS8yMDE4BKKYu6FU1gibmKi/oVTWCChDSVEuLklRX0RBX0NGLjIwMDAuNy8zMS8yMDE4LkxGUi5GLlVTRC5IBQAAAAEAAAAIAAAAFChJbnZhbGlkIElkZW50aWZpZXIpHKy5vqFU1ggcrLm+oVTWCB9DSVEuSVE3Njg3NDExLklRX0NPTVBBTllfVElDS0VSAQAAAPNMdQADAAAAB0FTWDpJTUMAAj/at6FU1ggy2Rq9oVTWCDtDSVEuRU5YVEFNOkdMUEcuSVFfUkVWRU5VRV9FU1QuQ1kyMDE4LjcvMzEvMjAxOC5DT04uRi5VU0QuSAEAAACyMRoAAgAAABAyMTEuMDY0OTUwMzMwMzI1AQ4AAAAFAAAAAjExAQAAAAEwAgAAAAoxMDAwNDY4NTUyAwAAAAYxMDAxODAEAAAAATMGAAAA</t>
  </si>
  <si>
    <t>ATAHAAAAAzE2MAgAAAABMAkAAAABMQoAAAABMAsAAAALMTEwMDExNTM4NTAMAAAAATcNAAAACDgvMS8yMDE4EAAAAAk3LzMxLzIwMTgEopi7oVTWCLZxob+hVNYIKUNJUS5OQVNEQVFHUzpJTlNNLklRX0JVU0lORVNTX0RFU0NSSVBUSU9OAQAAABp1AAADAAAA9wVJbnNtZWQgSW5jb3Jwb3JhdGVkLCBhIGJpb3BoYXJtYWNldXRpY2FsIGNvbXBhbnksIGZvY3VzZXMgb24gdGhlIGRldmVsb3BtZW50IGFuZCBjb21tZXJjaWFsaXphdGlvbiBvZiB0aGVyYXBpZXMgZm9yIHBhdGllbnRzIHdpdGggcmFyZSBkaXNlYXNlcy4gVGhlIGNvbXBhbnnigJlzIGxlYWQgcHJvZHVjdCBjYW5kaWRhdGUgaXMgYW1pa2FjaW4gbGlwb3NvbWUgaW5oYWxhdGlvbiBzdXNwZW5zaW9uLCB3aGljaCBpcyBpbiBsYXRlLXN0YXRlIGRldmVsb3BtZW50IGZvciBhZHVsdCBwYXRpZW50cyB3aXRoIHRyZWF0bWVudCByZWZyYWN0b3J5IG5vbnR1YmVyY3Vsb3VzIG15Y29iYWN0ZXJpYSBsdW5nIGRpc2Vhc2UgY2F1c2VkIGJ5IG15Y29iYWN0ZXJpdW0gYXZpdW0gY29tcGxleC4gSXRzIGVhcmxpZXItc3RhZ2UgY2xpbmljYWwgcGlwZWxpbmUgYWxzbyBpbmNsdWRlcyBJTlMxMDA3LCBhbiBvcmFsIHJldmVyc2libGUgaW5oaWJpdG9yIG9mIGRpcGVwdGlkeWwgcGVwdGlkYXNlIDEgZm9yIG5vbi1jeXN0aWMgZmlicm9zaXMgYnJvbmNo</t>
  </si>
  <si>
    <t>aWVjdGFzaXMgYW5kIG90aGVyIGluZmxhbW1hdG9yeSBkaXNlYXNlczsgYW5kIElOUzEwMDksIGFuIGluaGFsZWQgbmFub3BhcnRpY2xlIGZvcm11bGF0aW9uIG9mIGEgdHJlcHJvc3RpbmlsIHByb2RydWcgZm9yIHJhcmUgcHVsbW9uYXJ5IGRpc29yZGVycy4gVGhlIGNvbXBhbnkgd2FzIGZvdW5kZWQgaW4gMTk5OSBhbmQgaXMgaGVhZHF1YXJ0ZXJlZCBpbiBCcmlkZ2V3YXRlciwgTmV3IEplcnNleS4AN9bGuqFU1gir6y29oVTWCB9DSVEuSVE5MjYyMjY0LklRX0NPTVBBTllfVElDS0VSAQAAALhUjQADAAAADU5hc2RhcUdNOk1OT1YAAj/at6FU1ggy2Rq9oVTWCC5DSVEuSVFUUjI2MzcwNzI4OS5JUV9UUl9UQVJHRVRfU1RPQ0tQUkVNSVVNXzFNAQAAAJnatw8CAAAAAAACP9q3oVTWCBoAIr2hVNYIIENJUS5JUVRSMzEzMjUxODc3LklRX1RSX0VBUk5PVVRTAQAAACXYqxICAAAAAzQ3NQEGAAAABQAAAAI1NAEAAAAGMTAxNDAzAgAAAAkzMTMyNTE4NzcDAAAACTMxMzI1MjI4NQQAAAADMTYwBgAAAAVGYWxzZQI/2rehVNYIYWIkvaFU1ghGQ0lRLk5BU0RBUUdTOklDUFQuSVFfVE9UQUxfUkVWXzNZUl9BTk5fQ0FHUi4yMDAwLjcvMzEvMjAxOC5MRlIuRi5VU0QuSAEAAACCr60AAgAAAAgyNzQuMzA0NAEIAAAABQAAAAExAQAAAAoxODg4NjE1NTQwAwAAAAMxNjACAAAABDQyMjAEAAAAATAHAAAACTcvMzEv</t>
  </si>
  <si>
    <t>MjAxOAgAAAAJMy8zMS8yMDE4CQAAAAEwBKKYu6FU1ghWNqa/oVTWCDxDSVEuTkFTREFRQ006R0FMVC5JUV9FQklUREFfRVNULkNZMjAxOS43LzMxLzIwMTguQ09OLkYuVVNELkgBAAAAx0EQAAMAAAAAADfWxrqhVNYIR4S0v6FU1gg6Q0lRLkFNRVg6QVBIQi5JUV9DQVNIX1NUX0lOVkVTVC4yMDAwLjcvMzEvMjAxOC5MRlIuRi5VU0QuSAEAAAAiiQAAAgAAAAU4LjIwNgEIAAAABQAAAAExAQAAAAoxODg5MDE4ODQ0AwAAAAMxNjACAAAABDEwMDIEAAAAATAHAAAACTcvMzEvMjAxOAgAAAAJMy8zMS8yMDE4CQAAAAEwSjyLuqFU1ggX0sK/oVTWCDBDSVEuLklRX1JFVkVOVUVfRVNULkNZMjAyMS43LzMxLzIwMTguQ09OLkYuVVNELkgFAAAAAQAAAAgAAAAUKEludmFsaWQgSWRlbnRpZmllcikcrLm+oVTWCBysub6hVNYIOENJUS5OQVNEQVFHUzpJQ1BULklRX0VCSVREQS5DWTIwMTcuNy8zMS8yMDE4LkxGUi5GLlVTRC5IAQAAAIKvrQACAAAACC0zMjUuODExAQgAAAAFAAAAATEBAAAACjE4NzcwMTE0ODkDAAAAAzE2MAIAAAAENDA1MQQAAAABMAcAAAAJNy8zMS8yMDE4CAAAAAoxMi8zMS8yMDE3CQAAAAEwBKKYu6FU1ghWNqa/oVTWCENDSVEuTkFTREFRQ006UFVMTS5JUV9FQklUREFfMllSX0FOTl9DQUdSLjIwMDAuNy8zMS8yMDE4LkxGUi5GLlVTRC5IAQAAAJ9smgEDAAAAAk5NAQgAAAAFAAAAATEBAAAA</t>
  </si>
  <si>
    <t>CjE4ODgxMTYyMjcDAAAAAzE2MAIAAAAENDIwOQQAAAABMAcAAAAJNy8zMS8yMDE4CAAAAAkzLzMxLzIwMTgJAAAAATBKPIu6oVTWCBfSwr+hVNYIK0NJUS5OWVNFOkJIVk4uSVFfQ0FTSF9FUVVJVi4uNS8zLzIwMTcuLi5VU0QBAAAA3GcgDwIAAAAGMjMuNTY1AQgAAAAFAAAAATEBAAAACjE4MzU3ODk3MTADAAAAAzE2MAIAAAAEMTA5NgQAAAABMAcAAAAINS8zLzIwMTcIAAAACjEyLzMxLzIwMTYJAAAAATACP9q3oVTWCKjVU7ihVNYIKUNJUS5OQVNEQVFHUzpGR0VOLklRX0JVU0lORVNTX0RFU0NSSVBUSU9OAQAAAERvAAADAAAAqwdGaWJyb0dlbiwgSW5jLiwgYSByZXNlYXJjaC1iYXNlZCBiaW9waGFybWFjZXV0aWNhbCBjb21wYW55LCBkaXNjb3ZlcnMsIGRldmVsb3BzLCBhbmQgY29tbWVyY2lhbGl6ZXMgdGhlcmFwZXV0aWMgYWdlbnRzIHRvIHRyZWF0IHNlcmlvdXMgdW5tZXQgbWVkaWNhbCBuZWVkcy4gSXQgaXMgZGV2ZWxvcGluZyBSb3hhZHVzdGF0LCBhbiBvcmFsIHNtYWxsIG1vbGVjdWxlIGluaGliaXRvciBvZiBoeXBveGlhIGluZHVjaWJsZSBmYWN0b3IgcHJvbHlsIGh5ZHJveHlsYXNlcyAoSElGLVBIcykgdGhhdCBpcyBpbiBQaGFzZSBJSUkgY2xpbmljYWwgZGV2ZWxvcG1lbnQgZm9yIHRoZSB0cmVhdG1lbnQgb2YgYW5lbWlhIGluIGNocm9uaWMga2lkbmV5IGRpc2Vhc2U7IFBhbXJl</t>
  </si>
  <si>
    <t>dmx1bWFiLCBhIGh1bWFuLW1vbm9jbG9uYWwgYW50aWJvZHkgdGhhdCBpbmhpYml0cyB0aGUgYWN0aXZpdHkgb2YgY29ubmVjdGl2ZSB0aXNzdWUgZ3Jvd3RoIGZhY3Rvciwgd2hpY2ggaXMgaW4gUGhhc2UgSUkgY2xpbmljYWwgZGV2ZWxvcG1lbnQgZm9yIHRoZSB0cmVhdG1lbnQgb2YgaWRpb3BhdGhpYyBwdWxtb25hcnkgZmlicm9zaXMsIHBhbmNyZWF0aWMgY2FuY2VyLCBsaXZlciBmaWJyb3NpcywgYW5kIER1Y2hlbm5lIG11c2N1bGFyIGR5c3Ryb3BoeTsgYW5kIEZHLTUyMDAsIGEgY29ybmVhbCBpbXBsYW50IG1lZGljYWwgZGV2aWNlIGZvciB0aGUgdHJlYXRtZW50IG9mIGNvcm5lYWwgYmxpbmRuZXNzIHJlc3VsdGluZyBmcm9tIHBhcnRpYWwgdGhpY2tuZXNzIGNvcm5lYWwgZGFtYWdlLiBJdCBoYXMgY29sbGFib3JhdGlvbiBhZ3JlZW1lbnRzIHdpdGggQXN0ZWxsYXMgUGhhcm1hIEluYy4gYW5kIEFzdHJhWmVuZWNhIEFCLiBUaGUgY29tcGFueSB3YXMgaW5jb3Jwb3JhdGVkIGluIDE5OTMgYW5kIGlzIGhlYWRxdWFydGVyZWQgaW4gU2FuIEZyYW5jaXNjbywgQ2FsaWZvcm5pYS4AqkGWu6FU1ghp1Vi9oVTWCDtDSVEuTkFTREFRR006TU5PVi5JUV9QUkVGX0VRVUlUWS4yMDAwLjcvMzEvMjAxOC5MRlIuRi5VU0QuSAEAAAC4VI0AAwAAAAAAN9bGuqFU1ghVXa2/oVTWCDZDSVEuTkFTREFRR1M6</t>
  </si>
  <si>
    <t>U1ZSQS5JUV9FQklUREEuMjAwMC43LzMxLzIwMTguTEZSLkYuVVNELkgBAAAAdX+HAwIAAAAHLTMxLjAxMQEIAAAABQAAAAExAQAAAAoxODg3NzYzMDc1AwAAAAMxNjACAAAABDQwNTEEAAAAATAHAAAACTcvMzEvMjAxOAgAAAAJMy8zMS8yMDE4CQAAAAEwN9bGuqFU1gikv6+/oVTWCDZDSVEuRU5YVFBBOkdORlQuSVFfRUJJVERBLkNZMjAxNi43LzMxLzIwMTguTEZSLkYuVVNELkgBAAAAIsGTAAIAAAAKLTM1LjM5MzIyMwEIAAAABQAAAAExAQAAAAoxODkwNjE5NjExAwAAAAMxNjACAAAABDQwNTEEAAAAATAHAAAACTcvMzEvMjAxOAgAAAAKMTIvMzEvMjAxNgkAAAABMDfWxrqhVNYI8Pqqv6FU1gg2Q0lRLk5BU0RBUUdTOkZHRU4uSVFfRUJJVERBLjIwMDAuNy8zMS8yMDE4LkxGUi5GLlVTRC5IAQAAAERvAAACAAAACC0xMjguMjk1AQgAAAAFAAAAATEBAAAACjE4ODc2Njk1NDMDAAAAAzE2MAIAAAAENDA1MQQAAAABMAcAAAAJNy8zMS8yMDE4CAAAAAkzLzMxLzIwMTgJAAAAATAEopi7oVTWCG8Pn7+hVNYII0NJUS5JUVRSMTE3MjkxNDY1LklRX1RSX0NMT1NFRF9EQVRFAQAAAMm5/QYFAAAACTEvMTQvMjAxMQACP9q3oVTWCLrEJr2hVNYIPUNJUS5OQVNEQVFDTTpQVUxNLklRX1JFVkVOVUVfRVNULkNZMjAxOC43LzMxLzIwMTguQ09OLkYuVVNELkgBAAAAn2yaAQIAAAAHMS4xNjY2NwEOAAAABQAAAAIx</t>
  </si>
  <si>
    <t>MQEAAAABMAIAAAAKMTAwMzE0MDU2MAMAAAAGMTAwMTgwBAAAAAEyBgAAAAEwBwAAAAMxNjAIAAAAATAJAAAAATEKAAAAATALAAAACzEwODExODI0MzI4DAAAAAE3DQAAAAg4LzEvMjAxOBAAAAAJNy8zMS8yMDE4SjyLuqFU1ggX0sK/oVTWCCxDSVEuLklRX1RPVEFMX1JFVi4yMDAwLjcvMzEvMjAxOC5MRlIuRi5VU0QuSAUAAAABAAAACAAAABQoSW52YWxpZCBJZGVudGlmaWVyKRysub6hVNYIHKy5vqFU1gg4Q0lRLkVOWFRBTTpHTFBHLklRX1RPVEFMX0RFQlQuMjAwMC43LzMxLzIwMTguTEZSLkYuVVNELkgBAAAAsjEaAAIAAAABMAEIAAAABQAAAAExAQAAAAoxODg1NDg0NzU1AwAAAAMxNjACAAAABDQxNzMEAAAAATAHAAAACTcvMzEvMjAxOAgAAAAJMy8zMS8yMDE4CQAAAAEwBKKYu6FU1gi2caG/oVTWCCxDSVEuTkFTREFRR006Q05BVC5JUV9MQVNUU0FMRVBSSUNFLjkvMzAvMjAxNgEAAABlZ9YBAgAAAAEyADfWxrqhVNYIdw2+v6FU1gg8Q0lRLk5BU0RBUUdTOlNWUkEuSVFfRUJJVERBX0VTVC5DWTIwMTguNy8zMS8yMDE4LkNPTi5GLlVTRC5IAQAAAHV/hwMCAAAABy0zNy4xMTMBDgAAAAUAAAACMTEBAAAAATACAAAACjEwMDM3NDg3NzgDAAAABjEwMDE4NwQAAAABMgYAAAABMAcAAAADMTYwCAAAAAEwCQAAAAExCgAAAAEwCwAAAAsxMDgyMDc0MDU4MwwAAAABNw0AAAAIOC8xLzIwMTgQAAAACTcv</t>
  </si>
  <si>
    <t>MzEvMjAxODfWxrqhVNYIpL+vv6FU1gg6Q0lRLk5BU0RBUUdTOlNWUkEuSVFfRUFSTklOR19DTy4xOTk2LjcvMzEvMjAxOC5MRlIuRi5VU0QuSAEAAAB1f4cDAgAAAActMTQuMjIxAQgAAAAFAAAAATEBAAAACjE4ODc3NjMwNzQDAAAAAzE2MAIAAAABNwQAAAABMAcAAAAJNy8zMS8yMDE4CAAAAAkzLzMxLzIwMTcJAAAAATA31sa6oVTWCKS/r7+hVNYILkNJUS5JUVRSMzMwMDMxMTg0LklRX1RSX1RBUkdFVF9TVE9DS1BSRU1JVU1fMU0BAAAAUOCrEwIAAAAAAAI/2rehVNYIGgAivaFU1ggvQ0lRLkFTWDpJTUMuSVFfREFfQ0YuMjAwMC43LzMxLzIwMTguTEZSLkYuVVNELkgBAAAA80x1AAIAAAAIMC4wMDQwODEBCAAAAAUAAAABMQEAAAAKMTg3NzY1MDA5NgMAAAADMTYwAgAAAAQyMTYwBAAAAAEwBwAAAAk3LzMxLzIwMTgIAAAACjEyLzMxLzIwMTcJAAAAATBKPIu6oVTWCMxvwL+hVNYIOkNJUS5FTlhUUEE6R05GVC5JUV9FQVJOSU5HX0NPLkNZMjAxNi43LzMxLzIwMTguTEZSLkYuVVNELkgBAAAAIsGTAAIAAAAKLTM1LjUzOTk1NgEIAAAABQAAAAExAQAAAAoxODkwNjE5NjExAwAAAAMxNjACAAAAATcEAAAAATAHAAAACTcvMzEvMjAxOAgAAAAKMTIvMzEvMjAxNgkAAAABMDfWxrqhVNYI8Pqqv6FU1gg3Q0lRLk5ZU0U6S0RNTi5JUV9FQklUX01BUkdJTi4yMDAwLjcvMzEvMjAxOC5MRlIuRi5VU0QuSAEA</t>
  </si>
  <si>
    <t>AABTyNkGAwAAAAJOTQEIAAAABQAAAAExAQAAAAoxODg3NDQ1MzU1AwAAAAMxNjACAAAABDQwNTMEAAAAATAHAAAACTcvMzEvMjAxOAgAAAAJMy8zMS8yMDE4CQAAAAEwN9bGuqFU1ghVXa2/oVTWCDlDSVEuTkFTREFRR1M6SU5TTS5JUV9UT1RBTF9SRVYuMjAwMC43LzMxLzIwMTguTEZSLkYuVVNELkgBAAAAGnUAAAMAAAAAAASimLuhVNYIm5iov6FU1gghQ0lRLk5BU0RBUUdNOkNSQlAuSVFfQ09NUEFOWV9OQU1FAQAAACRvJA8DAAAAJUNvcmJ1cyBQaGFybWFjZXV0aWNhbHMgSG9sZGluZ3MsIEluYy4AN9bGuqFU1gj0mz69oVTWCB1DSVEuTkFTREFRR006TU5PVi5JUV9FWENIQU5HRQEAAAC4VI0AAwAAAAhOYXNkYXFHTQA31sa6oVTWCHB1N72hVNYIPENJUS5OQVNEQVFHUzpJTlNNLklRX0VCSVREQV9FU1QuQ1kyMDE5LjcvMzEvMjAxOC5DT04uRi5VU0QuSAEAAAAadQAAAgAAAAotMjU2LjQ5NzA0AQ4AAAAFAAAAAjExAQAAAAEwAgAAAAoxMDAxODE2ODI1AwAAAAYxMDAxODcEAAAAATIGAAAAATAHAAAAAzE2MAgAAAABMAkAAAABMQoAAAABMAsAAAALMTA5ODQzMzc2ODEMAAAAATcNAAAACDgvMS8yMDE4EAAAAAk3LzMxLzIwMTgEopi7oVTWCJuYqL+hVNYILENJUS5JUVRSMzEzMjUxODc3LklRX1RSX1RPVEFMX0dST1NTX1RWLlVTRC5IBQAAAAAAAAAIAAAAGihJbnZhbGlkIEN1cnJlbmN5IFJlcXVl</t>
  </si>
  <si>
    <t>c3QpAj/at6FU1gjFnR+9oVTWCCFDSVEuLklRX01BUktFVENBUC43LzMxLzIwMTguVVNELkgFAAAAAQAAAAgAAAAUKEludmFsaWQgSWRlbnRpZmllcikcrLm+oVTWCBysub6hVNYILENJUS5OQVNEQVFHUzpTVlJBLklRX0xBU1RTQUxFUFJJQ0UuOS8zMC8yMDE2AQAAAHV/hwMDAAAAAAA31sa6oVTWCPIhsr+hVNYIPENJUS5OQVNEQVFDTTpNREdMLklRX0VBUk5JTkdfQ08uQ1kyMDE2LjcvMzEvMjAxOC5MRlIuRi5VU0QuSAEAAABMm6MIAgAAAActMjYuMzg4AQgAAAAFAAAAATEBAAAACjE4NzgwNzg0NjcDAAAAAzE2MAIAAAABNwQAAAABMAcAAAAJNy8zMS8yMDE4CAAAAAoxMi8zMS8yMDE2CQAAAAEwBKKYu6FU1ggB1KO/oVTWCDdDSVEuTkFTREFRR006Q1JCUC5JUV9QRVJJT0REQVRFX0lTLjIwMDAuNy8zMS8yMDE4LkxGUi5GAQAAACRvJA8FAAAACTMvMzEvMjAxOAA31sa6oVTWCEeEtL+hVNYIIENJUS5JUVRSMjYzNzA3Mjg5LklRX1RSX0VBUk5PVVRTAQAAAJnatw8CAAAAAzI2NQEGAAAABQAAAAI1NAEAAAAGMTAxNDAzAgAAAAkyNjM3MDcyODkDAAAACTI2MzcwNzQwMgQAAAADMTYwBgAAAAVGYWxzZQI/2rehVNYIusQmvaFU1ggkQ0lRLk5BU0RBUUdNOk1OT1YuSVFfRUZGRUNUX1RBWF9SQVRFAQAAALhUjQADAAAAAk5NAQgAAAAFAAAAATEBAAAACjE5MTU5MjE5OTUDAAAAAzE2MAIAAAAENDM3NgQA</t>
  </si>
  <si>
    <t>AAABMAcAAAAKMTEvMjcvMjAxOAgAAAAJOS8zMC8yMDE4CQAAAAEwN9bGuqFU1gikv6+/oVTWCCJDSVEuSVFUUjQxNTYxMTgxNS5JUV9UUl9UQVJHRVROQU1FAQAAAKe7xRgDAAAAF01hc3QgVGhlcmFwZXV0aWNzLCBJbmMuAAI/2rehVNYIYWIkvaFU1gguQ0lRLk5BU0RBUUNNOk1ER0wuSVFfTUFSS0VUQ0FQLjkvMzAvMjAxNi5VU0QuSAEAAABMm6MIAgAAAAoxNDMuNzEyNzg3AQYAAAAFAAAAATEBAAAACjE4MTEyNDE5NjEDAAAAAzE2MAIAAAAGMTAwMDU0BAAAAAEwBwAAAAk5LzMwLzIwMTaqQZa7oVTWCAHUo7+hVNYIKUNJUS5JUTM2MTgzODIyLklRX0xBU1RTQUxFUFJJQ0UuNy8zMS8yMDE4AQAAAA4fKAICAAAABDIuNDQAAj/at6FU1giEOx29oVTWCDlDSVEuRU5YVEFNOkdMUEcuSVFfUFJFRl9FUVVJVFkuMjAwMC43LzMxLzIwMTguTEZSLkYuVVNELkgBAAAAsjEaAAMAAAAAAASimLuhVNYItnGhv6FU1gglQ0lRLklRVFI0MDE5Nzk2ODkuSVFfVFJfTUFKX01JTl9TVEFLRQEAAAApufUXAwAAAAhNYWpvcml0eQACP9q3oVTWCGFiJL2hVNYIOENJUS5OQVNEQVFDTTpQVUxNLklRX0VCSVREQS5DWTIwMTcuNy8zMS8yMDE4LkxGUi5GLlVTRC5IAQAAAJ9smgECAAAABy0xNy4yMjkBCAAAAAUAAAABMQEAAAAKMTg3ODE2NDYzOAMAAAADMTYwAgAAAAQ0MDUxBAAAAAEwBwAAAAk3LzMxLzIwMTgIAAAACjEy</t>
  </si>
  <si>
    <t>LzMxLzIwMTcJAAAAATBKPIu6oVTWCBfSwr+hVNYIKUNJUS5JUVRSNTQ4NzA0ODE5LklRX0JVU0lORVNTX0RFU0NSSVBUSU9OAQAAAKBWOCADAAAArANJbXBhY3QgQmlvbWVkaWNpbmVzLCBJbmMuIGVuZ2FnZXMgaW4gdGhlIGRldmVsb3BtZW50IG9mIGNhbmNlciB0cmVhdG1lbnRzLiBJdCBlbmdhZ2VzIGluIHRoZSBkZXZlbG9wbWVudCBvZiBmZWRyYXRpbmliLCBhIHBvdGVudCBhbmQgaGlnaGx5IHNlbGVjdGl2ZSBvcmFsIHNtYWxsIG1vbGVjdWxlIEpBSzIga2luYXNlIGluaGliaXRvciBmb3IgdGhlIHRyZWF0bWVudCBvZiBteWVsb2ZpYnJvc2lzIGFuZCBwb2x5Y3l0aGVtaWEgdmVyYS4gVGhlIGNvbXBhbnkgd2FzIGZvdW5kZWQgaW4gMjAxNiBhbmQgaXMgaGVhZHF1YXJ0ZXJlZCBpbiBTYW4gRGllZ28sIENhbGlmb3JuaWEuIEFzIG9mIEZlYnJ1YXJ5IDI4LCAyMDE4LCBJbXBhY3QgQmlvbWVkaWNpbmVzLCBJbmMuIG9wZXJhdGVzIGFzIGEgc3Vic2lkaWFyeSBvZiBDZWxnZW5lIENvcnBvcmF0aW9uLgACP9q3oVTWCIQ7Hb2hVNYIHkNJUS5JUTM2MTgzODM0LklRX0NPTVBBTllfTkFNRQEAAAAaHygCAwAAADFVbml0ZWQgU3RhdGVzIFRyZWFzdXJ5IENvbnN0YW50IE1hdHVyaXR5IC0gNyBZZWFyAAI/2rehVNYImOlHuKFU1ggaQ0lRLi5JUV9QRVJJT0REQVRFX0lTLjEwMDAFAAAAAQAAAAgAAAAU</t>
  </si>
  <si>
    <t>KEludmFsaWQgSWRlbnRpZmllcikcrLm+oVTWCBysub6hVNYIQ0NJUS5OQVNEQVFHUzpGR0VOLklRX0VCSVREQV8zWVJfQU5OX0NBR1IuMjAwMC43LzMxLzIwMTguTEZSLkYuVVNELkgBAAAARG8AAAMAAAACTk0BCAAAAAUAAAABMQEAAAAKMTg4NzY2OTU0MwMAAAADMTYwAgAAAAQ0MjIyBAAAAAEwBwAAAAk3LzMxLzIwMTgIAAAACTMvMzEvMjAxOAkAAAABMASimLuhVNYItnGhv6FU1gg1Q0lRLk5BU0RBUUdTOklOU00uSVFfREFfQ0YuMjAwMC43LzMxLzIwMTguTEZSLkYuVVNELkgBAAAAGnUAAAIAAAAFMi45NTQBCAAAAAUAAAABMQEAAAAKMTg4NjA0MjMyOAMAAAADMTYwAgAAAAQyMTYwBAAAAAEwBwAAAAk3LzMxLzIwMTgIAAAACTMvMzEvMjAxOAkAAAABMDfWxrqhVNYIm5iov6FU1gg8Q0lRLk5BU0RBUUdTOklDUFQuSVFfVE9UQUxfRVFVSVRZLjE5OTIuNy8zMS8yMDE4LkxGUi5GLlVTRC5IAQAAAIKvrQACAAAABzQ4OC4zMzMBCAAAAAUAAAABMQEAAAAKMTg0MTg0Mjg2OAMAAAADMTYwAgAAAAQxMjc1BAAAAAEwBwAAAAk3LzMxLzIwMTgIAAAACTMvMzEvMjAxNgkAAAABMASimLuhVNYIVjamv6FU1ggvQ0lRLkFTWDpJTUMuSVFfQ0FQRVguMTk5Mi43LzMxLzIwMTguTEZSLkYuVVNELkgBAAAA80x1AAIAAAAJLTAuMDA0MDg1AQgAAAAFAAAAATEBAAAACjE4MzYyMTk1NTYDAAAAAzE2MAIAAAAEMjAy</t>
  </si>
  <si>
    <t>MQQAAAABMAcAAAAJNy8zMS8yMDE4CAAAAAoxMi8zMS8yMDE1CQAAAAEwSjyLuqFU1gh3Db6/oVTWCENDSVEuTkFTREFRR1M6VlJUWC5JUV9FQklUREFfNVlSX0FOTl9DQUdSLjIwMDAuNy8zMS8yMDE4LkxGUi5GLlVTRC5IAQAAAIuNAAADAAAAAk5NAQgAAAAFAAAAATEBAAAACjE4OTcyOTM1OTADAAAAAzE2MAIAAAAENDIzNQQAAAABMAcAAAAJNy8zMS8yMDE4CAAAAAk2LzMwLzIwMTgJAAAAATAEopi7oVTWCAytnL+hVNYIK0NJUS5JUVRSNTMxOTIwNTA3LklRX1RSX1RPVEFMX0dST1NTX1RWLi5VU0QBAAAAe3a0HwIAAAADMjUwAQYAAAAFAAAAAjU0AQAAAAYxMDIwODgCAAAACTUzMTkyMDUwNwMAAAAJNTMxOTIxNzA2BAAAAAMxNjAGAAAABUZhbHNlAj/at6FU1ghhYiS9oVTWCDZDSVEuTllTRTpLRE1OLklRX0VBUk5JTkdfQ08uMTk5Ni43LzMxLzIwMTguTEZSLkYuVVNELkgBAAAAU8jZBgIAAAAILTE5My4xNDkBCAAAAAUAAAABMQEAAAAKMTg4NzQ0NTM1MwMAAAADMTYwAgAAAAE3BAAAAAEwBwAAAAk3LzMxLzIwMTgIAAAACTMvMzEvMjAxNwkAAAABMDfWxrqhVNYIVV2tv6FU1ggpQ0lRLklRMzYxODM4MTkuSVFfTEFTVFNBTEVQUklDRS43LzMxLzIwMTgBAAAACx8oAgIAAAAEMi4yMQACP9q3oVTWCDLZGr2hVNYIPUNJUS5OQVNEQVFHTTpQUlFSLklRX1JFVkVOVUVfRVNULkNZMjAyMS43LzMxLzIw</t>
  </si>
  <si>
    <t>MTguQ09OLkYuVVNELkgBAAAA7+xcDQMAAAAAADfWxrqhVNYI2ki5v6FU1gg6Q0lRLk5BU0RBUUdNOk1OT1YuSVFfVE9UQUxfREVCVC4yMDAwLjcvMzEvMjAxOC5MRlIuRi5VU0QuSAEAAAC4VI0AAgAAAAEwAQgAAAAFAAAAATEBAAAACjE4OTY3NjYxOTEDAAAAAzE2MAIAAAAENDE3MwQAAAABMAcAAAAJNy8zMS8yMDE4CAAAAAk2LzMwLzIwMTgJAAAAATA31sa6oVTWCFVdrb+hVNYIM0NJUS5BU1g6SU1DLklRX1RPVEFMX1JFVi4xOTkyLjcvMzEvMjAxOC5MRlIuRi5VU0QuSAEAAADzTHUAAgAAAAgwLjcwNjY1NgEIAAAABQAAAAExAQAAAAoxODM2MjE5NTU2AwAAAAMxNjACAAAAAjI4BAAAAAEwBwAAAAk3LzMxLzIwMTgIAAAACjEyLzMxLzIwMTUJAAAAATA31sa6oVTWCHcNvr+hVNYIF0NJUS5BU1g6MUFELklRX0VYQ0hBTkdFAQAAAMWgpAMDAAAAA0FTWABKPIu6oVTWCLs3W72hVNYIKUNJUS5OQVNEQVFHTTpQUlFSLklRX0JVU0lORVNTX0RFU0NSSVBUSU9OAQAAAO/sXA0DAAAA0QlQcm9RUiBUaGVyYXBldXRpY3MgTi5WLiwgYSBiaW9waGFybWFjZXV0aWNhbCBjb21wYW55LCBlbmdhZ2VzIGluIHRoZSBkaXNjb3ZlcnkgYW5kIGRldmVsb3BtZW50IG9mIFJOQS1iYXNlZCB0aGVyYXBldXRpY3MgZm9yIHRoZSB0cmVhdG1lbnQgb2YgZ2VuZXRpYyBkaXNvcmRlcnMuIEl0cyBsZWFkIHByb2R1Y3QgY2Fu</t>
  </si>
  <si>
    <t>ZGlkYXRlcyBpbmNsdWRlIGVsdWZvcnNlbiwgYSBSTkEtYmFzZWQgb2xpZ29udWNsZW90aWRlIHVzZWQgZm9yIHRoZSB0cmVhdG1lbnQgb2YgY3lzdGljIGZpYnJvc2lzOyBRUi0xMTAsIGFuIG9saWdvbnVjbGVvdGlkZSB0aGF0IGlzIGRlc2lnbmVkIHRvIHRyZWF0IExlYmVyJ3MgY29uZ2VuaXRhbCBhbWF1cm9zaXM7IFFSLTMxMywgYSBkZXJtYXRvbG9neSBjYW5kaWRhdGUgZm9yIHRoZSB0cmVhdG1lbnQgb2YgZXBpZGVybW9seXNpcyBidWxsb3NhOyBhbmQgUVItNDIxYSBhbmQgUVItNDExIHRvIHRyZWF0IHR5cGUgMkEgVXNoZXIgc3luZHJvbWUuIEl0IGlzIGFsc28gZGV2ZWxvcGluZyBRUlgtMTAxMSwgYSBzaW5nbGUtc3RyYW5kZWQgb2xpZ29udWNsZW90aWRlIGZvciBTdGFyZ2FyZHMgZGlzZWFzZTsgUVJYLTcwNCwgYW4gb2xpZ29udWNsZW90aWRlIGZvciB0aGUgdHJlYXRtZW50IG9mIEh1bnRpbmd0b27igJlzIGRpc2Vhc2U7IGFuZCBRUlgtNTA0IHRvIHRyZWF0IEZ1Y2hz4oCZIGVuZG90aGVsaWFsIGNvcm5lYWwgZHlzdHJvcGh5IHR5cGUgMywgYXMgd2VsbCBhcyBBVC0wMTAsIGEgcHJvZ3JhbSBmb3IgaGVyZWRpdGFyeSBjZXJlYnJhbCBoZW1vcnJoYWdlIHdpdGggYW15bG9pZG9zaXMgb2YgdGhlIER1dGNoIHR5cGUuIFRoZSBjb21wYW55IGhhcyBhIHJlc2VhcmNoIGNvbGxhYm9yYXRp</t>
  </si>
  <si>
    <t>b24gYWdyZWVtZW50IHdpdGggR2FsYXBhZ29zIE4uVi4gdG8gYXBwbHkgQXhpb21lciwgYSBSTkEgRWRpdGluZyBUZWNobm9sb2d5IFBsYXRmb3JtIGZvciB2YXJpb3VzIGZpYnJvc2lzIHRhcmdldHM7IGFuZCBhIGNvbGxhYm9yYXRpb24gYWdyZWVtZW50IHdpdGggRUIgUmVzZWFyY2ggUGFydG5lcnNoaXAgYW5kIEVCIE1lZGljYWwgUmVzZWFyY2ggRm91bmRhdGlvbiB0byBkZXZlbG9wIFFSLTMxMyBmb3IgcGF0aWVudHMgd2l0aCBkeXN0cm9waGljIGVwaWRlcm1vbHlzaXMgYnVsbG9zYS4gUHJvUVIgVGhlcmFwZXV0aWNzIE4uVi4gd2FzIGZvdW5kZWQgaW4gMjAxMiBhbmQgaXMgaGVhZHF1YXJ0ZXJlZCBpbiBMZWlkZW4sIHRoZSBOZXRoZXJsYW5kcy4AN9bGuqFU1gjNsDK9oVTWCD5DSVEuTkFTREFRR006Q05BVC5JUV9DQVNIX1NUX0lOVkVTVC4yMDAwLjcvMzEvMjAxOC5MRlIuRi5VU0QuSAEAAABlZ9YBAgAAAAY2Ni43NTEBCAAAAAUAAAABMQEAAAAKMTg4NjYxNzM0MAMAAAADMTYwAgAAAAQxMDAyBAAAAAEwBwAAAAk3LzMxLzIwMTgIAAAACTMvMzEvMjAxOAkAAAABMDfWxrqhVNYIIqu7v6FU1ggvQ0lRLi5JUV9FQVJOSU5HX0NPLkNZMjAxNi43LzMxLzIwMTguTEZSLkYuVVNELkgFAAAAAQAAAAgAAAAUKEludmFsaWQgSWRlbnRpZmllcikcrLm+oVTWCBysub6hVNYIJUNJUS5JUVRSMTcwMjI5</t>
  </si>
  <si>
    <t>Mzg2LklRX1RSX0lNUExJRURfRVFfQlYBAAAAin4lCgIAAAAAAAI/2rehVNYIxZ0fvaFU1ggtQ0lRLk5BU0RBUUdNOk1OT1YuSVFfRElWSURFTkRfWUlFTEQuNy8zMS8yMDE4AQAAALhUjQADAAAAAAA31sa6oVTWCKS/r7+hVNYIIENJUS5OWVNFOktETU4uSVFfRUZGRUNUX1RBWF9SQVRFAQAAAFPI2QYDAAAAAk5NAQgAAAAFAAAAATEBAAAACjE5MjExNjk1MzcDAAAAAzE2MAIAAAAENDM3NgQAAAABMAcAAAAKMTEvMjcvMjAxOAgAAAAJOS8zMC8yMDE4CQAAAAEwN9bGuqFU1ghVXa2/oVTWCDtDSVEuTkFTREFRQ006R0xNRC5JUV9QUkVGX0VRVUlUWS4yMDAwLjcvMzEvMjAxOC5MRlIuRi5VU0QuSAEAAAAkZ9cGAwAAAAAAN9bGuqFU1gjyIbK/oVTWCCFDSVEuQVNYOjFBRC5JUV9CRVRBXzVZUi43LzMxLzIwMTgBAAAAxaCkAwMAAAAAAEo8i7qhVNYIzG/Av6FU1ggdQ0lRLiVVU1BNUlQuSVFfTEFTVFNBTEVQUklDRS4BAAAAWe1aAAIAAAAENS4yNQCqQZa7oVTWCKpBlruhVNYIPUNJUS4oSU5WQUxJRCBJREVOVElGSUVSKS5JUV9FQklUREEuMTk5Ni43LzMxLzIwMTguTEZSLkYuVVNELkgFAAAAAAAAAAgAAAAUKEludmFsaWQgSWRlbnRpZmllcilKPIu6oVTWCMe77b+hVNYIIkNJUS4uSVFfVFJfSU1QTElFRF9FVl9GSU5BTC4uVVNELkgFAAAAAQAAAAgAAAAUKEludmFsaWQgSWRlbnRpZmllcimqQZa7oVTW</t>
  </si>
  <si>
    <t>CKpBlruhVNYIOkNJUS5OQVNEQVFHUzpGR0VOLklRX0VBUk5JTkdfQ08uMTk5Ni43LzMxLzIwMTguTEZSLkYuVVNELkgBAAAARG8AAAIAAAAHLTY0LjQ0OQEIAAAABQAAAAExAQAAAAoxODg3NjY5NTM2AwAAAAMxNjACAAAAATcEAAAAATAHAAAACTcvMzEvMjAxOAgAAAAJMy8zMS8yMDE3CQAAAAEwBKKYu6FU1ghvD5+/oVTWCD9DSVEuTkFTREFRR006TU5PVi5JUV9ORVRfV09SS0lOR19DQVAuMTk5Ni43LzMxLzIwMTguTEZSLkYuVVNELkgBAAAAuFSNAAIAAAAJLTAuOTQ3MDU3AQgAAAAFAAAAATEBAAAACjE4OTY3NjYxNzIDAAAAAzE2MAIAAAAEMTMxMQQAAAABMAcAAAAJNy8zMS8yMDE4CAAAAAk2LzMwLzIwMTcJAAAAATA31sa6oVTWCFVdrb+hVNYIPENJUS5OQVNEQVFDTTpNR0VOLklRX1RPVEFMX0VRVUlUWS4yMDAwLjcvMzEvMjAxOC5MRlIuRi5VU0QuSAEAAABv4q4CAgAAAAY3Mi43MDYBCAAAAAUAAAABMQEAAAAKMTg4NzY3NjkzNQMAAAADMTYwAgAAAAQxMjc1BAAAAAEwBwAAAAk3LzMxLzIwMTgIAAAACTMvMzEvMjAxOAkAAAABMDfWxrqhVNYIIqu7v6FU1ggxQ0lRLi5JUV9DQVNIX1NUX0lOVkVTVC4yMDAwLjcvMzEvMjAxOC5MRlIuRi5VU0QuSAUAAAABAAAACAAAABQoSW52YWxpZCBJZGVudGlmaWVyKRysub6hVNYIHKy5vqFU1gg4Q0lRLk5ZU0U6S0RNTi5JUV9FQklUREFfRVNULkNZMjAy</t>
  </si>
  <si>
    <t>MC43LzMxLzIwMTguQ09OLkYuVVNELkgBAAAAU8jZBgMAAAAAADfWxrqhVNYI8Pqqv6FU1gg1Q0lRLk5BU0RBUUdNOk1OT1YuSVFfQ0FQRVguMTk5Mi43LzMxLzIwMTguTEZSLkYuVVNELkgBAAAAuFSNAAIAAAAJLTAuMDM1NDU0AQgAAAAFAAAAATEBAAAACjE4NTA0Mzk5OTkDAAAAAzE2MAIAAAAEMjAyMQQAAAABMAcAAAAJNy8zMS8yMDE4CAAAAAk2LzMwLzIwMTYJAAAAATA31sa6oVTWCFVdrb+hVNYIOkNJUS5FTlhUUEE6R05GVC5JUV9FQklUREFfRVNULkNZMjAxOC43LzMxLzIwMTguQ09OLkYuVVNELkgBAAAAIsGTAAIAAAARLTU0LjM0MjkxNDAwMjA0MDMBDgAAAAUAAAACMTEBAAAAATACAAAACjEwMDE4NzcxNzYDAAAABjEwMDE4NwQAAAABMwYAAAABMAcAAAADMTYwCAAAAAEwCQAAAAExCgAAAAEwCwAAAAsxMDk4Njc1Mjg0MwwAAAABNw0AAAAIOC8xLzIwMTgQAAAACTcvMzEvMjAxODfWxrqhVNYI8Pqqv6FU1gg5Q0lRLk5BU0RBUUdTOklOU00uSVFfVE9UQUxfUkVWLjE5OTYuNy8zMS8yMDE4LkxGUi5GLlVTRC5IAQAAABp1AAADAAAAAAAEopi7oVTWCFY2pr+hVNYI</t>
  </si>
  <si>
    <t>Dates Raised</t>
  </si>
  <si>
    <t>Shares Issued</t>
  </si>
  <si>
    <t>Existing Model</t>
  </si>
  <si>
    <t>Updated Calculations</t>
  </si>
  <si>
    <t>Series A Extension</t>
  </si>
  <si>
    <t>Term to Exit (from VD)</t>
  </si>
  <si>
    <t>Accrued Dividend as of Early PWERM Exit</t>
  </si>
  <si>
    <t xml:space="preserve">Duration as of Early PWERM Exit </t>
  </si>
  <si>
    <t>Total Dividend</t>
  </si>
  <si>
    <t>Series A Accruing Dividends Calculations as of VD and OPM Exit</t>
  </si>
  <si>
    <t>Series A Accruing Dividends Calculations for PWERM Exits</t>
  </si>
  <si>
    <t>Value Conclusions Comparison</t>
  </si>
  <si>
    <t xml:space="preserve">Dividends Calculations for Early Exit Event </t>
  </si>
  <si>
    <t xml:space="preserve">Dividends Calculations for Late Exit Event </t>
  </si>
  <si>
    <t>Comparison of Dividend Accruing Clause (Series A)</t>
  </si>
  <si>
    <t>Comparison Summary</t>
  </si>
  <si>
    <t>Series A (Tranche III)</t>
  </si>
  <si>
    <t>Series A (Tranche IVI</t>
  </si>
  <si>
    <t>Series A (Extension)</t>
  </si>
  <si>
    <t>Verified from "Item 2 Pliant Unaudited Fin Rpts 2018 31 05 30 2018"</t>
  </si>
  <si>
    <t>Based on the historical balance sheet provided by client, the issue dates of Series A tranches were assumed.</t>
  </si>
  <si>
    <t xml:space="preserve">Accrued Dividend as of Valuation Date </t>
  </si>
  <si>
    <t>Redemption (4)</t>
  </si>
  <si>
    <t>Duration as of PWERM Early Exit</t>
  </si>
  <si>
    <t>Duration as of PWERM Late Exit</t>
  </si>
  <si>
    <t>Accrued Dividend at PWERM Early Exit</t>
  </si>
  <si>
    <t>Accrued Dividend at PWERM Late Exit</t>
  </si>
  <si>
    <t>Final Opinion July 2018 (OPM Backsolve)</t>
  </si>
  <si>
    <t>Updated Version (OPM Backsolve)</t>
  </si>
  <si>
    <t>Final Opinion July 2018 (Hybrid OPM)</t>
  </si>
  <si>
    <t>Updated Version (Hybrid OPM)</t>
  </si>
  <si>
    <t>Implied Series A</t>
  </si>
  <si>
    <t>Dividend</t>
  </si>
  <si>
    <t>Dividend Calculations Based on Series A Raise Dates</t>
  </si>
  <si>
    <t>Scenario 1: No Historical Series A Dividends pre-Series B Raise (Final Opinion July 2018)</t>
  </si>
  <si>
    <t>Scenario 2: Calculating Historical Series A Dividends based on Series A Raise Dates</t>
  </si>
  <si>
    <t>PWERM Analysis (Scenario 2)</t>
  </si>
  <si>
    <t>The comparison refers to the PWERM valuation analyses considering the valuation analyses performed as of July 31, 2018 (defined as "Final Opinion July 2018") wherein the Series A dividends are calculated based on the issue date of Series B (Scenario 1) and the valuation where dividends for Series A shares are based on the issue dates of various Series A tranches (Scenario 2). According to the amended and restated certificate of incorporation of the Company, the dividends accrued on Series A prior to Series B issuance were deemed cancelled.</t>
  </si>
  <si>
    <t>Workpaper 1</t>
  </si>
  <si>
    <t>Workpaper 2</t>
  </si>
  <si>
    <t>Refer to Exhibit B.2 for details regarding the probability weightings.</t>
  </si>
  <si>
    <t>Refer to Exhibit D.1 for the discount rate calculations.</t>
  </si>
  <si>
    <t>Options at $0.001 Strike Price</t>
  </si>
  <si>
    <t>Options at $0.010 Strike Price</t>
  </si>
  <si>
    <t>Refer to Exhibit H.1 for DLOM calculations.</t>
  </si>
  <si>
    <t>Workpaper 3</t>
  </si>
  <si>
    <t>#3</t>
  </si>
  <si>
    <t>PWERM Analysis (Scenario 1)</t>
  </si>
  <si>
    <t>Labeling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</si>
</sst>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quot;-&quot;?_);@_)"/>
    <numFmt numFmtId="181" formatCode="0.00%;\(0.00\)%"/>
    <numFmt numFmtId="182" formatCode="0%;[Red]\(0%\)"/>
    <numFmt numFmtId="183" formatCode=";;;"/>
    <numFmt numFmtId="184" formatCode="_-&quot;$&quot;* #,##0_-;\-&quot;$&quot;* #,##0_-;_-&quot;$&quot;* &quot;-&quot;_-;_-@_-"/>
    <numFmt numFmtId="185" formatCode="_-* #,##0_-;\-* #,##0_-;_-* &quot;-&quot;_-;_-@_-"/>
    <numFmt numFmtId="186" formatCode="_(* &quot;$&quot;\ #,##0\ \ ;_(* &quot;$&quot;\ \(#,##0\)\ ;_(* &quot;-&quot;\ \ ;_(@\ "/>
    <numFmt numFmtId="187" formatCode="0.0_)\%;\(0.0\)\%;0.0_)\%;@_)_%"/>
    <numFmt numFmtId="188" formatCode="#,##0.0_)_%;\(#,##0.0\)_%;0.0_)_%;@_)_%"/>
    <numFmt numFmtId="189" formatCode="_(* #,##0\ \ ;_(* \(#,##0\)\ \ ;_(* &quot;-&quot;\ \ ;_(* @_)"/>
    <numFmt numFmtId="190" formatCode="0.0"/>
    <numFmt numFmtId="191" formatCode="#,##0.0_);\(#,##0.0\)"/>
    <numFmt numFmtId="192" formatCode="&quot;$&quot;_(#,##0.00_);&quot;$&quot;\(#,##0.00\);&quot;$&quot;_(0.00_);@_)"/>
    <numFmt numFmtId="193" formatCode="&quot;$&quot;_(#,##0.00_);&quot;$&quot;\(#,##0.00\)"/>
    <numFmt numFmtId="194" formatCode="&quot;£&quot;_(#,##0.00_);&quot;£&quot;\(#,##0.00\)"/>
    <numFmt numFmtId="195" formatCode="&quot;€&quot;_(#,##0.00_);&quot;€&quot;\(#,##0.00\)"/>
    <numFmt numFmtId="196" formatCode="&quot;£&quot;_(#,##0.00_);&quot;£&quot;\(#,##0.00\);&quot;£&quot;_(0.00_);@_)"/>
    <numFmt numFmtId="197" formatCode="&quot;€&quot;_(#,##0.00_);&quot;€&quot;\(#,##0.00\);&quot;€&quot;_(0.00_);@_)"/>
    <numFmt numFmtId="198" formatCode="&quot;DM&quot;_(#,##0.00_);&quot;DM&quot;\(#,##0.00\)"/>
    <numFmt numFmtId="199" formatCode="#,##0.00_);\(#,##0.00\);0.00_);@_)"/>
    <numFmt numFmtId="200" formatCode="_-* #,##0.00_-;\-* #,##0.00_-;_-* &quot;-&quot;??_-;_-@_-"/>
    <numFmt numFmtId="201" formatCode="\€_(#,##0.00_);\€\(#,##0.00\);\€_(0.00_);@_)"/>
    <numFmt numFmtId="202" formatCode="\£_(#,##0_);\£\(#,##0\)"/>
    <numFmt numFmtId="203" formatCode="* \L\+0.00%;* \L\-0.00%;* @\ \ "/>
    <numFmt numFmtId="204" formatCode="* \L\+0.00%;* \L\-0.00%;* &quot;-&quot;\ \ ;* @\ \ "/>
    <numFmt numFmtId="205" formatCode="#,##0_)\x;\(#,##0\)\x;0_)\x;@_)_x"/>
    <numFmt numFmtId="206" formatCode="#,##0.0_)\x;\(#,##0.0\)\x"/>
    <numFmt numFmtId="207" formatCode="#,##0.0\ \x;\(#,##0.0\)\x;@\ \ "/>
    <numFmt numFmtId="208" formatCode="#,##0.0_)\x;\(#,##0.0\)\x;0.0_)\x;@_)_x"/>
    <numFmt numFmtId="209" formatCode="#,##0.0\ \x;\(#,##0.0\)\x;@\ "/>
    <numFmt numFmtId="210" formatCode="#,##0.0\ \x;\(#,##0.0\)\x;@\ \ \x"/>
    <numFmt numFmtId="211" formatCode="#,##0_)_x;\(#,##0\)_x;0_)_x;@_)_x"/>
    <numFmt numFmtId="212" formatCode="#,##0.0_)_x;\(#,##0.0\)_x"/>
    <numFmt numFmtId="213" formatCode="#,##0.0_)_x;\(#,##0.0\)_x;0.0_)_x;@_)_x"/>
    <numFmt numFmtId="214" formatCode="0.0_)\%;\(0.0\)\%"/>
    <numFmt numFmtId="215" formatCode="* 0.0%;* \(0.0\)%;* &quot;-&quot;\ \ ;* @\ \ "/>
    <numFmt numFmtId="216" formatCode="0.0%;\(0.0\)%;@\ \ "/>
    <numFmt numFmtId="217" formatCode="#,##0.0_)_%;\(#,##0.0\)_%"/>
    <numFmt numFmtId="218" formatCode="&quot;$&quot;#,##0"/>
    <numFmt numFmtId="219" formatCode="0.000000"/>
    <numFmt numFmtId="220" formatCode="\£\ #,##0_);[Red]\(\£\ #,##0\)"/>
    <numFmt numFmtId="221" formatCode="_(\£* #,##0_);_(\£* \(#,##0\);_(\£* &quot;-&quot;_);_(@_)"/>
    <numFmt numFmtId="222" formatCode="_(\£* #,##0.0_);_(\£* \(#,##0.0\);_(\£* &quot;-&quot;_);_(@_)"/>
    <numFmt numFmtId="223" formatCode="_(\£* #,##0.00_);_(\£* \(#,##0.00\);_(\£* &quot;-&quot;_);_(@_)"/>
    <numFmt numFmtId="224" formatCode="_(* #,##0\p_);_(* \(#,##0\p\);_(* &quot;-&quot;\ \p_);_(@_)"/>
    <numFmt numFmtId="225" formatCode="_(* #,##0.00\p_);_(* \(#,##0.00\p\);_(* &quot;-&quot;\ \p_);_(@_)"/>
    <numFmt numFmtId="226" formatCode="\£#,##0.00"/>
    <numFmt numFmtId="227" formatCode="\¥\ #,##0_);[Red]\(\¥\ #,##0\)"/>
    <numFmt numFmtId="228" formatCode="0_)"/>
    <numFmt numFmtId="229" formatCode="#,##0.0;\(#,##0.0\);\-"/>
    <numFmt numFmtId="230" formatCode="#,##0.0&quot; F&quot;;\(#,##0.0&quot; F&quot;\);\-"/>
    <numFmt numFmtId="231" formatCode="0.0%;\(0.0%\);\-"/>
    <numFmt numFmtId="232" formatCode="\ "/>
    <numFmt numFmtId="233" formatCode="0.00\x"/>
    <numFmt numFmtId="234" formatCode="0.0\x"/>
    <numFmt numFmtId="235" formatCode="0.0\ \x"/>
    <numFmt numFmtId="236" formatCode="#,##0;\(#,##0\);\-"/>
    <numFmt numFmtId="237" formatCode="#,##0&quot; MF&quot;;\(#,##0&quot; MF&quot;\);\-"/>
    <numFmt numFmtId="238" formatCode="mmmm\-yy"/>
    <numFmt numFmtId="239" formatCode="0.00;[Red]0.00"/>
    <numFmt numFmtId="240" formatCode="00000000"/>
    <numFmt numFmtId="241" formatCode="0.0000000000000000\x"/>
    <numFmt numFmtId="242" formatCode="&quot;$&quot;#,##0.00"/>
    <numFmt numFmtId="243" formatCode="#,##0.0\ ;\(#,##0.0\)"/>
    <numFmt numFmtId="244" formatCode="0.00%;[Red]\(0.00%\)"/>
    <numFmt numFmtId="245" formatCode="#,##0.00\ ;\(#,##0.00\)"/>
    <numFmt numFmtId="246" formatCode="[$-409]d\-mmm\-yy;@"/>
    <numFmt numFmtId="247" formatCode="_(* #,##0_);_(* \(#,##0\);_(* &quot;-&quot;??_);_(@_)"/>
    <numFmt numFmtId="248" formatCode="#,##0.0_x;&quot;NM&quot;_x"/>
    <numFmt numFmtId="249" formatCode="#,##0\x_);&quot;NM&quot;_)"/>
    <numFmt numFmtId="250" formatCode="#,##0&quot; kr&quot;;[Red]\-#,##0&quot; kr&quot;"/>
    <numFmt numFmtId="251" formatCode="0\ \ \ \ \ \ "/>
    <numFmt numFmtId="252" formatCode="&quot;$&quot;0.00\ \ \ _);\(&quot;$&quot;0.00\)\ \ \ "/>
    <numFmt numFmtId="253" formatCode="0.0\ \ \ \ \ _);\(0.0\)\ \ \ \ \ "/>
    <numFmt numFmtId="254" formatCode="0.00\ \x\ \ _);\(0.00\)\ \x\ \ "/>
    <numFmt numFmtId="255" formatCode="0.00\ \ \ \ \ _);\(0.00\)\ \ \ \ \ "/>
    <numFmt numFmtId="256" formatCode="0.0\ \ \ _);\(0.0\)\ \ \ "/>
    <numFmt numFmtId="257" formatCode="[Blue]#,##0.000_);[Blue]\(#,##0.000\)"/>
    <numFmt numFmtId="258" formatCode="[Blue]&quot;$&quot;#,##0.000_);[Blue]\(&quot;$&quot;#,##0.000\)"/>
    <numFmt numFmtId="259" formatCode="&quot;$&quot;#,##0.0_);[Red]\(&quot;$&quot;#,##0.0\);&quot;$&quot;0.0_);@_)"/>
    <numFmt numFmtId="260" formatCode="#,##0;\(#,##0\);&quot; - &quot;"/>
    <numFmt numFmtId="261" formatCode="#,##0\ ;\(#,##0\);\-\ \ \ \ \ "/>
    <numFmt numFmtId="262" formatCode="#,##0\ ;\(#,##0\);\–\ \ \ \ \ "/>
    <numFmt numFmtId="263" formatCode="#,##0.00&quot;w&quot;_);[Red]\(#,##0.00&quot;w&quot;\)"/>
    <numFmt numFmtId="264" formatCode="_(* #,##0.000000_);_(* \(#,##0.000000\);_(* &quot;-&quot;??_);_(@_)"/>
    <numFmt numFmtId="265" formatCode="_(* #,##0.0000_);_(* \(#,##0.0000\);_(* &quot;-&quot;??_);_(@_)"/>
    <numFmt numFmtId="266" formatCode="_-* #,##0\ _F_-;\-* #,##0\ _F_-;_-* &quot;-&quot;\ _F_-;_-@_-"/>
    <numFmt numFmtId="267" formatCode="#,##0.0000000000;[Red]\-#,##0.0000000000"/>
    <numFmt numFmtId="268" formatCode="0.00_)"/>
    <numFmt numFmtId="269" formatCode="#,##0.0_);[Red]\(#,##0.0\)"/>
    <numFmt numFmtId="270" formatCode="#,##0_)_%;\(#,##0\)_%;"/>
    <numFmt numFmtId="271" formatCode="_(* #,##0.0_);_(* \(#,##0.0\);_(* &quot;-&quot;?_);_(@_)"/>
    <numFmt numFmtId="272" formatCode="0.000%"/>
    <numFmt numFmtId="273" formatCode="#,##0.000_);[Red]\(#,##0.000\)"/>
    <numFmt numFmtId="274" formatCode="#,##0_%_);\(#,##0\)_%;**;@_%_)"/>
    <numFmt numFmtId="275" formatCode="&quot;$&quot;* \(#,##0\);&quot;$&quot;* #,##0_);&quot;$&quot;* &quot;-&quot;??_);@_)"/>
    <numFmt numFmtId="276" formatCode="#,##0.0000,"/>
    <numFmt numFmtId="277" formatCode="_-* #,##0.00_ _k_r_-;\-* #,##0.00_ _k_r_-;_-* &quot;-&quot;??_ _k_r_-;_-@_-"/>
    <numFmt numFmtId="278" formatCode="_(&quot;$&quot;* #,##0,_);_(&quot;$&quot;* \(#,##0,\);_(&quot;$&quot;* &quot;-&quot;_);_(@_)"/>
    <numFmt numFmtId="279" formatCode="&quot;$&quot;* \(#,##0\)_%;&quot;$&quot;* #,##0_)_%;&quot;$&quot;* &quot;-&quot;??_)_%;@_)_%"/>
    <numFmt numFmtId="280" formatCode="_(* #,##0.0000,_);_(* \(#,##0.0000,\);_(* &quot;-&quot;_);_(@_)"/>
    <numFmt numFmtId="281" formatCode="&quot;$&quot;* \(#,##0.0\);&quot;$&quot;* #,##0.0_);&quot;$&quot;* &quot;-&quot;??_);@_)"/>
    <numFmt numFmtId="282" formatCode="#,##0.00_%_);\(#,##0.00\)_%;**;@_%_)"/>
    <numFmt numFmtId="283" formatCode="General_)"/>
    <numFmt numFmtId="284" formatCode="#,##0.00000000_);[Red]\(#,##0.00000000\)"/>
    <numFmt numFmtId="285" formatCode="#,##0.000000_);[Red]\(#,##0.000000\)"/>
    <numFmt numFmtId="286" formatCode="0.00_);\(0.00\);0.00"/>
    <numFmt numFmtId="287" formatCode="#,##0.0000000_);[Red]\(#,##0.0000000\)"/>
    <numFmt numFmtId="288" formatCode="&quot;$&quot;#,##0.0_);[Red]\(&quot;$&quot;#,##0.0\)"/>
    <numFmt numFmtId="289" formatCode="&quot;$&quot;#,##0_%_);\(&quot;$&quot;#,##0\)_%;&quot;$&quot;#,##0_%_);@_%_)"/>
    <numFmt numFmtId="290" formatCode="\(#,##0\)_%;#,##0_)_%;"/>
    <numFmt numFmtId="291" formatCode="&quot;$&quot;\ #,##0.00;[Red]&quot;$&quot;\ \-#,##0.00"/>
    <numFmt numFmtId="292" formatCode="\(#,##0.0\);#,##0.0_);"/>
    <numFmt numFmtId="293" formatCode="_ * #,##0_ ;_ * \-#,##0_ ;_ * &quot;-&quot;_ ;_ @_ "/>
    <numFmt numFmtId="294" formatCode="\(#,##0.0\)_%;#,##0.0_)_%;"/>
    <numFmt numFmtId="295" formatCode="_ * #,##0.00_ ;_ * \-#,##0.00_ ;_ * &quot;-&quot;??_ ;_ @_ "/>
    <numFmt numFmtId="296" formatCode="mmm\-d\-yy"/>
    <numFmt numFmtId="297" formatCode="mmm\-d\-yyyy"/>
    <numFmt numFmtId="298" formatCode="#,##0.00&quot; kr&quot;;\-#,##0.00&quot; kr&quot;"/>
    <numFmt numFmtId="299" formatCode="#,##0.000,_);[Red]\(#,##0.000,\)"/>
    <numFmt numFmtId="300" formatCode="yyyy"/>
    <numFmt numFmtId="301" formatCode="yyyy&quot;E&quot;"/>
    <numFmt numFmtId="302" formatCode="###0_);\(###0\)"/>
    <numFmt numFmtId="303" formatCode="#,##0&quot; kr&quot;;\-#,##0&quot; kr&quot;"/>
    <numFmt numFmtId="304" formatCode="&quot;$&quot;#,##0.000"/>
    <numFmt numFmtId="305" formatCode="\ #,##0\ \ \ ;\(#,##0\)\ \ ;\—\ \ \ \ "/>
    <numFmt numFmtId="306" formatCode="0.0%;[Red]\(0.0%\)"/>
    <numFmt numFmtId="307" formatCode="#,##0.00&quot; kr&quot;;[Red]\-#,##0.00&quot; kr&quot;"/>
    <numFmt numFmtId="308" formatCode="0.00_);\(0.00\)"/>
    <numFmt numFmtId="309" formatCode="#,##0.0"/>
    <numFmt numFmtId="310" formatCode="_-* #,##0&quot; kr&quot;_-;\-* #,##0&quot; kr&quot;_-;_-* &quot;-&quot;&quot; kr&quot;_-;_-@_-"/>
    <numFmt numFmtId="311" formatCode="_-* #,##0_ _k_r_-;\-* #,##0_ _k_r_-;_-* &quot;-&quot;_ _k_r_-;_-@_-"/>
    <numFmt numFmtId="312" formatCode="_-* #,##0.00&quot; kr&quot;_-;\-* #,##0.00&quot; kr&quot;_-;_-* &quot;-&quot;??&quot; kr&quot;_-;_-@_-"/>
    <numFmt numFmtId="313" formatCode="_(* #,##0.0000_);_(* \(#,##0.0000\);_(* &quot;-&quot;_);_(@_)"/>
    <numFmt numFmtId="314" formatCode="0.0\ \ "/>
    <numFmt numFmtId="315" formatCode="&quot;$&quot;#,##0.0_);&quot;$&quot;\(#,##0.0\)"/>
    <numFmt numFmtId="316" formatCode="_(* #,##0.00\ ___);_(* \(#,##0.00\ __\);_(* &quot;-&quot;??_);_(@_)"/>
    <numFmt numFmtId="317" formatCode="_(* #,##0\ \x_);_(* \(#,##0\ \x\);_(* &quot;-&quot;??_);_(@_)"/>
    <numFmt numFmtId="318" formatCode="_(* #,##0\ ___);_(* \(#,##0\ __\);_(* &quot;-&quot;??_);_(@_)"/>
    <numFmt numFmtId="319" formatCode="_(* #,##0.0\ ___);_(* \(#,##0.0\ __\);_(* &quot;-&quot;??_);_(@_)"/>
    <numFmt numFmtId="320" formatCode="* #,##0_);* \(\ #,##0_);* \-"/>
    <numFmt numFmtId="321" formatCode="0.0_)_x;\(0.0\)_x"/>
    <numFmt numFmtId="322" formatCode="&quot;$&quot;#,##0.0;[Red]\-&quot;$&quot;#,##0.0"/>
    <numFmt numFmtId="323" formatCode="#,##0.0_)\ \ ;[Red]\(#,##0.0\)\ \ "/>
    <numFmt numFmtId="324" formatCode="&quot;$&quot;#,##0.0000"/>
    <numFmt numFmtId="325" formatCode="0.0%;\(0.0%\)"/>
    <numFmt numFmtId="326" formatCode="\(#,##0.00\);#,##0.00_);"/>
    <numFmt numFmtId="327" formatCode="\(#,##0.00\)_%;#,##0.00_)_%;"/>
    <numFmt numFmtId="328" formatCode="0.0_%"/>
    <numFmt numFmtId="329" formatCode="\(#,##0.000\);#,##0.000_);"/>
    <numFmt numFmtId="330" formatCode="\(#,##0.000\)_%;#,##0.000_)_%;"/>
    <numFmt numFmtId="331" formatCode="mm/dd/yy"/>
    <numFmt numFmtId="332" formatCode="0.00\%;\-0.00\%;0.00\%"/>
    <numFmt numFmtId="333" formatCode="_(* #,##0%_);_(* \(#,##0%\);_(* &quot;-&quot;_);_(@_)"/>
    <numFmt numFmtId="334" formatCode="0.0%&quot;Sales&quot;"/>
    <numFmt numFmtId="335" formatCode="#,##0_)&quot; %&quot;;[Red]\(#,##0\)&quot; %&quot;"/>
    <numFmt numFmtId="336" formatCode="_(* &quot;$&quot;#,##0.0_);_(* &quot;$&quot;\(#,##0.0\);_(* &quot;$&quot;\ &quot;-&quot;_);_(@_)"/>
    <numFmt numFmtId="337" formatCode="0.00\x;\-0.00\x;0.00\x"/>
    <numFmt numFmtId="338" formatCode="#,##0.00;[Red]\(#,##0.00\)"/>
    <numFmt numFmtId="339" formatCode="_(&quot;SGD&quot;\ * #,##0.00_);_(&quot;SGD&quot;\ * \(#,##0.00\);_(* &quot;-&quot;_);_(@_)"/>
    <numFmt numFmtId="340" formatCode="0_%_);\(0\)_%;0_%_);@_%_)"/>
    <numFmt numFmtId="341" formatCode="&quot;$&quot;#,##0.0"/>
    <numFmt numFmtId="342" formatCode="[$-409]mmmm\ d\,\ yyyy;@"/>
    <numFmt numFmtId="343" formatCode="0.00_);[Red]\(0.00\)"/>
    <numFmt numFmtId="344" formatCode="#0.0%_);\(#0.0%\)"/>
    <numFmt numFmtId="345" formatCode="#,##0\ &quot;DM&quot;;[Red]\-#,##0\ &quot;DM&quot;"/>
    <numFmt numFmtId="346" formatCode="_(\ #,##0_);_(\ \(#,##0\);_(\ &quot;-&quot;_);_(@_)"/>
    <numFmt numFmtId="347" formatCode="#0.0\x"/>
    <numFmt numFmtId="348" formatCode="#0.00\x"/>
    <numFmt numFmtId="349" formatCode="0.0\ \x\ "/>
    <numFmt numFmtId="350" formatCode="_-#,##0&quot; £/GJ&quot;"/>
    <numFmt numFmtId="351" formatCode="_-#,##0&quot; £/t&quot;"/>
    <numFmt numFmtId="352" formatCode="_-#,##0&quot;°&quot;"/>
    <numFmt numFmtId="353" formatCode="_-#\,##0&quot;°&quot;"/>
    <numFmt numFmtId="354" formatCode="0_);\(0\)"/>
    <numFmt numFmtId="355" formatCode="0.00\ ;\(0.00\)"/>
    <numFmt numFmtId="356" formatCode="_(&quot;$&quot;* #,##0.0_);_(* \(#,##0.0\);_(&quot;$&quot;* &quot;0.0&quot;_);_(@_)"/>
    <numFmt numFmtId="357" formatCode="_(&quot;$&quot;* #,##0.0_);_(&quot;$&quot;* \(#,##0.0\);_(&quot;$&quot;* &quot;-&quot;?_);_(@_)"/>
    <numFmt numFmtId="358" formatCode="&quot;$&quot;#,##0_);[Red]\(&quot;$&quot;#,##0\);0_);@_)"/>
    <numFmt numFmtId="359" formatCode="0.0_x_);\(0.0\)_x"/>
    <numFmt numFmtId="360" formatCode="#,##0;\(#,##0\)"/>
    <numFmt numFmtId="361" formatCode="#,##0_}&quot;bar&quot;;\(#,##0\)&quot;bar&quot;"/>
    <numFmt numFmtId="362" formatCode="0.00000"/>
    <numFmt numFmtId="363" formatCode="\«#,##0;_(* #,##0;_(* &quot;-&quot;??_);_(@_)"/>
    <numFmt numFmtId="364" formatCode="#,##0\ \ \ ;[Red]\(#,##0\)\ \ ;\—\ \ \ \ "/>
    <numFmt numFmtId="365" formatCode="#,##0.0\%_);\(#,##0.0\%\);#,##0.0\%_);@_%_)"/>
    <numFmt numFmtId="366" formatCode="#,##0.00_);\(#,##0.00\);_(* &quot;-&quot;_)"/>
    <numFmt numFmtId="367" formatCode="#,##0.0\x"/>
    <numFmt numFmtId="368" formatCode="_(* #,##0.000_);_(* \(#,##0.000\);_(* &quot;-&quot;??_);_(@_)"/>
    <numFmt numFmtId="369" formatCode="\(0\)"/>
  </numFmts>
  <fonts count="309">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indexed="9"/>
      <name val="Times New Roman"/>
      <family val="1"/>
    </font>
    <font>
      <b/>
      <sz val="10"/>
      <color theme="1"/>
      <name val="Times New Roman"/>
      <family val="1"/>
    </font>
    <font>
      <b/>
      <sz val="10"/>
      <name val="Times New Roman"/>
      <family val="1"/>
    </font>
    <font>
      <sz val="10"/>
      <color indexed="17"/>
      <name val="Times New Roman"/>
      <family val="1"/>
    </font>
    <font>
      <i/>
      <sz val="10"/>
      <color theme="1"/>
      <name val="Times New Roman"/>
      <family val="1"/>
    </font>
    <font>
      <b/>
      <sz val="12"/>
      <color rgb="FF1F4E78"/>
      <name val="Times New Roman"/>
      <family val="1"/>
    </font>
    <font>
      <sz val="11"/>
      <color theme="1"/>
      <name val="Times New Roman"/>
      <family val="2"/>
    </font>
    <font>
      <b/>
      <sz val="11"/>
      <color theme="4" tint="-0.499984740745262"/>
      <name val="Times New Roman"/>
      <family val="1"/>
    </font>
    <font>
      <i/>
      <sz val="10"/>
      <color rgb="FF5A5A5A"/>
      <name val="Times New Roman"/>
      <family val="1"/>
    </font>
    <font>
      <b/>
      <sz val="10"/>
      <color indexed="17"/>
      <name val="Times New Roman"/>
      <family val="1"/>
    </font>
    <font>
      <b/>
      <u/>
      <sz val="10"/>
      <color theme="1"/>
      <name val="Times New Roman"/>
      <family val="1"/>
    </font>
    <font>
      <b/>
      <sz val="10"/>
      <color rgb="FFFFFFFF"/>
      <name val="Times New Roman"/>
      <family val="1"/>
    </font>
    <font>
      <sz val="12"/>
      <color theme="1"/>
      <name val="Times New Roman"/>
      <family val="1"/>
    </font>
    <font>
      <sz val="10"/>
      <color indexed="10"/>
      <name val="Times New Roman"/>
      <family val="1"/>
    </font>
    <font>
      <b/>
      <sz val="10"/>
      <color indexed="12"/>
      <name val="Times New Roman"/>
      <family val="1"/>
    </font>
    <font>
      <sz val="10"/>
      <color rgb="FFFFFFFF"/>
      <name val="Times New Roman"/>
      <family val="1"/>
    </font>
    <font>
      <b/>
      <sz val="10"/>
      <color theme="0"/>
      <name val="Times New Roman"/>
      <family val="1"/>
    </font>
    <font>
      <b/>
      <i/>
      <sz val="10"/>
      <color theme="1"/>
      <name val="Times New Roman"/>
      <family val="1"/>
    </font>
    <font>
      <i/>
      <sz val="10"/>
      <color indexed="12"/>
      <name val="Times New Roman"/>
      <family val="1"/>
    </font>
    <font>
      <u/>
      <sz val="10"/>
      <color theme="1"/>
      <name val="Times New Roman"/>
      <family val="1"/>
    </font>
    <font>
      <sz val="10"/>
      <color theme="1"/>
      <name val="Garamond"/>
      <family val="2"/>
    </font>
    <font>
      <i/>
      <sz val="18"/>
      <color rgb="FF1F4E78"/>
      <name val="Times New Roman"/>
      <family val="1"/>
    </font>
    <font>
      <i/>
      <sz val="14"/>
      <color rgb="FF1F4E78"/>
      <name val="Times New Roman"/>
      <family val="1"/>
    </font>
    <font>
      <i/>
      <sz val="14"/>
      <color theme="1"/>
      <name val="Times New Roman"/>
      <family val="1"/>
    </font>
    <font>
      <i/>
      <sz val="14"/>
      <color theme="0" tint="-0.499984740745262"/>
      <name val="Times New Roman"/>
      <family val="1"/>
    </font>
    <font>
      <sz val="14"/>
      <color theme="0" tint="-0.499984740745262"/>
      <name val="Times New Roman"/>
      <family val="1"/>
    </font>
    <font>
      <sz val="11"/>
      <color theme="1"/>
      <name val="Times New Roman"/>
      <family val="1"/>
    </font>
    <font>
      <sz val="11"/>
      <color theme="4" tint="-0.499984740745262"/>
      <name val="Times New Roman"/>
      <family val="1"/>
    </font>
    <font>
      <sz val="32"/>
      <color theme="1"/>
      <name val="Times New Roman"/>
      <family val="1"/>
    </font>
    <font>
      <b/>
      <sz val="32"/>
      <color theme="4" tint="-0.499984740745262"/>
      <name val="Times New Roman"/>
      <family val="1"/>
    </font>
    <font>
      <b/>
      <sz val="24"/>
      <color rgb="FF1F4E78"/>
      <name val="Times New Roman"/>
      <family val="1"/>
    </font>
    <font>
      <sz val="10"/>
      <color rgb="FF0000FF"/>
      <name val="Times New Roman"/>
      <family val="1"/>
    </font>
    <font>
      <b/>
      <i/>
      <u/>
      <sz val="10"/>
      <name val="Times New Roman"/>
      <family val="1"/>
    </font>
    <font>
      <b/>
      <i/>
      <sz val="24"/>
      <color rgb="FF1F4E78"/>
      <name val="Times New Roman"/>
      <family val="1"/>
    </font>
    <font>
      <b/>
      <i/>
      <sz val="11"/>
      <color theme="4" tint="-0.499984740745262"/>
      <name val="Times New Roman"/>
      <family val="1"/>
    </font>
    <font>
      <i/>
      <sz val="15"/>
      <color rgb="FF1F4E78"/>
      <name val="Times New Roman"/>
      <family val="1"/>
    </font>
    <font>
      <b/>
      <sz val="10"/>
      <color rgb="FF0000FF"/>
      <name val="Times New Roman"/>
      <family val="1"/>
    </font>
    <font>
      <b/>
      <sz val="10"/>
      <color rgb="FFFF0000"/>
      <name val="Times New Roman"/>
      <family val="1"/>
    </font>
    <font>
      <sz val="11"/>
      <color rgb="FF0000FF"/>
      <name val="Times New Roman"/>
      <family val="1"/>
    </font>
    <font>
      <b/>
      <sz val="11"/>
      <color theme="1"/>
      <name val="Times New Roman"/>
      <family val="1"/>
    </font>
    <font>
      <sz val="10"/>
      <name val="Garamond"/>
      <family val="1"/>
    </font>
    <font>
      <b/>
      <i/>
      <u/>
      <sz val="10"/>
      <color theme="1"/>
      <name val="Times New Roman"/>
      <family val="1"/>
    </font>
    <font>
      <sz val="11"/>
      <color indexed="12"/>
      <name val="Times New Roman"/>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b/>
      <sz val="10"/>
      <color rgb="FFC00000"/>
      <name val="Times New Roman"/>
      <family val="1"/>
    </font>
    <font>
      <sz val="10"/>
      <name val="Arial"/>
      <family val="2"/>
      <charset val="1"/>
    </font>
    <font>
      <sz val="12"/>
      <color theme="1"/>
      <name val="Calibri"/>
      <family val="2"/>
      <charset val="204"/>
      <scheme val="minor"/>
    </font>
    <font>
      <sz val="8"/>
      <color indexed="8"/>
      <name val="Arial"/>
      <family val="2"/>
    </font>
    <font>
      <sz val="10"/>
      <color rgb="FF009900"/>
      <name val="Times New Roman"/>
      <family val="1"/>
    </font>
    <font>
      <sz val="10"/>
      <color rgb="FFFF0000"/>
      <name val="Times New Roman"/>
      <family val="1"/>
    </font>
    <font>
      <sz val="10"/>
      <color rgb="FF008000"/>
      <name val="Times New Roman"/>
      <family val="1"/>
    </font>
    <font>
      <sz val="12"/>
      <color rgb="FF1F4E78"/>
      <name val="Times New Roman"/>
      <family val="1"/>
    </font>
    <font>
      <sz val="8"/>
      <color rgb="FFFF0000"/>
      <name val="Times New Roman"/>
      <family val="1"/>
    </font>
    <font>
      <b/>
      <u/>
      <sz val="8"/>
      <name val="Times New Roman"/>
      <family val="1"/>
    </font>
    <font>
      <b/>
      <sz val="8"/>
      <color indexed="9"/>
      <name val="Tahoma"/>
      <family val="2"/>
    </font>
    <font>
      <sz val="10"/>
      <color indexed="39"/>
      <name val="Times New Roman"/>
      <family val="1"/>
    </font>
    <font>
      <b/>
      <sz val="10"/>
      <color indexed="39"/>
      <name val="Times New Roman"/>
      <family val="1"/>
    </font>
    <font>
      <sz val="8"/>
      <color theme="3" tint="-0.499984740745262"/>
      <name val="Times New Roman"/>
      <family val="1"/>
    </font>
    <font>
      <b/>
      <sz val="10"/>
      <color rgb="FF008000"/>
      <name val="Times New Roman"/>
      <family val="1"/>
    </font>
    <font>
      <sz val="11"/>
      <color rgb="FF008000"/>
      <name val="Times New Roman"/>
      <family val="1"/>
    </font>
    <font>
      <b/>
      <sz val="10"/>
      <color rgb="FF1F4E78"/>
      <name val="Times New Roman"/>
      <family val="1"/>
    </font>
    <font>
      <i/>
      <sz val="10"/>
      <color rgb="FFFF0000"/>
      <name val="Times New Roman"/>
      <family val="1"/>
    </font>
    <font>
      <sz val="18"/>
      <color theme="4" tint="-0.249977111117893"/>
      <name val="Times New Roman"/>
      <family val="1"/>
    </font>
    <font>
      <sz val="11"/>
      <color rgb="FF000000"/>
      <name val="Times New Roman"/>
      <family val="1"/>
    </font>
    <font>
      <b/>
      <sz val="10"/>
      <color indexed="10"/>
      <name val="Times New Roman"/>
      <family val="1"/>
    </font>
    <font>
      <sz val="10"/>
      <color rgb="FF0000E1"/>
      <name val="Times New Roman"/>
      <family val="1"/>
    </font>
    <font>
      <sz val="9"/>
      <name val="Verdana"/>
      <family val="2"/>
    </font>
    <font>
      <sz val="10"/>
      <color rgb="FFFF0000"/>
      <name val="Garamond"/>
      <family val="2"/>
    </font>
    <font>
      <b/>
      <sz val="11"/>
      <color rgb="FFC00000"/>
      <name val="Times New Roman"/>
      <family val="1"/>
    </font>
    <font>
      <sz val="10"/>
      <color rgb="FFC00000"/>
      <name val="Times New Roman"/>
      <family val="1"/>
    </font>
    <font>
      <b/>
      <sz val="32"/>
      <color rgb="FFFF0000"/>
      <name val="Times New Roman"/>
      <family val="1"/>
    </font>
    <font>
      <sz val="12"/>
      <name val="Calibri"/>
      <family val="2"/>
      <scheme val="minor"/>
    </font>
    <font>
      <b/>
      <sz val="20"/>
      <name val="Calibri"/>
      <family val="2"/>
      <scheme val="minor"/>
    </font>
    <font>
      <b/>
      <sz val="14"/>
      <color theme="1"/>
      <name val="Calibri"/>
      <family val="2"/>
      <scheme val="minor"/>
    </font>
    <font>
      <i/>
      <sz val="10"/>
      <color theme="8" tint="-0.249977111117893"/>
      <name val="Calibri"/>
      <family val="2"/>
      <scheme val="minor"/>
    </font>
    <font>
      <b/>
      <sz val="12"/>
      <color rgb="FFFF0000"/>
      <name val="Calibri"/>
      <family val="2"/>
      <scheme val="minor"/>
    </font>
    <font>
      <b/>
      <sz val="12"/>
      <color theme="1"/>
      <name val="Calibri"/>
      <family val="2"/>
      <scheme val="minor"/>
    </font>
    <font>
      <sz val="12"/>
      <color rgb="FF000000"/>
      <name val="Calibri"/>
      <family val="2"/>
      <scheme val="minor"/>
    </font>
    <font>
      <b/>
      <sz val="12"/>
      <name val="Calibri"/>
      <family val="2"/>
      <scheme val="minor"/>
    </font>
    <font>
      <sz val="10"/>
      <name val="Calibri"/>
      <family val="2"/>
      <scheme val="minor"/>
    </font>
    <font>
      <sz val="9"/>
      <name val="Calibri"/>
      <family val="2"/>
      <scheme val="minor"/>
    </font>
    <font>
      <b/>
      <sz val="14"/>
      <name val="Calibri"/>
      <family val="2"/>
      <scheme val="minor"/>
    </font>
    <font>
      <b/>
      <u/>
      <sz val="12"/>
      <name val="Calibri"/>
      <family val="2"/>
      <scheme val="minor"/>
    </font>
    <font>
      <sz val="12"/>
      <color indexed="8"/>
      <name val="Calibri"/>
      <family val="2"/>
      <scheme val="minor"/>
    </font>
    <font>
      <sz val="11"/>
      <color indexed="8"/>
      <name val="Calibri"/>
      <family val="2"/>
      <scheme val="minor"/>
    </font>
    <font>
      <sz val="14"/>
      <name val="Calibri"/>
      <family val="2"/>
      <scheme val="minor"/>
    </font>
    <font>
      <i/>
      <sz val="12"/>
      <name val="Calibri"/>
      <family val="2"/>
      <scheme val="minor"/>
    </font>
    <font>
      <b/>
      <sz val="10"/>
      <color rgb="FFFFFFFF"/>
      <name val="Arial"/>
      <family val="2"/>
    </font>
    <font>
      <sz val="10"/>
      <color rgb="FFFFFFFF"/>
      <name val="Arial"/>
      <family val="2"/>
    </font>
    <font>
      <sz val="11"/>
      <color theme="8"/>
      <name val="Calibri"/>
      <family val="2"/>
      <scheme val="minor"/>
    </font>
    <font>
      <sz val="11"/>
      <color theme="8"/>
      <name val="Arial"/>
      <family val="2"/>
    </font>
    <font>
      <b/>
      <sz val="8"/>
      <color indexed="8"/>
      <name val="Arial"/>
      <family val="2"/>
    </font>
    <font>
      <sz val="8"/>
      <name val="Arial"/>
      <family val="2"/>
    </font>
    <font>
      <sz val="10"/>
      <color theme="1" tint="0.499984740745262"/>
      <name val="Arial"/>
      <family val="2"/>
    </font>
    <font>
      <b/>
      <u/>
      <sz val="11"/>
      <color theme="1"/>
      <name val="Calibri"/>
      <family val="2"/>
      <scheme val="minor"/>
    </font>
    <font>
      <i/>
      <sz val="10"/>
      <color rgb="FF009900"/>
      <name val="Times New Roman"/>
      <family val="1"/>
    </font>
    <font>
      <b/>
      <sz val="10"/>
      <color rgb="FF009900"/>
      <name val="Times New Roman"/>
      <family val="1"/>
    </font>
    <font>
      <i/>
      <sz val="10"/>
      <name val="Times New Roman"/>
      <family val="1"/>
    </font>
    <font>
      <b/>
      <sz val="8"/>
      <color rgb="FFFFFFFF"/>
      <name val="Arial"/>
      <family val="2"/>
    </font>
    <font>
      <sz val="11"/>
      <color rgb="FF333333"/>
      <name val="Arial"/>
      <family val="2"/>
    </font>
    <font>
      <b/>
      <sz val="12"/>
      <color rgb="FFFFFFFF"/>
      <name val="Arial"/>
      <family val="2"/>
    </font>
    <font>
      <b/>
      <sz val="11"/>
      <color rgb="FFFFFFFF"/>
      <name val="Arial"/>
      <family val="2"/>
    </font>
    <font>
      <b/>
      <sz val="9"/>
      <color rgb="FFFFFFFF"/>
      <name val="Arial"/>
      <family val="2"/>
    </font>
    <font>
      <sz val="8"/>
      <color rgb="FF333333"/>
      <name val="Arial"/>
      <family val="2"/>
    </font>
    <font>
      <b/>
      <sz val="8"/>
      <color rgb="FF333333"/>
      <name val="Arial"/>
      <family val="2"/>
    </font>
    <font>
      <b/>
      <i/>
      <sz val="8"/>
      <color rgb="FF333333"/>
      <name val="Arial"/>
      <family val="2"/>
    </font>
    <font>
      <b/>
      <sz val="8"/>
      <color rgb="FF990000"/>
      <name val="Arial"/>
      <family val="2"/>
    </font>
    <font>
      <sz val="8"/>
      <color rgb="FF990000"/>
      <name val="Arial"/>
      <family val="2"/>
    </font>
    <font>
      <sz val="11"/>
      <color rgb="FF333333"/>
      <name val="Calibri"/>
      <family val="2"/>
      <scheme val="minor"/>
    </font>
    <font>
      <b/>
      <sz val="10"/>
      <color theme="1"/>
      <name val="Calibri"/>
      <family val="2"/>
    </font>
    <font>
      <b/>
      <sz val="13"/>
      <color indexed="8"/>
      <name val="Verdana"/>
      <family val="2"/>
    </font>
    <font>
      <b/>
      <sz val="12"/>
      <color indexed="8"/>
      <name val="Verdana"/>
      <family val="2"/>
    </font>
    <font>
      <b/>
      <u val="singleAccounting"/>
      <sz val="8"/>
      <color indexed="8"/>
      <name val="Verdana"/>
      <family val="2"/>
    </font>
    <font>
      <b/>
      <sz val="8"/>
      <color indexed="9"/>
      <name val="Verdana"/>
      <family val="2"/>
    </font>
    <font>
      <b/>
      <u val="singleAccounting"/>
      <sz val="8"/>
      <color indexed="8"/>
      <name val="Arial"/>
      <family val="2"/>
    </font>
    <font>
      <vertAlign val="superscript"/>
      <sz val="8"/>
      <color indexed="8"/>
      <name val="Arial"/>
      <family val="2"/>
    </font>
    <font>
      <vertAlign val="subscript"/>
      <sz val="8"/>
      <color indexed="8"/>
      <name val="Arial"/>
      <family val="2"/>
    </font>
    <font>
      <i/>
      <sz val="8"/>
      <color indexed="8"/>
      <name val="Arial"/>
      <family val="2"/>
    </font>
    <font>
      <sz val="1"/>
      <color indexed="9"/>
      <name val="Symbol"/>
      <family val="1"/>
      <charset val="2"/>
    </font>
    <font>
      <sz val="11"/>
      <color rgb="FFC00000"/>
      <name val="Arial"/>
      <family val="2"/>
    </font>
    <font>
      <b/>
      <sz val="11"/>
      <color rgb="FFC00000"/>
      <name val="Arial"/>
      <family val="2"/>
    </font>
    <font>
      <sz val="10"/>
      <color rgb="FFFF0000"/>
      <name val="Arial"/>
      <family val="2"/>
    </font>
    <font>
      <sz val="10"/>
      <color rgb="FF008000"/>
      <name val="Garamond"/>
      <family val="2"/>
    </font>
  </fonts>
  <fills count="101">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bgColor indexed="64"/>
      </patternFill>
    </fill>
    <fill>
      <patternFill patternType="solid">
        <fgColor rgb="FFFF0000"/>
        <bgColor indexed="64"/>
      </patternFill>
    </fill>
    <fill>
      <patternFill patternType="solid">
        <fgColor rgb="FF538DD5"/>
        <bgColor rgb="FF000000"/>
      </patternFill>
    </fill>
    <fill>
      <patternFill patternType="solid">
        <fgColor rgb="FF10B4E6"/>
        <bgColor indexed="64"/>
      </patternFill>
    </fill>
    <fill>
      <patternFill patternType="solid">
        <fgColor rgb="FF999999"/>
        <bgColor indexed="64"/>
      </patternFill>
    </fill>
    <fill>
      <patternFill patternType="solid">
        <fgColor rgb="FF676767"/>
        <bgColor indexed="64"/>
      </patternFill>
    </fill>
    <fill>
      <patternFill patternType="solid">
        <fgColor rgb="FFD2D2D2"/>
        <bgColor indexed="64"/>
      </patternFill>
    </fill>
    <fill>
      <patternFill patternType="solid">
        <fgColor rgb="FFE3E3E3"/>
        <bgColor indexed="64"/>
      </patternFill>
    </fill>
    <fill>
      <patternFill patternType="solid">
        <fgColor indexed="60"/>
        <bgColor indexed="64"/>
      </patternFill>
    </fill>
    <fill>
      <patternFill patternType="solid">
        <fgColor indexed="56"/>
        <bgColor indexed="64"/>
      </patternFill>
    </fill>
  </fills>
  <borders count="457">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right/>
      <top style="thin">
        <color auto="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hair">
        <color auto="1"/>
      </top>
      <bottom style="hair">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bottom style="thin">
        <color auto="1"/>
      </bottom>
      <diagonal/>
    </border>
    <border>
      <left style="thin">
        <color auto="1"/>
      </left>
      <right style="thin">
        <color indexed="64"/>
      </right>
      <top/>
      <bottom style="thin">
        <color auto="1"/>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double">
        <color auto="1"/>
      </bottom>
      <diagonal/>
    </border>
    <border>
      <left/>
      <right/>
      <top style="thin">
        <color auto="1"/>
      </top>
      <bottom style="thin">
        <color auto="1"/>
      </bottom>
      <diagonal/>
    </border>
    <border>
      <left/>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style="medium">
        <color auto="1"/>
      </top>
      <bottom/>
      <diagonal/>
    </border>
    <border>
      <left/>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style="thin">
        <color auto="1"/>
      </top>
      <bottom/>
      <diagonal/>
    </border>
    <border>
      <left/>
      <right style="medium">
        <color auto="1"/>
      </right>
      <top style="thin">
        <color auto="1"/>
      </top>
      <bottom style="double">
        <color auto="1"/>
      </bottom>
      <diagonal/>
    </border>
    <border>
      <left/>
      <right/>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diagonal/>
    </border>
    <border>
      <left/>
      <right style="medium">
        <color auto="1"/>
      </right>
      <top style="thin">
        <color auto="1"/>
      </top>
      <bottom/>
      <diagonal/>
    </border>
    <border>
      <left/>
      <right/>
      <top style="thin">
        <color auto="1"/>
      </top>
      <bottom style="double">
        <color auto="1"/>
      </bottom>
      <diagonal/>
    </border>
    <border>
      <left/>
      <right style="medium">
        <color auto="1"/>
      </right>
      <top style="thin">
        <color auto="1"/>
      </top>
      <bottom style="double">
        <color auto="1"/>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style="thin">
        <color indexed="64"/>
      </right>
      <top style="thin">
        <color auto="1"/>
      </top>
      <bottom/>
      <diagonal/>
    </border>
    <border>
      <left/>
      <right/>
      <top style="thin">
        <color indexed="64"/>
      </top>
      <bottom/>
      <diagonal/>
    </border>
    <border>
      <left style="thin">
        <color auto="1"/>
      </left>
      <right/>
      <top style="thin">
        <color auto="1"/>
      </top>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right style="thin">
        <color indexed="64"/>
      </right>
      <top style="thin">
        <color auto="1"/>
      </top>
      <bottom style="thin">
        <color auto="1"/>
      </bottom>
      <diagonal/>
    </border>
    <border>
      <left/>
      <right style="thin">
        <color indexed="64"/>
      </right>
      <top style="thin">
        <color auto="1"/>
      </top>
      <bottom/>
      <diagonal/>
    </border>
    <border>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right style="thin">
        <color indexed="64"/>
      </right>
      <top style="thin">
        <color auto="1"/>
      </top>
      <bottom style="thin">
        <color auto="1"/>
      </bottom>
      <diagonal/>
    </border>
    <border>
      <left/>
      <right/>
      <top/>
      <bottom style="thin">
        <color rgb="FF000000"/>
      </bottom>
      <diagonal/>
    </border>
    <border>
      <left/>
      <right/>
      <top style="thin">
        <color rgb="FF000000"/>
      </top>
      <bottom style="thin">
        <color rgb="FF000000"/>
      </bottom>
      <diagonal/>
    </border>
    <border>
      <left/>
      <right/>
      <top style="thin">
        <color rgb="FF808080"/>
      </top>
      <bottom style="thin">
        <color rgb="FF808080"/>
      </bottom>
      <diagonal/>
    </border>
    <border>
      <left/>
      <right/>
      <top style="thin">
        <color rgb="FF808080"/>
      </top>
      <bottom/>
      <diagonal/>
    </border>
    <border>
      <left/>
      <right/>
      <top/>
      <bottom style="medium">
        <color rgb="FFFFFFFF"/>
      </bottom>
      <diagonal/>
    </border>
    <border>
      <left/>
      <right/>
      <top style="medium">
        <color rgb="FFFFFFFF"/>
      </top>
      <bottom style="medium">
        <color rgb="FFFFFFFF"/>
      </bottom>
      <diagonal/>
    </border>
    <border>
      <left/>
      <right/>
      <top style="medium">
        <color rgb="FFFFFFFF"/>
      </top>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bottom style="thin">
        <color indexed="8"/>
      </bottom>
      <diagonal/>
    </border>
    <border>
      <left/>
      <right/>
      <top/>
      <bottom style="medium">
        <color indexed="30"/>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style="thin">
        <color indexed="64"/>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hair">
        <color indexed="64"/>
      </left>
      <right style="hair">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auto="1"/>
      </top>
      <bottom style="thin">
        <color auto="1"/>
      </bottom>
      <diagonal/>
    </border>
    <border>
      <left/>
      <right/>
      <top style="thin">
        <color indexed="64"/>
      </top>
      <bottom/>
      <diagonal/>
    </border>
    <border>
      <left/>
      <right/>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hair">
        <color indexed="64"/>
      </left>
      <right style="hair">
        <color indexed="64"/>
      </right>
      <top style="thin">
        <color indexed="64"/>
      </top>
      <bottom/>
      <diagonal/>
    </border>
    <border>
      <left/>
      <right/>
      <top style="thin">
        <color indexed="64"/>
      </top>
      <bottom/>
      <diagonal/>
    </border>
    <border>
      <left style="thin">
        <color auto="1"/>
      </left>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auto="1"/>
      </top>
      <bottom/>
      <diagonal/>
    </border>
    <border>
      <left/>
      <right style="thin">
        <color indexed="64"/>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style="thin">
        <color indexed="64"/>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auto="1"/>
      </top>
      <bottom/>
      <diagonal/>
    </border>
    <border>
      <left/>
      <right/>
      <top style="thin">
        <color auto="1"/>
      </top>
      <bottom style="medium">
        <color indexed="64"/>
      </bottom>
      <diagonal/>
    </border>
    <border>
      <left/>
      <right/>
      <top style="thin">
        <color auto="1"/>
      </top>
      <bottom/>
      <diagonal/>
    </border>
    <border>
      <left style="thin">
        <color indexed="64"/>
      </left>
      <right style="thin">
        <color indexed="64"/>
      </right>
      <top style="thin">
        <color indexed="64"/>
      </top>
      <bottom/>
      <diagonal/>
    </border>
  </borders>
  <cellStyleXfs count="39418">
    <xf numFmtId="0" fontId="0" fillId="0" borderId="0"/>
    <xf numFmtId="43" fontId="19" fillId="0" borderId="0" applyFont="0" applyFill="0" applyBorder="0" applyAlignment="0" applyProtection="0"/>
    <xf numFmtId="9" fontId="19" fillId="0" borderId="0" applyFont="0" applyFill="0" applyBorder="0" applyAlignment="0" applyProtection="0"/>
    <xf numFmtId="44" fontId="19" fillId="0" borderId="0" applyFont="0" applyFill="0" applyBorder="0" applyAlignment="0" applyProtection="0"/>
    <xf numFmtId="9" fontId="22" fillId="0" borderId="0">
      <alignment horizontal="right"/>
    </xf>
    <xf numFmtId="37" fontId="23" fillId="0" borderId="0">
      <alignment horizontal="fill"/>
    </xf>
    <xf numFmtId="0" fontId="24" fillId="0" borderId="0"/>
    <xf numFmtId="0" fontId="24" fillId="0" borderId="0"/>
    <xf numFmtId="0" fontId="24" fillId="0" borderId="0"/>
    <xf numFmtId="0" fontId="24" fillId="0" borderId="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0"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0"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173" fontId="27" fillId="0" borderId="0" applyNumberFormat="0" applyFill="0" applyBorder="0" applyAlignment="0" applyProtection="0"/>
    <xf numFmtId="0" fontId="24" fillId="0" borderId="0" applyNumberFormat="0" applyFill="0" applyBorder="0" applyAlignment="0" applyProtection="0"/>
    <xf numFmtId="0" fontId="24" fillId="0" borderId="0"/>
    <xf numFmtId="0" fontId="26" fillId="0" borderId="0" applyFont="0" applyFill="0" applyBorder="0" applyAlignment="0" applyProtection="0"/>
    <xf numFmtId="0" fontId="28" fillId="0" borderId="0"/>
    <xf numFmtId="0" fontId="28" fillId="0" borderId="0"/>
    <xf numFmtId="0" fontId="24" fillId="0" borderId="0"/>
    <xf numFmtId="0" fontId="28" fillId="0" borderId="0"/>
    <xf numFmtId="0" fontId="28" fillId="0" borderId="0"/>
    <xf numFmtId="0" fontId="28" fillId="0" borderId="0"/>
    <xf numFmtId="174" fontId="29" fillId="0" borderId="0" applyFont="0" applyFill="0" applyBorder="0" applyAlignment="0" applyProtection="0"/>
    <xf numFmtId="175" fontId="29" fillId="0" borderId="0" applyFont="0" applyFill="0" applyBorder="0" applyAlignment="0" applyProtection="0"/>
    <xf numFmtId="3" fontId="30"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5" fontId="31" fillId="0" borderId="0" applyFont="0" applyFill="0" applyBorder="0" applyAlignment="0" applyProtection="0"/>
    <xf numFmtId="176" fontId="29" fillId="0" borderId="0" applyFont="0" applyFill="0" applyBorder="0" applyAlignment="0" applyProtection="0"/>
    <xf numFmtId="8" fontId="31" fillId="0" borderId="0" applyFont="0" applyFill="0" applyBorder="0" applyAlignment="0" applyProtection="0"/>
    <xf numFmtId="0" fontId="28" fillId="0" borderId="0"/>
    <xf numFmtId="177" fontId="28" fillId="0" borderId="0">
      <alignment horizontal="right"/>
    </xf>
    <xf numFmtId="177" fontId="24" fillId="0" borderId="0">
      <alignment horizontal="right"/>
    </xf>
    <xf numFmtId="178" fontId="24" fillId="0" borderId="0" applyFont="0" applyFill="0" applyBorder="0" applyAlignment="0" applyProtection="0"/>
    <xf numFmtId="179" fontId="24" fillId="0" borderId="0"/>
    <xf numFmtId="0" fontId="24" fillId="0" borderId="0" applyFont="0" applyFill="0" applyBorder="0" applyAlignment="0" applyProtection="0"/>
    <xf numFmtId="0" fontId="24" fillId="0" borderId="0"/>
    <xf numFmtId="180" fontId="29" fillId="0" borderId="0" applyFont="0" applyFill="0" applyBorder="0" applyAlignment="0" applyProtection="0"/>
    <xf numFmtId="181" fontId="24" fillId="0" borderId="0" applyFont="0" applyFill="0" applyBorder="0" applyAlignment="0" applyProtection="0"/>
    <xf numFmtId="9" fontId="32" fillId="31" borderId="16">
      <alignment horizontal="right" vertical="center"/>
    </xf>
    <xf numFmtId="9" fontId="24" fillId="0" borderId="0">
      <alignment horizontal="right" vertical="center"/>
    </xf>
    <xf numFmtId="182" fontId="33" fillId="0" borderId="0" applyBorder="0"/>
    <xf numFmtId="182" fontId="33" fillId="0" borderId="0" applyBorder="0"/>
    <xf numFmtId="182" fontId="24" fillId="0" borderId="0" applyBorder="0"/>
    <xf numFmtId="182" fontId="33" fillId="0" borderId="0" applyBorder="0"/>
    <xf numFmtId="182" fontId="33" fillId="0" borderId="0" applyBorder="0"/>
    <xf numFmtId="182" fontId="33" fillId="0" borderId="0" applyBorder="0"/>
    <xf numFmtId="10" fontId="31" fillId="0" borderId="0" applyFont="0" applyFill="0" applyBorder="0" applyAlignment="0" applyProtection="0"/>
    <xf numFmtId="0" fontId="34" fillId="0" borderId="0"/>
    <xf numFmtId="0" fontId="34" fillId="0" borderId="0"/>
    <xf numFmtId="0" fontId="35" fillId="0" borderId="0" applyNumberFormat="0" applyFont="0" applyFill="0" applyBorder="0" applyAlignment="0" applyProtection="0"/>
    <xf numFmtId="0" fontId="24" fillId="0" borderId="0" applyNumberFormat="0" applyFont="0" applyFill="0" applyBorder="0" applyAlignment="0" applyProtection="0"/>
    <xf numFmtId="183" fontId="28" fillId="0" borderId="0" applyFont="0" applyFill="0" applyBorder="0" applyAlignment="0"/>
    <xf numFmtId="183" fontId="28" fillId="0" borderId="0" applyFont="0" applyFill="0" applyBorder="0" applyAlignment="0"/>
    <xf numFmtId="183" fontId="24" fillId="0" borderId="0" applyFont="0" applyFill="0" applyBorder="0" applyAlignment="0"/>
    <xf numFmtId="183" fontId="28" fillId="0" borderId="0" applyFont="0" applyFill="0" applyBorder="0" applyAlignment="0"/>
    <xf numFmtId="183" fontId="28" fillId="0" borderId="0" applyFont="0" applyFill="0" applyBorder="0" applyAlignment="0"/>
    <xf numFmtId="183" fontId="28" fillId="0" borderId="0" applyFont="0" applyFill="0" applyBorder="0" applyAlignment="0"/>
    <xf numFmtId="185" fontId="24" fillId="0" borderId="0" applyFont="0" applyFill="0" applyBorder="0" applyAlignment="0" applyProtection="0"/>
    <xf numFmtId="9" fontId="24" fillId="0" borderId="0" applyFont="0" applyFill="0" applyBorder="0" applyAlignment="0" applyProtection="0"/>
    <xf numFmtId="186" fontId="36" fillId="0" borderId="0" applyFont="0" applyFill="0" applyBorder="0" applyProtection="0">
      <alignment horizontal="right"/>
    </xf>
    <xf numFmtId="186" fontId="24" fillId="0" borderId="0" applyFont="0" applyFill="0" applyBorder="0" applyProtection="0">
      <alignment horizontal="right"/>
    </xf>
    <xf numFmtId="187" fontId="37" fillId="0" borderId="0" applyFont="0" applyFill="0" applyBorder="0" applyAlignment="0" applyProtection="0"/>
    <xf numFmtId="188" fontId="37"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89" fontId="36" fillId="0" borderId="0" applyFont="0" applyFill="0" applyBorder="0" applyProtection="0">
      <alignment horizontal="right"/>
    </xf>
    <xf numFmtId="189" fontId="24" fillId="0" borderId="0" applyFont="0" applyFill="0" applyBorder="0" applyProtection="0">
      <alignment horizontal="right"/>
    </xf>
    <xf numFmtId="0" fontId="24" fillId="0" borderId="0" applyFont="0" applyFill="0" applyBorder="0" applyAlignment="0" applyProtection="0"/>
    <xf numFmtId="190" fontId="38" fillId="0" borderId="0"/>
    <xf numFmtId="190" fontId="38" fillId="0" borderId="0"/>
    <xf numFmtId="9" fontId="22" fillId="0" borderId="0">
      <alignment horizontal="right"/>
    </xf>
    <xf numFmtId="9" fontId="22" fillId="0" borderId="0">
      <alignment horizontal="right"/>
    </xf>
    <xf numFmtId="174" fontId="37" fillId="0" borderId="0" applyFont="0" applyFill="0" applyBorder="0" applyAlignment="0" applyProtection="0"/>
    <xf numFmtId="191" fontId="36" fillId="0" borderId="0" applyFont="0" applyFill="0" applyBorder="0" applyAlignment="0" applyProtection="0"/>
    <xf numFmtId="191" fontId="36"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91" fontId="24" fillId="0" borderId="0" applyFont="0" applyFill="0" applyBorder="0" applyAlignment="0" applyProtection="0"/>
    <xf numFmtId="174" fontId="39"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40"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92" fontId="37" fillId="0" borderId="0" applyFont="0" applyFill="0" applyBorder="0" applyAlignment="0" applyProtection="0"/>
    <xf numFmtId="193" fontId="36" fillId="0" borderId="0" applyFont="0" applyFill="0" applyBorder="0" applyAlignment="0" applyProtection="0"/>
    <xf numFmtId="193" fontId="36" fillId="0" borderId="0" applyFont="0" applyFill="0" applyBorder="0" applyAlignment="0" applyProtection="0"/>
    <xf numFmtId="194" fontId="24" fillId="0" borderId="0" applyFont="0" applyFill="0" applyBorder="0" applyAlignment="0" applyProtection="0"/>
    <xf numFmtId="195" fontId="24" fillId="0" borderId="0" applyFont="0" applyFill="0" applyBorder="0" applyAlignment="0" applyProtection="0"/>
    <xf numFmtId="195" fontId="24" fillId="0" borderId="0" applyFont="0" applyFill="0" applyBorder="0" applyAlignment="0" applyProtection="0"/>
    <xf numFmtId="193" fontId="24" fillId="0" borderId="0" applyFont="0" applyFill="0" applyBorder="0" applyAlignment="0" applyProtection="0"/>
    <xf numFmtId="196" fontId="24" fillId="0" borderId="0" applyFont="0" applyFill="0" applyBorder="0" applyAlignment="0" applyProtection="0"/>
    <xf numFmtId="197" fontId="24" fillId="0" borderId="0" applyFont="0" applyFill="0" applyBorder="0" applyAlignment="0" applyProtection="0"/>
    <xf numFmtId="193" fontId="24" fillId="0" borderId="0" applyFont="0" applyFill="0" applyBorder="0" applyAlignment="0" applyProtection="0"/>
    <xf numFmtId="195" fontId="24" fillId="0" borderId="0" applyFont="0" applyFill="0" applyBorder="0" applyAlignment="0" applyProtection="0"/>
    <xf numFmtId="192" fontId="24" fillId="0" borderId="0" applyFont="0" applyFill="0" applyBorder="0" applyAlignment="0" applyProtection="0"/>
    <xf numFmtId="193" fontId="24" fillId="0" borderId="0" applyFont="0" applyFill="0" applyBorder="0" applyAlignment="0" applyProtection="0"/>
    <xf numFmtId="194" fontId="24" fillId="0" borderId="0" applyFont="0" applyFill="0" applyBorder="0" applyAlignment="0" applyProtection="0"/>
    <xf numFmtId="194" fontId="40" fillId="0" borderId="0" applyFont="0" applyFill="0" applyBorder="0" applyAlignment="0" applyProtection="0"/>
    <xf numFmtId="194" fontId="40" fillId="0" borderId="0" applyFont="0" applyFill="0" applyBorder="0" applyAlignment="0" applyProtection="0"/>
    <xf numFmtId="192" fontId="39"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3" fontId="24" fillId="0" borderId="0" applyFont="0" applyFill="0" applyBorder="0" applyAlignment="0" applyProtection="0"/>
    <xf numFmtId="193" fontId="40" fillId="0" borderId="0" applyFont="0" applyFill="0" applyBorder="0" applyAlignment="0" applyProtection="0"/>
    <xf numFmtId="194" fontId="40" fillId="0" borderId="0" applyFont="0" applyFill="0" applyBorder="0" applyAlignment="0" applyProtection="0"/>
    <xf numFmtId="194" fontId="40" fillId="0" borderId="0" applyFont="0" applyFill="0" applyBorder="0" applyAlignment="0" applyProtection="0"/>
    <xf numFmtId="196" fontId="24" fillId="0" borderId="0" applyFont="0" applyFill="0" applyBorder="0" applyAlignment="0" applyProtection="0"/>
    <xf numFmtId="197" fontId="40" fillId="0" borderId="0" applyFont="0" applyFill="0" applyBorder="0" applyAlignment="0" applyProtection="0"/>
    <xf numFmtId="194" fontId="24" fillId="0" borderId="0" applyFont="0" applyFill="0" applyBorder="0" applyAlignment="0" applyProtection="0"/>
    <xf numFmtId="192" fontId="24" fillId="0" borderId="0" applyFont="0" applyFill="0" applyBorder="0" applyAlignment="0" applyProtection="0"/>
    <xf numFmtId="197" fontId="24" fillId="0" borderId="0" applyFont="0" applyFill="0" applyBorder="0" applyAlignment="0" applyProtection="0"/>
    <xf numFmtId="0" fontId="24" fillId="0" borderId="0" applyFont="0" applyFill="0" applyBorder="0" applyAlignment="0" applyProtection="0"/>
    <xf numFmtId="198" fontId="24" fillId="0" borderId="0" applyFont="0" applyFill="0" applyBorder="0" applyAlignment="0" applyProtection="0"/>
    <xf numFmtId="192" fontId="24" fillId="0" borderId="0" applyFont="0" applyFill="0" applyBorder="0" applyAlignment="0" applyProtection="0"/>
    <xf numFmtId="194" fontId="24" fillId="0" borderId="0" applyFont="0" applyFill="0" applyBorder="0" applyAlignment="0" applyProtection="0"/>
    <xf numFmtId="197" fontId="24" fillId="0" borderId="0" applyFont="0" applyFill="0" applyBorder="0" applyAlignment="0" applyProtection="0"/>
    <xf numFmtId="192" fontId="24" fillId="0" borderId="0" applyFont="0" applyFill="0" applyBorder="0" applyAlignment="0" applyProtection="0"/>
    <xf numFmtId="199" fontId="37" fillId="0" borderId="0" applyFont="0" applyFill="0" applyBorder="0" applyAlignment="0" applyProtection="0"/>
    <xf numFmtId="39" fontId="36" fillId="0" borderId="0" applyFont="0" applyFill="0" applyBorder="0" applyAlignment="0" applyProtection="0"/>
    <xf numFmtId="39" fontId="36"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39" fontId="24" fillId="0" borderId="0" applyFont="0" applyFill="0" applyBorder="0" applyAlignment="0" applyProtection="0"/>
    <xf numFmtId="199" fontId="39"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40"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4" fontId="41" fillId="0" borderId="0" applyFill="0" applyBorder="0" applyProtection="0"/>
    <xf numFmtId="14" fontId="24" fillId="0" borderId="0" applyFill="0" applyBorder="0" applyProtection="0"/>
    <xf numFmtId="200" fontId="24" fillId="0" borderId="0" applyFont="0" applyFill="0" applyBorder="0" applyAlignment="0" applyProtection="0"/>
    <xf numFmtId="200" fontId="24" fillId="0" borderId="0" applyFont="0" applyFill="0" applyBorder="0" applyAlignment="0" applyProtection="0"/>
    <xf numFmtId="200" fontId="24" fillId="0" borderId="0" applyFont="0" applyFill="0" applyBorder="0" applyAlignment="0" applyProtection="0"/>
    <xf numFmtId="0" fontId="35" fillId="0" borderId="0" applyNumberFormat="0" applyFill="0" applyBorder="0" applyAlignment="0" applyProtection="0"/>
    <xf numFmtId="201" fontId="37" fillId="0" borderId="0" applyFont="0" applyFill="0" applyBorder="0" applyAlignment="0" applyProtection="0"/>
    <xf numFmtId="201" fontId="36" fillId="0" borderId="0" applyFont="0" applyFill="0" applyBorder="0" applyProtection="0">
      <alignment horizontal="right"/>
    </xf>
    <xf numFmtId="201" fontId="24" fillId="0" borderId="0" applyFont="0" applyFill="0" applyBorder="0" applyProtection="0">
      <alignment horizontal="right"/>
    </xf>
    <xf numFmtId="201" fontId="36" fillId="0" borderId="0" applyFont="0" applyFill="0" applyBorder="0" applyProtection="0">
      <alignment horizontal="right"/>
    </xf>
    <xf numFmtId="201" fontId="36" fillId="0" borderId="0" applyFont="0" applyFill="0" applyBorder="0" applyProtection="0">
      <alignment horizontal="right"/>
    </xf>
    <xf numFmtId="201" fontId="36" fillId="0" borderId="0" applyFont="0" applyFill="0" applyBorder="0" applyProtection="0">
      <alignment horizontal="right"/>
    </xf>
    <xf numFmtId="201" fontId="36" fillId="0" borderId="0" applyFont="0" applyFill="0" applyBorder="0" applyAlignment="0" applyProtection="0"/>
    <xf numFmtId="201" fontId="36" fillId="0" borderId="0" applyFont="0" applyFill="0" applyBorder="0" applyAlignment="0" applyProtection="0"/>
    <xf numFmtId="201" fontId="24" fillId="0" borderId="0" applyFont="0" applyFill="0" applyBorder="0" applyAlignment="0" applyProtection="0"/>
    <xf numFmtId="201" fontId="36" fillId="0" borderId="0" applyFont="0" applyFill="0" applyBorder="0" applyAlignment="0" applyProtection="0"/>
    <xf numFmtId="201" fontId="36" fillId="0" borderId="0" applyFont="0" applyFill="0" applyBorder="0" applyAlignment="0" applyProtection="0"/>
    <xf numFmtId="201" fontId="36" fillId="0" borderId="0" applyFont="0" applyFill="0" applyBorder="0" applyAlignment="0" applyProtection="0"/>
    <xf numFmtId="201" fontId="24" fillId="0" borderId="0" applyFont="0" applyFill="0" applyBorder="0" applyAlignment="0" applyProtection="0"/>
    <xf numFmtId="201" fontId="24" fillId="0" borderId="0" applyFont="0" applyFill="0" applyBorder="0" applyAlignment="0" applyProtection="0"/>
    <xf numFmtId="0" fontId="42" fillId="0" borderId="0">
      <alignment vertical="center"/>
    </xf>
    <xf numFmtId="202" fontId="43" fillId="0" borderId="17" applyFont="0" applyFill="0" applyBorder="0" applyAlignment="0" applyProtection="0"/>
    <xf numFmtId="202" fontId="24" fillId="0" borderId="0" applyFont="0" applyFill="0" applyBorder="0" applyAlignment="0" applyProtection="0"/>
    <xf numFmtId="0" fontId="44" fillId="32" borderId="18" applyBorder="0">
      <alignment horizontal="center"/>
    </xf>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37" fillId="33" borderId="0" applyNumberFormat="0" applyFont="0" applyAlignment="0" applyProtection="0"/>
    <xf numFmtId="0" fontId="24" fillId="0" borderId="0" applyNumberFormat="0" applyFont="0" applyAlignment="0" applyProtection="0"/>
    <xf numFmtId="203" fontId="46" fillId="0" borderId="0" applyFont="0" applyFill="0" applyBorder="0" applyProtection="0">
      <alignment horizontal="right"/>
    </xf>
    <xf numFmtId="203" fontId="24" fillId="0" borderId="0" applyFont="0" applyFill="0" applyBorder="0" applyProtection="0">
      <alignment horizontal="right"/>
    </xf>
    <xf numFmtId="204" fontId="46" fillId="0" borderId="0" applyFont="0" applyFill="0" applyBorder="0" applyProtection="0">
      <alignment horizontal="right"/>
    </xf>
    <xf numFmtId="204" fontId="24" fillId="0" borderId="0" applyFont="0" applyFill="0" applyBorder="0" applyProtection="0">
      <alignment horizontal="right"/>
    </xf>
    <xf numFmtId="204" fontId="46" fillId="0" borderId="0" applyFont="0" applyFill="0" applyBorder="0" applyProtection="0">
      <alignment horizontal="right"/>
    </xf>
    <xf numFmtId="204" fontId="24" fillId="0" borderId="0" applyFont="0" applyFill="0" applyBorder="0" applyProtection="0">
      <alignment horizontal="right"/>
    </xf>
    <xf numFmtId="0" fontId="38" fillId="0" borderId="0">
      <alignment vertical="center"/>
    </xf>
    <xf numFmtId="0" fontId="38" fillId="0" borderId="0">
      <alignment vertical="center"/>
    </xf>
    <xf numFmtId="0" fontId="38" fillId="0" borderId="0">
      <alignment vertical="center"/>
    </xf>
    <xf numFmtId="0" fontId="47" fillId="34" borderId="0">
      <alignment horizontal="centerContinuous" vertical="center"/>
    </xf>
    <xf numFmtId="0" fontId="24" fillId="0" borderId="0">
      <alignment horizontal="centerContinuous" vertical="center"/>
    </xf>
    <xf numFmtId="0" fontId="48" fillId="29" borderId="0">
      <alignment horizontal="centerContinuous" vertical="center"/>
    </xf>
    <xf numFmtId="0" fontId="24" fillId="0" borderId="0">
      <alignment horizontal="centerContinuous" vertical="center"/>
    </xf>
    <xf numFmtId="9" fontId="22" fillId="0" borderId="0">
      <alignment horizontal="right"/>
    </xf>
    <xf numFmtId="9" fontId="22" fillId="0" borderId="0">
      <alignment horizontal="right"/>
    </xf>
    <xf numFmtId="9" fontId="22" fillId="0" borderId="0">
      <alignment horizontal="right"/>
    </xf>
    <xf numFmtId="9" fontId="22" fillId="0" borderId="0">
      <alignment horizontal="right"/>
    </xf>
    <xf numFmtId="0" fontId="24" fillId="0" borderId="0">
      <alignment horizontal="left" wrapText="1"/>
    </xf>
    <xf numFmtId="0" fontId="24" fillId="0" borderId="0">
      <alignment horizontal="left" wrapText="1"/>
    </xf>
    <xf numFmtId="205" fontId="37"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207" fontId="24" fillId="0" borderId="0" applyFont="0" applyFill="0" applyBorder="0" applyProtection="0">
      <alignment horizontal="right"/>
    </xf>
    <xf numFmtId="208" fontId="24" fillId="0" borderId="0" applyFont="0" applyFill="0" applyBorder="0" applyAlignment="0" applyProtection="0"/>
    <xf numFmtId="205" fontId="24" fillId="0" borderId="0" applyFont="0" applyFill="0" applyBorder="0" applyAlignment="0" applyProtection="0"/>
    <xf numFmtId="209" fontId="24" fillId="0" borderId="0" applyFont="0" applyFill="0" applyBorder="0" applyProtection="0">
      <alignment horizontal="right"/>
    </xf>
    <xf numFmtId="205" fontId="24" fillId="0" borderId="0" applyFont="0" applyFill="0" applyBorder="0" applyAlignment="0" applyProtection="0"/>
    <xf numFmtId="206" fontId="24" fillId="0" borderId="0" applyFont="0" applyFill="0" applyBorder="0" applyAlignment="0" applyProtection="0"/>
    <xf numFmtId="205" fontId="39" fillId="0" borderId="0" applyFont="0" applyFill="0" applyBorder="0" applyAlignment="0" applyProtection="0"/>
    <xf numFmtId="205" fontId="24" fillId="0" borderId="0" applyFont="0" applyFill="0" applyBorder="0" applyAlignment="0" applyProtection="0"/>
    <xf numFmtId="209" fontId="24" fillId="0" borderId="0" applyFont="0" applyFill="0" applyBorder="0" applyProtection="0">
      <alignment horizontal="right"/>
    </xf>
    <xf numFmtId="209" fontId="24" fillId="0" borderId="0" applyFont="0" applyFill="0" applyBorder="0" applyProtection="0">
      <alignment horizontal="right"/>
    </xf>
    <xf numFmtId="205" fontId="24" fillId="0" borderId="0" applyFont="0" applyFill="0" applyBorder="0" applyAlignment="0" applyProtection="0"/>
    <xf numFmtId="205" fontId="40" fillId="0" borderId="0" applyFont="0" applyFill="0" applyBorder="0" applyAlignment="0" applyProtection="0"/>
    <xf numFmtId="209" fontId="24" fillId="0" borderId="0" applyFont="0" applyFill="0" applyBorder="0" applyProtection="0">
      <alignment horizontal="right"/>
    </xf>
    <xf numFmtId="208" fontId="24" fillId="0" borderId="0" applyFont="0" applyFill="0" applyBorder="0" applyAlignment="0" applyProtection="0"/>
    <xf numFmtId="205" fontId="24" fillId="0" borderId="0" applyFont="0" applyFill="0" applyBorder="0" applyAlignment="0" applyProtection="0"/>
    <xf numFmtId="209" fontId="24" fillId="0" borderId="0" applyFont="0" applyFill="0" applyBorder="0" applyProtection="0">
      <alignment horizontal="right"/>
    </xf>
    <xf numFmtId="209" fontId="24" fillId="0" borderId="0" applyFont="0" applyFill="0" applyBorder="0" applyProtection="0">
      <alignment horizontal="right"/>
    </xf>
    <xf numFmtId="210" fontId="24" fillId="0" borderId="0" applyFont="0" applyFill="0" applyBorder="0" applyProtection="0">
      <alignment horizontal="right"/>
    </xf>
    <xf numFmtId="211" fontId="37" fillId="0" borderId="0" applyFont="0" applyFill="0" applyBorder="0" applyProtection="0">
      <alignment horizontal="right"/>
    </xf>
    <xf numFmtId="212" fontId="36" fillId="0" borderId="0" applyFont="0" applyFill="0" applyBorder="0" applyAlignment="0" applyProtection="0"/>
    <xf numFmtId="212" fontId="36" fillId="0" borderId="0" applyFont="0" applyFill="0" applyBorder="0" applyAlignment="0" applyProtection="0"/>
    <xf numFmtId="213" fontId="24" fillId="0" borderId="0" applyFont="0" applyFill="0" applyBorder="0" applyAlignment="0" applyProtection="0"/>
    <xf numFmtId="211" fontId="24" fillId="0" borderId="0" applyFont="0" applyFill="0" applyBorder="0" applyProtection="0">
      <alignment horizontal="right"/>
    </xf>
    <xf numFmtId="211" fontId="24" fillId="0" borderId="0" applyFont="0" applyFill="0" applyBorder="0" applyProtection="0">
      <alignment horizontal="right"/>
    </xf>
    <xf numFmtId="212" fontId="24" fillId="0" borderId="0" applyFont="0" applyFill="0" applyBorder="0" applyAlignment="0" applyProtection="0"/>
    <xf numFmtId="211" fontId="39" fillId="0" borderId="0" applyFont="0" applyFill="0" applyBorder="0" applyProtection="0">
      <alignment horizontal="right"/>
    </xf>
    <xf numFmtId="211" fontId="24" fillId="0" borderId="0" applyFont="0" applyFill="0" applyBorder="0" applyProtection="0">
      <alignment horizontal="right"/>
    </xf>
    <xf numFmtId="211" fontId="24" fillId="0" borderId="0" applyFont="0" applyFill="0" applyBorder="0" applyProtection="0">
      <alignment horizontal="right"/>
    </xf>
    <xf numFmtId="211" fontId="24" fillId="0" borderId="0" applyFont="0" applyFill="0" applyBorder="0" applyProtection="0">
      <alignment horizontal="right"/>
    </xf>
    <xf numFmtId="211" fontId="24" fillId="0" borderId="0" applyFont="0" applyFill="0" applyBorder="0" applyProtection="0">
      <alignment horizontal="right"/>
    </xf>
    <xf numFmtId="211" fontId="40" fillId="0" borderId="0" applyFont="0" applyFill="0" applyBorder="0" applyProtection="0">
      <alignment horizontal="right"/>
    </xf>
    <xf numFmtId="211" fontId="24" fillId="0" borderId="0" applyFont="0" applyFill="0" applyBorder="0" applyProtection="0">
      <alignment horizontal="right"/>
    </xf>
    <xf numFmtId="213" fontId="24" fillId="0" borderId="0" applyFont="0" applyFill="0" applyBorder="0" applyAlignment="0" applyProtection="0"/>
    <xf numFmtId="211" fontId="24" fillId="0" borderId="0" applyFont="0" applyFill="0" applyBorder="0" applyProtection="0">
      <alignment horizontal="right"/>
    </xf>
    <xf numFmtId="211" fontId="24" fillId="0" borderId="0" applyFont="0" applyFill="0" applyBorder="0" applyProtection="0">
      <alignment horizontal="right"/>
    </xf>
    <xf numFmtId="0" fontId="24" fillId="0" borderId="0"/>
    <xf numFmtId="214" fontId="36"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215" fontId="49" fillId="0" borderId="19" applyFont="0" applyFill="0" applyBorder="0" applyProtection="0">
      <alignment horizontal="right"/>
    </xf>
    <xf numFmtId="215"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7" fontId="36"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0" fontId="50" fillId="0" borderId="0" applyNumberFormat="0" applyFill="0" applyBorder="0" applyAlignment="0" applyProtection="0"/>
    <xf numFmtId="0" fontId="24" fillId="0" borderId="0"/>
    <xf numFmtId="0" fontId="24" fillId="0" borderId="0"/>
    <xf numFmtId="0" fontId="51" fillId="0" borderId="0">
      <alignment horizontal="center" wrapText="1"/>
    </xf>
    <xf numFmtId="0" fontId="52" fillId="32" borderId="15">
      <alignment horizontal="center"/>
    </xf>
    <xf numFmtId="0" fontId="53" fillId="35" borderId="15">
      <alignment horizontal="center" vertical="center"/>
    </xf>
    <xf numFmtId="3" fontId="54" fillId="0" borderId="15"/>
    <xf numFmtId="4" fontId="54" fillId="0" borderId="15"/>
    <xf numFmtId="218" fontId="24" fillId="0" borderId="15">
      <alignment horizontal="center" vertical="center"/>
    </xf>
    <xf numFmtId="0" fontId="55" fillId="0" borderId="15">
      <alignment horizontal="center"/>
    </xf>
    <xf numFmtId="0" fontId="56" fillId="36" borderId="15">
      <alignment horizontal="center"/>
    </xf>
    <xf numFmtId="0" fontId="51" fillId="0" borderId="0"/>
    <xf numFmtId="0" fontId="52" fillId="32" borderId="15"/>
    <xf numFmtId="0" fontId="53" fillId="35" borderId="15">
      <alignment horizontal="center" vertical="center"/>
    </xf>
    <xf numFmtId="0" fontId="57" fillId="0" borderId="0"/>
    <xf numFmtId="0" fontId="50" fillId="0" borderId="0" applyNumberFormat="0" applyFill="0" applyBorder="0" applyAlignment="0" applyProtection="0"/>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Alignment="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49" fillId="0" borderId="19" applyNumberFormat="0" applyFill="0" applyAlignment="0" applyProtection="0"/>
    <xf numFmtId="0" fontId="24" fillId="0" borderId="0" applyNumberFormat="0" applyFill="0" applyAlignment="0" applyProtection="0"/>
    <xf numFmtId="0" fontId="49" fillId="0" borderId="20" applyNumberFormat="0" applyFill="0" applyAlignment="0" applyProtection="0"/>
    <xf numFmtId="0" fontId="49" fillId="0" borderId="20" applyNumberFormat="0" applyFill="0" applyAlignment="0" applyProtection="0"/>
    <xf numFmtId="0" fontId="49" fillId="0" borderId="20" applyNumberFormat="0" applyFill="0" applyAlignment="0" applyProtection="0"/>
    <xf numFmtId="0" fontId="49" fillId="0" borderId="20" applyNumberFormat="0" applyFill="0" applyAlignment="0" applyProtection="0"/>
    <xf numFmtId="0" fontId="49" fillId="0" borderId="19" applyNumberFormat="0" applyFill="0" applyAlignment="0" applyProtection="0"/>
    <xf numFmtId="0" fontId="49" fillId="0" borderId="19" applyNumberFormat="0" applyFill="0" applyAlignment="0" applyProtection="0"/>
    <xf numFmtId="0" fontId="49" fillId="0" borderId="19" applyNumberFormat="0" applyFill="0" applyAlignment="0" applyProtection="0"/>
    <xf numFmtId="0" fontId="49" fillId="0" borderId="19" applyNumberFormat="0" applyFill="0" applyAlignment="0" applyProtection="0"/>
    <xf numFmtId="0" fontId="59" fillId="0" borderId="21" applyNumberFormat="0" applyFill="0" applyProtection="0">
      <alignment horizontal="center"/>
    </xf>
    <xf numFmtId="0" fontId="24" fillId="0" borderId="0" applyNumberFormat="0" applyFill="0" applyProtection="0">
      <alignment horizontal="center"/>
    </xf>
    <xf numFmtId="0" fontId="60" fillId="0" borderId="22" applyNumberFormat="0" applyFill="0" applyProtection="0">
      <alignment horizontal="center"/>
    </xf>
    <xf numFmtId="0" fontId="24" fillId="0" borderId="0" applyNumberFormat="0" applyFill="0" applyProtection="0">
      <alignment horizontal="center"/>
    </xf>
    <xf numFmtId="0" fontId="59" fillId="0" borderId="21" applyNumberFormat="0" applyFill="0" applyProtection="0">
      <alignment horizontal="center"/>
    </xf>
    <xf numFmtId="0" fontId="24" fillId="0" borderId="0" applyNumberFormat="0" applyFill="0" applyProtection="0">
      <alignment horizontal="center"/>
    </xf>
    <xf numFmtId="0" fontId="59" fillId="0" borderId="21" applyNumberFormat="0" applyFill="0" applyProtection="0">
      <alignment horizontal="center"/>
    </xf>
    <xf numFmtId="0" fontId="24" fillId="0" borderId="0" applyNumberFormat="0" applyFill="0" applyProtection="0">
      <alignment horizontal="center"/>
    </xf>
    <xf numFmtId="0" fontId="61" fillId="0" borderId="22" applyNumberFormat="0" applyFill="0" applyProtection="0">
      <alignment horizontal="center"/>
    </xf>
    <xf numFmtId="0" fontId="24" fillId="0" borderId="0" applyNumberFormat="0" applyFill="0" applyProtection="0">
      <alignment horizontal="center"/>
    </xf>
    <xf numFmtId="0" fontId="59" fillId="0" borderId="0" applyNumberFormat="0" applyFill="0" applyBorder="0" applyProtection="0">
      <alignment horizontal="left"/>
    </xf>
    <xf numFmtId="0" fontId="24" fillId="0" borderId="0" applyNumberFormat="0" applyFill="0" applyBorder="0" applyProtection="0">
      <alignment horizontal="left"/>
    </xf>
    <xf numFmtId="0" fontId="59" fillId="0" borderId="0" applyNumberFormat="0" applyFill="0" applyBorder="0" applyProtection="0">
      <alignment horizontal="left"/>
    </xf>
    <xf numFmtId="0" fontId="24" fillId="0" borderId="0" applyNumberFormat="0" applyFill="0" applyBorder="0" applyProtection="0">
      <alignment horizontal="left"/>
    </xf>
    <xf numFmtId="0" fontId="59" fillId="0" borderId="0" applyNumberFormat="0" applyFill="0" applyBorder="0" applyProtection="0">
      <alignment horizontal="left"/>
    </xf>
    <xf numFmtId="0" fontId="24" fillId="0" borderId="0" applyNumberFormat="0" applyFill="0" applyBorder="0" applyProtection="0">
      <alignment horizontal="left"/>
    </xf>
    <xf numFmtId="0" fontId="62" fillId="0" borderId="0" applyNumberFormat="0" applyFill="0" applyBorder="0" applyProtection="0">
      <alignment horizontal="centerContinuous"/>
    </xf>
    <xf numFmtId="0" fontId="24" fillId="0" borderId="0" applyNumberFormat="0" applyFill="0" applyBorder="0" applyProtection="0">
      <alignment horizontal="centerContinuous"/>
    </xf>
    <xf numFmtId="0" fontId="62" fillId="0" borderId="0" applyNumberFormat="0" applyFill="0" applyProtection="0">
      <alignment horizontal="centerContinuous"/>
    </xf>
    <xf numFmtId="0" fontId="62" fillId="0" borderId="0" applyNumberFormat="0" applyFill="0" applyProtection="0">
      <alignment horizontal="centerContinuous"/>
    </xf>
    <xf numFmtId="0" fontId="62" fillId="0" borderId="0" applyNumberFormat="0" applyFill="0" applyBorder="0" applyProtection="0">
      <alignment horizontal="centerContinuous"/>
    </xf>
    <xf numFmtId="0" fontId="63" fillId="0" borderId="0" applyNumberFormat="0" applyFill="0" applyBorder="0" applyProtection="0">
      <alignment horizontal="centerContinuous"/>
    </xf>
    <xf numFmtId="0" fontId="24" fillId="0" borderId="0" applyNumberFormat="0" applyFill="0" applyBorder="0" applyProtection="0">
      <alignment horizontal="centerContinuous"/>
    </xf>
    <xf numFmtId="0" fontId="62" fillId="0" borderId="0" applyNumberFormat="0" applyFill="0" applyBorder="0" applyProtection="0">
      <alignment horizontal="centerContinuous"/>
    </xf>
    <xf numFmtId="0" fontId="62" fillId="0" borderId="0" applyNumberFormat="0" applyFill="0" applyBorder="0" applyProtection="0">
      <alignment horizontal="centerContinuous"/>
    </xf>
    <xf numFmtId="0" fontId="24" fillId="0" borderId="0" applyNumberFormat="0" applyFill="0" applyBorder="0" applyProtection="0">
      <alignment horizontal="centerContinuous"/>
    </xf>
    <xf numFmtId="0" fontId="62" fillId="0" borderId="0" applyNumberFormat="0" applyFill="0" applyBorder="0" applyProtection="0">
      <alignment horizontal="centerContinuous"/>
    </xf>
    <xf numFmtId="0" fontId="62" fillId="0" borderId="0" applyNumberFormat="0" applyFill="0" applyBorder="0" applyProtection="0">
      <alignment horizontal="centerContinuous"/>
    </xf>
    <xf numFmtId="0" fontId="62" fillId="0" borderId="0" applyNumberFormat="0" applyFill="0" applyBorder="0" applyProtection="0">
      <alignment horizontal="centerContinuous"/>
    </xf>
    <xf numFmtId="0" fontId="24" fillId="0" borderId="0" applyNumberFormat="0" applyFill="0" applyBorder="0" applyProtection="0">
      <alignment horizontal="centerContinuous"/>
    </xf>
    <xf numFmtId="0" fontId="63" fillId="0" borderId="0" applyNumberFormat="0" applyFill="0" applyBorder="0" applyProtection="0">
      <alignment horizontal="centerContinuous"/>
    </xf>
    <xf numFmtId="0" fontId="24" fillId="0" borderId="0" applyNumberFormat="0" applyFill="0" applyBorder="0" applyProtection="0">
      <alignment horizontal="centerContinuous"/>
    </xf>
    <xf numFmtId="0" fontId="50" fillId="0" borderId="0" applyNumberFormat="0" applyFill="0" applyBorder="0" applyAlignment="0" applyProtection="0"/>
    <xf numFmtId="0" fontId="24" fillId="0" borderId="0"/>
    <xf numFmtId="0" fontId="24" fillId="0" borderId="0"/>
    <xf numFmtId="0" fontId="24" fillId="0" borderId="0"/>
    <xf numFmtId="0" fontId="24" fillId="0" borderId="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219" fontId="24" fillId="0" borderId="0">
      <alignment horizontal="left" wrapText="1"/>
    </xf>
    <xf numFmtId="219" fontId="24" fillId="0" borderId="0">
      <alignment horizontal="left" wrapText="1"/>
    </xf>
    <xf numFmtId="0" fontId="24" fillId="0" borderId="0"/>
    <xf numFmtId="0" fontId="65" fillId="0" borderId="0"/>
    <xf numFmtId="0" fontId="65" fillId="0" borderId="0"/>
    <xf numFmtId="0" fontId="34" fillId="0" borderId="0"/>
    <xf numFmtId="0" fontId="34" fillId="0" borderId="0"/>
    <xf numFmtId="0" fontId="66" fillId="0" borderId="0">
      <alignment horizontal="right"/>
    </xf>
    <xf numFmtId="0" fontId="66" fillId="0" borderId="0">
      <alignment horizontal="right"/>
    </xf>
    <xf numFmtId="220" fontId="50" fillId="0" borderId="0" applyFont="0" applyFill="0" applyBorder="0" applyAlignment="0" applyProtection="0"/>
    <xf numFmtId="220" fontId="50" fillId="0" borderId="0" applyFont="0" applyFill="0" applyBorder="0" applyAlignment="0" applyProtection="0"/>
    <xf numFmtId="221" fontId="67" fillId="0" borderId="0" applyFont="0" applyFill="0" applyBorder="0" applyAlignment="0" applyProtection="0"/>
    <xf numFmtId="221" fontId="24" fillId="0" borderId="0" applyFont="0" applyFill="0" applyBorder="0" applyAlignment="0" applyProtection="0"/>
    <xf numFmtId="222" fontId="67" fillId="0" borderId="0" applyFont="0" applyFill="0" applyBorder="0" applyAlignment="0" applyProtection="0"/>
    <xf numFmtId="222" fontId="24" fillId="0" borderId="0" applyFont="0" applyFill="0" applyBorder="0" applyAlignment="0" applyProtection="0"/>
    <xf numFmtId="223" fontId="67" fillId="0" borderId="0" applyFont="0" applyFill="0" applyBorder="0" applyAlignment="0" applyProtection="0"/>
    <xf numFmtId="223" fontId="24" fillId="0" borderId="0" applyFont="0" applyFill="0" applyBorder="0" applyAlignment="0" applyProtection="0"/>
    <xf numFmtId="224" fontId="67" fillId="0" borderId="0" applyFont="0" applyFill="0" applyBorder="0" applyAlignment="0" applyProtection="0"/>
    <xf numFmtId="224" fontId="24" fillId="0" borderId="0" applyFont="0" applyFill="0" applyBorder="0" applyAlignment="0" applyProtection="0"/>
    <xf numFmtId="225" fontId="67" fillId="0" borderId="0" applyFont="0" applyFill="0" applyBorder="0" applyAlignment="0" applyProtection="0"/>
    <xf numFmtId="225" fontId="24" fillId="0" borderId="0" applyFont="0" applyFill="0" applyBorder="0" applyAlignment="0" applyProtection="0"/>
    <xf numFmtId="226" fontId="68" fillId="0" borderId="0" applyFont="0" applyFill="0" applyBorder="0" applyAlignment="0" applyProtection="0"/>
    <xf numFmtId="226" fontId="24" fillId="0" borderId="0" applyFont="0" applyFill="0" applyBorder="0" applyAlignment="0" applyProtection="0"/>
    <xf numFmtId="0" fontId="24" fillId="0" borderId="0"/>
    <xf numFmtId="41" fontId="24" fillId="0" borderId="0" applyFont="0" applyFill="0" applyBorder="0" applyAlignment="0" applyProtection="0"/>
    <xf numFmtId="43" fontId="24" fillId="0" borderId="0" applyFont="0" applyFill="0" applyBorder="0" applyAlignment="0" applyProtection="0"/>
    <xf numFmtId="227" fontId="50" fillId="0" borderId="0" applyFont="0" applyFill="0" applyBorder="0" applyAlignment="0" applyProtection="0"/>
    <xf numFmtId="227" fontId="50" fillId="0" borderId="0" applyFont="0" applyFill="0" applyBorder="0" applyAlignment="0" applyProtection="0"/>
    <xf numFmtId="0" fontId="36" fillId="0" borderId="0">
      <alignment vertical="top"/>
    </xf>
    <xf numFmtId="0" fontId="69" fillId="0" borderId="0"/>
    <xf numFmtId="0" fontId="70" fillId="0" borderId="0"/>
    <xf numFmtId="0" fontId="69" fillId="0" borderId="0"/>
    <xf numFmtId="0" fontId="71" fillId="0" borderId="0" applyNumberFormat="0" applyFill="0" applyBorder="0" applyAlignment="0" applyProtection="0">
      <alignment vertical="top"/>
      <protection locked="0"/>
    </xf>
    <xf numFmtId="43" fontId="28" fillId="0" borderId="0" applyFont="0" applyFill="0" applyBorder="0" applyAlignment="0" applyProtection="0"/>
    <xf numFmtId="0" fontId="69" fillId="0" borderId="0"/>
    <xf numFmtId="228" fontId="39" fillId="0" borderId="0"/>
    <xf numFmtId="1" fontId="24" fillId="0" borderId="0"/>
    <xf numFmtId="9" fontId="24" fillId="0" borderId="0"/>
    <xf numFmtId="229" fontId="72" fillId="0" borderId="0">
      <alignment horizontal="center"/>
    </xf>
    <xf numFmtId="230" fontId="72" fillId="0" borderId="0">
      <alignment horizontal="center"/>
    </xf>
    <xf numFmtId="231" fontId="72" fillId="0" borderId="0">
      <alignment horizontal="center"/>
    </xf>
    <xf numFmtId="232" fontId="50" fillId="0" borderId="0">
      <alignment horizontal="center"/>
    </xf>
    <xf numFmtId="233" fontId="72" fillId="0" borderId="0">
      <alignment horizontal="center"/>
    </xf>
    <xf numFmtId="234" fontId="72" fillId="0" borderId="0">
      <alignment horizontal="center"/>
    </xf>
    <xf numFmtId="190" fontId="39" fillId="0" borderId="0"/>
    <xf numFmtId="235" fontId="73" fillId="0" borderId="0">
      <alignment horizontal="left"/>
      <protection locked="0"/>
    </xf>
    <xf numFmtId="165" fontId="39" fillId="0" borderId="0"/>
    <xf numFmtId="2" fontId="39" fillId="0" borderId="0"/>
    <xf numFmtId="10" fontId="39" fillId="0" borderId="0"/>
    <xf numFmtId="2" fontId="39" fillId="0" borderId="0"/>
    <xf numFmtId="1" fontId="74" fillId="0" borderId="0"/>
    <xf numFmtId="1" fontId="24" fillId="0" borderId="0"/>
    <xf numFmtId="228" fontId="39" fillId="0" borderId="0"/>
    <xf numFmtId="228"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236" fontId="72" fillId="0" borderId="0">
      <alignment horizontal="center"/>
    </xf>
    <xf numFmtId="237" fontId="72" fillId="0" borderId="0">
      <alignment horizontal="center"/>
    </xf>
    <xf numFmtId="229" fontId="72" fillId="0" borderId="0">
      <alignment horizontal="center"/>
    </xf>
    <xf numFmtId="238" fontId="50" fillId="0" borderId="0">
      <alignment horizontal="center"/>
    </xf>
    <xf numFmtId="239" fontId="75" fillId="0" borderId="0">
      <alignment horizontal="left"/>
    </xf>
    <xf numFmtId="240" fontId="76" fillId="0" borderId="0">
      <alignment horizontal="left"/>
    </xf>
    <xf numFmtId="191" fontId="24" fillId="0" borderId="0"/>
    <xf numFmtId="241" fontId="24" fillId="0" borderId="0" applyFont="0" applyFill="0" applyBorder="0" applyAlignment="0" applyProtection="0"/>
    <xf numFmtId="190" fontId="33" fillId="0" borderId="0"/>
    <xf numFmtId="190" fontId="33" fillId="0" borderId="0"/>
    <xf numFmtId="190" fontId="24" fillId="0" borderId="0"/>
    <xf numFmtId="190" fontId="33" fillId="0" borderId="0"/>
    <xf numFmtId="190" fontId="33" fillId="0" borderId="0"/>
    <xf numFmtId="190" fontId="33" fillId="0" borderId="0"/>
    <xf numFmtId="242" fontId="24" fillId="0" borderId="0" applyFont="0" applyFill="0" applyBorder="0" applyAlignment="0" applyProtection="0"/>
    <xf numFmtId="0" fontId="24" fillId="0" borderId="0" applyFont="0" applyFill="0" applyBorder="0" applyAlignment="0" applyProtection="0"/>
    <xf numFmtId="243" fontId="23" fillId="0" borderId="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77" fillId="37" borderId="0" applyNumberFormat="0" applyBorder="0" applyAlignment="0" applyProtection="0"/>
    <xf numFmtId="0" fontId="77" fillId="38" borderId="0" applyNumberFormat="0" applyBorder="0" applyAlignment="0" applyProtection="0"/>
    <xf numFmtId="0" fontId="77" fillId="39" borderId="0" applyNumberFormat="0" applyBorder="0" applyAlignment="0" applyProtection="0"/>
    <xf numFmtId="0" fontId="77" fillId="40"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8" fillId="43" borderId="0" applyNumberFormat="0" applyBorder="0" applyAlignment="0" applyProtection="0"/>
    <xf numFmtId="0" fontId="78" fillId="42" borderId="0" applyNumberFormat="0" applyBorder="0" applyAlignment="0" applyProtection="0"/>
    <xf numFmtId="0" fontId="78" fillId="44" borderId="0" applyNumberFormat="0" applyBorder="0" applyAlignment="0" applyProtection="0"/>
    <xf numFmtId="0" fontId="78" fillId="43" borderId="0" applyNumberFormat="0" applyBorder="0" applyAlignment="0" applyProtection="0"/>
    <xf numFmtId="0" fontId="78" fillId="41" borderId="0" applyNumberFormat="0" applyBorder="0" applyAlignment="0" applyProtection="0"/>
    <xf numFmtId="0" fontId="78" fillId="42" borderId="0" applyNumberFormat="0" applyBorder="0" applyAlignment="0" applyProtection="0"/>
    <xf numFmtId="0" fontId="79" fillId="37" borderId="0" applyNumberFormat="0" applyBorder="0" applyAlignment="0" applyProtection="0"/>
    <xf numFmtId="0" fontId="24" fillId="0" borderId="0" applyNumberFormat="0" applyBorder="0" applyAlignment="0" applyProtection="0"/>
    <xf numFmtId="0" fontId="79" fillId="38" borderId="0" applyNumberFormat="0" applyBorder="0" applyAlignment="0" applyProtection="0"/>
    <xf numFmtId="0" fontId="24" fillId="0" borderId="0" applyNumberFormat="0" applyBorder="0" applyAlignment="0" applyProtection="0"/>
    <xf numFmtId="0" fontId="79" fillId="39" borderId="0" applyNumberFormat="0" applyBorder="0" applyAlignment="0" applyProtection="0"/>
    <xf numFmtId="0" fontId="24" fillId="0" borderId="0" applyNumberFormat="0" applyBorder="0" applyAlignment="0" applyProtection="0"/>
    <xf numFmtId="0" fontId="79" fillId="40" borderId="0" applyNumberFormat="0" applyBorder="0" applyAlignment="0" applyProtection="0"/>
    <xf numFmtId="0" fontId="24" fillId="0" borderId="0" applyNumberFormat="0" applyBorder="0" applyAlignment="0" applyProtection="0"/>
    <xf numFmtId="0" fontId="79" fillId="41" borderId="0" applyNumberFormat="0" applyBorder="0" applyAlignment="0" applyProtection="0"/>
    <xf numFmtId="0" fontId="24" fillId="0" borderId="0" applyNumberFormat="0" applyBorder="0" applyAlignment="0" applyProtection="0"/>
    <xf numFmtId="0" fontId="79" fillId="42" borderId="0" applyNumberFormat="0" applyBorder="0" applyAlignment="0" applyProtection="0"/>
    <xf numFmtId="0" fontId="24" fillId="0" borderId="0" applyNumberFormat="0" applyBorder="0" applyAlignment="0" applyProtection="0"/>
    <xf numFmtId="244" fontId="33" fillId="0" borderId="0"/>
    <xf numFmtId="244" fontId="33" fillId="0" borderId="0"/>
    <xf numFmtId="244" fontId="24" fillId="0" borderId="0"/>
    <xf numFmtId="244" fontId="33" fillId="0" borderId="0"/>
    <xf numFmtId="244" fontId="33" fillId="0" borderId="0"/>
    <xf numFmtId="244" fontId="33" fillId="0" borderId="0"/>
    <xf numFmtId="40" fontId="33" fillId="0" borderId="0"/>
    <xf numFmtId="40" fontId="33" fillId="0" borderId="0"/>
    <xf numFmtId="40" fontId="24" fillId="0" borderId="0"/>
    <xf numFmtId="40" fontId="33" fillId="0" borderId="0"/>
    <xf numFmtId="40" fontId="33" fillId="0" borderId="0"/>
    <xf numFmtId="40" fontId="33" fillId="0" borderId="0"/>
    <xf numFmtId="245" fontId="23" fillId="0" borderId="0" applyBorder="0"/>
    <xf numFmtId="42" fontId="24" fillId="0" borderId="0" applyFont="0" applyFill="0" applyBorder="0" applyAlignment="0" applyProtection="0"/>
    <xf numFmtId="44" fontId="24" fillId="0" borderId="0" applyFont="0" applyFill="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79" fillId="45" borderId="0" applyNumberFormat="0" applyBorder="0" applyAlignment="0" applyProtection="0"/>
    <xf numFmtId="0" fontId="24" fillId="0" borderId="0" applyNumberFormat="0" applyBorder="0" applyAlignment="0" applyProtection="0"/>
    <xf numFmtId="0" fontId="79" fillId="46" borderId="0" applyNumberFormat="0" applyBorder="0" applyAlignment="0" applyProtection="0"/>
    <xf numFmtId="0" fontId="24" fillId="0" borderId="0" applyNumberFormat="0" applyBorder="0" applyAlignment="0" applyProtection="0"/>
    <xf numFmtId="0" fontId="79" fillId="47" borderId="0" applyNumberFormat="0" applyBorder="0" applyAlignment="0" applyProtection="0"/>
    <xf numFmtId="0" fontId="24" fillId="0" borderId="0" applyNumberFormat="0" applyBorder="0" applyAlignment="0" applyProtection="0"/>
    <xf numFmtId="0" fontId="79" fillId="40" borderId="0" applyNumberFormat="0" applyBorder="0" applyAlignment="0" applyProtection="0"/>
    <xf numFmtId="0" fontId="24" fillId="0" borderId="0" applyNumberFormat="0" applyBorder="0" applyAlignment="0" applyProtection="0"/>
    <xf numFmtId="0" fontId="79" fillId="45" borderId="0" applyNumberFormat="0" applyBorder="0" applyAlignment="0" applyProtection="0"/>
    <xf numFmtId="0" fontId="24" fillId="0" borderId="0" applyNumberFormat="0" applyBorder="0" applyAlignment="0" applyProtection="0"/>
    <xf numFmtId="0" fontId="79" fillId="48" borderId="0" applyNumberFormat="0" applyBorder="0" applyAlignment="0" applyProtection="0"/>
    <xf numFmtId="0" fontId="24" fillId="0" borderId="0" applyNumberFormat="0" applyBorder="0" applyAlignment="0" applyProtection="0"/>
    <xf numFmtId="0" fontId="24" fillId="0" borderId="0"/>
    <xf numFmtId="0" fontId="24" fillId="0" borderId="0"/>
    <xf numFmtId="0" fontId="24" fillId="0" borderId="0"/>
    <xf numFmtId="0" fontId="24" fillId="0" borderId="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24" fillId="0" borderId="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246"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246"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24" fillId="0" borderId="0"/>
    <xf numFmtId="246"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246" fontId="81" fillId="49" borderId="0" applyNumberFormat="0" applyBorder="0" applyAlignment="0" applyProtection="0"/>
    <xf numFmtId="0" fontId="81" fillId="49" borderId="0" applyNumberFormat="0" applyBorder="0" applyAlignment="0" applyProtection="0"/>
    <xf numFmtId="0" fontId="24" fillId="0" borderId="0"/>
    <xf numFmtId="246" fontId="81" fillId="49"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246" fontId="81" fillId="49" borderId="0" applyNumberFormat="0" applyBorder="0" applyAlignment="0" applyProtection="0"/>
    <xf numFmtId="0" fontId="80" fillId="7" borderId="0" applyNumberFormat="0" applyBorder="0" applyAlignment="0" applyProtection="0"/>
    <xf numFmtId="0" fontId="24" fillId="0" borderId="0"/>
    <xf numFmtId="246" fontId="81" fillId="49"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246" fontId="81" fillId="49" borderId="0" applyNumberFormat="0" applyBorder="0" applyAlignment="0" applyProtection="0"/>
    <xf numFmtId="0" fontId="80" fillId="7" borderId="0" applyNumberFormat="0" applyBorder="0" applyAlignment="0" applyProtection="0"/>
    <xf numFmtId="0" fontId="24" fillId="0" borderId="0"/>
    <xf numFmtId="0" fontId="81" fillId="49" borderId="0" applyNumberFormat="0" applyBorder="0" applyAlignment="0" applyProtection="0"/>
    <xf numFmtId="0" fontId="81" fillId="49"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24" fillId="0" borderId="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246"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246"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24" fillId="0" borderId="0"/>
    <xf numFmtId="246"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246" fontId="81" fillId="46" borderId="0" applyNumberFormat="0" applyBorder="0" applyAlignment="0" applyProtection="0"/>
    <xf numFmtId="0" fontId="81" fillId="46" borderId="0" applyNumberFormat="0" applyBorder="0" applyAlignment="0" applyProtection="0"/>
    <xf numFmtId="0" fontId="24" fillId="0" borderId="0"/>
    <xf numFmtId="246" fontId="81" fillId="46"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246" fontId="81" fillId="46" borderId="0" applyNumberFormat="0" applyBorder="0" applyAlignment="0" applyProtection="0"/>
    <xf numFmtId="0" fontId="80" fillId="11" borderId="0" applyNumberFormat="0" applyBorder="0" applyAlignment="0" applyProtection="0"/>
    <xf numFmtId="0" fontId="24" fillId="0" borderId="0"/>
    <xf numFmtId="246" fontId="81" fillId="46"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246" fontId="81" fillId="46" borderId="0" applyNumberFormat="0" applyBorder="0" applyAlignment="0" applyProtection="0"/>
    <xf numFmtId="0" fontId="80" fillId="11" borderId="0" applyNumberFormat="0" applyBorder="0" applyAlignment="0" applyProtection="0"/>
    <xf numFmtId="0" fontId="24" fillId="0" borderId="0"/>
    <xf numFmtId="0" fontId="81" fillId="46" borderId="0" applyNumberFormat="0" applyBorder="0" applyAlignment="0" applyProtection="0"/>
    <xf numFmtId="0" fontId="81" fillId="46"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24" fillId="0" borderId="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246"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246"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24" fillId="0" borderId="0"/>
    <xf numFmtId="246"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246" fontId="81" fillId="47" borderId="0" applyNumberFormat="0" applyBorder="0" applyAlignment="0" applyProtection="0"/>
    <xf numFmtId="0" fontId="81" fillId="47" borderId="0" applyNumberFormat="0" applyBorder="0" applyAlignment="0" applyProtection="0"/>
    <xf numFmtId="0" fontId="24" fillId="0" borderId="0"/>
    <xf numFmtId="246" fontId="81" fillId="47"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246" fontId="81" fillId="47" borderId="0" applyNumberFormat="0" applyBorder="0" applyAlignment="0" applyProtection="0"/>
    <xf numFmtId="0" fontId="80" fillId="15" borderId="0" applyNumberFormat="0" applyBorder="0" applyAlignment="0" applyProtection="0"/>
    <xf numFmtId="0" fontId="24" fillId="0" borderId="0"/>
    <xf numFmtId="246" fontId="81" fillId="47"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246" fontId="81" fillId="47" borderId="0" applyNumberFormat="0" applyBorder="0" applyAlignment="0" applyProtection="0"/>
    <xf numFmtId="0" fontId="80" fillId="15" borderId="0" applyNumberFormat="0" applyBorder="0" applyAlignment="0" applyProtection="0"/>
    <xf numFmtId="0" fontId="24" fillId="0" borderId="0"/>
    <xf numFmtId="0" fontId="81" fillId="47" borderId="0" applyNumberFormat="0" applyBorder="0" applyAlignment="0" applyProtection="0"/>
    <xf numFmtId="0" fontId="81" fillId="4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246" fontId="81" fillId="50" borderId="0" applyNumberFormat="0" applyBorder="0" applyAlignment="0" applyProtection="0"/>
    <xf numFmtId="0" fontId="80" fillId="19" borderId="0" applyNumberFormat="0" applyBorder="0" applyAlignment="0" applyProtection="0"/>
    <xf numFmtId="0" fontId="24" fillId="0" borderId="0"/>
    <xf numFmtId="246" fontId="81" fillId="50"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246" fontId="81" fillId="50" borderId="0" applyNumberFormat="0" applyBorder="0" applyAlignment="0" applyProtection="0"/>
    <xf numFmtId="0" fontId="80" fillId="19"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246" fontId="81" fillId="51" borderId="0" applyNumberFormat="0" applyBorder="0" applyAlignment="0" applyProtection="0"/>
    <xf numFmtId="0" fontId="80" fillId="23" borderId="0" applyNumberFormat="0" applyBorder="0" applyAlignment="0" applyProtection="0"/>
    <xf numFmtId="0" fontId="24" fillId="0" borderId="0"/>
    <xf numFmtId="246" fontId="81" fillId="51"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246" fontId="81" fillId="51" borderId="0" applyNumberFormat="0" applyBorder="0" applyAlignment="0" applyProtection="0"/>
    <xf numFmtId="0" fontId="80" fillId="23"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24" fillId="0" borderId="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24" fillId="0" borderId="0"/>
    <xf numFmtId="246"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246" fontId="81" fillId="52" borderId="0" applyNumberFormat="0" applyBorder="0" applyAlignment="0" applyProtection="0"/>
    <xf numFmtId="0" fontId="81" fillId="52" borderId="0" applyNumberFormat="0" applyBorder="0" applyAlignment="0" applyProtection="0"/>
    <xf numFmtId="0" fontId="24" fillId="0" borderId="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24" fillId="0" borderId="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24" fillId="0" borderId="0"/>
    <xf numFmtId="0" fontId="81" fillId="52" borderId="0" applyNumberFormat="0" applyBorder="0" applyAlignment="0" applyProtection="0"/>
    <xf numFmtId="0" fontId="81" fillId="52"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2" fillId="49" borderId="0" applyNumberFormat="0" applyBorder="0" applyAlignment="0" applyProtection="0"/>
    <xf numFmtId="0" fontId="24" fillId="0" borderId="0" applyNumberFormat="0" applyBorder="0" applyAlignment="0" applyProtection="0"/>
    <xf numFmtId="0" fontId="82" fillId="46" borderId="0" applyNumberFormat="0" applyBorder="0" applyAlignment="0" applyProtection="0"/>
    <xf numFmtId="0" fontId="24" fillId="0" borderId="0" applyNumberFormat="0" applyBorder="0" applyAlignment="0" applyProtection="0"/>
    <xf numFmtId="0" fontId="82" fillId="47" borderId="0" applyNumberFormat="0" applyBorder="0" applyAlignment="0" applyProtection="0"/>
    <xf numFmtId="0" fontId="24" fillId="0" borderId="0" applyNumberFormat="0" applyBorder="0" applyAlignment="0" applyProtection="0"/>
    <xf numFmtId="0" fontId="82" fillId="50" borderId="0" applyNumberFormat="0" applyBorder="0" applyAlignment="0" applyProtection="0"/>
    <xf numFmtId="0" fontId="24" fillId="0" borderId="0" applyNumberFormat="0" applyBorder="0" applyAlignment="0" applyProtection="0"/>
    <xf numFmtId="0" fontId="82" fillId="51" borderId="0" applyNumberFormat="0" applyBorder="0" applyAlignment="0" applyProtection="0"/>
    <xf numFmtId="0" fontId="24" fillId="0" borderId="0" applyNumberFormat="0" applyBorder="0" applyAlignment="0" applyProtection="0"/>
    <xf numFmtId="0" fontId="82" fillId="52" borderId="0" applyNumberFormat="0" applyBorder="0" applyAlignment="0" applyProtection="0"/>
    <xf numFmtId="0" fontId="24" fillId="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24" fillId="0" borderId="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24" fillId="0" borderId="0"/>
    <xf numFmtId="246"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246" fontId="81" fillId="53" borderId="0" applyNumberFormat="0" applyBorder="0" applyAlignment="0" applyProtection="0"/>
    <xf numFmtId="0" fontId="81" fillId="53" borderId="0" applyNumberFormat="0" applyBorder="0" applyAlignment="0" applyProtection="0"/>
    <xf numFmtId="0" fontId="24" fillId="0" borderId="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24" fillId="0" borderId="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24" fillId="0" borderId="0"/>
    <xf numFmtId="0" fontId="81" fillId="53" borderId="0" applyNumberFormat="0" applyBorder="0" applyAlignment="0" applyProtection="0"/>
    <xf numFmtId="0" fontId="81" fillId="53"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24" fillId="0" borderId="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246"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246"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24" fillId="0" borderId="0"/>
    <xf numFmtId="246"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246" fontId="81" fillId="54" borderId="0" applyNumberFormat="0" applyBorder="0" applyAlignment="0" applyProtection="0"/>
    <xf numFmtId="0" fontId="81" fillId="54" borderId="0" applyNumberFormat="0" applyBorder="0" applyAlignment="0" applyProtection="0"/>
    <xf numFmtId="0" fontId="24" fillId="0" borderId="0"/>
    <xf numFmtId="246" fontId="81" fillId="54"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246" fontId="81" fillId="54" borderId="0" applyNumberFormat="0" applyBorder="0" applyAlignment="0" applyProtection="0"/>
    <xf numFmtId="0" fontId="80" fillId="8" borderId="0" applyNumberFormat="0" applyBorder="0" applyAlignment="0" applyProtection="0"/>
    <xf numFmtId="0" fontId="24" fillId="0" borderId="0"/>
    <xf numFmtId="246" fontId="81" fillId="54"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246" fontId="81" fillId="54" borderId="0" applyNumberFormat="0" applyBorder="0" applyAlignment="0" applyProtection="0"/>
    <xf numFmtId="0" fontId="80" fillId="8" borderId="0" applyNumberFormat="0" applyBorder="0" applyAlignment="0" applyProtection="0"/>
    <xf numFmtId="0" fontId="24" fillId="0" borderId="0"/>
    <xf numFmtId="0" fontId="81" fillId="54" borderId="0" applyNumberFormat="0" applyBorder="0" applyAlignment="0" applyProtection="0"/>
    <xf numFmtId="0" fontId="81" fillId="54"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24" fillId="0" borderId="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246"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246"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24" fillId="0" borderId="0"/>
    <xf numFmtId="246"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246" fontId="81" fillId="55" borderId="0" applyNumberFormat="0" applyBorder="0" applyAlignment="0" applyProtection="0"/>
    <xf numFmtId="0" fontId="81" fillId="55" borderId="0" applyNumberFormat="0" applyBorder="0" applyAlignment="0" applyProtection="0"/>
    <xf numFmtId="0" fontId="24" fillId="0" borderId="0"/>
    <xf numFmtId="246" fontId="81" fillId="55"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246" fontId="81" fillId="55" borderId="0" applyNumberFormat="0" applyBorder="0" applyAlignment="0" applyProtection="0"/>
    <xf numFmtId="0" fontId="80" fillId="12" borderId="0" applyNumberFormat="0" applyBorder="0" applyAlignment="0" applyProtection="0"/>
    <xf numFmtId="0" fontId="24" fillId="0" borderId="0"/>
    <xf numFmtId="246" fontId="81" fillId="55"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246" fontId="81" fillId="55" borderId="0" applyNumberFormat="0" applyBorder="0" applyAlignment="0" applyProtection="0"/>
    <xf numFmtId="0" fontId="80" fillId="12" borderId="0" applyNumberFormat="0" applyBorder="0" applyAlignment="0" applyProtection="0"/>
    <xf numFmtId="0" fontId="24" fillId="0" borderId="0"/>
    <xf numFmtId="0" fontId="81" fillId="55" borderId="0" applyNumberFormat="0" applyBorder="0" applyAlignment="0" applyProtection="0"/>
    <xf numFmtId="0" fontId="81" fillId="55"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246" fontId="81" fillId="50" borderId="0" applyNumberFormat="0" applyBorder="0" applyAlignment="0" applyProtection="0"/>
    <xf numFmtId="0" fontId="80" fillId="16" borderId="0" applyNumberFormat="0" applyBorder="0" applyAlignment="0" applyProtection="0"/>
    <xf numFmtId="0" fontId="24" fillId="0" borderId="0"/>
    <xf numFmtId="246" fontId="81" fillId="50"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246" fontId="81" fillId="50" borderId="0" applyNumberFormat="0" applyBorder="0" applyAlignment="0" applyProtection="0"/>
    <xf numFmtId="0" fontId="80" fillId="16"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246" fontId="81" fillId="51" borderId="0" applyNumberFormat="0" applyBorder="0" applyAlignment="0" applyProtection="0"/>
    <xf numFmtId="0" fontId="80" fillId="20" borderId="0" applyNumberFormat="0" applyBorder="0" applyAlignment="0" applyProtection="0"/>
    <xf numFmtId="0" fontId="24" fillId="0" borderId="0"/>
    <xf numFmtId="246" fontId="81" fillId="51"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246" fontId="81" fillId="51" borderId="0" applyNumberFormat="0" applyBorder="0" applyAlignment="0" applyProtection="0"/>
    <xf numFmtId="0" fontId="80" fillId="20"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24" fillId="0" borderId="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246"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246"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24" fillId="0" borderId="0"/>
    <xf numFmtId="246"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246" fontId="81" fillId="56" borderId="0" applyNumberFormat="0" applyBorder="0" applyAlignment="0" applyProtection="0"/>
    <xf numFmtId="0" fontId="81" fillId="56" borderId="0" applyNumberFormat="0" applyBorder="0" applyAlignment="0" applyProtection="0"/>
    <xf numFmtId="0" fontId="24" fillId="0" borderId="0"/>
    <xf numFmtId="246" fontId="81" fillId="56"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246" fontId="81" fillId="56" borderId="0" applyNumberFormat="0" applyBorder="0" applyAlignment="0" applyProtection="0"/>
    <xf numFmtId="0" fontId="80" fillId="24" borderId="0" applyNumberFormat="0" applyBorder="0" applyAlignment="0" applyProtection="0"/>
    <xf numFmtId="0" fontId="24" fillId="0" borderId="0"/>
    <xf numFmtId="246" fontId="81" fillId="56"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246" fontId="81" fillId="56" borderId="0" applyNumberFormat="0" applyBorder="0" applyAlignment="0" applyProtection="0"/>
    <xf numFmtId="0" fontId="80" fillId="24" borderId="0" applyNumberFormat="0" applyBorder="0" applyAlignment="0" applyProtection="0"/>
    <xf numFmtId="0" fontId="24" fillId="0" borderId="0"/>
    <xf numFmtId="0" fontId="81" fillId="56" borderId="0" applyNumberFormat="0" applyBorder="0" applyAlignment="0" applyProtection="0"/>
    <xf numFmtId="0" fontId="81" fillId="56" borderId="0" applyNumberFormat="0" applyBorder="0" applyAlignment="0" applyProtection="0"/>
    <xf numFmtId="0" fontId="24" fillId="0" borderId="0"/>
    <xf numFmtId="0" fontId="24" fillId="0" borderId="0"/>
    <xf numFmtId="0" fontId="24" fillId="0" borderId="0"/>
    <xf numFmtId="247" fontId="28" fillId="0" borderId="3"/>
    <xf numFmtId="247" fontId="28" fillId="0" borderId="3"/>
    <xf numFmtId="247" fontId="24" fillId="0" borderId="0"/>
    <xf numFmtId="247" fontId="28" fillId="0" borderId="3"/>
    <xf numFmtId="247" fontId="28" fillId="0" borderId="3"/>
    <xf numFmtId="247" fontId="28" fillId="0" borderId="3"/>
    <xf numFmtId="42" fontId="83" fillId="0" borderId="0" applyFont="0"/>
    <xf numFmtId="42" fontId="83" fillId="0" borderId="14" applyFont="0"/>
    <xf numFmtId="41" fontId="83" fillId="0" borderId="0" applyFont="0"/>
    <xf numFmtId="0" fontId="54" fillId="0" borderId="0" applyNumberFormat="0" applyAlignment="0"/>
    <xf numFmtId="0" fontId="54" fillId="0" borderId="0" applyNumberFormat="0" applyAlignment="0"/>
    <xf numFmtId="0" fontId="24" fillId="0" borderId="0" applyNumberFormat="0" applyAlignment="0"/>
    <xf numFmtId="0" fontId="54" fillId="0" borderId="0" applyNumberFormat="0" applyAlignment="0"/>
    <xf numFmtId="0" fontId="54" fillId="0" borderId="0" applyNumberFormat="0" applyAlignment="0"/>
    <xf numFmtId="0" fontId="54" fillId="0" borderId="0" applyNumberFormat="0" applyAlignment="0"/>
    <xf numFmtId="0" fontId="24" fillId="0" borderId="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8" fontId="28" fillId="0" borderId="13"/>
    <xf numFmtId="0" fontId="24" fillId="0" borderId="0"/>
    <xf numFmtId="249" fontId="28" fillId="0" borderId="3"/>
    <xf numFmtId="249" fontId="28" fillId="0" borderId="3"/>
    <xf numFmtId="249" fontId="24" fillId="0" borderId="0"/>
    <xf numFmtId="249" fontId="28" fillId="0" borderId="3"/>
    <xf numFmtId="249" fontId="28" fillId="0" borderId="3"/>
    <xf numFmtId="249" fontId="28" fillId="0" borderId="3"/>
    <xf numFmtId="0" fontId="24" fillId="0" borderId="0"/>
    <xf numFmtId="0" fontId="84" fillId="0" borderId="0"/>
    <xf numFmtId="0" fontId="24" fillId="0" borderId="0"/>
    <xf numFmtId="0" fontId="84" fillId="0" borderId="0"/>
    <xf numFmtId="0" fontId="84" fillId="0" borderId="0"/>
    <xf numFmtId="249" fontId="28" fillId="0" borderId="10" applyBorder="0"/>
    <xf numFmtId="249" fontId="28" fillId="0" borderId="10" applyBorder="0"/>
    <xf numFmtId="249" fontId="24" fillId="0" borderId="0" applyBorder="0"/>
    <xf numFmtId="249" fontId="28" fillId="0" borderId="10" applyBorder="0"/>
    <xf numFmtId="249" fontId="28" fillId="0" borderId="10" applyBorder="0"/>
    <xf numFmtId="249" fontId="28" fillId="0" borderId="10" applyBorder="0"/>
    <xf numFmtId="0" fontId="34" fillId="0" borderId="0"/>
    <xf numFmtId="37" fontId="53" fillId="1" borderId="8">
      <alignment horizontal="centerContinuous" vertical="center"/>
    </xf>
    <xf numFmtId="37" fontId="53" fillId="1" borderId="8">
      <alignment horizontal="centerContinuous" vertical="center"/>
    </xf>
    <xf numFmtId="0" fontId="24" fillId="0" borderId="0"/>
    <xf numFmtId="0" fontId="24" fillId="0" borderId="0"/>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250" fontId="24" fillId="0" borderId="0" applyFont="0" applyFill="0" applyBorder="0" applyAlignment="0" applyProtection="0"/>
    <xf numFmtId="0" fontId="24" fillId="0" borderId="0"/>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24" fillId="0" borderId="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xf numFmtId="246" fontId="27" fillId="0" borderId="0" applyNumberFormat="0" applyFill="0" applyBorder="0" applyAlignment="0" applyProtection="0"/>
    <xf numFmtId="0" fontId="27" fillId="0" borderId="0" applyNumberFormat="0" applyFill="0" applyBorder="0" applyAlignment="0" applyProtection="0"/>
    <xf numFmtId="246" fontId="27" fillId="0" borderId="0" applyNumberFormat="0" applyFill="0" applyBorder="0" applyAlignment="0" applyProtection="0"/>
    <xf numFmtId="246"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86" fillId="0" borderId="0" applyNumberFormat="0" applyAlignment="0"/>
    <xf numFmtId="0" fontId="24" fillId="0" borderId="0" applyNumberFormat="0" applyAlignment="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24" fillId="0" borderId="0"/>
    <xf numFmtId="0" fontId="24" fillId="0" borderId="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24" fillId="0" borderId="0"/>
    <xf numFmtId="0" fontId="24" fillId="0" borderId="0"/>
    <xf numFmtId="0" fontId="66" fillId="0" borderId="0">
      <alignment horizontal="right"/>
    </xf>
    <xf numFmtId="0" fontId="66" fillId="0" borderId="0">
      <alignment horizontal="right"/>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24" fillId="0" borderId="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246"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246"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24" fillId="0" borderId="0"/>
    <xf numFmtId="246"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246" fontId="90" fillId="38" borderId="0" applyNumberFormat="0" applyBorder="0" applyAlignment="0" applyProtection="0"/>
    <xf numFmtId="0" fontId="90" fillId="38" borderId="0" applyNumberFormat="0" applyBorder="0" applyAlignment="0" applyProtection="0"/>
    <xf numFmtId="0" fontId="24" fillId="0" borderId="0"/>
    <xf numFmtId="246" fontId="90" fillId="38"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246" fontId="90" fillId="38" borderId="0" applyNumberFormat="0" applyBorder="0" applyAlignment="0" applyProtection="0"/>
    <xf numFmtId="0" fontId="89" fillId="2" borderId="0" applyNumberFormat="0" applyBorder="0" applyAlignment="0" applyProtection="0"/>
    <xf numFmtId="0" fontId="24" fillId="0" borderId="0"/>
    <xf numFmtId="246" fontId="90" fillId="38"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246" fontId="90" fillId="38" borderId="0" applyNumberFormat="0" applyBorder="0" applyAlignment="0" applyProtection="0"/>
    <xf numFmtId="0" fontId="89" fillId="2" borderId="0" applyNumberFormat="0" applyBorder="0" applyAlignment="0" applyProtection="0"/>
    <xf numFmtId="0" fontId="24" fillId="0" borderId="0"/>
    <xf numFmtId="0" fontId="90" fillId="38" borderId="0" applyNumberFormat="0" applyBorder="0" applyAlignment="0" applyProtection="0"/>
    <xf numFmtId="0" fontId="90" fillId="38" borderId="0" applyNumberFormat="0" applyBorder="0" applyAlignment="0" applyProtection="0"/>
    <xf numFmtId="0" fontId="24" fillId="0" borderId="0"/>
    <xf numFmtId="0" fontId="24" fillId="0" borderId="0"/>
    <xf numFmtId="0" fontId="24" fillId="0" borderId="0"/>
    <xf numFmtId="164" fontId="91" fillId="59" borderId="0" applyNumberFormat="0" applyBorder="0" applyAlignment="0" applyProtection="0">
      <alignment horizontal="center" vertical="center" wrapText="1"/>
    </xf>
    <xf numFmtId="0" fontId="24" fillId="0" borderId="0"/>
    <xf numFmtId="0" fontId="24" fillId="0" borderId="0"/>
    <xf numFmtId="0" fontId="67" fillId="0" borderId="0" applyNumberFormat="0" applyFill="0" applyBorder="0" applyAlignment="0" applyProtection="0"/>
    <xf numFmtId="0" fontId="67" fillId="0" borderId="0" applyNumberFormat="0" applyFill="0" applyBorder="0" applyAlignment="0" applyProtection="0"/>
    <xf numFmtId="0" fontId="24"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251" fontId="92" fillId="0" borderId="0"/>
    <xf numFmtId="251" fontId="24" fillId="0" borderId="0"/>
    <xf numFmtId="191" fontId="33" fillId="0" borderId="0"/>
    <xf numFmtId="191" fontId="33" fillId="0" borderId="0"/>
    <xf numFmtId="191" fontId="24" fillId="0" borderId="0"/>
    <xf numFmtId="191" fontId="33" fillId="0" borderId="0"/>
    <xf numFmtId="191" fontId="33" fillId="0" borderId="0"/>
    <xf numFmtId="191" fontId="33" fillId="0" borderId="0"/>
    <xf numFmtId="177" fontId="33" fillId="0" borderId="8"/>
    <xf numFmtId="177" fontId="33" fillId="0" borderId="8"/>
    <xf numFmtId="177" fontId="24" fillId="0" borderId="0"/>
    <xf numFmtId="177" fontId="33" fillId="0" borderId="8"/>
    <xf numFmtId="177" fontId="33" fillId="0" borderId="8"/>
    <xf numFmtId="177" fontId="33" fillId="0" borderId="8"/>
    <xf numFmtId="252" fontId="92" fillId="0" borderId="0"/>
    <xf numFmtId="252" fontId="24" fillId="0" borderId="0"/>
    <xf numFmtId="0" fontId="92" fillId="0" borderId="0"/>
    <xf numFmtId="0" fontId="24" fillId="0" borderId="0"/>
    <xf numFmtId="253" fontId="92" fillId="0" borderId="0"/>
    <xf numFmtId="253" fontId="24" fillId="0" borderId="0"/>
    <xf numFmtId="0" fontId="33" fillId="0" borderId="0">
      <alignment horizontal="right"/>
    </xf>
    <xf numFmtId="0" fontId="33" fillId="0" borderId="0">
      <alignment horizontal="right"/>
    </xf>
    <xf numFmtId="0" fontId="24" fillId="0" borderId="0">
      <alignment horizontal="right"/>
    </xf>
    <xf numFmtId="0" fontId="33" fillId="0" borderId="0">
      <alignment horizontal="right"/>
    </xf>
    <xf numFmtId="0" fontId="33" fillId="0" borderId="0">
      <alignment horizontal="right"/>
    </xf>
    <xf numFmtId="0" fontId="33" fillId="0" borderId="0">
      <alignment horizontal="right"/>
    </xf>
    <xf numFmtId="254" fontId="92" fillId="0" borderId="0">
      <alignment horizontal="right"/>
    </xf>
    <xf numFmtId="254" fontId="24" fillId="0" borderId="0">
      <alignment horizontal="right"/>
    </xf>
    <xf numFmtId="255" fontId="92" fillId="0" borderId="0">
      <alignment horizontal="right"/>
    </xf>
    <xf numFmtId="255" fontId="24" fillId="0" borderId="0">
      <alignment horizontal="right"/>
    </xf>
    <xf numFmtId="0" fontId="33" fillId="0" borderId="0">
      <alignment horizontal="right"/>
    </xf>
    <xf numFmtId="256" fontId="33" fillId="0" borderId="0">
      <alignment horizontal="right"/>
    </xf>
    <xf numFmtId="256" fontId="33" fillId="0" borderId="0">
      <alignment horizontal="right"/>
    </xf>
    <xf numFmtId="256" fontId="24" fillId="0" borderId="0">
      <alignment horizontal="right"/>
    </xf>
    <xf numFmtId="256" fontId="33" fillId="0" borderId="0">
      <alignment horizontal="right"/>
    </xf>
    <xf numFmtId="256" fontId="33" fillId="0" borderId="0">
      <alignment horizontal="right"/>
    </xf>
    <xf numFmtId="256" fontId="33" fillId="0" borderId="0">
      <alignment horizontal="right"/>
    </xf>
    <xf numFmtId="0" fontId="67" fillId="0" borderId="0" applyNumberForma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applyNumberFormat="0" applyFill="0" applyBorder="0" applyAlignment="0" applyProtection="0"/>
    <xf numFmtId="257" fontId="92" fillId="0" borderId="0"/>
    <xf numFmtId="257" fontId="24" fillId="0" borderId="0"/>
    <xf numFmtId="258" fontId="92" fillId="0" borderId="0"/>
    <xf numFmtId="258" fontId="24" fillId="0" borderId="0"/>
    <xf numFmtId="0" fontId="92" fillId="0" borderId="0"/>
    <xf numFmtId="0" fontId="24" fillId="0" borderId="0"/>
    <xf numFmtId="164" fontId="91" fillId="60" borderId="3">
      <alignment horizontal="center" vertical="center" wrapText="1"/>
    </xf>
    <xf numFmtId="164" fontId="91" fillId="60" borderId="3">
      <alignment horizontal="center" vertical="center" wrapText="1"/>
    </xf>
    <xf numFmtId="164" fontId="91" fillId="60" borderId="3">
      <alignment horizontal="center" vertical="center" wrapText="1"/>
    </xf>
    <xf numFmtId="1" fontId="44" fillId="32" borderId="24">
      <alignment horizontal="center"/>
    </xf>
    <xf numFmtId="1" fontId="24" fillId="0" borderId="0">
      <alignment horizontal="center"/>
    </xf>
    <xf numFmtId="0" fontId="92" fillId="0" borderId="0"/>
    <xf numFmtId="0" fontId="24" fillId="0" borderId="0"/>
    <xf numFmtId="0" fontId="44" fillId="32" borderId="25">
      <alignment horizontal="center"/>
    </xf>
    <xf numFmtId="0" fontId="44" fillId="32" borderId="25">
      <alignment horizontal="center"/>
    </xf>
    <xf numFmtId="0" fontId="24" fillId="0" borderId="0">
      <alignment horizontal="center"/>
    </xf>
    <xf numFmtId="0" fontId="44" fillId="32" borderId="25">
      <alignment horizontal="center"/>
    </xf>
    <xf numFmtId="0" fontId="44" fillId="32" borderId="25">
      <alignment horizontal="center"/>
    </xf>
    <xf numFmtId="0" fontId="44" fillId="32" borderId="25">
      <alignment horizontal="center"/>
    </xf>
    <xf numFmtId="0" fontId="92" fillId="0" borderId="0"/>
    <xf numFmtId="0" fontId="24" fillId="0" borderId="0"/>
    <xf numFmtId="0" fontId="93" fillId="0" borderId="0" applyNumberFormat="0" applyFill="0" applyBorder="0" applyAlignment="0" applyProtection="0"/>
    <xf numFmtId="0" fontId="24" fillId="0" borderId="0"/>
    <xf numFmtId="0" fontId="24" fillId="0" borderId="0" applyNumberFormat="0" applyFill="0" applyBorder="0" applyAlignment="0" applyProtection="0"/>
    <xf numFmtId="0" fontId="24" fillId="0" borderId="0"/>
    <xf numFmtId="0" fontId="24" fillId="0" borderId="0" applyBorder="0">
      <alignment horizontal="left" vertical="center" indent="1"/>
    </xf>
    <xf numFmtId="259" fontId="28" fillId="0" borderId="0"/>
    <xf numFmtId="37" fontId="94" fillId="0" borderId="0" applyNumberFormat="0" applyFill="0" applyBorder="0" applyAlignment="0" applyProtection="0">
      <protection locked="0"/>
    </xf>
    <xf numFmtId="37" fontId="24" fillId="0" borderId="0" applyNumberFormat="0" applyFill="0" applyBorder="0" applyAlignment="0" applyProtection="0">
      <protection locked="0"/>
    </xf>
    <xf numFmtId="0" fontId="95" fillId="0" borderId="26">
      <alignment horizontal="centerContinuous"/>
    </xf>
    <xf numFmtId="0" fontId="95" fillId="0" borderId="26">
      <alignment horizontal="centerContinuous"/>
    </xf>
    <xf numFmtId="260" fontId="96" fillId="0" borderId="0" applyAlignment="0">
      <alignment horizontal="right"/>
    </xf>
    <xf numFmtId="0" fontId="97" fillId="0" borderId="0" applyAlignment="0"/>
    <xf numFmtId="165" fontId="97" fillId="0" borderId="0"/>
    <xf numFmtId="0" fontId="97" fillId="0" borderId="26" applyAlignment="0"/>
    <xf numFmtId="0" fontId="97" fillId="0" borderId="26" applyAlignment="0"/>
    <xf numFmtId="0" fontId="97" fillId="0" borderId="0" applyAlignment="0"/>
    <xf numFmtId="0" fontId="24" fillId="0" borderId="0"/>
    <xf numFmtId="0" fontId="24" fillId="0" borderId="0"/>
    <xf numFmtId="0" fontId="98" fillId="0" borderId="3" applyNumberFormat="0" applyFill="0" applyAlignment="0" applyProtection="0"/>
    <xf numFmtId="37" fontId="94" fillId="0" borderId="0" applyNumberFormat="0" applyFill="0" applyBorder="0" applyAlignment="0" applyProtection="0">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5" fontId="64" fillId="0" borderId="8" applyAlignment="0" applyProtection="0"/>
    <xf numFmtId="0" fontId="24" fillId="0" borderId="0"/>
    <xf numFmtId="261" fontId="69" fillId="0" borderId="17" applyNumberFormat="0" applyFill="0" applyAlignment="0" applyProtection="0">
      <alignment horizontal="center"/>
    </xf>
    <xf numFmtId="261" fontId="24" fillId="0" borderId="0" applyNumberFormat="0" applyFill="0" applyAlignment="0" applyProtection="0">
      <alignment horizontal="center"/>
    </xf>
    <xf numFmtId="261" fontId="69" fillId="0" borderId="17" applyNumberFormat="0" applyFill="0" applyAlignment="0" applyProtection="0">
      <alignment horizontal="center"/>
    </xf>
    <xf numFmtId="261" fontId="69" fillId="0" borderId="17" applyNumberFormat="0" applyFill="0" applyAlignment="0" applyProtection="0">
      <alignment horizontal="center"/>
    </xf>
    <xf numFmtId="261" fontId="69" fillId="0" borderId="17" applyNumberFormat="0" applyFill="0" applyAlignment="0" applyProtection="0">
      <alignment horizontal="center"/>
    </xf>
    <xf numFmtId="0" fontId="24" fillId="0" borderId="0"/>
    <xf numFmtId="0" fontId="24" fillId="0" borderId="0"/>
    <xf numFmtId="0" fontId="24" fillId="0" borderId="0"/>
    <xf numFmtId="262" fontId="69" fillId="0" borderId="3" applyFill="0" applyAlignment="0" applyProtection="0">
      <alignment horizontal="center"/>
    </xf>
    <xf numFmtId="262" fontId="24" fillId="0" borderId="0" applyFill="0" applyAlignment="0" applyProtection="0">
      <alignment horizontal="center"/>
    </xf>
    <xf numFmtId="262" fontId="69" fillId="0" borderId="3" applyFill="0" applyAlignment="0" applyProtection="0">
      <alignment horizontal="center"/>
    </xf>
    <xf numFmtId="262" fontId="69" fillId="0" borderId="3" applyFill="0" applyAlignment="0" applyProtection="0">
      <alignment horizontal="center"/>
    </xf>
    <xf numFmtId="262" fontId="69" fillId="0" borderId="3" applyFill="0" applyAlignment="0" applyProtection="0">
      <alignment horizontal="center"/>
    </xf>
    <xf numFmtId="0" fontId="24" fillId="0" borderId="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8" fillId="0" borderId="0"/>
    <xf numFmtId="0" fontId="28" fillId="0" borderId="0"/>
    <xf numFmtId="0" fontId="24" fillId="0" borderId="0"/>
    <xf numFmtId="0" fontId="28" fillId="0" borderId="0"/>
    <xf numFmtId="0" fontId="28" fillId="0" borderId="0"/>
    <xf numFmtId="0" fontId="2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xf numFmtId="191" fontId="99" fillId="0" borderId="0" applyFill="0" applyBorder="0" applyAlignment="0"/>
    <xf numFmtId="191" fontId="99" fillId="0" borderId="0" applyFill="0" applyBorder="0" applyAlignment="0"/>
    <xf numFmtId="246"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0" fontId="24" fillId="0" borderId="0"/>
    <xf numFmtId="265" fontId="99" fillId="0" borderId="0" applyFill="0" applyBorder="0" applyAlignment="0"/>
    <xf numFmtId="265" fontId="99" fillId="0" borderId="0" applyFill="0" applyBorder="0" applyAlignment="0"/>
    <xf numFmtId="246"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0" fontId="24" fillId="0" borderId="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00" fillId="43" borderId="27" applyNumberFormat="0" applyAlignment="0" applyProtection="0"/>
    <xf numFmtId="0" fontId="100" fillId="43" borderId="27" applyNumberFormat="0" applyAlignment="0" applyProtection="0"/>
    <xf numFmtId="0" fontId="24" fillId="0" borderId="0"/>
    <xf numFmtId="0" fontId="100" fillId="43" borderId="27" applyNumberFormat="0" applyAlignment="0" applyProtection="0"/>
    <xf numFmtId="0" fontId="100" fillId="43" borderId="27" applyNumberForma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68" fontId="24" fillId="0" borderId="0" applyNumberFormat="0" applyFont="0" applyBorder="0" applyAlignment="0">
      <protection locked="0"/>
    </xf>
    <xf numFmtId="269" fontId="33" fillId="0" borderId="0" applyFill="0" applyBorder="0" applyProtection="0"/>
    <xf numFmtId="269" fontId="33" fillId="0" borderId="0" applyFill="0" applyBorder="0" applyProtection="0"/>
    <xf numFmtId="269" fontId="24" fillId="0" borderId="0" applyFill="0" applyBorder="0" applyProtection="0"/>
    <xf numFmtId="269" fontId="33" fillId="0" borderId="0" applyFill="0" applyBorder="0" applyProtection="0"/>
    <xf numFmtId="269" fontId="33" fillId="0" borderId="0" applyFill="0" applyBorder="0" applyProtection="0"/>
    <xf numFmtId="269" fontId="33" fillId="0" borderId="0" applyFill="0" applyBorder="0" applyProtection="0"/>
    <xf numFmtId="0" fontId="24" fillId="0" borderId="0"/>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24" fillId="0" borderId="0"/>
    <xf numFmtId="0" fontId="24" fillId="0" borderId="0"/>
    <xf numFmtId="0" fontId="24" fillId="0" borderId="0"/>
    <xf numFmtId="0" fontId="24" fillId="0" borderId="0"/>
    <xf numFmtId="0" fontId="28" fillId="0" borderId="3" applyBorder="0">
      <alignment horizontal="centerContinuous"/>
    </xf>
    <xf numFmtId="0" fontId="28" fillId="0" borderId="3" applyBorder="0">
      <alignment horizontal="centerContinuous"/>
    </xf>
    <xf numFmtId="0" fontId="28" fillId="0" borderId="3" applyBorder="0">
      <alignment horizontal="centerContinuous"/>
    </xf>
    <xf numFmtId="0" fontId="24" fillId="0" borderId="0"/>
    <xf numFmtId="0" fontId="24" fillId="0" borderId="0"/>
    <xf numFmtId="0" fontId="24" fillId="0" borderId="0" applyFill="0" applyBorder="0" applyProtection="0">
      <alignment horizontal="center"/>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02" fillId="0" borderId="0" applyAlignment="0"/>
    <xf numFmtId="0" fontId="24" fillId="0" borderId="0"/>
    <xf numFmtId="0" fontId="24" fillId="0" borderId="0"/>
    <xf numFmtId="0" fontId="24" fillId="0" borderId="0" applyNumberFormat="0" applyFill="0" applyBorder="0" applyAlignment="0" applyProtection="0"/>
    <xf numFmtId="0" fontId="24" fillId="0" borderId="0"/>
    <xf numFmtId="0" fontId="24" fillId="0" borderId="0"/>
    <xf numFmtId="0" fontId="24" fillId="0" borderId="0"/>
    <xf numFmtId="0" fontId="24" fillId="0" borderId="0"/>
    <xf numFmtId="38" fontId="103" fillId="0" borderId="29"/>
    <xf numFmtId="38" fontId="24" fillId="0" borderId="0"/>
    <xf numFmtId="0" fontId="104" fillId="0" borderId="17">
      <alignment horizontal="center"/>
    </xf>
    <xf numFmtId="0" fontId="24" fillId="0" borderId="0">
      <alignment horizontal="center"/>
    </xf>
    <xf numFmtId="0" fontId="24" fillId="0" borderId="0"/>
    <xf numFmtId="0" fontId="88" fillId="0" borderId="30">
      <alignment horizontal="center"/>
    </xf>
    <xf numFmtId="0" fontId="24" fillId="0" borderId="0"/>
    <xf numFmtId="0" fontId="24" fillId="0" borderId="0" applyNumberFormat="0" applyFill="0" applyBorder="0" applyProtection="0">
      <alignment wrapText="1"/>
    </xf>
    <xf numFmtId="0" fontId="24" fillId="0" borderId="0"/>
    <xf numFmtId="0" fontId="24" fillId="0" borderId="0" applyNumberFormat="0" applyFill="0" applyBorder="0" applyProtection="0"/>
    <xf numFmtId="0" fontId="24" fillId="0" borderId="0"/>
    <xf numFmtId="0" fontId="105" fillId="0" borderId="0" applyNumberFormat="0" applyFill="0" applyBorder="0" applyProtection="0">
      <alignment horizontal="center" wrapText="1"/>
    </xf>
    <xf numFmtId="0" fontId="24" fillId="0" borderId="0" applyNumberFormat="0" applyFill="0" applyBorder="0" applyProtection="0">
      <alignment horizontal="center" wrapText="1"/>
    </xf>
    <xf numFmtId="0" fontId="105" fillId="0" borderId="0" applyNumberFormat="0" applyFill="0" applyBorder="0" applyProtection="0">
      <alignment horizontal="center" wrapText="1"/>
    </xf>
    <xf numFmtId="0" fontId="105" fillId="0" borderId="0" applyNumberFormat="0" applyFill="0" applyBorder="0" applyProtection="0">
      <alignment horizontal="center" wrapText="1"/>
    </xf>
    <xf numFmtId="0" fontId="105" fillId="0" borderId="0" applyNumberFormat="0" applyFill="0" applyBorder="0" applyProtection="0">
      <alignment horizontal="center" wrapText="1"/>
    </xf>
    <xf numFmtId="0" fontId="24" fillId="0" borderId="0"/>
    <xf numFmtId="0" fontId="24" fillId="0" borderId="0"/>
    <xf numFmtId="0" fontId="88" fillId="0" borderId="3" applyNumberFormat="0" applyFill="0" applyProtection="0">
      <alignment horizontal="right" wrapText="1"/>
    </xf>
    <xf numFmtId="0" fontId="24" fillId="0" borderId="0"/>
    <xf numFmtId="0" fontId="24" fillId="0" borderId="0"/>
    <xf numFmtId="0" fontId="88" fillId="0" borderId="3" applyNumberFormat="0" applyFill="0" applyProtection="0">
      <alignment horizontal="left" wrapText="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70" fontId="24" fillId="0" borderId="0" applyFont="0" applyFill="0" applyBorder="0" applyAlignment="0" applyProtection="0"/>
    <xf numFmtId="183" fontId="28" fillId="0" borderId="0"/>
    <xf numFmtId="183" fontId="28" fillId="0" borderId="0"/>
    <xf numFmtId="183" fontId="24" fillId="0" borderId="0"/>
    <xf numFmtId="183" fontId="28" fillId="0" borderId="0"/>
    <xf numFmtId="183" fontId="28" fillId="0" borderId="0"/>
    <xf numFmtId="183" fontId="28" fillId="0" borderId="0"/>
    <xf numFmtId="0" fontId="24" fillId="0" borderId="0"/>
    <xf numFmtId="0" fontId="24" fillId="0" borderId="0"/>
    <xf numFmtId="41" fontId="24" fillId="0" borderId="0" applyFont="0" applyFill="0" applyBorder="0" applyAlignment="0" applyProtection="0"/>
    <xf numFmtId="271" fontId="106" fillId="0" borderId="0" applyFont="0" applyFill="0" applyBorder="0" applyAlignment="0" applyProtection="0"/>
    <xf numFmtId="271" fontId="24" fillId="0" borderId="0" applyFont="0" applyFill="0" applyBorder="0" applyAlignment="0" applyProtection="0"/>
    <xf numFmtId="272" fontId="24" fillId="0" borderId="0" applyFont="0" applyFill="0" applyBorder="0" applyAlignment="0" applyProtection="0">
      <alignment vertical="center"/>
    </xf>
    <xf numFmtId="243" fontId="24" fillId="0" borderId="0" applyFont="0" applyFill="0" applyBorder="0" applyAlignment="0" applyProtection="0">
      <alignment vertical="center"/>
    </xf>
    <xf numFmtId="0" fontId="24" fillId="0" borderId="0"/>
    <xf numFmtId="0" fontId="24" fillId="0" borderId="0"/>
    <xf numFmtId="38" fontId="24" fillId="0" borderId="0">
      <alignment horizontal="center"/>
      <protection locked="0"/>
    </xf>
    <xf numFmtId="0" fontId="24" fillId="0" borderId="0"/>
    <xf numFmtId="40" fontId="24" fillId="0" borderId="0" applyFont="0" applyFill="0" applyBorder="0" applyAlignment="0" applyProtection="0">
      <alignment horizontal="center"/>
    </xf>
    <xf numFmtId="0" fontId="24" fillId="0" borderId="0"/>
    <xf numFmtId="273" fontId="24" fillId="0" borderId="0" applyFont="0" applyFill="0" applyBorder="0" applyAlignment="0" applyProtection="0">
      <alignment horizontal="center"/>
    </xf>
    <xf numFmtId="0" fontId="24" fillId="0" borderId="0"/>
    <xf numFmtId="0" fontId="24" fillId="0" borderId="0"/>
    <xf numFmtId="0" fontId="24" fillId="0" borderId="0"/>
    <xf numFmtId="274" fontId="24" fillId="0" borderId="0" applyFont="0" applyFill="0" applyBorder="0" applyAlignment="0" applyProtection="0"/>
    <xf numFmtId="275" fontId="31" fillId="0" borderId="0" applyFont="0" applyFill="0" applyBorder="0" applyAlignment="0" applyProtection="0"/>
    <xf numFmtId="275" fontId="24" fillId="0" borderId="0" applyFont="0" applyFill="0" applyBorder="0" applyAlignment="0" applyProtection="0"/>
    <xf numFmtId="276" fontId="31" fillId="0" borderId="0" applyFont="0" applyFill="0" applyBorder="0" applyAlignment="0" applyProtection="0"/>
    <xf numFmtId="276" fontId="24" fillId="0" borderId="0" applyFont="0" applyFill="0" applyBorder="0" applyAlignment="0" applyProtection="0"/>
    <xf numFmtId="277" fontId="28" fillId="0" borderId="0" applyFont="0" applyFill="0" applyBorder="0" applyAlignment="0" applyProtection="0"/>
    <xf numFmtId="277" fontId="24" fillId="0" borderId="0" applyFont="0" applyFill="0" applyBorder="0" applyAlignment="0" applyProtection="0"/>
    <xf numFmtId="278" fontId="31" fillId="0" borderId="0" applyFont="0" applyFill="0" applyBorder="0" applyAlignment="0" applyProtection="0"/>
    <xf numFmtId="278" fontId="24" fillId="0" borderId="0" applyFont="0" applyFill="0" applyBorder="0" applyAlignment="0" applyProtection="0"/>
    <xf numFmtId="279" fontId="31" fillId="0" borderId="0" applyFont="0" applyFill="0" applyBorder="0" applyAlignment="0" applyProtection="0"/>
    <xf numFmtId="184" fontId="28" fillId="0" borderId="0" applyFont="0" applyFill="0" applyBorder="0" applyAlignment="0" applyProtection="0"/>
    <xf numFmtId="184" fontId="24" fillId="0" borderId="0" applyFont="0" applyFill="0" applyBorder="0" applyAlignment="0" applyProtection="0"/>
    <xf numFmtId="280" fontId="31" fillId="0" borderId="0" applyFont="0" applyFill="0" applyBorder="0" applyAlignment="0" applyProtection="0"/>
    <xf numFmtId="280" fontId="24" fillId="0" borderId="0" applyFont="0" applyFill="0" applyBorder="0" applyAlignment="0" applyProtection="0"/>
    <xf numFmtId="281" fontId="31" fillId="0" borderId="0" applyFont="0" applyFill="0" applyBorder="0" applyAlignment="0" applyProtection="0"/>
    <xf numFmtId="0" fontId="24" fillId="0" borderId="0"/>
    <xf numFmtId="0" fontId="24" fillId="0" borderId="0"/>
    <xf numFmtId="0" fontId="24" fillId="0" borderId="0"/>
    <xf numFmtId="0" fontId="24" fillId="0" borderId="0"/>
    <xf numFmtId="43" fontId="107" fillId="0" borderId="0" applyFont="0" applyFill="0" applyBorder="0" applyAlignment="0" applyProtection="0"/>
    <xf numFmtId="43" fontId="24" fillId="0" borderId="0" applyFont="0" applyFill="0" applyBorder="0" applyAlignment="0" applyProtection="0"/>
    <xf numFmtId="0" fontId="24" fillId="0" borderId="0"/>
    <xf numFmtId="43" fontId="24" fillId="0" borderId="0" applyFont="0" applyFill="0" applyBorder="0" applyAlignment="0" applyProtection="0"/>
    <xf numFmtId="0" fontId="24" fillId="0" borderId="0"/>
    <xf numFmtId="43" fontId="24" fillId="0" borderId="0" applyFont="0" applyFill="0" applyBorder="0" applyAlignment="0" applyProtection="0"/>
    <xf numFmtId="43" fontId="19" fillId="0" borderId="0" applyFont="0" applyFill="0" applyBorder="0" applyAlignment="0" applyProtection="0"/>
    <xf numFmtId="0" fontId="24" fillId="0" borderId="0"/>
    <xf numFmtId="43" fontId="24" fillId="0" borderId="0" applyFont="0" applyFill="0" applyBorder="0" applyAlignment="0" applyProtection="0"/>
    <xf numFmtId="0" fontId="24" fillId="0" borderId="0"/>
    <xf numFmtId="43" fontId="24" fillId="0" borderId="0" applyFont="0" applyFill="0" applyBorder="0" applyAlignment="0" applyProtection="0"/>
    <xf numFmtId="43" fontId="24" fillId="0" borderId="0" applyFont="0" applyFill="0" applyBorder="0" applyAlignment="0" applyProtection="0"/>
    <xf numFmtId="0" fontId="24" fillId="0" borderId="0"/>
    <xf numFmtId="282" fontId="24" fillId="0" borderId="0" applyFont="0" applyFill="0" applyBorder="0" applyAlignment="0" applyProtection="0"/>
    <xf numFmtId="43" fontId="28" fillId="0" borderId="0" applyFont="0" applyFill="0" applyBorder="0" applyAlignment="0" applyProtection="0"/>
    <xf numFmtId="43" fontId="19" fillId="0" borderId="0" applyFont="0" applyFill="0" applyBorder="0" applyAlignment="0" applyProtection="0"/>
    <xf numFmtId="0" fontId="24" fillId="0" borderId="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43" fontId="108" fillId="0" borderId="0" applyFont="0" applyFill="0" applyBorder="0" applyAlignment="0" applyProtection="0"/>
    <xf numFmtId="0" fontId="24" fillId="0" borderId="0"/>
    <xf numFmtId="43" fontId="24" fillId="0" borderId="0" applyFont="0" applyFill="0" applyBorder="0" applyAlignment="0" applyProtection="0"/>
    <xf numFmtId="0" fontId="24" fillId="0" borderId="0"/>
    <xf numFmtId="43" fontId="19" fillId="0" borderId="0" applyFont="0" applyFill="0" applyBorder="0" applyAlignment="0" applyProtection="0"/>
    <xf numFmtId="43" fontId="24" fillId="0" borderId="0" applyFont="0" applyFill="0" applyBorder="0" applyAlignment="0" applyProtection="0"/>
    <xf numFmtId="0" fontId="24" fillId="0" borderId="0"/>
    <xf numFmtId="43" fontId="19" fillId="0" borderId="0" applyFont="0" applyFill="0" applyBorder="0" applyAlignment="0" applyProtection="0"/>
    <xf numFmtId="43" fontId="19" fillId="0" borderId="0" applyFont="0" applyFill="0" applyBorder="0" applyAlignment="0" applyProtection="0"/>
    <xf numFmtId="0" fontId="24" fillId="0" borderId="0"/>
    <xf numFmtId="0" fontId="24" fillId="0" borderId="0"/>
    <xf numFmtId="0" fontId="24" fillId="0" borderId="0"/>
    <xf numFmtId="37" fontId="33" fillId="0" borderId="0" applyFill="0" applyBorder="0" applyAlignment="0" applyProtection="0"/>
    <xf numFmtId="37" fontId="24" fillId="0" borderId="0" applyFill="0" applyBorder="0" applyAlignment="0" applyProtection="0"/>
    <xf numFmtId="37" fontId="33" fillId="0" borderId="0" applyFill="0" applyBorder="0" applyAlignment="0" applyProtection="0"/>
    <xf numFmtId="37" fontId="33" fillId="0" borderId="0" applyFill="0" applyBorder="0" applyAlignment="0" applyProtection="0"/>
    <xf numFmtId="37" fontId="33" fillId="0" borderId="0" applyFill="0" applyBorder="0" applyAlignment="0" applyProtection="0"/>
    <xf numFmtId="0" fontId="24" fillId="0" borderId="0"/>
    <xf numFmtId="0" fontId="24" fillId="0" borderId="0"/>
    <xf numFmtId="0" fontId="24" fillId="0" borderId="0"/>
    <xf numFmtId="0" fontId="109" fillId="0" borderId="0"/>
    <xf numFmtId="0" fontId="24" fillId="0" borderId="0"/>
    <xf numFmtId="0" fontId="24" fillId="0" borderId="0"/>
    <xf numFmtId="0" fontId="24" fillId="0" borderId="0"/>
    <xf numFmtId="0" fontId="24" fillId="0" borderId="0"/>
    <xf numFmtId="0" fontId="24" fillId="0" borderId="0"/>
    <xf numFmtId="0" fontId="24" fillId="0" borderId="0"/>
    <xf numFmtId="38" fontId="24" fillId="0" borderId="0" applyFont="0" applyFill="0" applyBorder="0" applyAlignment="0" applyProtection="0"/>
    <xf numFmtId="0" fontId="24" fillId="0" borderId="0"/>
    <xf numFmtId="191" fontId="110" fillId="0" borderId="0" applyFont="0" applyFill="0" applyBorder="0" applyAlignment="0" applyProtection="0"/>
    <xf numFmtId="0" fontId="109" fillId="0" borderId="0"/>
    <xf numFmtId="0" fontId="24" fillId="0" borderId="0"/>
    <xf numFmtId="0" fontId="99" fillId="0" borderId="0"/>
    <xf numFmtId="0" fontId="24" fillId="0" borderId="0"/>
    <xf numFmtId="191" fontId="24" fillId="0" borderId="0" applyFont="0" applyFill="0" applyBorder="0" applyAlignment="0" applyProtection="0"/>
    <xf numFmtId="39" fontId="110" fillId="0" borderId="0" applyFont="0" applyFill="0" applyBorder="0" applyAlignment="0" applyProtection="0"/>
    <xf numFmtId="39" fontId="24" fillId="0" borderId="0" applyFont="0" applyFill="0" applyBorder="0" applyAlignment="0" applyProtection="0"/>
    <xf numFmtId="0" fontId="24" fillId="0" borderId="0"/>
    <xf numFmtId="0" fontId="111" fillId="62" borderId="0">
      <alignment horizontal="center" vertical="center" wrapText="1"/>
    </xf>
    <xf numFmtId="0" fontId="24" fillId="0" borderId="0">
      <alignment horizontal="center" vertical="center" wrapText="1"/>
    </xf>
    <xf numFmtId="0" fontId="24" fillId="0" borderId="0"/>
    <xf numFmtId="0" fontId="24" fillId="0" borderId="0" applyFill="0" applyBorder="0" applyAlignment="0" applyProtection="0">
      <protection locked="0"/>
    </xf>
    <xf numFmtId="0" fontId="111" fillId="62" borderId="0">
      <alignment horizontal="center" vertical="center" wrapText="1"/>
    </xf>
    <xf numFmtId="0" fontId="24" fillId="0" borderId="0"/>
    <xf numFmtId="283" fontId="24" fillId="0" borderId="0" applyFill="0" applyBorder="0">
      <alignment horizontal="left"/>
    </xf>
    <xf numFmtId="0" fontId="24" fillId="0" borderId="0"/>
    <xf numFmtId="0" fontId="24" fillId="0" borderId="0"/>
    <xf numFmtId="0" fontId="24" fillId="0" borderId="0" applyNumberFormat="0" applyAlignment="0">
      <alignment horizontal="left"/>
    </xf>
    <xf numFmtId="0" fontId="24" fillId="0" borderId="0"/>
    <xf numFmtId="0" fontId="24" fillId="0" borderId="0"/>
    <xf numFmtId="284" fontId="31" fillId="0" borderId="0" applyFill="0" applyBorder="0" applyProtection="0"/>
    <xf numFmtId="284" fontId="24" fillId="0" borderId="0" applyFill="0" applyBorder="0" applyProtection="0"/>
    <xf numFmtId="285" fontId="31" fillId="0" borderId="0" applyFont="0" applyFill="0" applyBorder="0" applyAlignment="0" applyProtection="0"/>
    <xf numFmtId="285"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86" fontId="24" fillId="0" borderId="0" applyFill="0" applyBorder="0">
      <alignment horizontal="right"/>
      <protection locked="0"/>
    </xf>
    <xf numFmtId="0" fontId="109" fillId="0" borderId="0"/>
    <xf numFmtId="0" fontId="24" fillId="0" borderId="0"/>
    <xf numFmtId="0" fontId="24" fillId="0" borderId="0"/>
    <xf numFmtId="287" fontId="31" fillId="0" borderId="0" applyFont="0" applyFill="0" applyBorder="0" applyAlignment="0" applyProtection="0"/>
    <xf numFmtId="287" fontId="24" fillId="0" borderId="0" applyFont="0" applyFill="0" applyBorder="0" applyAlignment="0" applyProtection="0"/>
    <xf numFmtId="0" fontId="24" fillId="0" borderId="0"/>
    <xf numFmtId="0" fontId="24" fillId="0" borderId="0"/>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42" fontId="77" fillId="0" borderId="0" applyFont="0" applyFill="0" applyBorder="0" applyAlignment="0" applyProtection="0"/>
    <xf numFmtId="42" fontId="24" fillId="0" borderId="0" applyFont="0" applyFill="0" applyBorder="0" applyAlignment="0" applyProtection="0"/>
    <xf numFmtId="0" fontId="24" fillId="0" borderId="0"/>
    <xf numFmtId="0" fontId="24" fillId="0" borderId="0"/>
    <xf numFmtId="288" fontId="54" fillId="0" borderId="0" applyFont="0" applyFill="0" applyBorder="0" applyAlignment="0"/>
    <xf numFmtId="288" fontId="24" fillId="0" borderId="0" applyFont="0" applyFill="0" applyBorder="0" applyAlignment="0"/>
    <xf numFmtId="288" fontId="54" fillId="0" borderId="0" applyFont="0" applyFill="0" applyBorder="0" applyAlignment="0"/>
    <xf numFmtId="288" fontId="54" fillId="0" borderId="0" applyFont="0" applyFill="0" applyBorder="0" applyAlignment="0"/>
    <xf numFmtId="288" fontId="54" fillId="0" borderId="0" applyFont="0" applyFill="0" applyBorder="0" applyAlignment="0"/>
    <xf numFmtId="0" fontId="24" fillId="0" borderId="0"/>
    <xf numFmtId="0" fontId="24" fillId="0" borderId="0"/>
    <xf numFmtId="177" fontId="24" fillId="0" borderId="0" applyFont="0" applyFill="0" applyBorder="0" applyAlignment="0" applyProtection="0"/>
    <xf numFmtId="0" fontId="24" fillId="0" borderId="0"/>
    <xf numFmtId="0" fontId="24" fillId="0" borderId="0"/>
    <xf numFmtId="289" fontId="24" fillId="0" borderId="0" applyFont="0" applyFill="0" applyBorder="0" applyAlignment="0" applyProtection="0">
      <alignment horizontal="right"/>
    </xf>
    <xf numFmtId="290" fontId="24" fillId="0" borderId="0" applyFont="0" applyFill="0" applyBorder="0" applyAlignment="0" applyProtection="0"/>
    <xf numFmtId="291" fontId="31" fillId="0" borderId="0" applyFont="0" applyFill="0" applyBorder="0" applyAlignment="0" applyProtection="0"/>
    <xf numFmtId="291" fontId="24" fillId="0" borderId="0" applyFont="0" applyFill="0" applyBorder="0" applyAlignment="0" applyProtection="0"/>
    <xf numFmtId="292" fontId="24" fillId="0" borderId="0" applyFont="0" applyFill="0" applyBorder="0" applyAlignment="0" applyProtection="0"/>
    <xf numFmtId="293" fontId="31" fillId="0" borderId="0" applyFont="0" applyFill="0" applyBorder="0" applyAlignment="0" applyProtection="0"/>
    <xf numFmtId="293" fontId="24" fillId="0" borderId="0" applyFont="0" applyFill="0" applyBorder="0" applyAlignment="0" applyProtection="0"/>
    <xf numFmtId="294" fontId="24" fillId="0" borderId="0" applyFont="0" applyFill="0" applyBorder="0" applyAlignment="0" applyProtection="0"/>
    <xf numFmtId="295" fontId="31" fillId="0" borderId="0" applyFont="0" applyFill="0" applyBorder="0" applyAlignment="0" applyProtection="0"/>
    <xf numFmtId="295" fontId="24" fillId="0" borderId="0" applyFont="0" applyFill="0" applyBorder="0" applyAlignment="0" applyProtection="0"/>
    <xf numFmtId="0" fontId="24" fillId="0" borderId="0"/>
    <xf numFmtId="44" fontId="24"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4" fillId="0" borderId="0"/>
    <xf numFmtId="44" fontId="24" fillId="0" borderId="0" applyFont="0" applyFill="0" applyBorder="0" applyAlignment="0" applyProtection="0"/>
    <xf numFmtId="0" fontId="24" fillId="0" borderId="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0" fontId="24" fillId="0" borderId="0"/>
    <xf numFmtId="44" fontId="79" fillId="0" borderId="0" applyFont="0" applyFill="0" applyBorder="0" applyAlignment="0" applyProtection="0"/>
    <xf numFmtId="0" fontId="24" fillId="0" borderId="0"/>
    <xf numFmtId="8" fontId="30" fillId="0" borderId="0" applyFont="0" applyFill="0" applyBorder="0" applyAlignment="0" applyProtection="0"/>
    <xf numFmtId="0" fontId="24" fillId="0" borderId="0"/>
    <xf numFmtId="182" fontId="24" fillId="0" borderId="0" applyFont="0" applyFill="0" applyBorder="0" applyAlignment="0" applyProtection="0"/>
    <xf numFmtId="0" fontId="24" fillId="0" borderId="0"/>
    <xf numFmtId="44" fontId="113" fillId="0" borderId="0" applyFont="0" applyFill="0" applyBorder="0" applyAlignment="0" applyProtection="0">
      <alignment vertical="top"/>
    </xf>
    <xf numFmtId="44" fontId="19" fillId="0" borderId="0" applyFont="0" applyFill="0" applyBorder="0" applyAlignment="0" applyProtection="0"/>
    <xf numFmtId="44" fontId="19" fillId="0" borderId="0" applyFont="0" applyFill="0" applyBorder="0" applyAlignment="0" applyProtection="0"/>
    <xf numFmtId="0" fontId="24" fillId="0" borderId="0"/>
    <xf numFmtId="44" fontId="19" fillId="0" borderId="0" applyFont="0" applyFill="0" applyBorder="0" applyAlignment="0" applyProtection="0"/>
    <xf numFmtId="0" fontId="24" fillId="0" borderId="0"/>
    <xf numFmtId="8" fontId="24" fillId="0" borderId="0">
      <alignment horizontal="right"/>
    </xf>
    <xf numFmtId="0" fontId="24" fillId="0" borderId="0"/>
    <xf numFmtId="0" fontId="24" fillId="0" borderId="0"/>
    <xf numFmtId="6" fontId="24" fillId="0" borderId="0" applyFont="0" applyFill="0" applyBorder="0" applyAlignment="0" applyProtection="0"/>
    <xf numFmtId="0" fontId="24" fillId="0" borderId="0"/>
    <xf numFmtId="0" fontId="24" fillId="0" borderId="0"/>
    <xf numFmtId="0" fontId="24" fillId="0" borderId="0"/>
    <xf numFmtId="273" fontId="28" fillId="29" borderId="0" applyFont="0" applyBorder="0"/>
    <xf numFmtId="0" fontId="24" fillId="0" borderId="0"/>
    <xf numFmtId="14" fontId="24" fillId="0" borderId="0" applyFont="0" applyFill="0" applyBorder="0" applyAlignment="0" applyProtection="0">
      <alignment horizontal="center"/>
    </xf>
    <xf numFmtId="0" fontId="24" fillId="0" borderId="0"/>
    <xf numFmtId="191" fontId="114" fillId="0" borderId="0"/>
    <xf numFmtId="0" fontId="24" fillId="0" borderId="0"/>
    <xf numFmtId="191" fontId="24" fillId="0" borderId="0" applyNumberFormat="0" applyAlignment="0">
      <alignment horizontal="left"/>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5" fontId="88" fillId="0" borderId="0" applyFill="0" applyBorder="0" applyAlignment="0"/>
    <xf numFmtId="296" fontId="88" fillId="36" borderId="0" applyFont="0" applyFill="0" applyBorder="0" applyAlignment="0" applyProtection="0"/>
    <xf numFmtId="297" fontId="22" fillId="36" borderId="31" applyFont="0" applyFill="0" applyBorder="0" applyAlignment="0" applyProtection="0"/>
    <xf numFmtId="297" fontId="22" fillId="36" borderId="31" applyFont="0" applyFill="0" applyBorder="0" applyAlignment="0" applyProtection="0"/>
    <xf numFmtId="296" fontId="54" fillId="36"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298" fontId="24" fillId="0" borderId="0" applyFont="0" applyFill="0" applyBorder="0" applyAlignment="0" applyProtection="0">
      <alignment horizontal="center"/>
    </xf>
    <xf numFmtId="299" fontId="31"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17" fontId="24" fillId="0" borderId="0" applyFont="0" applyFill="0" applyBorder="0" applyAlignment="0" applyProtection="0">
      <alignment horizontal="center"/>
    </xf>
    <xf numFmtId="0" fontId="24" fillId="0" borderId="0"/>
    <xf numFmtId="0" fontId="24" fillId="0" borderId="0"/>
    <xf numFmtId="0" fontId="24" fillId="0" borderId="0"/>
    <xf numFmtId="300" fontId="94" fillId="0" borderId="0"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4" fontId="115" fillId="0" borderId="0" applyFont="0" applyFill="0" applyBorder="0"/>
    <xf numFmtId="15" fontId="72" fillId="0" borderId="0" applyFont="0" applyFill="0" applyBorder="0" applyAlignment="0" applyProtection="0">
      <alignment horizontal="center"/>
    </xf>
    <xf numFmtId="269" fontId="24" fillId="0" borderId="0" applyFont="0" applyFill="0" applyBorder="0" applyAlignment="0" applyProtection="0">
      <alignment horizontal="center"/>
    </xf>
    <xf numFmtId="269" fontId="116" fillId="0" borderId="0" applyFont="0" applyFill="0" applyBorder="0" applyAlignment="0" applyProtection="0">
      <alignment horizontal="center"/>
    </xf>
    <xf numFmtId="0" fontId="36" fillId="0" borderId="0"/>
    <xf numFmtId="0" fontId="117" fillId="0" borderId="0">
      <protection locked="0"/>
    </xf>
    <xf numFmtId="0" fontId="118" fillId="0" borderId="0">
      <protection locked="0"/>
    </xf>
    <xf numFmtId="0" fontId="118" fillId="0" borderId="0">
      <protection locked="0"/>
    </xf>
    <xf numFmtId="0" fontId="24" fillId="0" borderId="0"/>
    <xf numFmtId="185" fontId="24" fillId="0" borderId="0" applyFont="0" applyFill="0" applyBorder="0" applyAlignment="0" applyProtection="0"/>
    <xf numFmtId="4" fontId="99"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7" fontId="54" fillId="0" borderId="0"/>
    <xf numFmtId="4" fontId="50" fillId="0" borderId="0" applyFont="0" applyFill="0" applyBorder="0" applyAlignment="0" applyProtection="0"/>
    <xf numFmtId="7" fontId="54" fillId="0" borderId="0"/>
    <xf numFmtId="0" fontId="24" fillId="0" borderId="0"/>
    <xf numFmtId="6" fontId="33" fillId="0" borderId="0" applyFont="0" applyFill="0" applyBorder="0" applyAlignment="0" applyProtection="0"/>
    <xf numFmtId="0" fontId="24" fillId="0" borderId="0"/>
    <xf numFmtId="0" fontId="24" fillId="0" borderId="0"/>
    <xf numFmtId="0" fontId="24" fillId="0" borderId="0"/>
    <xf numFmtId="38" fontId="54" fillId="29" borderId="0" applyNumberFormat="0" applyFon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66" fontId="1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02" fontId="24" fillId="36" borderId="0" applyFont="0" applyFill="0" applyBorder="0" applyAlignment="0"/>
    <xf numFmtId="2" fontId="24" fillId="0" borderId="0" applyFont="0" applyFill="0" applyBorder="0" applyAlignment="0" applyProtection="0"/>
    <xf numFmtId="303" fontId="24" fillId="0" borderId="0" applyFont="0" applyFill="0" applyBorder="0" applyAlignment="0"/>
    <xf numFmtId="0" fontId="24" fillId="0" borderId="0"/>
    <xf numFmtId="0" fontId="24" fillId="0" borderId="0"/>
    <xf numFmtId="0" fontId="24" fillId="0" borderId="0"/>
    <xf numFmtId="0" fontId="24" fillId="0" borderId="0"/>
    <xf numFmtId="0" fontId="120" fillId="0" borderId="0">
      <protection locked="0"/>
    </xf>
    <xf numFmtId="0" fontId="24" fillId="0" borderId="0"/>
    <xf numFmtId="304" fontId="24" fillId="63" borderId="0">
      <alignment horizontal="center"/>
      <protection locked="0"/>
    </xf>
    <xf numFmtId="305" fontId="69" fillId="0" borderId="0">
      <alignment horizontal="right"/>
    </xf>
    <xf numFmtId="0" fontId="24" fillId="0" borderId="0"/>
    <xf numFmtId="0" fontId="24" fillId="0" borderId="0"/>
    <xf numFmtId="0" fontId="24" fillId="0" borderId="0"/>
    <xf numFmtId="0" fontId="24" fillId="0" borderId="0"/>
    <xf numFmtId="0" fontId="24" fillId="0" borderId="0"/>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72" fontId="54" fillId="0" borderId="0" applyFill="0" applyBorder="0" applyAlignment="0" applyProtection="0">
      <alignment horizontal="right"/>
    </xf>
    <xf numFmtId="172" fontId="54" fillId="0" borderId="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21" fillId="0" borderId="0">
      <protection locked="0"/>
    </xf>
    <xf numFmtId="0" fontId="24" fillId="0" borderId="0"/>
    <xf numFmtId="0" fontId="24" fillId="0" borderId="0"/>
    <xf numFmtId="0" fontId="122" fillId="0" borderId="34">
      <alignment horizontal="left" vertical="center"/>
    </xf>
    <xf numFmtId="0" fontId="122" fillId="0" borderId="34">
      <alignment horizontal="left" vertical="center"/>
    </xf>
    <xf numFmtId="0" fontId="122" fillId="0" borderId="34">
      <alignment horizontal="left" vertical="center"/>
    </xf>
    <xf numFmtId="0" fontId="122" fillId="0" borderId="34">
      <alignment horizontal="left" vertical="center"/>
    </xf>
    <xf numFmtId="0" fontId="24" fillId="0" borderId="0"/>
    <xf numFmtId="0" fontId="123" fillId="58" borderId="35" applyNumberFormat="0" applyBorder="0">
      <alignment horizontal="left" vertical="center" indent="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9" fontId="124" fillId="0" borderId="0">
      <alignment horizontal="centerContinuous"/>
    </xf>
    <xf numFmtId="0" fontId="24" fillId="0" borderId="0"/>
    <xf numFmtId="0" fontId="125" fillId="0" borderId="3" applyFill="0" applyAlignment="0" applyProtection="0">
      <protection locked="0"/>
    </xf>
    <xf numFmtId="0" fontId="125" fillId="0" borderId="3" applyFill="0" applyAlignment="0" applyProtection="0">
      <protection locked="0"/>
    </xf>
    <xf numFmtId="0" fontId="125" fillId="0" borderId="3" applyFill="0" applyAlignment="0" applyProtection="0">
      <protection locked="0"/>
    </xf>
    <xf numFmtId="0" fontId="24" fillId="0" borderId="0"/>
    <xf numFmtId="0" fontId="24" fillId="0" borderId="0"/>
    <xf numFmtId="0" fontId="24" fillId="0" borderId="0"/>
    <xf numFmtId="0" fontId="24" fillId="0" borderId="0"/>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24" fillId="0" borderId="0"/>
    <xf numFmtId="0" fontId="24" fillId="0" borderId="0"/>
    <xf numFmtId="0" fontId="24" fillId="0" borderId="0"/>
    <xf numFmtId="0" fontId="24" fillId="0" borderId="0"/>
    <xf numFmtId="0" fontId="24" fillId="0" borderId="0"/>
    <xf numFmtId="0" fontId="127" fillId="0" borderId="0" applyNumberFormat="0" applyFill="0" applyBorder="0" applyAlignment="0" applyProtection="0">
      <alignment vertical="top"/>
      <protection locked="0"/>
    </xf>
    <xf numFmtId="0" fontId="128" fillId="0" borderId="0"/>
    <xf numFmtId="0" fontId="39" fillId="0" borderId="0"/>
    <xf numFmtId="269" fontId="33" fillId="0" borderId="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8" fontId="54" fillId="36" borderId="0" applyFont="0" applyBorder="0" applyAlignment="0" applyProtection="0">
      <protection locked="0"/>
    </xf>
    <xf numFmtId="297" fontId="54" fillId="36" borderId="0" applyFont="0" applyBorder="0" applyAlignment="0" applyProtection="0">
      <protection locked="0"/>
    </xf>
    <xf numFmtId="302" fontId="54" fillId="36" borderId="0" applyFont="0" applyBorder="0" applyAlignment="0">
      <protection locked="0"/>
    </xf>
    <xf numFmtId="269" fontId="54" fillId="36" borderId="0">
      <protection locked="0"/>
    </xf>
    <xf numFmtId="306" fontId="54" fillId="36" borderId="0" applyFont="0" applyBorder="0" applyAlignment="0">
      <protection locked="0"/>
    </xf>
    <xf numFmtId="10" fontId="54" fillId="36" borderId="0">
      <protection locked="0"/>
    </xf>
    <xf numFmtId="269" fontId="129" fillId="36" borderId="0" applyNumberFormat="0" applyBorder="0" applyAlignment="0">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30" fillId="0" borderId="0" applyNumberFormat="0" applyFill="0" applyBorder="0" applyAlignment="0">
      <protection locked="0"/>
    </xf>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269" fontId="54" fillId="36" borderId="0" applyNumberFormat="0" applyFont="0" applyBorder="0" applyAlignment="0" applyProtection="0">
      <alignment horizontal="center"/>
      <protection locked="0"/>
    </xf>
    <xf numFmtId="0" fontId="132" fillId="0" borderId="0" applyNumberFormat="0" applyFill="0" applyBorder="0" applyAlignment="0">
      <protection locked="0"/>
    </xf>
    <xf numFmtId="307" fontId="24" fillId="0" borderId="0" applyFill="0" applyBorder="0" applyAlignment="0">
      <protection locked="0"/>
    </xf>
    <xf numFmtId="0" fontId="24" fillId="0" borderId="0"/>
    <xf numFmtId="0" fontId="24" fillId="0" borderId="0"/>
    <xf numFmtId="0" fontId="24" fillId="0" borderId="0"/>
    <xf numFmtId="0" fontId="24" fillId="0" borderId="0"/>
    <xf numFmtId="308" fontId="24" fillId="0" borderId="0" applyFill="0" applyBorder="0">
      <alignment horizontal="right"/>
      <protection locked="0"/>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24" fillId="0" borderId="0"/>
    <xf numFmtId="0" fontId="24" fillId="0" borderId="0"/>
    <xf numFmtId="0" fontId="24" fillId="0" borderId="0"/>
    <xf numFmtId="0" fontId="24" fillId="0" borderId="0"/>
    <xf numFmtId="0" fontId="24" fillId="0" borderId="0" applyFont="0" applyFill="0" applyBorder="0" applyAlignment="0" applyProtection="0"/>
    <xf numFmtId="177" fontId="27" fillId="29" borderId="0" applyFont="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8" fillId="0" borderId="0" applyNumberFormat="0" applyFont="0" applyFill="0" applyBorder="0" applyProtection="0">
      <alignment horizontal="left" vertical="center"/>
    </xf>
    <xf numFmtId="0" fontId="24" fillId="0" borderId="0"/>
    <xf numFmtId="0" fontId="24" fillId="0" borderId="0"/>
    <xf numFmtId="0" fontId="24" fillId="0" borderId="0"/>
    <xf numFmtId="0" fontId="24" fillId="0" borderId="0"/>
    <xf numFmtId="0" fontId="133" fillId="0" borderId="0" applyNumberFormat="0" applyFill="0" applyBorder="0" applyAlignment="0" applyProtection="0">
      <alignment vertical="top"/>
      <protection locked="0"/>
    </xf>
    <xf numFmtId="1" fontId="54" fillId="0" borderId="3" applyNumberFormat="0" applyFont="0" applyFill="0" applyAlignment="0" applyProtection="0">
      <alignment horizontal="center"/>
    </xf>
    <xf numFmtId="1" fontId="54" fillId="0" borderId="3" applyNumberFormat="0" applyFont="0" applyFill="0" applyAlignment="0" applyProtection="0">
      <alignment horizontal="center"/>
    </xf>
    <xf numFmtId="1" fontId="54" fillId="0" borderId="3" applyNumberFormat="0" applyFont="0" applyFill="0" applyAlignment="0" applyProtection="0">
      <alignment horizontal="center"/>
    </xf>
    <xf numFmtId="0" fontId="24" fillId="0" borderId="0"/>
    <xf numFmtId="2" fontId="24" fillId="0" borderId="0" applyNumberFormat="0" applyBorder="0">
      <alignment horizontal="left"/>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7" fontId="28" fillId="0" borderId="0"/>
    <xf numFmtId="309" fontId="122" fillId="66" borderId="38" applyBorder="0">
      <protection locked="0"/>
    </xf>
    <xf numFmtId="0" fontId="28" fillId="0" borderId="0" applyNumberFormat="0" applyFill="0" applyBorder="0" applyAlignment="0" applyProtection="0"/>
    <xf numFmtId="0" fontId="28" fillId="0" borderId="0" applyNumberFormat="0" applyFill="0" applyBorder="0" applyAlignment="0" applyProtection="0"/>
    <xf numFmtId="0" fontId="134" fillId="0" borderId="0" applyNumberFormat="0" applyFill="0" applyBorder="0" applyAlignment="0" applyProtection="0"/>
    <xf numFmtId="269" fontId="54" fillId="0" borderId="0" applyFill="0" applyBorder="0" applyAlignment="0" applyProtection="0"/>
    <xf numFmtId="0" fontId="24" fillId="0" borderId="0"/>
    <xf numFmtId="0" fontId="24" fillId="0" borderId="0"/>
    <xf numFmtId="0" fontId="28" fillId="0" borderId="0"/>
    <xf numFmtId="310"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311" fontId="24" fillId="0" borderId="3" applyFont="0" applyFill="0" applyBorder="0" applyAlignment="0" applyProtection="0">
      <protection locked="0"/>
    </xf>
    <xf numFmtId="311" fontId="24" fillId="0" borderId="3" applyFont="0" applyFill="0" applyBorder="0" applyAlignment="0" applyProtection="0">
      <protection locked="0"/>
    </xf>
    <xf numFmtId="311" fontId="24" fillId="0" borderId="3" applyFont="0" applyFill="0" applyBorder="0" applyAlignment="0" applyProtection="0">
      <protection locked="0"/>
    </xf>
    <xf numFmtId="0" fontId="24" fillId="0" borderId="0"/>
    <xf numFmtId="0" fontId="24" fillId="0" borderId="0"/>
    <xf numFmtId="0" fontId="24" fillId="0" borderId="0"/>
    <xf numFmtId="242" fontId="24" fillId="0" borderId="0" applyFont="0" applyFill="0" applyBorder="0" applyAlignment="0" applyProtection="0"/>
    <xf numFmtId="242" fontId="24" fillId="0" borderId="0" applyFont="0" applyFill="0" applyBorder="0" applyAlignment="0" applyProtection="0"/>
    <xf numFmtId="312" fontId="24" fillId="0" borderId="0" applyFont="0" applyFill="0" applyBorder="0" applyAlignment="0" applyProtection="0"/>
    <xf numFmtId="277" fontId="24" fillId="0" borderId="0" applyFont="0" applyFill="0" applyBorder="0" applyAlignment="0" applyProtection="0"/>
    <xf numFmtId="313"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7" fontId="115" fillId="0" borderId="0" applyFont="0" applyFill="0" applyBorder="0">
      <alignment horizontal="right"/>
    </xf>
    <xf numFmtId="17" fontId="72" fillId="0" borderId="0" applyFont="0" applyFill="0" applyBorder="0" applyAlignment="0" applyProtection="0">
      <alignment horizontal="center"/>
    </xf>
    <xf numFmtId="314" fontId="28" fillId="0" borderId="3" applyFont="0" applyFill="0" applyBorder="0" applyProtection="0"/>
    <xf numFmtId="314" fontId="28" fillId="0" borderId="3" applyFont="0" applyFill="0" applyBorder="0" applyProtection="0"/>
    <xf numFmtId="314" fontId="28" fillId="0" borderId="3" applyFont="0" applyFill="0" applyBorder="0" applyProtection="0"/>
    <xf numFmtId="315" fontId="28" fillId="0" borderId="3" applyFont="0" applyFill="0" applyBorder="0" applyAlignment="0" applyProtection="0"/>
    <xf numFmtId="315" fontId="28" fillId="0" borderId="3" applyFont="0" applyFill="0" applyBorder="0" applyAlignment="0" applyProtection="0"/>
    <xf numFmtId="315" fontId="28" fillId="0" borderId="3" applyFont="0" applyFill="0" applyBorder="0" applyAlignment="0" applyProtection="0"/>
    <xf numFmtId="0" fontId="24" fillId="0" borderId="0"/>
    <xf numFmtId="314" fontId="28" fillId="0" borderId="0" applyFont="0" applyFill="0" applyBorder="0" applyAlignment="0" applyProtection="0"/>
    <xf numFmtId="315" fontId="28" fillId="0" borderId="0" applyFont="0" applyFill="0" applyBorder="0" applyAlignment="0" applyProtection="0"/>
    <xf numFmtId="316" fontId="50" fillId="0" borderId="0" applyFont="0" applyFill="0" applyBorder="0" applyAlignment="0" applyProtection="0"/>
    <xf numFmtId="317" fontId="33" fillId="0" borderId="0" applyFont="0" applyFill="0" applyBorder="0" applyAlignment="0" applyProtection="0"/>
    <xf numFmtId="318" fontId="50" fillId="0" borderId="0" applyFont="0" applyFill="0" applyBorder="0" applyAlignment="0" applyProtection="0"/>
    <xf numFmtId="0" fontId="24" fillId="0" borderId="0"/>
    <xf numFmtId="319" fontId="50"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167" fontId="54" fillId="29" borderId="0" applyFont="0" applyBorder="0" applyAlignment="0" applyProtection="0">
      <alignment horizontal="right"/>
      <protection hidden="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0" fontId="48" fillId="0" borderId="0" applyFont="0" applyFill="0" applyBorder="0" applyAlignment="0" applyProtection="0">
      <alignment horizontal="center"/>
    </xf>
    <xf numFmtId="0" fontId="24" fillId="0" borderId="0"/>
    <xf numFmtId="320" fontId="28" fillId="0" borderId="0"/>
    <xf numFmtId="0" fontId="24" fillId="0" borderId="0"/>
    <xf numFmtId="0" fontId="24" fillId="0" borderId="0"/>
    <xf numFmtId="0" fontId="69" fillId="0" borderId="0" applyNumberFormat="0" applyFill="0" applyAlignment="0" applyProtection="0"/>
    <xf numFmtId="0" fontId="24" fillId="0" borderId="0"/>
    <xf numFmtId="0" fontId="24" fillId="0" borderId="0"/>
    <xf numFmtId="321" fontId="24" fillId="0" borderId="0"/>
    <xf numFmtId="0" fontId="24" fillId="0" borderId="0"/>
    <xf numFmtId="0" fontId="3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8" fontId="54" fillId="0" borderId="0" applyFont="0" applyFill="0" applyBorder="0" applyAlignment="0"/>
    <xf numFmtId="269" fontId="24" fillId="0" borderId="0" applyFont="0" applyFill="0" applyBorder="0" applyAlignment="0"/>
    <xf numFmtId="40" fontId="54" fillId="0" borderId="0" applyFont="0" applyFill="0" applyBorder="0" applyAlignment="0"/>
    <xf numFmtId="273" fontId="54" fillId="0" borderId="0" applyFont="0" applyFill="0" applyBorder="0" applyAlignment="0"/>
    <xf numFmtId="0" fontId="24" fillId="0" borderId="0"/>
    <xf numFmtId="0"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0" borderId="0"/>
    <xf numFmtId="0" fontId="24" fillId="0" borderId="0"/>
    <xf numFmtId="0" fontId="24" fillId="0" borderId="0"/>
    <xf numFmtId="0" fontId="24" fillId="0" borderId="0"/>
    <xf numFmtId="0" fontId="19" fillId="0" borderId="0"/>
    <xf numFmtId="0" fontId="24" fillId="0" borderId="0"/>
    <xf numFmtId="0" fontId="19" fillId="0" borderId="0"/>
    <xf numFmtId="0" fontId="24" fillId="0" borderId="0"/>
    <xf numFmtId="0" fontId="19" fillId="0" borderId="0"/>
    <xf numFmtId="0" fontId="24" fillId="0" borderId="0"/>
    <xf numFmtId="0" fontId="19" fillId="0" borderId="0"/>
    <xf numFmtId="0" fontId="24" fillId="0" borderId="0"/>
    <xf numFmtId="0" fontId="24" fillId="0" borderId="0"/>
    <xf numFmtId="0" fontId="19" fillId="0" borderId="0"/>
    <xf numFmtId="0" fontId="24" fillId="0" borderId="0"/>
    <xf numFmtId="0" fontId="19" fillId="0" borderId="0"/>
    <xf numFmtId="0" fontId="19" fillId="0" borderId="0"/>
    <xf numFmtId="0" fontId="24" fillId="0" borderId="0"/>
    <xf numFmtId="0" fontId="24" fillId="0" borderId="0"/>
    <xf numFmtId="0" fontId="24" fillId="0" borderId="0"/>
    <xf numFmtId="0" fontId="24" fillId="0" borderId="0"/>
    <xf numFmtId="0" fontId="24" fillId="0" borderId="0"/>
    <xf numFmtId="0" fontId="107" fillId="0" borderId="0"/>
    <xf numFmtId="0" fontId="24" fillId="0" borderId="0"/>
    <xf numFmtId="0" fontId="24" fillId="0" borderId="0"/>
    <xf numFmtId="0" fontId="27"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46"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0" borderId="0"/>
    <xf numFmtId="0" fontId="107" fillId="0" borderId="0"/>
    <xf numFmtId="0" fontId="107"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07" fillId="0" borderId="0"/>
    <xf numFmtId="0" fontId="107" fillId="0" borderId="0"/>
    <xf numFmtId="0"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0"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0" borderId="0"/>
    <xf numFmtId="0" fontId="24" fillId="0" borderId="0"/>
    <xf numFmtId="0" fontId="19" fillId="0" borderId="0"/>
    <xf numFmtId="0" fontId="24" fillId="0" borderId="0"/>
    <xf numFmtId="322" fontId="40" fillId="0" borderId="0">
      <alignment horizontal="right"/>
    </xf>
    <xf numFmtId="322" fontId="40" fillId="0" borderId="0">
      <alignment horizontal="right"/>
    </xf>
    <xf numFmtId="0" fontId="24" fillId="0" borderId="0"/>
    <xf numFmtId="1" fontId="72" fillId="0" borderId="0" applyFont="0" applyFill="0" applyBorder="0" applyAlignment="0" applyProtection="0">
      <alignment horizontal="center"/>
    </xf>
    <xf numFmtId="323" fontId="54" fillId="0" borderId="0" applyFont="0" applyFill="0" applyBorder="0" applyAlignment="0" applyProtection="0"/>
    <xf numFmtId="41" fontId="135" fillId="0" borderId="0"/>
    <xf numFmtId="269" fontId="24" fillId="0" borderId="0">
      <alignment horizontal="right"/>
    </xf>
    <xf numFmtId="269" fontId="54" fillId="0" borderId="0"/>
    <xf numFmtId="0" fontId="24" fillId="0" borderId="0"/>
    <xf numFmtId="40" fontId="54" fillId="0" borderId="0"/>
    <xf numFmtId="324" fontId="24" fillId="0" borderId="0"/>
    <xf numFmtId="38" fontId="24" fillId="0" borderId="0"/>
    <xf numFmtId="0" fontId="24" fillId="0" borderId="0"/>
    <xf numFmtId="0" fontId="24" fillId="0" borderId="0"/>
    <xf numFmtId="0" fontId="24" fillId="0" borderId="0"/>
    <xf numFmtId="0" fontId="24" fillId="0" borderId="0"/>
    <xf numFmtId="268" fontId="136" fillId="0" borderId="0">
      <alignment horizontal="right"/>
    </xf>
    <xf numFmtId="0" fontId="24" fillId="0" borderId="0"/>
    <xf numFmtId="0" fontId="24" fillId="0" borderId="0"/>
    <xf numFmtId="0" fontId="24" fillId="0" borderId="0"/>
    <xf numFmtId="39" fontId="54" fillId="0" borderId="0"/>
    <xf numFmtId="0" fontId="24" fillId="0" borderId="0"/>
    <xf numFmtId="40" fontId="24" fillId="0" borderId="0" applyBorder="0">
      <alignment horizontal="right"/>
    </xf>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24" fillId="0" borderId="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269" fontId="5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0" fontId="24" fillId="0" borderId="0" applyFont="0" applyFill="0" applyBorder="0" applyAlignment="0" applyProtection="0">
      <alignment horizontal="center"/>
    </xf>
    <xf numFmtId="0" fontId="24" fillId="0" borderId="0"/>
    <xf numFmtId="0" fontId="24" fillId="0" borderId="0"/>
    <xf numFmtId="0" fontId="24" fillId="0" borderId="0"/>
    <xf numFmtId="0" fontId="24" fillId="0" borderId="0"/>
    <xf numFmtId="43" fontId="28" fillId="0" borderId="0" applyFont="0" applyFill="0" applyBorder="0" applyAlignment="0" applyProtection="0"/>
    <xf numFmtId="0" fontId="24" fillId="0" borderId="0"/>
    <xf numFmtId="0" fontId="24" fillId="0" borderId="0"/>
    <xf numFmtId="0" fontId="24" fillId="0" borderId="0"/>
    <xf numFmtId="0" fontId="137" fillId="0" borderId="0">
      <alignment horizontal="left" vertical="top"/>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38" fillId="0" borderId="3" applyNumberFormat="0" applyFill="0" applyBorder="0" applyAlignment="0">
      <protection locked="0"/>
    </xf>
    <xf numFmtId="0" fontId="138" fillId="0" borderId="3" applyNumberFormat="0" applyFill="0" applyBorder="0" applyAlignment="0">
      <protection locked="0"/>
    </xf>
    <xf numFmtId="0" fontId="138" fillId="0" borderId="3" applyNumberFormat="0" applyFill="0" applyBorder="0" applyAlignment="0">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72" fillId="0" borderId="0" applyNumberFormat="0" applyFill="0" applyBorder="0" applyAlignment="0" applyProtection="0"/>
    <xf numFmtId="325" fontId="54" fillId="0" borderId="0"/>
    <xf numFmtId="0" fontId="24" fillId="0" borderId="0"/>
    <xf numFmtId="0" fontId="24" fillId="0" borderId="0"/>
    <xf numFmtId="0" fontId="24" fillId="0" borderId="0"/>
    <xf numFmtId="0" fontId="24" fillId="0" borderId="0"/>
    <xf numFmtId="0" fontId="109" fillId="0" borderId="0"/>
    <xf numFmtId="326" fontId="24" fillId="0" borderId="0" applyFont="0" applyFill="0" applyBorder="0" applyAlignment="0" applyProtection="0"/>
    <xf numFmtId="327"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328" fontId="50" fillId="0" borderId="0" applyFont="0" applyFill="0" applyBorder="0" applyAlignment="0" applyProtection="0"/>
    <xf numFmtId="165" fontId="139" fillId="0" borderId="0" applyFont="0" applyFill="0" applyBorder="0" applyAlignment="0" applyProtection="0"/>
    <xf numFmtId="0" fontId="24" fillId="0" borderId="0"/>
    <xf numFmtId="0" fontId="24" fillId="0" borderId="0"/>
    <xf numFmtId="0" fontId="24" fillId="0" borderId="0"/>
    <xf numFmtId="329" fontId="24" fillId="0" borderId="0" applyFont="0" applyFill="0" applyBorder="0" applyAlignment="0" applyProtection="0"/>
    <xf numFmtId="330" fontId="24" fillId="0" borderId="0" applyFont="0" applyFill="0" applyBorder="0" applyAlignment="0" applyProtection="0"/>
    <xf numFmtId="275" fontId="24" fillId="0" borderId="0" applyFont="0" applyFill="0" applyBorder="0" applyAlignment="0" applyProtection="0"/>
    <xf numFmtId="277" fontId="28" fillId="0" borderId="0" applyFont="0" applyFill="0" applyBorder="0" applyAlignment="0" applyProtection="0"/>
    <xf numFmtId="184" fontId="28" fillId="0" borderId="0" applyFont="0" applyFill="0" applyBorder="0" applyAlignment="0" applyProtection="0"/>
    <xf numFmtId="331" fontId="28" fillId="0" borderId="0" applyFont="0" applyFill="0" applyBorder="0" applyAlignment="0" applyProtection="0"/>
    <xf numFmtId="281" fontId="24" fillId="0" borderId="0" applyFont="0" applyFill="0" applyBorder="0" applyAlignment="0" applyProtection="0"/>
    <xf numFmtId="0" fontId="24" fillId="0" borderId="0"/>
    <xf numFmtId="0" fontId="24" fillId="0" borderId="0"/>
    <xf numFmtId="0" fontId="24" fillId="0" borderId="0"/>
    <xf numFmtId="9" fontId="19" fillId="0" borderId="0" applyFont="0" applyFill="0" applyBorder="0" applyAlignment="0" applyProtection="0"/>
    <xf numFmtId="9" fontId="107" fillId="0" borderId="0" applyFont="0" applyFill="0" applyBorder="0" applyAlignment="0" applyProtection="0"/>
    <xf numFmtId="9" fontId="24" fillId="0" borderId="0" applyFont="0" applyFill="0" applyBorder="0" applyAlignment="0" applyProtection="0"/>
    <xf numFmtId="9" fontId="19"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30"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86" fillId="0" borderId="0" applyFont="0" applyFill="0" applyBorder="0" applyAlignment="0" applyProtection="0"/>
    <xf numFmtId="0" fontId="24" fillId="0" borderId="0"/>
    <xf numFmtId="0" fontId="24" fillId="0" borderId="0"/>
    <xf numFmtId="0" fontId="24" fillId="0" borderId="0"/>
    <xf numFmtId="9" fontId="24" fillId="0" borderId="0" applyFont="0" applyFill="0" applyBorder="0" applyAlignment="0" applyProtection="0"/>
    <xf numFmtId="0" fontId="24" fillId="0" borderId="0"/>
    <xf numFmtId="0" fontId="24" fillId="0" borderId="0"/>
    <xf numFmtId="306" fontId="72" fillId="0" borderId="0" applyFont="0" applyFill="0" applyBorder="0" applyAlignment="0" applyProtection="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32" fontId="24" fillId="0" borderId="0" applyFill="0" applyBorder="0">
      <alignment horizontal="right"/>
      <protection locked="0"/>
    </xf>
    <xf numFmtId="333" fontId="140" fillId="0" borderId="0" applyFont="0" applyFill="0" applyBorder="0" applyAlignment="0" applyProtection="0">
      <protection locked="0"/>
    </xf>
    <xf numFmtId="0" fontId="24" fillId="0" borderId="0"/>
    <xf numFmtId="0" fontId="24" fillId="0" borderId="0"/>
    <xf numFmtId="334" fontId="54" fillId="0" borderId="0" applyFont="0" applyFill="0" applyBorder="0" applyAlignment="0" applyProtection="0"/>
    <xf numFmtId="335" fontId="54" fillId="0" borderId="0" applyFont="0" applyFill="0" applyBorder="0" applyAlignment="0" applyProtection="0"/>
    <xf numFmtId="0" fontId="24" fillId="0" borderId="0"/>
    <xf numFmtId="0" fontId="24" fillId="0" borderId="0"/>
    <xf numFmtId="0" fontId="24" fillId="0" borderId="0"/>
    <xf numFmtId="0" fontId="24" fillId="0" borderId="0"/>
    <xf numFmtId="336" fontId="2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8" fontId="141" fillId="0" borderId="39">
      <alignment horizontal="right"/>
    </xf>
    <xf numFmtId="0" fontId="24" fillId="0" borderId="0"/>
    <xf numFmtId="0" fontId="24" fillId="0" borderId="0"/>
    <xf numFmtId="0" fontId="24" fillId="0" borderId="0"/>
    <xf numFmtId="0" fontId="24" fillId="0" borderId="0"/>
    <xf numFmtId="0" fontId="142" fillId="0" borderId="0"/>
    <xf numFmtId="0" fontId="142" fillId="0" borderId="40">
      <alignment horizontal="right"/>
    </xf>
    <xf numFmtId="0" fontId="142"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43" fillId="0" borderId="0"/>
    <xf numFmtId="0" fontId="24" fillId="0" borderId="0"/>
    <xf numFmtId="0" fontId="24" fillId="0" borderId="0"/>
    <xf numFmtId="0" fontId="24" fillId="0" borderId="0"/>
    <xf numFmtId="337" fontId="24" fillId="0" borderId="0">
      <alignment horizontal="right"/>
      <protection locked="0"/>
    </xf>
    <xf numFmtId="0" fontId="24" fillId="0" borderId="0"/>
    <xf numFmtId="0" fontId="24" fillId="0" borderId="0"/>
    <xf numFmtId="0" fontId="24" fillId="0" borderId="0"/>
    <xf numFmtId="0" fontId="24" fillId="0" borderId="0"/>
    <xf numFmtId="0" fontId="24" fillId="0" borderId="0"/>
    <xf numFmtId="269" fontId="144" fillId="0" borderId="0" applyNumberFormat="0" applyFill="0" applyBorder="0" applyAlignment="0" applyProtection="0">
      <alignment horizontal="left"/>
    </xf>
    <xf numFmtId="0" fontId="24" fillId="0" borderId="0"/>
    <xf numFmtId="0" fontId="24" fillId="0" borderId="0"/>
    <xf numFmtId="191" fontId="28" fillId="0" borderId="0">
      <alignment horizontal="right"/>
    </xf>
    <xf numFmtId="0" fontId="24" fillId="0" borderId="0"/>
    <xf numFmtId="338" fontId="24" fillId="0" borderId="41" applyBorder="0">
      <alignment horizontal="right"/>
    </xf>
    <xf numFmtId="338" fontId="24" fillId="0" borderId="41" applyBorder="0">
      <alignment horizontal="right"/>
    </xf>
    <xf numFmtId="338" fontId="24" fillId="0" borderId="41" applyBorder="0">
      <alignment horizontal="right"/>
    </xf>
    <xf numFmtId="338" fontId="24" fillId="0" borderId="41" applyBorder="0">
      <alignment horizontal="right"/>
    </xf>
    <xf numFmtId="0" fontId="24" fillId="0" borderId="0"/>
    <xf numFmtId="0" fontId="24" fillId="0" borderId="0"/>
    <xf numFmtId="0" fontId="24" fillId="0" borderId="0"/>
    <xf numFmtId="0" fontId="24" fillId="0" borderId="0"/>
    <xf numFmtId="0" fontId="24" fillId="0" borderId="0"/>
    <xf numFmtId="0" fontId="24" fillId="0" borderId="0"/>
    <xf numFmtId="0" fontId="145" fillId="0" borderId="0">
      <alignment horizontal="right"/>
    </xf>
    <xf numFmtId="0" fontId="146" fillId="0" borderId="0">
      <alignment horizontal="right"/>
    </xf>
    <xf numFmtId="0" fontId="3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47" fillId="0" borderId="42"/>
    <xf numFmtId="0" fontId="147" fillId="0" borderId="42"/>
    <xf numFmtId="0" fontId="147" fillId="0" borderId="42"/>
    <xf numFmtId="0" fontId="147" fillId="0" borderId="42"/>
    <xf numFmtId="0" fontId="147" fillId="0" borderId="42"/>
    <xf numFmtId="0" fontId="147" fillId="0" borderId="42"/>
    <xf numFmtId="0" fontId="24" fillId="0" borderId="0"/>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339" fontId="28" fillId="0" borderId="0" applyFont="0" applyFill="0" applyBorder="0" applyAlignment="0" applyProtection="0">
      <alignment vertical="center"/>
    </xf>
    <xf numFmtId="0" fontId="24" fillId="0" borderId="0"/>
    <xf numFmtId="0" fontId="24" fillId="0" borderId="0"/>
    <xf numFmtId="0" fontId="148" fillId="1" borderId="34" applyNumberFormat="0" applyFont="0" applyAlignment="0">
      <alignment horizontal="center"/>
    </xf>
    <xf numFmtId="0" fontId="148" fillId="1" borderId="34" applyNumberFormat="0" applyFont="0" applyAlignment="0">
      <alignment horizontal="center"/>
    </xf>
    <xf numFmtId="0" fontId="148" fillId="1" borderId="34" applyNumberFormat="0" applyFont="0" applyAlignment="0">
      <alignment horizontal="center"/>
    </xf>
    <xf numFmtId="0" fontId="148" fillId="1" borderId="34" applyNumberFormat="0" applyFont="0" applyAlignment="0">
      <alignment horizontal="center"/>
    </xf>
    <xf numFmtId="0" fontId="24" fillId="0" borderId="0"/>
    <xf numFmtId="273" fontId="33" fillId="0" borderId="0" applyFont="0" applyFill="0" applyBorder="0" applyAlignment="0" applyProtection="0"/>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0" fontId="24" fillId="0" borderId="0"/>
    <xf numFmtId="1" fontId="24" fillId="0" borderId="0"/>
    <xf numFmtId="0" fontId="24" fillId="0" borderId="0"/>
    <xf numFmtId="0" fontId="24" fillId="0" borderId="0"/>
    <xf numFmtId="0" fontId="69" fillId="0" borderId="3" applyNumberFormat="0" applyFill="0" applyAlignment="0" applyProtection="0"/>
    <xf numFmtId="0" fontId="69" fillId="0" borderId="3" applyNumberFormat="0" applyFill="0" applyAlignment="0" applyProtection="0"/>
    <xf numFmtId="0" fontId="69" fillId="0" borderId="3" applyNumberFormat="0" applyFill="0" applyAlignment="0" applyProtection="0"/>
    <xf numFmtId="1" fontId="24" fillId="0" borderId="0" applyNumberFormat="0" applyFill="0" applyBorder="0" applyAlignment="0" applyProtection="0">
      <alignment horizontal="center"/>
    </xf>
    <xf numFmtId="1" fontId="27" fillId="0" borderId="0" applyNumberFormat="0" applyFill="0" applyBorder="0" applyAlignment="0" applyProtection="0">
      <alignment horizontal="center"/>
    </xf>
    <xf numFmtId="0" fontId="24" fillId="0" borderId="0"/>
    <xf numFmtId="0" fontId="24" fillId="0" borderId="0"/>
    <xf numFmtId="0" fontId="24" fillId="0" borderId="0"/>
    <xf numFmtId="288" fontId="28" fillId="0" borderId="0">
      <alignment horizontal="center"/>
    </xf>
    <xf numFmtId="6" fontId="32" fillId="0" borderId="0">
      <alignment horizontal="right" vertical="center"/>
    </xf>
    <xf numFmtId="37" fontId="32" fillId="31" borderId="16">
      <alignment horizontal="right" vertical="center"/>
    </xf>
    <xf numFmtId="38" fontId="32" fillId="0" borderId="0">
      <alignment horizontal="right" vertical="center"/>
    </xf>
    <xf numFmtId="9" fontId="32" fillId="0" borderId="0">
      <alignment horizontal="right" vertical="center"/>
    </xf>
    <xf numFmtId="0" fontId="32" fillId="0" borderId="0"/>
    <xf numFmtId="269" fontId="54" fillId="66" borderId="0" applyNumberFormat="0" applyFont="0" applyBorder="0" applyAlignment="0">
      <protection hidden="1"/>
    </xf>
    <xf numFmtId="0" fontId="24" fillId="0" borderId="0"/>
    <xf numFmtId="0" fontId="50" fillId="0" borderId="43"/>
    <xf numFmtId="0" fontId="50" fillId="0" borderId="43"/>
    <xf numFmtId="0" fontId="24" fillId="0" borderId="0"/>
    <xf numFmtId="0" fontId="24" fillId="0" borderId="0">
      <alignment vertical="top"/>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alignment vertical="top"/>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alignment vertical="top"/>
    </xf>
    <xf numFmtId="0" fontId="24" fillId="0" borderId="0"/>
    <xf numFmtId="0" fontId="24" fillId="0" borderId="0"/>
    <xf numFmtId="0" fontId="24" fillId="0" borderId="0"/>
    <xf numFmtId="0" fontId="88" fillId="0" borderId="44" applyNumberFormat="0" applyFill="0" applyProtection="0">
      <alignment horizontal="right" wrapText="1"/>
    </xf>
    <xf numFmtId="0" fontId="88" fillId="0" borderId="44" applyNumberFormat="0" applyFill="0" applyProtection="0">
      <alignment horizontal="right" wrapText="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4" fillId="0" borderId="0" applyNumberFormat="0" applyFill="0" applyBorder="0" applyAlignment="0" applyProtection="0"/>
    <xf numFmtId="0" fontId="54" fillId="0" borderId="0" applyNumberFormat="0" applyFill="0" applyBorder="0" applyAlignment="0" applyProtection="0"/>
    <xf numFmtId="0" fontId="24" fillId="0" borderId="0"/>
    <xf numFmtId="0" fontId="54" fillId="0" borderId="0" applyNumberFormat="0" applyFill="0" applyBorder="0" applyAlignment="0" applyProtection="0"/>
    <xf numFmtId="0" fontId="54" fillId="0" borderId="0" applyNumberForma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49" fillId="0" borderId="0"/>
    <xf numFmtId="269" fontId="33" fillId="0" borderId="0" applyFill="0" applyBorder="0" applyAlignment="0" applyProtection="0"/>
    <xf numFmtId="0" fontId="24" fillId="0" borderId="0"/>
    <xf numFmtId="0" fontId="43" fillId="0" borderId="45"/>
    <xf numFmtId="0" fontId="150"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40" fontId="151" fillId="0" borderId="44" applyBorder="0" applyProtection="0">
      <alignment horizontal="right" vertical="center"/>
    </xf>
    <xf numFmtId="340" fontId="151" fillId="0" borderId="44" applyBorder="0" applyProtection="0">
      <alignment horizontal="right" vertical="center"/>
    </xf>
    <xf numFmtId="0" fontId="24" fillId="0" borderId="0"/>
    <xf numFmtId="0" fontId="24" fillId="0" borderId="0"/>
    <xf numFmtId="0" fontId="152" fillId="34" borderId="44" applyBorder="0" applyProtection="0">
      <alignment horizontal="centerContinuous" vertical="center"/>
    </xf>
    <xf numFmtId="0" fontId="152" fillId="34" borderId="44" applyBorder="0" applyProtection="0">
      <alignment horizontal="centerContinuous" vertic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46" applyAlignment="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5" fontId="153" fillId="0" borderId="0"/>
    <xf numFmtId="269" fontId="24" fillId="67" borderId="0" applyNumberFormat="0" applyFon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64" fontId="24" fillId="0" borderId="0" applyFont="0" applyFill="0" applyBorder="0" applyAlignment="0" applyProtection="0">
      <alignment horizontal="center"/>
    </xf>
    <xf numFmtId="0" fontId="154" fillId="0" borderId="2" applyNumberFormat="0" applyFill="0" applyAlignment="0" applyProtection="0"/>
    <xf numFmtId="0" fontId="155" fillId="0" borderId="0" applyNumberFormat="0" applyFill="0" applyBorder="0" applyAlignment="0" applyProtection="0"/>
    <xf numFmtId="0" fontId="163" fillId="0" borderId="0"/>
    <xf numFmtId="9" fontId="177" fillId="0" borderId="0" applyFont="0" applyFill="0" applyBorder="0" applyAlignment="0" applyProtection="0"/>
    <xf numFmtId="44" fontId="197" fillId="0" borderId="0" applyFont="0" applyFill="0" applyBorder="0" applyAlignment="0" applyProtection="0"/>
    <xf numFmtId="9" fontId="197" fillId="0" borderId="0" applyFont="0" applyFill="0" applyBorder="0" applyAlignment="0" applyProtection="0"/>
    <xf numFmtId="43" fontId="197" fillId="0" borderId="0" applyFont="0" applyFill="0" applyBorder="0" applyAlignment="0" applyProtection="0"/>
    <xf numFmtId="43" fontId="177" fillId="0" borderId="0" applyFont="0" applyFill="0" applyBorder="0" applyAlignment="0" applyProtection="0"/>
    <xf numFmtId="43" fontId="177" fillId="0" borderId="0" applyFont="0" applyFill="0" applyBorder="0" applyAlignment="0" applyProtection="0"/>
    <xf numFmtId="43" fontId="18" fillId="0" borderId="0" applyFont="0" applyFill="0" applyBorder="0" applyAlignment="0" applyProtection="0"/>
    <xf numFmtId="9" fontId="18" fillId="0" borderId="0" applyFont="0" applyFill="0" applyBorder="0" applyAlignment="0" applyProtection="0"/>
    <xf numFmtId="44" fontId="18" fillId="0" borderId="0" applyFont="0" applyFill="0" applyBorder="0" applyAlignment="0" applyProtection="0"/>
    <xf numFmtId="0" fontId="52" fillId="32" borderId="66">
      <alignment horizontal="center"/>
    </xf>
    <xf numFmtId="0" fontId="53" fillId="35" borderId="66">
      <alignment horizontal="center" vertical="center"/>
    </xf>
    <xf numFmtId="3" fontId="54" fillId="0" borderId="66"/>
    <xf numFmtId="4" fontId="54" fillId="0" borderId="66"/>
    <xf numFmtId="218" fontId="24" fillId="0" borderId="66">
      <alignment horizontal="center" vertical="center"/>
    </xf>
    <xf numFmtId="0" fontId="55" fillId="0" borderId="66">
      <alignment horizontal="center"/>
    </xf>
    <xf numFmtId="0" fontId="56" fillId="36" borderId="66">
      <alignment horizontal="center"/>
    </xf>
    <xf numFmtId="0" fontId="52" fillId="32" borderId="66"/>
    <xf numFmtId="0" fontId="53" fillId="35" borderId="66">
      <alignment horizontal="center" vertical="center"/>
    </xf>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6" borderId="0" applyNumberFormat="0" applyBorder="0" applyAlignment="0" applyProtection="0"/>
    <xf numFmtId="0" fontId="18" fillId="26" borderId="0" applyNumberFormat="0" applyBorder="0" applyAlignment="0" applyProtection="0"/>
    <xf numFmtId="0" fontId="18" fillId="26" borderId="0" applyNumberFormat="0" applyBorder="0" applyAlignment="0" applyProtection="0"/>
    <xf numFmtId="0" fontId="18" fillId="26" borderId="0" applyNumberFormat="0" applyBorder="0" applyAlignment="0" applyProtection="0"/>
    <xf numFmtId="37" fontId="53" fillId="1" borderId="67">
      <alignment horizontal="centerContinuous" vertical="center"/>
    </xf>
    <xf numFmtId="37" fontId="53" fillId="1" borderId="67">
      <alignment horizontal="centerContinuous"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177" fontId="33" fillId="0" borderId="67"/>
    <xf numFmtId="177" fontId="33" fillId="0" borderId="67"/>
    <xf numFmtId="177" fontId="33" fillId="0" borderId="67"/>
    <xf numFmtId="177" fontId="33" fillId="0" borderId="67"/>
    <xf numFmtId="177" fontId="33" fillId="0" borderId="67"/>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0" fontId="122" fillId="0" borderId="68">
      <alignment horizontal="left" vertical="center"/>
    </xf>
    <xf numFmtId="0" fontId="122" fillId="0" borderId="68">
      <alignment horizontal="left" vertical="center"/>
    </xf>
    <xf numFmtId="0" fontId="122" fillId="0" borderId="68">
      <alignment horizontal="left" vertical="center"/>
    </xf>
    <xf numFmtId="0" fontId="122" fillId="0" borderId="68">
      <alignment horizontal="left" vertic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46" fontId="18" fillId="0" borderId="0"/>
    <xf numFmtId="0" fontId="18" fillId="0" borderId="0"/>
    <xf numFmtId="0" fontId="18" fillId="0" borderId="0"/>
    <xf numFmtId="0" fontId="18" fillId="0" borderId="0"/>
    <xf numFmtId="0" fontId="18" fillId="0" borderId="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9" fontId="18" fillId="0" borderId="0" applyFont="0" applyFill="0" applyBorder="0" applyAlignment="0" applyProtection="0"/>
    <xf numFmtId="9" fontId="18" fillId="0" borderId="0" applyFont="0" applyFill="0" applyBorder="0" applyAlignment="0" applyProtection="0"/>
    <xf numFmtId="338" fontId="24" fillId="0" borderId="63" applyBorder="0">
      <alignment horizontal="right"/>
    </xf>
    <xf numFmtId="338" fontId="24" fillId="0" borderId="63" applyBorder="0">
      <alignment horizontal="right"/>
    </xf>
    <xf numFmtId="338" fontId="24" fillId="0" borderId="63" applyBorder="0">
      <alignment horizontal="right"/>
    </xf>
    <xf numFmtId="338" fontId="24" fillId="0" borderId="63" applyBorder="0">
      <alignment horizontal="right"/>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48" fillId="1" borderId="68" applyNumberFormat="0" applyFont="0" applyAlignment="0">
      <alignment horizontal="center"/>
    </xf>
    <xf numFmtId="0" fontId="148" fillId="1" borderId="68" applyNumberFormat="0" applyFont="0" applyAlignment="0">
      <alignment horizontal="center"/>
    </xf>
    <xf numFmtId="0" fontId="148" fillId="1" borderId="68" applyNumberFormat="0" applyFont="0" applyAlignment="0">
      <alignment horizontal="center"/>
    </xf>
    <xf numFmtId="0" fontId="148" fillId="1" borderId="68" applyNumberFormat="0" applyFont="0" applyAlignment="0">
      <alignment horizontal="center"/>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0" fontId="200" fillId="0" borderId="0"/>
    <xf numFmtId="43" fontId="200" fillId="0" borderId="0" applyFont="0" applyFill="0" applyBorder="0" applyAlignment="0" applyProtection="0"/>
    <xf numFmtId="44" fontId="200" fillId="0" borderId="0" applyFont="0" applyFill="0" applyBorder="0" applyAlignment="0" applyProtection="0"/>
    <xf numFmtId="0" fontId="18" fillId="0" borderId="0"/>
    <xf numFmtId="0" fontId="50" fillId="0" borderId="0"/>
    <xf numFmtId="0" fontId="33" fillId="0" borderId="0">
      <alignment horizontal="right"/>
    </xf>
    <xf numFmtId="345" fontId="201" fillId="0" borderId="0">
      <alignment horizontal="right"/>
    </xf>
    <xf numFmtId="0" fontId="202" fillId="0" borderId="0"/>
    <xf numFmtId="0" fontId="24" fillId="0" borderId="0"/>
    <xf numFmtId="0" fontId="202" fillId="0" borderId="0"/>
    <xf numFmtId="0" fontId="24" fillId="0" borderId="0"/>
    <xf numFmtId="0" fontId="24" fillId="0" borderId="0"/>
    <xf numFmtId="0" fontId="24" fillId="0" borderId="0"/>
    <xf numFmtId="0" fontId="202" fillId="0" borderId="0"/>
    <xf numFmtId="0" fontId="202" fillId="0" borderId="0"/>
    <xf numFmtId="0" fontId="24" fillId="0" borderId="0"/>
    <xf numFmtId="0" fontId="24" fillId="0" borderId="0"/>
    <xf numFmtId="0" fontId="28" fillId="0" borderId="0">
      <alignment horizontal="right"/>
    </xf>
    <xf numFmtId="0" fontId="28" fillId="29" borderId="0"/>
    <xf numFmtId="0" fontId="24" fillId="29" borderId="0"/>
    <xf numFmtId="0" fontId="203" fillId="29" borderId="0"/>
    <xf numFmtId="0" fontId="203" fillId="29" borderId="0"/>
    <xf numFmtId="0" fontId="28" fillId="29" borderId="0">
      <alignment horizontal="right"/>
    </xf>
    <xf numFmtId="7" fontId="24" fillId="0" borderId="0">
      <alignment horizontal="right"/>
    </xf>
    <xf numFmtId="9" fontId="31" fillId="0" borderId="0" applyFont="0" applyFill="0" applyBorder="0" applyAlignment="0" applyProtection="0"/>
    <xf numFmtId="9" fontId="24" fillId="0" borderId="0"/>
    <xf numFmtId="0" fontId="77" fillId="37" borderId="0" applyNumberFormat="0" applyBorder="0" applyAlignment="0" applyProtection="0"/>
    <xf numFmtId="0" fontId="77" fillId="38" borderId="0" applyNumberFormat="0" applyBorder="0" applyAlignment="0" applyProtection="0"/>
    <xf numFmtId="0" fontId="77" fillId="39" borderId="0" applyNumberFormat="0" applyBorder="0" applyAlignment="0" applyProtection="0"/>
    <xf numFmtId="0" fontId="77" fillId="40"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7" borderId="0" applyNumberFormat="0" applyBorder="0" applyAlignment="0" applyProtection="0"/>
    <xf numFmtId="0" fontId="77" fillId="40" borderId="0" applyNumberFormat="0" applyBorder="0" applyAlignment="0" applyProtection="0"/>
    <xf numFmtId="0" fontId="77" fillId="45" borderId="0" applyNumberFormat="0" applyBorder="0" applyAlignment="0" applyProtection="0"/>
    <xf numFmtId="0" fontId="77" fillId="48" borderId="0" applyNumberFormat="0" applyBorder="0" applyAlignment="0" applyProtection="0"/>
    <xf numFmtId="0" fontId="81" fillId="49" borderId="0" applyNumberFormat="0" applyBorder="0" applyAlignment="0" applyProtection="0"/>
    <xf numFmtId="0" fontId="81" fillId="46" borderId="0" applyNumberFormat="0" applyBorder="0" applyAlignment="0" applyProtection="0"/>
    <xf numFmtId="0" fontId="81" fillId="47" borderId="0" applyNumberFormat="0" applyBorder="0" applyAlignment="0" applyProtection="0"/>
    <xf numFmtId="0" fontId="81" fillId="50" borderId="0" applyNumberFormat="0" applyBorder="0" applyAlignment="0" applyProtection="0"/>
    <xf numFmtId="0" fontId="81" fillId="51" borderId="0" applyNumberFormat="0" applyBorder="0" applyAlignment="0" applyProtection="0"/>
    <xf numFmtId="0" fontId="81" fillId="52" borderId="0" applyNumberFormat="0" applyBorder="0" applyAlignment="0" applyProtection="0"/>
    <xf numFmtId="39" fontId="24" fillId="0" borderId="0" applyFont="0" applyFill="0" applyBorder="0" applyAlignment="0" applyProtection="0"/>
    <xf numFmtId="38" fontId="24" fillId="0" borderId="0"/>
    <xf numFmtId="346" fontId="24" fillId="0" borderId="0" applyFont="0" applyFill="0" applyBorder="0" applyAlignment="0" applyProtection="0"/>
    <xf numFmtId="0" fontId="24" fillId="0" borderId="0"/>
    <xf numFmtId="0" fontId="54" fillId="0" borderId="0"/>
    <xf numFmtId="347" fontId="24" fillId="0" borderId="0" applyFont="0" applyFill="0" applyBorder="0" applyAlignment="0" applyProtection="0"/>
    <xf numFmtId="348" fontId="24" fillId="0" borderId="0" applyFont="0" applyFill="0" applyBorder="0" applyAlignment="0" applyProtection="0"/>
    <xf numFmtId="269" fontId="54" fillId="0" borderId="0"/>
    <xf numFmtId="0" fontId="38" fillId="0" borderId="0">
      <alignment vertical="center"/>
    </xf>
    <xf numFmtId="0" fontId="24" fillId="0" borderId="0" applyNumberFormat="0" applyFill="0" applyBorder="0" applyAlignment="0" applyProtection="0"/>
    <xf numFmtId="0" fontId="204" fillId="0" borderId="0"/>
    <xf numFmtId="0" fontId="24" fillId="0" borderId="0"/>
    <xf numFmtId="0" fontId="205" fillId="0" borderId="0"/>
    <xf numFmtId="0" fontId="24" fillId="0" borderId="0">
      <alignment horizontal="left" wrapText="1"/>
    </xf>
    <xf numFmtId="0" fontId="28" fillId="0" borderId="0" applyFont="0" applyFill="0" applyBorder="0" applyAlignment="0" applyProtection="0"/>
    <xf numFmtId="0" fontId="54" fillId="0" borderId="0" applyFont="0" applyFill="0" applyBorder="0" applyAlignment="0" applyProtection="0"/>
    <xf numFmtId="0" fontId="99" fillId="0" borderId="0"/>
    <xf numFmtId="0" fontId="28" fillId="0" borderId="0"/>
    <xf numFmtId="0" fontId="24" fillId="29" borderId="0"/>
    <xf numFmtId="0" fontId="206" fillId="76" borderId="0"/>
    <xf numFmtId="0" fontId="207" fillId="77" borderId="0"/>
    <xf numFmtId="0" fontId="208" fillId="78" borderId="0"/>
    <xf numFmtId="0" fontId="209" fillId="0" borderId="0"/>
    <xf numFmtId="0" fontId="43" fillId="0" borderId="0"/>
    <xf numFmtId="0" fontId="28" fillId="0" borderId="0"/>
    <xf numFmtId="0" fontId="50" fillId="0" borderId="0" applyFont="0" applyFill="0" applyBorder="0" applyAlignment="0" applyProtection="0"/>
    <xf numFmtId="349" fontId="24" fillId="0" borderId="0" applyFont="0" applyFill="0" applyBorder="0" applyAlignment="0" applyProtection="0"/>
    <xf numFmtId="191" fontId="24" fillId="0" borderId="0" applyFont="0" applyFill="0" applyBorder="0" applyAlignment="0" applyProtection="0"/>
    <xf numFmtId="39" fontId="24" fillId="0" borderId="0" applyFont="0" applyFill="0" applyBorder="0" applyAlignment="0" applyProtection="0"/>
    <xf numFmtId="39" fontId="24" fillId="0" borderId="0" applyFont="0" applyFill="0" applyBorder="0" applyAlignment="0" applyProtection="0"/>
    <xf numFmtId="191" fontId="24" fillId="0" borderId="0" applyFont="0" applyFill="0" applyBorder="0" applyAlignment="0" applyProtection="0"/>
    <xf numFmtId="39" fontId="24" fillId="0" borderId="0" applyFont="0" applyFill="0" applyBorder="0" applyAlignment="0" applyProtection="0"/>
    <xf numFmtId="4" fontId="24" fillId="36" borderId="0"/>
    <xf numFmtId="0" fontId="24" fillId="0" borderId="0" applyFont="0" applyFill="0" applyBorder="0" applyAlignment="0" applyProtection="0"/>
    <xf numFmtId="191" fontId="24" fillId="0" borderId="0" applyFont="0" applyFill="0" applyBorder="0" applyAlignment="0" applyProtection="0"/>
    <xf numFmtId="346" fontId="24" fillId="0" borderId="0" applyFont="0" applyFill="0" applyBorder="0" applyAlignment="0" applyProtection="0"/>
    <xf numFmtId="0" fontId="24" fillId="0" borderId="0">
      <alignment horizontal="right"/>
    </xf>
    <xf numFmtId="0" fontId="24" fillId="0" borderId="0"/>
    <xf numFmtId="183" fontId="28" fillId="0" borderId="0" applyFont="0" applyFill="0" applyBorder="0" applyAlignment="0"/>
    <xf numFmtId="0" fontId="24" fillId="0" borderId="0"/>
    <xf numFmtId="346" fontId="24" fillId="0" borderId="0" applyFont="0" applyFill="0" applyBorder="0" applyAlignment="0" applyProtection="0"/>
    <xf numFmtId="191" fontId="24" fillId="0" borderId="0" applyFont="0" applyFill="0" applyBorder="0" applyAlignment="0" applyProtection="0"/>
    <xf numFmtId="0" fontId="24" fillId="0" borderId="0">
      <alignment horizontal="right"/>
    </xf>
    <xf numFmtId="331" fontId="24" fillId="0" borderId="0" applyFont="0" applyFill="0" applyBorder="0" applyAlignment="0" applyProtection="0"/>
    <xf numFmtId="0" fontId="57" fillId="79" borderId="0"/>
    <xf numFmtId="0" fontId="45" fillId="0" borderId="0" applyNumberFormat="0" applyFill="0" applyBorder="0" applyAlignment="0" applyProtection="0"/>
    <xf numFmtId="0" fontId="45" fillId="0" borderId="0" applyNumberFormat="0" applyFill="0" applyBorder="0" applyAlignment="0" applyProtection="0"/>
    <xf numFmtId="0" fontId="210" fillId="0" borderId="0" applyFont="0" applyFill="0" applyBorder="0" applyAlignment="0" applyProtection="0"/>
    <xf numFmtId="0" fontId="112" fillId="0" borderId="0" applyFont="0" applyFill="0" applyBorder="0" applyAlignment="0" applyProtection="0"/>
    <xf numFmtId="165" fontId="24" fillId="0" borderId="0" applyFont="0" applyFill="0" applyBorder="0" applyAlignment="0" applyProtection="0"/>
    <xf numFmtId="0" fontId="30" fillId="0" borderId="0"/>
    <xf numFmtId="344"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12" fontId="24" fillId="0" borderId="0" applyFont="0" applyFill="0" applyBorder="0" applyAlignment="0" applyProtection="0"/>
    <xf numFmtId="0" fontId="24" fillId="0" borderId="0" applyFont="0" applyFill="0" applyBorder="0" applyProtection="0">
      <alignment horizontal="right"/>
    </xf>
    <xf numFmtId="0" fontId="39" fillId="0" borderId="0" applyFont="0" applyFill="0" applyBorder="0" applyProtection="0">
      <alignment horizontal="right"/>
    </xf>
    <xf numFmtId="0" fontId="24" fillId="0" borderId="0">
      <alignment horizontal="left" wrapText="1"/>
    </xf>
    <xf numFmtId="0" fontId="24" fillId="0" borderId="0">
      <alignment horizontal="left" wrapText="1"/>
    </xf>
    <xf numFmtId="219" fontId="24" fillId="0" borderId="0">
      <alignment horizontal="left" wrapText="1"/>
    </xf>
    <xf numFmtId="0" fontId="50" fillId="0" borderId="0"/>
    <xf numFmtId="183" fontId="28" fillId="0" borderId="0" applyFont="0" applyFill="0" applyBorder="0" applyAlignment="0"/>
    <xf numFmtId="0" fontId="24" fillId="0" borderId="0"/>
    <xf numFmtId="346" fontId="24" fillId="0" borderId="0" applyFont="0" applyFill="0" applyBorder="0" applyAlignment="0" applyProtection="0"/>
    <xf numFmtId="191" fontId="24" fillId="0" borderId="0" applyFont="0" applyFill="0" applyBorder="0" applyAlignment="0" applyProtection="0"/>
    <xf numFmtId="0" fontId="24" fillId="0" borderId="0">
      <alignment horizontal="right"/>
    </xf>
    <xf numFmtId="0" fontId="59" fillId="0" borderId="21" applyNumberFormat="0" applyFill="0" applyProtection="0">
      <alignment horizontal="center"/>
    </xf>
    <xf numFmtId="0" fontId="24" fillId="0" borderId="43" applyNumberFormat="0" applyFont="0" applyFill="0" applyAlignment="0" applyProtection="0"/>
    <xf numFmtId="0" fontId="59" fillId="0" borderId="0" applyNumberFormat="0" applyFill="0" applyBorder="0" applyProtection="0">
      <alignment horizontal="left"/>
    </xf>
    <xf numFmtId="0" fontId="62" fillId="0" borderId="0" applyNumberFormat="0" applyFill="0" applyBorder="0" applyProtection="0">
      <alignment horizontal="centerContinuous"/>
    </xf>
    <xf numFmtId="0" fontId="49" fillId="0" borderId="0" applyNumberFormat="0" applyFill="0" applyBorder="0" applyAlignment="0" applyProtection="0"/>
    <xf numFmtId="350" fontId="24" fillId="0" borderId="0"/>
    <xf numFmtId="351" fontId="24" fillId="0" borderId="0"/>
    <xf numFmtId="0" fontId="24" fillId="0" borderId="0"/>
    <xf numFmtId="352" fontId="24" fillId="0" borderId="0"/>
    <xf numFmtId="353" fontId="24" fillId="0" borderId="0"/>
    <xf numFmtId="190" fontId="23" fillId="0" borderId="0">
      <alignment horizontal="right"/>
    </xf>
    <xf numFmtId="165" fontId="23" fillId="0" borderId="0"/>
    <xf numFmtId="354" fontId="28" fillId="0" borderId="0"/>
    <xf numFmtId="2" fontId="211" fillId="0" borderId="0" applyNumberFormat="0" applyFill="0" applyBorder="0" applyAlignment="0" applyProtection="0"/>
    <xf numFmtId="2" fontId="212" fillId="0" borderId="0" applyNumberFormat="0" applyFill="0" applyBorder="0" applyAlignment="0" applyProtection="0"/>
    <xf numFmtId="0" fontId="202" fillId="0" borderId="0"/>
    <xf numFmtId="9" fontId="210" fillId="0" borderId="0" applyFont="0" applyFill="0" applyBorder="0" applyAlignment="0" applyProtection="0"/>
    <xf numFmtId="0" fontId="39" fillId="80" borderId="0"/>
    <xf numFmtId="0" fontId="213" fillId="0" borderId="69" applyNumberFormat="0" applyFont="0" applyFill="0" applyAlignment="0" applyProtection="0">
      <alignment horizontal="left"/>
      <protection locked="0"/>
    </xf>
    <xf numFmtId="355" fontId="214" fillId="0" borderId="0"/>
    <xf numFmtId="0" fontId="50" fillId="0" borderId="0" applyBorder="0">
      <alignment horizontal="right"/>
    </xf>
    <xf numFmtId="6" fontId="213" fillId="0" borderId="70" applyNumberFormat="0" applyFont="0" applyFill="0" applyAlignment="0" applyProtection="0">
      <alignment horizontal="left"/>
      <protection locked="0"/>
    </xf>
    <xf numFmtId="0" fontId="215" fillId="0" borderId="29" applyNumberFormat="0" applyFont="0" applyBorder="0" applyAlignment="0" applyProtection="0">
      <alignment horizontal="right"/>
    </xf>
    <xf numFmtId="356" fontId="36" fillId="0" borderId="0" applyFill="0" applyProtection="0"/>
    <xf numFmtId="357" fontId="43" fillId="0" borderId="0"/>
    <xf numFmtId="271" fontId="36" fillId="0" borderId="0" applyFont="0" applyFill="0" applyBorder="0" applyProtection="0"/>
    <xf numFmtId="0" fontId="36" fillId="0" borderId="0" applyFill="0" applyProtection="0"/>
    <xf numFmtId="0" fontId="130" fillId="0" borderId="0" applyFont="0" applyFill="0" applyBorder="0" applyAlignment="0" applyProtection="0"/>
    <xf numFmtId="0" fontId="216" fillId="0" borderId="0" applyNumberFormat="0" applyFill="0" applyBorder="0" applyAlignment="0" applyProtection="0"/>
    <xf numFmtId="0" fontId="217" fillId="0" borderId="0" applyNumberFormat="0" applyFont="0" applyFill="0" applyBorder="0" applyProtection="0">
      <alignment horizontal="centerContinuous"/>
    </xf>
    <xf numFmtId="37" fontId="218" fillId="30" borderId="0" applyNumberFormat="0" applyFont="0" applyBorder="0" applyAlignment="0"/>
    <xf numFmtId="0" fontId="219" fillId="0" borderId="0" applyNumberFormat="0" applyFill="0" applyBorder="0" applyAlignment="0" applyProtection="0"/>
    <xf numFmtId="0" fontId="220" fillId="0" borderId="0"/>
    <xf numFmtId="0" fontId="221" fillId="0" borderId="0" applyNumberFormat="0" applyProtection="0"/>
    <xf numFmtId="358" fontId="24" fillId="81" borderId="0" applyNumberFormat="0" applyFont="0" applyBorder="0" applyAlignment="0" applyProtection="0"/>
    <xf numFmtId="359" fontId="24" fillId="0" borderId="0" applyFont="0" applyFill="0" applyBorder="0" applyAlignment="0" applyProtection="0"/>
    <xf numFmtId="360" fontId="112" fillId="0" borderId="0" applyFont="0" applyFill="0" applyBorder="0" applyAlignment="0" applyProtection="0"/>
    <xf numFmtId="2" fontId="222" fillId="82" borderId="0" applyNumberFormat="0" applyFont="0" applyBorder="0" applyAlignment="0" applyProtection="0"/>
    <xf numFmtId="2" fontId="222" fillId="83" borderId="0" applyNumberFormat="0" applyFont="0" applyBorder="0" applyAlignment="0" applyProtection="0"/>
    <xf numFmtId="0" fontId="64" fillId="0" borderId="0" applyNumberFormat="0" applyFill="0" applyBorder="0" applyAlignment="0" applyProtection="0"/>
    <xf numFmtId="0" fontId="223" fillId="0" borderId="71" applyNumberFormat="0" applyFill="0" applyAlignment="0" applyProtection="0"/>
    <xf numFmtId="0" fontId="33" fillId="0" borderId="0" applyFont="0" applyFill="0" applyBorder="0" applyAlignment="0" applyProtection="0"/>
    <xf numFmtId="361" fontId="24" fillId="0" borderId="0"/>
    <xf numFmtId="0" fontId="224" fillId="84" borderId="0" applyNumberFormat="0">
      <alignment horizontal="left"/>
    </xf>
    <xf numFmtId="0" fontId="140" fillId="0" borderId="0" applyFont="0" applyFill="0" applyBorder="0" applyAlignment="0" applyProtection="0"/>
    <xf numFmtId="331" fontId="140" fillId="0" borderId="0" applyFont="0" applyFill="0" applyBorder="0" applyAlignment="0" applyProtection="0"/>
    <xf numFmtId="0" fontId="140" fillId="0" borderId="0" applyFont="0" applyFill="0" applyBorder="0" applyAlignment="0" applyProtection="0">
      <alignment horizontal="right"/>
    </xf>
    <xf numFmtId="0" fontId="225" fillId="0" borderId="72" applyNumberFormat="0" applyFill="0" applyAlignment="0" applyProtection="0"/>
    <xf numFmtId="0" fontId="226" fillId="0" borderId="73" applyNumberFormat="0" applyFill="0" applyAlignment="0" applyProtection="0"/>
    <xf numFmtId="0" fontId="227" fillId="0" borderId="74" applyNumberFormat="0" applyFill="0" applyAlignment="0" applyProtection="0"/>
    <xf numFmtId="0" fontId="227" fillId="0" borderId="0" applyNumberFormat="0" applyFill="0" applyBorder="0" applyAlignment="0" applyProtection="0"/>
    <xf numFmtId="0" fontId="228" fillId="0" borderId="0">
      <alignment horizontal="left"/>
    </xf>
    <xf numFmtId="0" fontId="229" fillId="0" borderId="0">
      <alignment horizontal="left" wrapText="1"/>
    </xf>
    <xf numFmtId="0" fontId="33" fillId="0" borderId="67" applyFont="0" applyFill="0" applyBorder="0" applyAlignment="0" applyProtection="0">
      <alignment horizontal="right"/>
    </xf>
    <xf numFmtId="0" fontId="33" fillId="0" borderId="0" applyFont="0" applyFill="0" applyBorder="0" applyAlignment="0" applyProtection="0"/>
    <xf numFmtId="0" fontId="71" fillId="0" borderId="0" applyNumberFormat="0" applyFill="0" applyBorder="0" applyAlignment="0" applyProtection="0">
      <alignment vertical="top"/>
      <protection locked="0"/>
    </xf>
    <xf numFmtId="0" fontId="18" fillId="0" borderId="0"/>
    <xf numFmtId="0" fontId="54" fillId="0" borderId="0"/>
    <xf numFmtId="43" fontId="17" fillId="0" borderId="0" applyFont="0" applyFill="0" applyBorder="0" applyAlignment="0" applyProtection="0"/>
    <xf numFmtId="9" fontId="17" fillId="0" borderId="0" applyFont="0" applyFill="0" applyBorder="0" applyAlignment="0" applyProtection="0"/>
    <xf numFmtId="44" fontId="17" fillId="0" borderId="0" applyFont="0" applyFill="0" applyBorder="0" applyAlignment="0" applyProtection="0"/>
    <xf numFmtId="0" fontId="49" fillId="0" borderId="79" applyNumberFormat="0" applyFill="0" applyAlignment="0" applyProtection="0"/>
    <xf numFmtId="0" fontId="49" fillId="0" borderId="79" applyNumberFormat="0" applyFill="0" applyAlignment="0" applyProtection="0"/>
    <xf numFmtId="0" fontId="49" fillId="0" borderId="79" applyNumberFormat="0" applyFill="0" applyAlignment="0" applyProtection="0"/>
    <xf numFmtId="0" fontId="49" fillId="0" borderId="79" applyNumberFormat="0" applyFill="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37" fontId="53" fillId="1" borderId="78">
      <alignment horizontal="centerContinuous" vertical="center"/>
    </xf>
    <xf numFmtId="37" fontId="53" fillId="1" borderId="78">
      <alignment horizontal="centerContinuous"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177" fontId="33" fillId="0" borderId="78"/>
    <xf numFmtId="177" fontId="33" fillId="0" borderId="78"/>
    <xf numFmtId="177" fontId="33" fillId="0" borderId="78"/>
    <xf numFmtId="177" fontId="33" fillId="0" borderId="78"/>
    <xf numFmtId="177" fontId="33" fillId="0" borderId="78"/>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0" fontId="100" fillId="43" borderId="81" applyNumberFormat="0" applyAlignment="0" applyProtection="0"/>
    <xf numFmtId="0" fontId="100" fillId="43" borderId="81" applyNumberFormat="0" applyAlignment="0" applyProtection="0"/>
    <xf numFmtId="0" fontId="100" fillId="43" borderId="81" applyNumberFormat="0" applyAlignment="0" applyProtection="0"/>
    <xf numFmtId="0" fontId="100" fillId="43" borderId="81" applyNumberFormat="0" applyAlignment="0" applyProtection="0"/>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0" fontId="122" fillId="0" borderId="86">
      <alignment horizontal="left" vertical="center"/>
    </xf>
    <xf numFmtId="0" fontId="122" fillId="0" borderId="86">
      <alignment horizontal="left" vertical="center"/>
    </xf>
    <xf numFmtId="0" fontId="122" fillId="0" borderId="86">
      <alignment horizontal="left" vertical="center"/>
    </xf>
    <xf numFmtId="0" fontId="122" fillId="0" borderId="86">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46" fontId="17" fillId="0" borderId="0"/>
    <xf numFmtId="0" fontId="17" fillId="0" borderId="0"/>
    <xf numFmtId="0" fontId="17" fillId="0" borderId="0"/>
    <xf numFmtId="0" fontId="17" fillId="0" borderId="0"/>
    <xf numFmtId="0" fontId="17" fillId="0" borderId="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9" fontId="17" fillId="0" borderId="0" applyFont="0" applyFill="0" applyBorder="0" applyAlignment="0" applyProtection="0"/>
    <xf numFmtId="9" fontId="17" fillId="0" borderId="0" applyFont="0" applyFill="0" applyBorder="0" applyAlignment="0" applyProtection="0"/>
    <xf numFmtId="338" fontId="24" fillId="0" borderId="89" applyBorder="0">
      <alignment horizontal="right"/>
    </xf>
    <xf numFmtId="338" fontId="24" fillId="0" borderId="89" applyBorder="0">
      <alignment horizontal="right"/>
    </xf>
    <xf numFmtId="338" fontId="24" fillId="0" borderId="89" applyBorder="0">
      <alignment horizontal="right"/>
    </xf>
    <xf numFmtId="338" fontId="24" fillId="0" borderId="89" applyBorder="0">
      <alignment horizontal="right"/>
    </xf>
    <xf numFmtId="0" fontId="147" fillId="0" borderId="90"/>
    <xf numFmtId="0" fontId="147" fillId="0" borderId="90"/>
    <xf numFmtId="0" fontId="147" fillId="0" borderId="90"/>
    <xf numFmtId="0" fontId="147" fillId="0" borderId="90"/>
    <xf numFmtId="0" fontId="147" fillId="0" borderId="90"/>
    <xf numFmtId="0" fontId="147" fillId="0" borderId="90"/>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48" fillId="1" borderId="86" applyNumberFormat="0" applyFont="0" applyAlignment="0">
      <alignment horizontal="center"/>
    </xf>
    <xf numFmtId="0" fontId="148" fillId="1" borderId="86" applyNumberFormat="0" applyFont="0" applyAlignment="0">
      <alignment horizontal="center"/>
    </xf>
    <xf numFmtId="0" fontId="148" fillId="1" borderId="86" applyNumberFormat="0" applyFont="0" applyAlignment="0">
      <alignment horizontal="center"/>
    </xf>
    <xf numFmtId="0" fontId="148" fillId="1" borderId="86" applyNumberFormat="0" applyFont="0" applyAlignment="0">
      <alignment horizontal="center"/>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247" fontId="28" fillId="0" borderId="44"/>
    <xf numFmtId="247" fontId="28" fillId="0" borderId="44"/>
    <xf numFmtId="247" fontId="28" fillId="0" borderId="44"/>
    <xf numFmtId="247" fontId="28" fillId="0" borderId="44"/>
    <xf numFmtId="247" fontId="28" fillId="0" borderId="44"/>
    <xf numFmtId="249" fontId="28" fillId="0" borderId="44"/>
    <xf numFmtId="249" fontId="28" fillId="0" borderId="44"/>
    <xf numFmtId="249" fontId="28" fillId="0" borderId="44"/>
    <xf numFmtId="249" fontId="28" fillId="0" borderId="44"/>
    <xf numFmtId="249" fontId="28" fillId="0" borderId="44"/>
    <xf numFmtId="164" fontId="91" fillId="60" borderId="44">
      <alignment horizontal="center" vertical="center" wrapText="1"/>
    </xf>
    <xf numFmtId="164" fontId="91" fillId="60" borderId="44">
      <alignment horizontal="center" vertical="center" wrapText="1"/>
    </xf>
    <xf numFmtId="164" fontId="91" fillId="60" borderId="44">
      <alignment horizontal="center" vertical="center" wrapText="1"/>
    </xf>
    <xf numFmtId="0" fontId="98" fillId="0" borderId="44" applyNumberFormat="0" applyFill="0" applyAlignment="0" applyProtection="0"/>
    <xf numFmtId="262" fontId="69" fillId="0" borderId="44" applyFill="0" applyAlignment="0" applyProtection="0">
      <alignment horizontal="center"/>
    </xf>
    <xf numFmtId="262" fontId="69" fillId="0" borderId="44" applyFill="0" applyAlignment="0" applyProtection="0">
      <alignment horizontal="center"/>
    </xf>
    <xf numFmtId="262" fontId="69" fillId="0" borderId="44" applyFill="0" applyAlignment="0" applyProtection="0">
      <alignment horizontal="center"/>
    </xf>
    <xf numFmtId="262" fontId="69" fillId="0" borderId="44" applyFill="0" applyAlignment="0" applyProtection="0">
      <alignment horizontal="center"/>
    </xf>
    <xf numFmtId="0" fontId="28" fillId="0" borderId="44" applyBorder="0">
      <alignment horizontal="centerContinuous"/>
    </xf>
    <xf numFmtId="0" fontId="28" fillId="0" borderId="44" applyBorder="0">
      <alignment horizontal="centerContinuous"/>
    </xf>
    <xf numFmtId="0" fontId="28" fillId="0" borderId="44" applyBorder="0">
      <alignment horizontal="centerContinuous"/>
    </xf>
    <xf numFmtId="0" fontId="88" fillId="0" borderId="44" applyNumberFormat="0" applyFill="0" applyProtection="0">
      <alignment horizontal="right" wrapText="1"/>
    </xf>
    <xf numFmtId="0" fontId="88" fillId="0" borderId="44" applyNumberFormat="0" applyFill="0" applyProtection="0">
      <alignment horizontal="left" wrapText="1"/>
    </xf>
    <xf numFmtId="43" fontId="24"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77"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0" fontId="125" fillId="0" borderId="44" applyFill="0" applyAlignment="0" applyProtection="0">
      <protection locked="0"/>
    </xf>
    <xf numFmtId="0" fontId="125" fillId="0" borderId="44" applyFill="0" applyAlignment="0" applyProtection="0">
      <protection locked="0"/>
    </xf>
    <xf numFmtId="0" fontId="125" fillId="0" borderId="44" applyFill="0" applyAlignment="0" applyProtection="0">
      <protection locked="0"/>
    </xf>
    <xf numFmtId="1" fontId="54" fillId="0" borderId="44" applyNumberFormat="0" applyFont="0" applyFill="0" applyAlignment="0" applyProtection="0">
      <alignment horizontal="center"/>
    </xf>
    <xf numFmtId="1" fontId="54" fillId="0" borderId="44" applyNumberFormat="0" applyFont="0" applyFill="0" applyAlignment="0" applyProtection="0">
      <alignment horizontal="center"/>
    </xf>
    <xf numFmtId="1" fontId="54" fillId="0" borderId="44" applyNumberFormat="0" applyFont="0" applyFill="0" applyAlignment="0" applyProtection="0">
      <alignment horizontal="center"/>
    </xf>
    <xf numFmtId="311" fontId="24" fillId="0" borderId="44" applyFont="0" applyFill="0" applyBorder="0" applyAlignment="0" applyProtection="0">
      <protection locked="0"/>
    </xf>
    <xf numFmtId="311" fontId="24" fillId="0" borderId="44" applyFont="0" applyFill="0" applyBorder="0" applyAlignment="0" applyProtection="0">
      <protection locked="0"/>
    </xf>
    <xf numFmtId="311" fontId="24" fillId="0" borderId="44" applyFont="0" applyFill="0" applyBorder="0" applyAlignment="0" applyProtection="0">
      <protection locked="0"/>
    </xf>
    <xf numFmtId="314" fontId="28" fillId="0" borderId="44" applyFont="0" applyFill="0" applyBorder="0" applyProtection="0"/>
    <xf numFmtId="314" fontId="28" fillId="0" borderId="44" applyFont="0" applyFill="0" applyBorder="0" applyProtection="0"/>
    <xf numFmtId="314" fontId="28" fillId="0" borderId="44" applyFont="0" applyFill="0" applyBorder="0" applyProtection="0"/>
    <xf numFmtId="315" fontId="28" fillId="0" borderId="44" applyFont="0" applyFill="0" applyBorder="0" applyAlignment="0" applyProtection="0"/>
    <xf numFmtId="315" fontId="28" fillId="0" borderId="44" applyFont="0" applyFill="0" applyBorder="0" applyAlignment="0" applyProtection="0"/>
    <xf numFmtId="315" fontId="28" fillId="0" borderId="44" applyFont="0" applyFill="0" applyBorder="0" applyAlignment="0" applyProtection="0"/>
    <xf numFmtId="0" fontId="231" fillId="0" borderId="0">
      <alignment wrapText="1"/>
    </xf>
    <xf numFmtId="0" fontId="16" fillId="0" borderId="0"/>
    <xf numFmtId="0" fontId="16" fillId="0" borderId="0"/>
    <xf numFmtId="0" fontId="232" fillId="0" borderId="0"/>
    <xf numFmtId="0" fontId="16" fillId="0" borderId="0"/>
    <xf numFmtId="0" fontId="16" fillId="0" borderId="0"/>
    <xf numFmtId="0" fontId="138" fillId="0" borderId="44" applyNumberFormat="0" applyFill="0" applyBorder="0" applyAlignment="0">
      <protection locked="0"/>
    </xf>
    <xf numFmtId="0" fontId="138" fillId="0" borderId="44" applyNumberFormat="0" applyFill="0" applyBorder="0" applyAlignment="0">
      <protection locked="0"/>
    </xf>
    <xf numFmtId="0" fontId="138" fillId="0" borderId="44" applyNumberFormat="0" applyFill="0" applyBorder="0" applyAlignment="0">
      <protection locked="0"/>
    </xf>
    <xf numFmtId="9" fontId="77" fillId="0" borderId="0" applyFont="0" applyFill="0" applyBorder="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233" fillId="0" borderId="0" applyAlignment="0"/>
    <xf numFmtId="0" fontId="219" fillId="0" borderId="0" applyNumberFormat="0" applyFill="0" applyBorder="0" applyAlignment="0" applyProtection="0"/>
    <xf numFmtId="44" fontId="177" fillId="0" borderId="0" applyFont="0" applyFill="0" applyBorder="0" applyAlignment="0" applyProtection="0"/>
    <xf numFmtId="0" fontId="197" fillId="0" borderId="0"/>
    <xf numFmtId="0" fontId="15" fillId="0" borderId="0"/>
    <xf numFmtId="0" fontId="54" fillId="0" borderId="0"/>
    <xf numFmtId="9" fontId="24" fillId="0" borderId="0" applyFont="0" applyFill="0" applyBorder="0" applyAlignment="0" applyProtection="0"/>
    <xf numFmtId="0" fontId="15" fillId="0" borderId="0"/>
    <xf numFmtId="44" fontId="15" fillId="0" borderId="0" applyFont="0" applyFill="0" applyBorder="0" applyAlignment="0" applyProtection="0"/>
    <xf numFmtId="15" fontId="88" fillId="0" borderId="0" applyFill="0" applyBorder="0" applyAlignment="0"/>
    <xf numFmtId="296" fontId="88" fillId="36" borderId="0" applyFont="0" applyFill="0" applyBorder="0" applyAlignment="0" applyProtection="0"/>
    <xf numFmtId="17" fontId="88" fillId="0" borderId="0" applyFill="0" applyBorder="0">
      <alignment horizontal="right"/>
    </xf>
    <xf numFmtId="14" fontId="113" fillId="0" borderId="0" applyFill="0" applyBorder="0" applyAlignment="0"/>
    <xf numFmtId="17" fontId="24" fillId="0" borderId="0" applyFont="0" applyFill="0" applyBorder="0" applyAlignment="0" applyProtection="0">
      <alignment horizontal="center"/>
    </xf>
    <xf numFmtId="8" fontId="33" fillId="0" borderId="0" applyFill="0" applyBorder="0" applyProtection="0"/>
    <xf numFmtId="7" fontId="54" fillId="0" borderId="0"/>
    <xf numFmtId="7" fontId="54" fillId="0" borderId="0"/>
    <xf numFmtId="6" fontId="33" fillId="0" borderId="0" applyFont="0" applyFill="0" applyBorder="0" applyAlignment="0" applyProtection="0"/>
    <xf numFmtId="38" fontId="54" fillId="29" borderId="0" applyNumberFormat="0" applyFont="0" applyBorder="0" applyAlignment="0" applyProtection="0"/>
    <xf numFmtId="363" fontId="54" fillId="0" borderId="0">
      <alignment horizontal="left"/>
    </xf>
    <xf numFmtId="0" fontId="27" fillId="0" borderId="0" applyNumberFormat="0" applyFill="0" applyBorder="0" applyProtection="0">
      <alignment wrapText="1"/>
    </xf>
    <xf numFmtId="172" fontId="54" fillId="0" borderId="0" applyFill="0" applyBorder="0" applyAlignment="0" applyProtection="0">
      <alignment horizontal="right"/>
    </xf>
    <xf numFmtId="172" fontId="54" fillId="0" borderId="0" applyFill="0" applyBorder="0" applyAlignment="0" applyProtection="0"/>
    <xf numFmtId="37" fontId="240" fillId="34" borderId="60" applyBorder="0">
      <alignment horizontal="left" vertical="center" indent="1"/>
    </xf>
    <xf numFmtId="0" fontId="122" fillId="0" borderId="98" applyNumberFormat="0" applyAlignment="0" applyProtection="0">
      <alignment horizontal="left" vertical="center"/>
    </xf>
    <xf numFmtId="183" fontId="33" fillId="43" borderId="0" applyFont="0" applyFill="0" applyBorder="0" applyAlignment="0" applyProtection="0">
      <alignment horizontal="left"/>
    </xf>
    <xf numFmtId="269" fontId="33" fillId="0" borderId="0" applyFill="0" applyBorder="0" applyAlignment="0" applyProtection="0"/>
    <xf numFmtId="8" fontId="54" fillId="36" borderId="0" applyFont="0" applyBorder="0" applyAlignment="0" applyProtection="0">
      <protection locked="0"/>
    </xf>
    <xf numFmtId="297" fontId="54" fillId="36" borderId="0" applyFont="0" applyBorder="0" applyAlignment="0" applyProtection="0">
      <protection locked="0"/>
    </xf>
    <xf numFmtId="302" fontId="54" fillId="36" borderId="0" applyFont="0" applyBorder="0" applyAlignment="0">
      <protection locked="0"/>
    </xf>
    <xf numFmtId="269" fontId="54" fillId="36" borderId="0">
      <protection locked="0"/>
    </xf>
    <xf numFmtId="10" fontId="54" fillId="36" borderId="0">
      <protection locked="0"/>
    </xf>
    <xf numFmtId="306" fontId="54" fillId="36" borderId="0" applyFont="0" applyBorder="0" applyAlignment="0">
      <protection locked="0"/>
    </xf>
    <xf numFmtId="306" fontId="54" fillId="36" borderId="0" applyFont="0" applyBorder="0" applyAlignment="0">
      <protection locked="0"/>
    </xf>
    <xf numFmtId="269" fontId="54" fillId="36" borderId="0" applyNumberFormat="0" applyFont="0" applyBorder="0" applyAlignment="0" applyProtection="0">
      <alignment horizontal="center"/>
      <protection locked="0"/>
    </xf>
    <xf numFmtId="177" fontId="27" fillId="29" borderId="0" applyFont="0">
      <alignment horizontal="center"/>
    </xf>
    <xf numFmtId="0" fontId="28" fillId="0" borderId="0" applyNumberFormat="0" applyFont="0" applyFill="0" applyBorder="0" applyProtection="0">
      <alignment horizontal="left" vertical="center"/>
    </xf>
    <xf numFmtId="2" fontId="24" fillId="0" borderId="0" applyNumberFormat="0" applyBorder="0">
      <alignment horizontal="left"/>
    </xf>
    <xf numFmtId="309" fontId="122" fillId="66" borderId="38" applyBorder="0">
      <protection locked="0"/>
    </xf>
    <xf numFmtId="269" fontId="54" fillId="0" borderId="0" applyFill="0" applyBorder="0" applyAlignment="0" applyProtection="0"/>
    <xf numFmtId="167" fontId="54" fillId="29" borderId="0" applyFont="0" applyBorder="0" applyAlignment="0" applyProtection="0">
      <alignment horizontal="right"/>
      <protection hidden="1"/>
    </xf>
    <xf numFmtId="320" fontId="28" fillId="0" borderId="0"/>
    <xf numFmtId="0" fontId="44" fillId="85" borderId="0"/>
    <xf numFmtId="0" fontId="69" fillId="0" borderId="0" applyNumberFormat="0" applyFill="0" applyAlignment="0" applyProtection="0"/>
    <xf numFmtId="0" fontId="35" fillId="0" borderId="0"/>
    <xf numFmtId="38" fontId="54" fillId="0" borderId="0" applyFont="0" applyFill="0" applyBorder="0" applyAlignment="0"/>
    <xf numFmtId="40" fontId="54" fillId="0" borderId="0" applyFont="0" applyFill="0" applyBorder="0" applyAlignment="0"/>
    <xf numFmtId="273" fontId="54" fillId="0" borderId="0" applyFont="0" applyFill="0" applyBorder="0" applyAlignment="0"/>
    <xf numFmtId="0" fontId="24" fillId="0" borderId="0"/>
    <xf numFmtId="269" fontId="88" fillId="0" borderId="0" applyNumberFormat="0" applyFill="0" applyBorder="0" applyAlignment="0" applyProtection="0"/>
    <xf numFmtId="323" fontId="54" fillId="0" borderId="0" applyFont="0" applyFill="0" applyBorder="0" applyAlignment="0" applyProtection="0"/>
    <xf numFmtId="269" fontId="24" fillId="0" borderId="0">
      <alignment horizontal="right"/>
    </xf>
    <xf numFmtId="269" fontId="54" fillId="0" borderId="0"/>
    <xf numFmtId="40" fontId="54" fillId="0" borderId="0"/>
    <xf numFmtId="40" fontId="88" fillId="0" borderId="0">
      <alignment horizontal="left"/>
    </xf>
    <xf numFmtId="0" fontId="72" fillId="0" borderId="0"/>
    <xf numFmtId="40" fontId="24" fillId="0" borderId="0" applyBorder="0">
      <alignment horizontal="right"/>
    </xf>
    <xf numFmtId="269" fontId="54" fillId="0" borderId="0" applyFont="0" applyFill="0" applyBorder="0" applyAlignment="0" applyProtection="0"/>
    <xf numFmtId="364" fontId="69" fillId="0" borderId="0" applyFill="0" applyBorder="0" applyProtection="0">
      <alignment horizontal="center"/>
    </xf>
    <xf numFmtId="40" fontId="24" fillId="0" borderId="0" applyFont="0" applyFill="0" applyBorder="0" applyAlignment="0" applyProtection="0">
      <alignment horizontal="center"/>
    </xf>
    <xf numFmtId="325" fontId="54" fillId="0" borderId="0"/>
    <xf numFmtId="14" fontId="33" fillId="0" borderId="0">
      <alignment horizontal="center" wrapText="1"/>
      <protection locked="0"/>
    </xf>
    <xf numFmtId="306" fontId="54" fillId="0" borderId="0" applyFont="0" applyFill="0" applyBorder="0" applyAlignment="0"/>
    <xf numFmtId="9" fontId="15" fillId="0" borderId="0" applyFont="0" applyFill="0" applyBorder="0" applyAlignment="0" applyProtection="0"/>
    <xf numFmtId="365" fontId="33" fillId="0" borderId="0" applyFont="0" applyFill="0" applyBorder="0" applyProtection="0">
      <alignment horizontal="right"/>
    </xf>
    <xf numFmtId="0" fontId="33" fillId="0" borderId="0" applyFill="0" applyBorder="0" applyAlignment="0" applyProtection="0"/>
    <xf numFmtId="334" fontId="54" fillId="0" borderId="0" applyFont="0" applyFill="0" applyBorder="0" applyAlignment="0" applyProtection="0"/>
    <xf numFmtId="336" fontId="28" fillId="0" borderId="0"/>
    <xf numFmtId="0" fontId="64" fillId="0" borderId="17">
      <alignment horizontal="center"/>
    </xf>
    <xf numFmtId="339" fontId="28" fillId="0" borderId="0" applyFont="0" applyFill="0" applyBorder="0" applyAlignment="0" applyProtection="0">
      <alignment vertical="center"/>
    </xf>
    <xf numFmtId="273" fontId="33" fillId="0" borderId="0" applyFont="0" applyFill="0" applyBorder="0" applyAlignment="0" applyProtection="0"/>
    <xf numFmtId="1" fontId="24" fillId="0" borderId="0" applyNumberFormat="0" applyFill="0" applyBorder="0" applyAlignment="0" applyProtection="0">
      <alignment horizontal="center"/>
    </xf>
    <xf numFmtId="1" fontId="27" fillId="0" borderId="0" applyNumberFormat="0" applyFill="0" applyBorder="0" applyAlignment="0" applyProtection="0">
      <alignment horizontal="center"/>
    </xf>
    <xf numFmtId="269" fontId="54" fillId="66" borderId="0" applyNumberFormat="0" applyFont="0" applyBorder="0" applyAlignment="0">
      <protection hidden="1"/>
    </xf>
    <xf numFmtId="366" fontId="129" fillId="0" borderId="0" applyFill="0" applyBorder="0" applyProtection="0">
      <alignment horizontal="center" wrapText="1"/>
    </xf>
    <xf numFmtId="367" fontId="129" fillId="0" borderId="0" applyFill="0" applyBorder="0" applyProtection="0">
      <alignment horizontal="right" wrapText="1"/>
    </xf>
    <xf numFmtId="0" fontId="14" fillId="0" borderId="0"/>
    <xf numFmtId="0" fontId="14" fillId="0" borderId="0"/>
    <xf numFmtId="0" fontId="177" fillId="0" borderId="0"/>
    <xf numFmtId="9" fontId="177" fillId="0" borderId="0" applyFont="0" applyFill="0" applyBorder="0" applyAlignment="0" applyProtection="0"/>
    <xf numFmtId="9" fontId="24" fillId="0" borderId="0"/>
    <xf numFmtId="0" fontId="13" fillId="0" borderId="0"/>
    <xf numFmtId="43" fontId="13" fillId="0" borderId="0" applyFont="0" applyFill="0" applyBorder="0" applyAlignment="0" applyProtection="0"/>
    <xf numFmtId="0" fontId="13" fillId="0" borderId="0"/>
    <xf numFmtId="0" fontId="12" fillId="0" borderId="0"/>
    <xf numFmtId="0" fontId="12" fillId="0" borderId="0"/>
    <xf numFmtId="0" fontId="11" fillId="0" borderId="0"/>
    <xf numFmtId="43" fontId="77" fillId="0" borderId="0" applyFont="0" applyFill="0" applyBorder="0" applyAlignment="0" applyProtection="0"/>
    <xf numFmtId="43" fontId="252" fillId="0" borderId="0" applyFont="0" applyFill="0" applyBorder="0" applyAlignment="0" applyProtection="0"/>
    <xf numFmtId="44" fontId="11"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43" fontId="10" fillId="0" borderId="0" applyFont="0" applyFill="0" applyBorder="0" applyAlignment="0" applyProtection="0"/>
    <xf numFmtId="44" fontId="10" fillId="0" borderId="0" applyFont="0" applyFill="0" applyBorder="0" applyAlignment="0" applyProtection="0"/>
    <xf numFmtId="0" fontId="177" fillId="0" borderId="0"/>
    <xf numFmtId="0" fontId="9" fillId="0" borderId="0"/>
    <xf numFmtId="0" fontId="9" fillId="0" borderId="0"/>
    <xf numFmtId="43" fontId="9" fillId="0" borderId="0" applyFont="0" applyFill="0" applyBorder="0" applyAlignment="0" applyProtection="0"/>
    <xf numFmtId="0" fontId="8" fillId="0" borderId="0"/>
    <xf numFmtId="0" fontId="8" fillId="0" borderId="0"/>
    <xf numFmtId="44" fontId="24" fillId="0" borderId="0" applyFont="0" applyFill="0" applyBorder="0" applyAlignment="0" applyProtection="0"/>
    <xf numFmtId="43" fontId="24" fillId="0" borderId="0" applyFon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270" fillId="0" borderId="0"/>
    <xf numFmtId="9" fontId="270" fillId="0" borderId="0" applyFont="0" applyFill="0" applyBorder="0" applyAlignment="0" applyProtection="0"/>
    <xf numFmtId="0" fontId="278" fillId="0" borderId="0"/>
    <xf numFmtId="43" fontId="7" fillId="0" borderId="0" applyFont="0" applyFill="0" applyBorder="0" applyAlignment="0" applyProtection="0"/>
    <xf numFmtId="0" fontId="7" fillId="0" borderId="0"/>
    <xf numFmtId="44" fontId="7" fillId="0" borderId="0" applyFont="0" applyFill="0" applyBorder="0" applyAlignment="0" applyProtection="0"/>
    <xf numFmtId="9" fontId="7"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5" fillId="0" borderId="0"/>
    <xf numFmtId="0" fontId="5" fillId="0" borderId="0"/>
    <xf numFmtId="0" fontId="4" fillId="0" borderId="0"/>
    <xf numFmtId="43" fontId="4" fillId="0" borderId="0" applyFont="0" applyFill="0" applyBorder="0" applyAlignment="0" applyProtection="0"/>
    <xf numFmtId="0" fontId="4" fillId="0" borderId="0"/>
    <xf numFmtId="43" fontId="3" fillId="0" borderId="0" applyFont="0" applyFill="0" applyBorder="0" applyAlignment="0" applyProtection="0"/>
    <xf numFmtId="0" fontId="2" fillId="0" borderId="0"/>
    <xf numFmtId="0" fontId="55" fillId="0" borderId="284"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5" fontId="64" fillId="0" borderId="316"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33" fillId="0" borderId="316" applyFont="0" applyFill="0" applyBorder="0" applyAlignment="0" applyProtection="0">
      <alignment horizontal="right"/>
    </xf>
    <xf numFmtId="37" fontId="24" fillId="0" borderId="379" applyBorder="0">
      <alignment horizontal="right"/>
      <protection locked="0"/>
    </xf>
    <xf numFmtId="5" fontId="64" fillId="0" borderId="388" applyAlignment="0" applyProtection="0"/>
    <xf numFmtId="0" fontId="87" fillId="0" borderId="319" applyNumberFormat="0" applyFill="0" applyBorder="0" applyAlignment="0" applyProtection="0"/>
    <xf numFmtId="0" fontId="112" fillId="0" borderId="344"/>
    <xf numFmtId="0" fontId="48" fillId="65" borderId="277">
      <alignment horizontal="left" vertical="center" wrapText="1"/>
    </xf>
    <xf numFmtId="37" fontId="85" fillId="58" borderId="312" applyBorder="0" applyProtection="0">
      <alignment vertical="center"/>
    </xf>
    <xf numFmtId="0" fontId="101" fillId="61" borderId="286"/>
    <xf numFmtId="0" fontId="126" fillId="64" borderId="277">
      <alignment horizontal="left" vertical="center"/>
    </xf>
    <xf numFmtId="5" fontId="64" fillId="0" borderId="388" applyAlignment="0" applyProtection="0"/>
    <xf numFmtId="0" fontId="122" fillId="62" borderId="344">
      <alignment horizontal="center" vertical="center" wrapText="1"/>
      <protection hidden="1"/>
    </xf>
    <xf numFmtId="5" fontId="64" fillId="0" borderId="316" applyAlignment="0" applyProtection="0"/>
    <xf numFmtId="5" fontId="64" fillId="0" borderId="388" applyAlignment="0" applyProtection="0"/>
    <xf numFmtId="37" fontId="85" fillId="58" borderId="323" applyBorder="0" applyProtection="0">
      <alignment vertical="center"/>
    </xf>
    <xf numFmtId="5" fontId="64" fillId="0" borderId="388" applyAlignment="0" applyProtection="0"/>
    <xf numFmtId="5" fontId="64" fillId="0" borderId="388" applyAlignment="0" applyProtection="0"/>
    <xf numFmtId="5" fontId="64" fillId="0" borderId="388" applyAlignment="0" applyProtection="0"/>
    <xf numFmtId="5" fontId="64" fillId="0" borderId="363" applyAlignment="0" applyProtection="0"/>
    <xf numFmtId="37" fontId="85" fillId="58" borderId="335" applyBorder="0" applyProtection="0">
      <alignment vertical="center"/>
    </xf>
    <xf numFmtId="0" fontId="49" fillId="0" borderId="283" applyNumberFormat="0" applyFill="0" applyAlignment="0" applyProtection="0"/>
    <xf numFmtId="0" fontId="54" fillId="0" borderId="342" applyNumberFormat="0" applyFill="0" applyAlignment="0" applyProtection="0"/>
    <xf numFmtId="37" fontId="24" fillId="0" borderId="279" applyBorder="0">
      <alignment horizontal="right"/>
      <protection locked="0"/>
    </xf>
    <xf numFmtId="2" fontId="24" fillId="36" borderId="291" applyFill="0" applyBorder="0" applyProtection="0">
      <alignment horizontal="center"/>
    </xf>
    <xf numFmtId="5" fontId="64" fillId="0" borderId="292" applyAlignment="0" applyProtection="0"/>
    <xf numFmtId="37" fontId="85" fillId="58" borderId="291" applyBorder="0" applyProtection="0">
      <alignment vertical="center"/>
    </xf>
    <xf numFmtId="0" fontId="112" fillId="0" borderId="379"/>
    <xf numFmtId="5" fontId="64" fillId="0" borderId="316" applyAlignment="0" applyProtection="0"/>
    <xf numFmtId="37" fontId="85" fillId="58" borderId="406" applyBorder="0" applyProtection="0">
      <alignment vertical="center"/>
    </xf>
    <xf numFmtId="338" fontId="24" fillId="0" borderId="350" applyBorder="0">
      <alignment horizontal="right"/>
    </xf>
    <xf numFmtId="5" fontId="64" fillId="0" borderId="329" applyAlignment="0" applyProtection="0"/>
    <xf numFmtId="5" fontId="64" fillId="0" borderId="388" applyAlignment="0" applyProtection="0"/>
    <xf numFmtId="0" fontId="55" fillId="0" borderId="331" applyNumberFormat="0" applyFill="0" applyBorder="0" applyAlignment="0" applyProtection="0"/>
    <xf numFmtId="0" fontId="147" fillId="0" borderId="411"/>
    <xf numFmtId="0" fontId="48" fillId="65" borderId="325">
      <alignment horizontal="left" vertical="center" wrapText="1"/>
    </xf>
    <xf numFmtId="0" fontId="55" fillId="0" borderId="319" applyNumberFormat="0" applyFill="0" applyBorder="0" applyAlignment="0" applyProtection="0"/>
    <xf numFmtId="0" fontId="126" fillId="64" borderId="376" applyBorder="0">
      <alignment horizontal="center" vertical="center" wrapText="1"/>
    </xf>
    <xf numFmtId="0" fontId="147" fillId="0" borderId="314"/>
    <xf numFmtId="37" fontId="24" fillId="0" borderId="344" applyBorder="0">
      <alignment horizontal="right"/>
      <protection locked="0"/>
    </xf>
    <xf numFmtId="8" fontId="131" fillId="0" borderId="298" applyNumberFormat="0" applyFill="0" applyBorder="0" applyAlignment="0" applyProtection="0"/>
    <xf numFmtId="37" fontId="85" fillId="58" borderId="357" applyBorder="0" applyProtection="0">
      <alignment vertical="center"/>
    </xf>
    <xf numFmtId="5" fontId="64" fillId="0" borderId="400" applyAlignment="0" applyProtection="0"/>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202" fontId="43" fillId="0" borderId="161" applyFont="0" applyFill="0" applyBorder="0" applyAlignment="0" applyProtection="0"/>
    <xf numFmtId="249" fontId="28" fillId="0" borderId="232" applyBorder="0"/>
    <xf numFmtId="249" fontId="28" fillId="0" borderId="232" applyBorder="0"/>
    <xf numFmtId="249" fontId="28" fillId="0" borderId="232" applyBorder="0"/>
    <xf numFmtId="249" fontId="28" fillId="0" borderId="232" applyBorder="0"/>
    <xf numFmtId="0" fontId="101" fillId="61" borderId="344"/>
    <xf numFmtId="0" fontId="54" fillId="0" borderId="257" applyNumberFormat="0" applyFill="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5" fontId="64" fillId="0" borderId="388" applyAlignment="0" applyProtection="0"/>
    <xf numFmtId="0" fontId="48" fillId="65" borderId="375">
      <alignment horizontal="left" vertical="center" wrapText="1"/>
    </xf>
    <xf numFmtId="0" fontId="126" fillId="64" borderId="288" applyBorder="0">
      <alignment horizontal="center" vertical="center" wrapText="1"/>
    </xf>
    <xf numFmtId="0" fontId="126" fillId="64" borderId="287">
      <alignment horizontal="left" vertical="center"/>
    </xf>
    <xf numFmtId="0" fontId="88" fillId="0" borderId="413" applyNumberFormat="0" applyFill="0" applyBorder="0" applyAlignment="0" applyProtection="0"/>
    <xf numFmtId="0" fontId="122" fillId="62" borderId="286">
      <alignment horizontal="center" vertical="center" wrapText="1"/>
      <protection hidden="1"/>
    </xf>
    <xf numFmtId="0" fontId="112" fillId="0" borderId="286"/>
    <xf numFmtId="0" fontId="112" fillId="0" borderId="286"/>
    <xf numFmtId="5" fontId="64" fillId="0" borderId="388" applyAlignment="0" applyProtection="0"/>
    <xf numFmtId="0" fontId="101" fillId="61" borderId="286"/>
    <xf numFmtId="37" fontId="85" fillId="58" borderId="312" applyBorder="0" applyProtection="0">
      <alignment vertical="center"/>
    </xf>
    <xf numFmtId="0" fontId="112" fillId="0" borderId="303"/>
    <xf numFmtId="0" fontId="55" fillId="0" borderId="275" applyNumberFormat="0" applyFill="0" applyBorder="0" applyAlignment="0" applyProtection="0"/>
    <xf numFmtId="0" fontId="88" fillId="0" borderId="275" applyNumberFormat="0" applyFill="0" applyBorder="0" applyAlignment="0" applyProtection="0"/>
    <xf numFmtId="0" fontId="87" fillId="0" borderId="413" applyNumberFormat="0" applyFill="0" applyBorder="0" applyAlignment="0" applyProtection="0"/>
    <xf numFmtId="0" fontId="126" fillId="64" borderId="376" applyBorder="0">
      <alignment horizontal="center" vertical="center" wrapText="1"/>
    </xf>
    <xf numFmtId="5" fontId="64" fillId="0" borderId="316" applyAlignment="0" applyProtection="0"/>
    <xf numFmtId="8" fontId="131" fillId="0" borderId="298" applyNumberFormat="0" applyFill="0" applyBorder="0" applyAlignment="0" applyProtection="0"/>
    <xf numFmtId="5" fontId="64" fillId="0" borderId="400" applyAlignment="0" applyProtection="0"/>
    <xf numFmtId="0" fontId="55" fillId="0" borderId="284" applyNumberFormat="0" applyFill="0" applyBorder="0" applyAlignment="0" applyProtection="0"/>
    <xf numFmtId="0" fontId="148" fillId="1" borderId="407" applyNumberFormat="0" applyFont="0" applyAlignment="0">
      <alignment horizontal="center"/>
    </xf>
    <xf numFmtId="5" fontId="64" fillId="0" borderId="388" applyAlignment="0" applyProtection="0"/>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5" fontId="64" fillId="0" borderId="316" applyAlignment="0" applyProtection="0"/>
    <xf numFmtId="37" fontId="85" fillId="58" borderId="335" applyBorder="0" applyProtection="0">
      <alignment vertical="center"/>
    </xf>
    <xf numFmtId="0" fontId="49" fillId="0" borderId="412" applyNumberFormat="0" applyFill="0" applyAlignment="0" applyProtection="0"/>
    <xf numFmtId="0" fontId="101" fillId="61" borderId="344"/>
    <xf numFmtId="0" fontId="101" fillId="61" borderId="379"/>
    <xf numFmtId="0" fontId="126" fillId="64" borderId="409" applyBorder="0">
      <alignment horizontal="center" vertical="center" wrapText="1"/>
    </xf>
    <xf numFmtId="5" fontId="64" fillId="0" borderId="329" applyAlignment="0" applyProtection="0"/>
    <xf numFmtId="0" fontId="54" fillId="0" borderId="331" applyNumberFormat="0" applyFill="0" applyAlignment="0" applyProtection="0"/>
    <xf numFmtId="0" fontId="54" fillId="0" borderId="331" applyNumberFormat="0" applyFill="0" applyAlignment="0" applyProtection="0"/>
    <xf numFmtId="37" fontId="85" fillId="58" borderId="323" applyBorder="0" applyProtection="0">
      <alignment vertical="center"/>
    </xf>
    <xf numFmtId="0" fontId="122" fillId="0" borderId="407">
      <alignment horizontal="left" vertical="center"/>
    </xf>
    <xf numFmtId="5" fontId="64" fillId="0" borderId="388" applyAlignment="0" applyProtection="0"/>
    <xf numFmtId="5" fontId="64" fillId="0" borderId="388" applyAlignment="0" applyProtection="0"/>
    <xf numFmtId="5" fontId="64" fillId="0" borderId="329" applyAlignment="0" applyProtection="0"/>
    <xf numFmtId="0" fontId="87" fillId="0" borderId="402" applyNumberFormat="0" applyFill="0" applyBorder="0" applyAlignment="0" applyProtection="0"/>
    <xf numFmtId="8" fontId="131" fillId="0" borderId="405" applyNumberFormat="0" applyFill="0" applyBorder="0" applyAlignment="0" applyProtection="0"/>
    <xf numFmtId="0" fontId="52" fillId="32" borderId="186">
      <alignment horizontal="center"/>
    </xf>
    <xf numFmtId="0" fontId="53" fillId="35" borderId="186">
      <alignment horizontal="center" vertical="center"/>
    </xf>
    <xf numFmtId="3" fontId="54" fillId="0" borderId="186"/>
    <xf numFmtId="4" fontId="54" fillId="0" borderId="186"/>
    <xf numFmtId="218" fontId="24" fillId="0" borderId="186">
      <alignment horizontal="center" vertical="center"/>
    </xf>
    <xf numFmtId="0" fontId="55" fillId="0" borderId="186">
      <alignment horizontal="center"/>
    </xf>
    <xf numFmtId="0" fontId="56" fillId="36" borderId="186">
      <alignment horizontal="center"/>
    </xf>
    <xf numFmtId="0" fontId="52" fillId="32" borderId="186"/>
    <xf numFmtId="0" fontId="53" fillId="35" borderId="186">
      <alignment horizontal="center" vertical="center"/>
    </xf>
    <xf numFmtId="0" fontId="55" fillId="0" borderId="404">
      <alignment horizontal="center"/>
    </xf>
    <xf numFmtId="0" fontId="49" fillId="0" borderId="341" applyNumberFormat="0" applyFill="0" applyAlignment="0" applyProtection="0"/>
    <xf numFmtId="8" fontId="131" fillId="0" borderId="322" applyNumberFormat="0" applyFill="0" applyBorder="0" applyAlignment="0" applyProtection="0"/>
    <xf numFmtId="8" fontId="131" fillId="0" borderId="322" applyNumberFormat="0" applyFill="0" applyBorder="0" applyAlignment="0" applyProtection="0"/>
    <xf numFmtId="0" fontId="112" fillId="0" borderId="321"/>
    <xf numFmtId="0" fontId="101" fillId="61" borderId="404"/>
    <xf numFmtId="0" fontId="112" fillId="0" borderId="404"/>
    <xf numFmtId="0" fontId="101" fillId="61" borderId="321"/>
    <xf numFmtId="0" fontId="148" fillId="1" borderId="407" applyNumberFormat="0" applyFont="0" applyAlignment="0">
      <alignment horizontal="center"/>
    </xf>
    <xf numFmtId="5" fontId="64" fillId="0" borderId="363" applyAlignment="0" applyProtection="0"/>
    <xf numFmtId="37" fontId="85" fillId="58" borderId="406" applyBorder="0" applyProtection="0">
      <alignment vertical="center"/>
    </xf>
    <xf numFmtId="0" fontId="122" fillId="0" borderId="407">
      <alignment horizontal="left" vertical="center"/>
    </xf>
    <xf numFmtId="0" fontId="55" fillId="0" borderId="402" applyNumberFormat="0" applyFill="0" applyBorder="0" applyAlignment="0" applyProtection="0"/>
    <xf numFmtId="5" fontId="64" fillId="0" borderId="400" applyAlignment="0" applyProtection="0"/>
    <xf numFmtId="1" fontId="54" fillId="0" borderId="363" applyNumberFormat="0" applyFont="0" applyFill="0" applyProtection="0">
      <alignment horizontal="center"/>
    </xf>
    <xf numFmtId="262" fontId="69" fillId="0" borderId="317" applyFill="0" applyAlignment="0" applyProtection="0">
      <alignment horizontal="center"/>
    </xf>
    <xf numFmtId="5" fontId="64" fillId="0" borderId="388" applyAlignment="0" applyProtection="0"/>
    <xf numFmtId="5" fontId="64" fillId="0" borderId="388" applyAlignment="0" applyProtection="0"/>
    <xf numFmtId="0" fontId="55" fillId="0" borderId="402" applyNumberFormat="0" applyFill="0" applyBorder="0" applyAlignment="0" applyProtection="0"/>
    <xf numFmtId="0" fontId="98" fillId="0" borderId="317" applyNumberFormat="0" applyFill="0" applyAlignment="0" applyProtection="0"/>
    <xf numFmtId="0" fontId="54" fillId="0" borderId="319" applyNumberFormat="0" applyFill="0" applyAlignment="0" applyProtection="0"/>
    <xf numFmtId="0" fontId="88" fillId="0" borderId="319" applyNumberFormat="0" applyFill="0" applyBorder="0" applyAlignment="0" applyProtection="0"/>
    <xf numFmtId="0" fontId="87" fillId="0" borderId="319" applyNumberFormat="0" applyFill="0" applyBorder="0" applyAlignment="0" applyProtection="0"/>
    <xf numFmtId="0" fontId="49" fillId="0" borderId="214" applyNumberFormat="0" applyFill="0" applyAlignment="0" applyProtection="0"/>
    <xf numFmtId="0" fontId="49" fillId="0" borderId="214" applyNumberFormat="0" applyFill="0" applyAlignment="0" applyProtection="0"/>
    <xf numFmtId="0" fontId="49" fillId="0" borderId="214" applyNumberFormat="0" applyFill="0" applyAlignment="0" applyProtection="0"/>
    <xf numFmtId="0" fontId="49" fillId="0" borderId="214" applyNumberFormat="0" applyFill="0" applyAlignment="0" applyProtection="0"/>
    <xf numFmtId="0" fontId="59" fillId="0" borderId="215" applyNumberFormat="0" applyFill="0" applyProtection="0">
      <alignment horizontal="center"/>
    </xf>
    <xf numFmtId="0" fontId="60" fillId="0" borderId="216" applyNumberFormat="0" applyFill="0" applyProtection="0">
      <alignment horizontal="center"/>
    </xf>
    <xf numFmtId="0" fontId="59" fillId="0" borderId="215" applyNumberFormat="0" applyFill="0" applyProtection="0">
      <alignment horizontal="center"/>
    </xf>
    <xf numFmtId="0" fontId="59" fillId="0" borderId="215" applyNumberFormat="0" applyFill="0" applyProtection="0">
      <alignment horizontal="center"/>
    </xf>
    <xf numFmtId="0" fontId="61" fillId="0" borderId="216" applyNumberFormat="0" applyFill="0" applyProtection="0">
      <alignment horizontal="center"/>
    </xf>
    <xf numFmtId="249" fontId="28" fillId="0" borderId="317"/>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12" fillId="0" borderId="404"/>
    <xf numFmtId="0" fontId="87" fillId="0" borderId="295" applyNumberFormat="0" applyFill="0" applyBorder="0" applyAlignment="0" applyProtection="0"/>
    <xf numFmtId="0" fontId="88" fillId="0" borderId="295" applyNumberFormat="0" applyFill="0" applyBorder="0" applyAlignment="0" applyProtection="0"/>
    <xf numFmtId="0" fontId="55" fillId="0" borderId="295" applyNumberFormat="0" applyFill="0" applyBorder="0" applyAlignment="0" applyProtection="0"/>
    <xf numFmtId="0" fontId="55" fillId="0" borderId="295" applyNumberFormat="0" applyFill="0" applyBorder="0" applyAlignment="0" applyProtection="0"/>
    <xf numFmtId="0" fontId="54" fillId="0" borderId="295" applyNumberFormat="0" applyFill="0" applyAlignment="0" applyProtection="0"/>
    <xf numFmtId="1" fontId="54" fillId="0" borderId="363" applyNumberFormat="0" applyFont="0" applyFill="0" applyProtection="0">
      <alignment horizontal="center"/>
    </xf>
    <xf numFmtId="0" fontId="101" fillId="61" borderId="379"/>
    <xf numFmtId="0" fontId="112" fillId="0" borderId="404"/>
    <xf numFmtId="5" fontId="64" fillId="0" borderId="363" applyAlignment="0" applyProtection="0"/>
    <xf numFmtId="5" fontId="64" fillId="0" borderId="316" applyAlignment="0" applyProtection="0"/>
    <xf numFmtId="37" fontId="53" fillId="1" borderId="329">
      <alignment horizontal="centerContinuous" vertical="center"/>
    </xf>
    <xf numFmtId="5" fontId="64" fillId="0" borderId="329" applyAlignment="0" applyProtection="0"/>
    <xf numFmtId="5" fontId="64" fillId="0" borderId="316" applyAlignment="0" applyProtection="0"/>
    <xf numFmtId="0" fontId="87" fillId="0" borderId="342" applyNumberFormat="0" applyFill="0" applyBorder="0" applyAlignment="0" applyProtection="0"/>
    <xf numFmtId="0" fontId="101" fillId="61" borderId="344"/>
    <xf numFmtId="5" fontId="64" fillId="0" borderId="316" applyAlignment="0" applyProtection="0"/>
    <xf numFmtId="0" fontId="101" fillId="61" borderId="286"/>
    <xf numFmtId="5" fontId="64" fillId="0" borderId="329" applyAlignment="0" applyProtection="0"/>
    <xf numFmtId="0" fontId="49" fillId="0" borderId="318" applyNumberFormat="0" applyFill="0" applyAlignment="0" applyProtection="0"/>
    <xf numFmtId="0" fontId="122" fillId="62" borderId="404">
      <alignment horizontal="center" vertical="center" wrapText="1"/>
      <protection hidden="1"/>
    </xf>
    <xf numFmtId="37" fontId="85" fillId="58" borderId="357" applyBorder="0" applyProtection="0">
      <alignment vertical="center"/>
    </xf>
    <xf numFmtId="0" fontId="100" fillId="43" borderId="320" applyNumberFormat="0" applyAlignment="0" applyProtection="0"/>
    <xf numFmtId="5" fontId="64" fillId="0" borderId="363" applyAlignment="0" applyProtection="0"/>
    <xf numFmtId="0" fontId="101" fillId="61" borderId="297"/>
    <xf numFmtId="37" fontId="85" fillId="58" borderId="406" applyBorder="0" applyProtection="0">
      <alignment vertical="center"/>
    </xf>
    <xf numFmtId="0" fontId="112" fillId="0" borderId="297"/>
    <xf numFmtId="0" fontId="112" fillId="0" borderId="297"/>
    <xf numFmtId="0" fontId="112" fillId="0" borderId="297"/>
    <xf numFmtId="0" fontId="54" fillId="0" borderId="319" applyNumberFormat="0" applyFill="0" applyAlignment="0" applyProtection="0"/>
    <xf numFmtId="5" fontId="64" fillId="0" borderId="329" applyAlignment="0" applyProtection="0"/>
    <xf numFmtId="5" fontId="64" fillId="0" borderId="363" applyAlignment="0" applyProtection="0"/>
    <xf numFmtId="5" fontId="64" fillId="0" borderId="329" applyAlignment="0" applyProtection="0"/>
    <xf numFmtId="5" fontId="64" fillId="0" borderId="329" applyAlignment="0" applyProtection="0"/>
    <xf numFmtId="37" fontId="85" fillId="58" borderId="335" applyBorder="0" applyProtection="0">
      <alignment vertical="center"/>
    </xf>
    <xf numFmtId="0" fontId="101" fillId="61" borderId="379"/>
    <xf numFmtId="0" fontId="112" fillId="0" borderId="344"/>
    <xf numFmtId="0" fontId="88" fillId="0" borderId="391" applyNumberFormat="0" applyFill="0" applyBorder="0" applyAlignment="0" applyProtection="0"/>
    <xf numFmtId="0" fontId="112" fillId="0" borderId="404"/>
    <xf numFmtId="0" fontId="88" fillId="0" borderId="413" applyNumberFormat="0" applyFill="0" applyBorder="0" applyAlignment="0" applyProtection="0"/>
    <xf numFmtId="177" fontId="33" fillId="0" borderId="363"/>
    <xf numFmtId="5" fontId="64" fillId="0" borderId="388" applyAlignment="0" applyProtection="0"/>
    <xf numFmtId="5" fontId="64" fillId="0" borderId="363" applyAlignment="0" applyProtection="0"/>
    <xf numFmtId="1" fontId="54" fillId="0" borderId="316" applyNumberFormat="0" applyFont="0" applyFill="0" applyProtection="0">
      <alignment horizontal="center"/>
    </xf>
    <xf numFmtId="0" fontId="122" fillId="62" borderId="303">
      <alignment horizontal="center" vertical="center" wrapText="1"/>
      <protection hidden="1"/>
    </xf>
    <xf numFmtId="0" fontId="122" fillId="0" borderId="304">
      <alignment horizontal="left" vertical="center"/>
    </xf>
    <xf numFmtId="0" fontId="112" fillId="0" borderId="303"/>
    <xf numFmtId="37" fontId="85" fillId="58" borderId="312" applyBorder="0" applyProtection="0">
      <alignment vertical="center"/>
    </xf>
    <xf numFmtId="1" fontId="54" fillId="0" borderId="316" applyNumberFormat="0" applyFont="0" applyFill="0" applyProtection="0">
      <alignment horizontal="center"/>
    </xf>
    <xf numFmtId="5" fontId="64" fillId="0" borderId="400" applyAlignment="0" applyProtection="0"/>
    <xf numFmtId="0" fontId="54" fillId="0" borderId="391" applyNumberFormat="0" applyFill="0" applyAlignment="0" applyProtection="0"/>
    <xf numFmtId="37" fontId="24" fillId="0" borderId="379" applyBorder="0">
      <alignment horizontal="right"/>
      <protection locked="0"/>
    </xf>
    <xf numFmtId="0" fontId="101" fillId="61" borderId="404"/>
    <xf numFmtId="5" fontId="64" fillId="0" borderId="316" applyAlignment="0" applyProtection="0"/>
    <xf numFmtId="177" fontId="33" fillId="0" borderId="400"/>
    <xf numFmtId="5" fontId="64" fillId="0" borderId="400" applyAlignment="0" applyProtection="0"/>
    <xf numFmtId="0" fontId="88" fillId="0" borderId="402" applyNumberFormat="0" applyFill="0" applyBorder="0" applyAlignment="0" applyProtection="0"/>
    <xf numFmtId="0" fontId="55" fillId="0" borderId="331" applyNumberFormat="0" applyFill="0" applyBorder="0" applyAlignment="0" applyProtection="0"/>
    <xf numFmtId="37" fontId="85" fillId="58" borderId="301" applyBorder="0" applyProtection="0">
      <alignment vertical="center"/>
    </xf>
    <xf numFmtId="0" fontId="112" fillId="0" borderId="344"/>
    <xf numFmtId="0" fontId="49" fillId="0" borderId="283" applyNumberFormat="0" applyFill="0" applyAlignment="0" applyProtection="0"/>
    <xf numFmtId="1" fontId="54" fillId="0" borderId="388" applyNumberFormat="0" applyFont="0" applyFill="0" applyProtection="0">
      <alignment horizontal="center"/>
    </xf>
    <xf numFmtId="5" fontId="64" fillId="0" borderId="316" applyAlignment="0" applyProtection="0"/>
    <xf numFmtId="5" fontId="64" fillId="0" borderId="329" applyAlignment="0" applyProtection="0"/>
    <xf numFmtId="37" fontId="24" fillId="0" borderId="344" applyBorder="0">
      <alignment horizontal="right"/>
      <protection locked="0"/>
    </xf>
    <xf numFmtId="0" fontId="101" fillId="61" borderId="379"/>
    <xf numFmtId="5" fontId="64" fillId="0" borderId="363" applyAlignment="0" applyProtection="0"/>
    <xf numFmtId="37" fontId="24" fillId="0" borderId="321" applyBorder="0">
      <alignment horizontal="right"/>
      <protection locked="0"/>
    </xf>
    <xf numFmtId="0" fontId="101" fillId="61" borderId="321"/>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249" fontId="28" fillId="0" borderId="317"/>
    <xf numFmtId="5" fontId="64" fillId="0" borderId="316" applyAlignment="0" applyProtection="0"/>
    <xf numFmtId="37" fontId="85" fillId="58" borderId="312" applyBorder="0" applyProtection="0">
      <alignment vertical="center"/>
    </xf>
    <xf numFmtId="0" fontId="112" fillId="0" borderId="344"/>
    <xf numFmtId="0" fontId="112" fillId="0" borderId="303"/>
    <xf numFmtId="5" fontId="64" fillId="0" borderId="388" applyAlignment="0" applyProtection="0"/>
    <xf numFmtId="5" fontId="64" fillId="0" borderId="388" applyAlignment="0" applyProtection="0"/>
    <xf numFmtId="0" fontId="49" fillId="0" borderId="283" applyNumberFormat="0" applyFill="0" applyAlignment="0" applyProtection="0"/>
    <xf numFmtId="0" fontId="101" fillId="61" borderId="279"/>
    <xf numFmtId="37" fontId="85" fillId="58" borderId="291" applyBorder="0" applyProtection="0">
      <alignment vertical="center"/>
    </xf>
    <xf numFmtId="5" fontId="64" fillId="0" borderId="292" applyAlignment="0" applyProtection="0"/>
    <xf numFmtId="5" fontId="64" fillId="0" borderId="292" applyAlignment="0" applyProtection="0"/>
    <xf numFmtId="0" fontId="101" fillId="61" borderId="297"/>
    <xf numFmtId="0" fontId="87" fillId="0" borderId="295" applyNumberFormat="0" applyFill="0" applyBorder="0" applyAlignment="0" applyProtection="0"/>
    <xf numFmtId="0" fontId="112" fillId="0" borderId="344"/>
    <xf numFmtId="0" fontId="112" fillId="0" borderId="379"/>
    <xf numFmtId="177" fontId="33" fillId="0" borderId="363"/>
    <xf numFmtId="0" fontId="126" fillId="64" borderId="375">
      <alignment horizontal="left" vertical="center"/>
    </xf>
    <xf numFmtId="5" fontId="64" fillId="0" borderId="316" applyAlignment="0" applyProtection="0"/>
    <xf numFmtId="37" fontId="85" fillId="58" borderId="301" applyBorder="0" applyProtection="0">
      <alignment vertical="center"/>
    </xf>
    <xf numFmtId="0" fontId="54" fillId="0" borderId="306" applyNumberFormat="0" applyFill="0" applyAlignment="0" applyProtection="0"/>
    <xf numFmtId="0" fontId="87" fillId="0" borderId="342"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37" fontId="85" fillId="58" borderId="312" applyBorder="0" applyProtection="0">
      <alignment vertical="center"/>
    </xf>
    <xf numFmtId="37" fontId="85" fillId="58" borderId="377" applyBorder="0" applyProtection="0">
      <alignment vertical="center"/>
    </xf>
    <xf numFmtId="0" fontId="122" fillId="62" borderId="379">
      <alignment horizontal="center" vertical="center" wrapText="1"/>
      <protection hidden="1"/>
    </xf>
    <xf numFmtId="0" fontId="112" fillId="0" borderId="286"/>
    <xf numFmtId="0" fontId="112" fillId="0" borderId="286"/>
    <xf numFmtId="5" fontId="64" fillId="0" borderId="329" applyAlignment="0" applyProtection="0"/>
    <xf numFmtId="0" fontId="53" fillId="35" borderId="404">
      <alignment horizontal="center" vertical="center"/>
    </xf>
    <xf numFmtId="0" fontId="112" fillId="0" borderId="344"/>
    <xf numFmtId="0" fontId="55" fillId="0" borderId="413" applyNumberFormat="0" applyFill="0" applyBorder="0" applyAlignment="0" applyProtection="0"/>
    <xf numFmtId="0" fontId="87" fillId="0" borderId="284" applyNumberFormat="0" applyFill="0" applyBorder="0" applyAlignment="0" applyProtection="0"/>
    <xf numFmtId="5" fontId="64" fillId="0" borderId="388" applyAlignment="0" applyProtection="0"/>
    <xf numFmtId="0" fontId="52" fillId="32" borderId="404">
      <alignment horizontal="center"/>
    </xf>
    <xf numFmtId="0" fontId="101" fillId="61" borderId="297"/>
    <xf numFmtId="0" fontId="148" fillId="1" borderId="304" applyNumberFormat="0" applyFont="0" applyAlignment="0">
      <alignment horizontal="center"/>
    </xf>
    <xf numFmtId="0" fontId="49" fillId="0" borderId="330" applyNumberFormat="0" applyFill="0" applyAlignment="0" applyProtection="0"/>
    <xf numFmtId="0" fontId="49" fillId="0" borderId="390" applyNumberFormat="0" applyFill="0" applyAlignment="0" applyProtection="0"/>
    <xf numFmtId="0" fontId="101" fillId="61" borderId="297"/>
    <xf numFmtId="0" fontId="87" fillId="0" borderId="306" applyNumberFormat="0" applyFill="0" applyBorder="0" applyAlignment="0" applyProtection="0"/>
    <xf numFmtId="0" fontId="126" fillId="64" borderId="409" applyBorder="0">
      <alignment horizontal="center" vertical="center" wrapText="1"/>
    </xf>
    <xf numFmtId="0" fontId="101" fillId="61" borderId="279"/>
    <xf numFmtId="0" fontId="101" fillId="61" borderId="279"/>
    <xf numFmtId="5" fontId="64" fillId="0" borderId="400" applyAlignment="0" applyProtection="0"/>
    <xf numFmtId="0" fontId="112" fillId="0" borderId="344"/>
    <xf numFmtId="0" fontId="112" fillId="0" borderId="344"/>
    <xf numFmtId="0" fontId="112" fillId="0" borderId="303"/>
    <xf numFmtId="8" fontId="131" fillId="0" borderId="308" applyNumberFormat="0" applyFill="0" applyBorder="0" applyAlignment="0" applyProtection="0"/>
    <xf numFmtId="0" fontId="88" fillId="0" borderId="306" applyNumberFormat="0" applyFill="0" applyBorder="0" applyAlignment="0" applyProtection="0"/>
    <xf numFmtId="0" fontId="122" fillId="62" borderId="286">
      <alignment horizontal="center" vertical="center" wrapText="1"/>
      <protection hidden="1"/>
    </xf>
    <xf numFmtId="5" fontId="64" fillId="0" borderId="400" applyAlignment="0" applyProtection="0"/>
    <xf numFmtId="5" fontId="64" fillId="0" borderId="316" applyAlignment="0" applyProtection="0"/>
    <xf numFmtId="0" fontId="48" fillId="65" borderId="325">
      <alignment horizontal="left" vertical="center" wrapText="1"/>
    </xf>
    <xf numFmtId="0" fontId="112" fillId="0" borderId="303"/>
    <xf numFmtId="37" fontId="85" fillId="58" borderId="301" applyBorder="0" applyProtection="0">
      <alignment vertical="center"/>
    </xf>
    <xf numFmtId="5" fontId="64" fillId="0" borderId="388" applyAlignment="0" applyProtection="0"/>
    <xf numFmtId="5" fontId="64" fillId="0" borderId="316" applyAlignment="0" applyProtection="0"/>
    <xf numFmtId="5" fontId="64" fillId="0" borderId="316" applyAlignment="0" applyProtection="0"/>
    <xf numFmtId="37" fontId="85" fillId="58" borderId="346" applyBorder="0" applyProtection="0">
      <alignment vertical="center"/>
    </xf>
    <xf numFmtId="37" fontId="24" fillId="0" borderId="404" applyBorder="0">
      <alignment horizontal="right"/>
      <protection locked="0"/>
    </xf>
    <xf numFmtId="0" fontId="126" fillId="64" borderId="349" applyBorder="0">
      <alignment horizontal="center" vertical="center" wrapText="1"/>
    </xf>
    <xf numFmtId="0" fontId="48" fillId="65" borderId="299">
      <alignment horizontal="left" vertical="center" wrapText="1"/>
    </xf>
    <xf numFmtId="5" fontId="64" fillId="0" borderId="363" applyAlignment="0" applyProtection="0"/>
    <xf numFmtId="0" fontId="147" fillId="0" borderId="351"/>
    <xf numFmtId="338" fontId="24" fillId="0" borderId="267" applyBorder="0">
      <alignment horizontal="right"/>
    </xf>
    <xf numFmtId="37" fontId="85" fillId="58" borderId="282" applyBorder="0" applyProtection="0">
      <alignment vertical="center"/>
    </xf>
    <xf numFmtId="0" fontId="54" fillId="0" borderId="284" applyNumberFormat="0" applyFill="0" applyAlignment="0" applyProtection="0"/>
    <xf numFmtId="0" fontId="147" fillId="0" borderId="268"/>
    <xf numFmtId="177" fontId="33" fillId="0" borderId="400"/>
    <xf numFmtId="0" fontId="147" fillId="0" borderId="411"/>
    <xf numFmtId="5" fontId="64" fillId="0" borderId="363" applyAlignment="0" applyProtection="0"/>
    <xf numFmtId="0" fontId="101" fillId="61" borderId="344"/>
    <xf numFmtId="37" fontId="85" fillId="58" borderId="389" applyBorder="0" applyProtection="0">
      <alignment vertical="center"/>
    </xf>
    <xf numFmtId="0" fontId="101" fillId="61" borderId="286"/>
    <xf numFmtId="0" fontId="56" fillId="36" borderId="270">
      <alignment horizontal="center"/>
    </xf>
    <xf numFmtId="0" fontId="52" fillId="32" borderId="270"/>
    <xf numFmtId="5" fontId="64" fillId="0" borderId="292" applyAlignment="0" applyProtection="0"/>
    <xf numFmtId="5" fontId="64" fillId="0" borderId="316" applyAlignment="0" applyProtection="0"/>
    <xf numFmtId="0" fontId="88" fillId="0" borderId="391" applyNumberFormat="0" applyFill="0" applyBorder="0" applyAlignment="0" applyProtection="0"/>
    <xf numFmtId="0" fontId="112" fillId="0" borderId="303"/>
    <xf numFmtId="338" fontId="24" fillId="0" borderId="289" applyBorder="0">
      <alignment horizontal="right"/>
    </xf>
    <xf numFmtId="0" fontId="48" fillId="65" borderId="287">
      <alignment horizontal="left" vertical="center" wrapText="1"/>
    </xf>
    <xf numFmtId="0" fontId="112" fillId="0" borderId="286"/>
    <xf numFmtId="0" fontId="112" fillId="0" borderId="379"/>
    <xf numFmtId="5" fontId="64" fillId="0" borderId="316" applyAlignment="0" applyProtection="0"/>
    <xf numFmtId="37" fontId="85" fillId="58" borderId="323" applyBorder="0" applyProtection="0">
      <alignment vertical="center"/>
    </xf>
    <xf numFmtId="5" fontId="64" fillId="0" borderId="363" applyAlignment="0" applyProtection="0"/>
    <xf numFmtId="0" fontId="53" fillId="35" borderId="379">
      <alignment horizontal="center" vertical="center"/>
    </xf>
    <xf numFmtId="0" fontId="101" fillId="61" borderId="303"/>
    <xf numFmtId="301" fontId="94" fillId="0" borderId="292" applyFont="0" applyFill="0" applyBorder="0" applyAlignment="0" applyProtection="0">
      <alignment horizontal="center"/>
    </xf>
    <xf numFmtId="0" fontId="54" fillId="0" borderId="295" applyNumberFormat="0" applyFill="0" applyAlignment="0" applyProtection="0"/>
    <xf numFmtId="37" fontId="85" fillId="58" borderId="377" applyBorder="0" applyProtection="0">
      <alignment vertical="center"/>
    </xf>
    <xf numFmtId="0" fontId="101" fillId="61" borderId="303"/>
    <xf numFmtId="0" fontId="112" fillId="0" borderId="344"/>
    <xf numFmtId="5" fontId="64" fillId="0" borderId="329" applyAlignment="0" applyProtection="0"/>
    <xf numFmtId="0" fontId="101" fillId="61" borderId="303"/>
    <xf numFmtId="0" fontId="101" fillId="61" borderId="297"/>
    <xf numFmtId="0" fontId="112" fillId="0" borderId="297"/>
    <xf numFmtId="0" fontId="49" fillId="0" borderId="305" applyNumberFormat="0" applyFill="0" applyAlignment="0" applyProtection="0"/>
    <xf numFmtId="0" fontId="112" fillId="0" borderId="303"/>
    <xf numFmtId="5" fontId="64" fillId="0" borderId="316" applyAlignment="0" applyProtection="0"/>
    <xf numFmtId="0" fontId="112" fillId="0" borderId="404"/>
    <xf numFmtId="2" fontId="24" fillId="36" borderId="323" applyFill="0" applyBorder="0" applyProtection="0">
      <alignment horizontal="center"/>
    </xf>
    <xf numFmtId="5" fontId="64" fillId="0" borderId="363" applyAlignment="0" applyProtection="0"/>
    <xf numFmtId="0" fontId="112" fillId="0" borderId="404"/>
    <xf numFmtId="0" fontId="147" fillId="0" borderId="314"/>
    <xf numFmtId="0" fontId="101" fillId="61" borderId="279"/>
    <xf numFmtId="0" fontId="55" fillId="0" borderId="295" applyNumberFormat="0" applyFill="0" applyBorder="0" applyAlignment="0" applyProtection="0"/>
    <xf numFmtId="5" fontId="64" fillId="0" borderId="363" applyAlignment="0" applyProtection="0"/>
    <xf numFmtId="37" fontId="85" fillId="58" borderId="346" applyBorder="0" applyProtection="0">
      <alignment vertical="center"/>
    </xf>
    <xf numFmtId="247" fontId="28" fillId="0" borderId="317"/>
    <xf numFmtId="0" fontId="101" fillId="61" borderId="303"/>
    <xf numFmtId="5" fontId="64" fillId="0" borderId="388" applyAlignment="0" applyProtection="0"/>
    <xf numFmtId="2" fontId="24" fillId="36" borderId="346" applyFill="0" applyBorder="0" applyProtection="0">
      <alignment horizontal="center"/>
    </xf>
    <xf numFmtId="5" fontId="64" fillId="0" borderId="400" applyAlignment="0" applyProtection="0"/>
    <xf numFmtId="0" fontId="101" fillId="61" borderId="344"/>
    <xf numFmtId="37" fontId="24" fillId="0" borderId="286" applyBorder="0">
      <alignment horizontal="right"/>
      <protection locked="0"/>
    </xf>
    <xf numFmtId="2" fontId="24" fillId="36" borderId="291" applyFill="0" applyBorder="0" applyProtection="0">
      <alignment horizontal="center"/>
    </xf>
    <xf numFmtId="0" fontId="112" fillId="0" borderId="303"/>
    <xf numFmtId="37" fontId="85" fillId="58" borderId="301" applyBorder="0" applyProtection="0">
      <alignment vertical="center"/>
    </xf>
    <xf numFmtId="2" fontId="24" fillId="36" borderId="282" applyFill="0" applyBorder="0" applyProtection="0">
      <alignment horizontal="center"/>
    </xf>
    <xf numFmtId="42" fontId="83" fillId="0" borderId="166" applyFont="0"/>
    <xf numFmtId="5" fontId="64" fillId="0" borderId="292" applyAlignment="0" applyProtection="0"/>
    <xf numFmtId="5" fontId="64" fillId="0" borderId="292" applyAlignment="0" applyProtection="0"/>
    <xf numFmtId="0" fontId="55" fillId="0" borderId="284" applyNumberFormat="0" applyFill="0" applyBorder="0" applyAlignment="0" applyProtection="0"/>
    <xf numFmtId="0" fontId="87" fillId="0" borderId="284" applyNumberFormat="0" applyFill="0" applyBorder="0" applyAlignment="0" applyProtection="0"/>
    <xf numFmtId="37" fontId="85" fillId="58" borderId="291" applyBorder="0" applyProtection="0">
      <alignment vertical="center"/>
    </xf>
    <xf numFmtId="0" fontId="87" fillId="0" borderId="295" applyNumberFormat="0" applyFill="0" applyBorder="0" applyAlignment="0" applyProtection="0"/>
    <xf numFmtId="0" fontId="88" fillId="0" borderId="317" applyNumberFormat="0" applyFill="0" applyProtection="0">
      <alignment horizontal="left" wrapText="1"/>
    </xf>
    <xf numFmtId="5" fontId="64" fillId="0" borderId="316" applyAlignment="0" applyProtection="0"/>
    <xf numFmtId="0" fontId="126" fillId="64" borderId="277">
      <alignment horizontal="left" vertical="center"/>
    </xf>
    <xf numFmtId="0" fontId="126" fillId="64" borderId="277">
      <alignment horizontal="left" vertical="center"/>
    </xf>
    <xf numFmtId="0" fontId="101" fillId="61" borderId="297"/>
    <xf numFmtId="5" fontId="64" fillId="0" borderId="316" applyAlignment="0" applyProtection="0"/>
    <xf numFmtId="5" fontId="64" fillId="0" borderId="329" applyAlignment="0" applyProtection="0"/>
    <xf numFmtId="0" fontId="122" fillId="62" borderId="297">
      <alignment horizontal="center" vertical="center" wrapText="1"/>
      <protection hidden="1"/>
    </xf>
    <xf numFmtId="0" fontId="112" fillId="0" borderId="321"/>
    <xf numFmtId="37" fontId="85" fillId="58" borderId="282" applyBorder="0" applyProtection="0">
      <alignment vertical="center"/>
    </xf>
    <xf numFmtId="0" fontId="100" fillId="43" borderId="276" applyNumberFormat="0" applyAlignment="0" applyProtection="0"/>
    <xf numFmtId="0" fontId="55" fillId="0" borderId="295" applyNumberFormat="0" applyFill="0" applyBorder="0" applyAlignment="0" applyProtection="0"/>
    <xf numFmtId="5" fontId="64" fillId="0" borderId="316" applyAlignment="0" applyProtection="0"/>
    <xf numFmtId="5" fontId="64" fillId="0" borderId="292" applyAlignment="0" applyProtection="0"/>
    <xf numFmtId="249" fontId="28" fillId="0" borderId="127" applyBorder="0"/>
    <xf numFmtId="249" fontId="28" fillId="0" borderId="127" applyBorder="0"/>
    <xf numFmtId="249" fontId="28" fillId="0" borderId="127" applyBorder="0"/>
    <xf numFmtId="249" fontId="28" fillId="0" borderId="127" applyBorder="0"/>
    <xf numFmtId="249" fontId="28" fillId="0" borderId="127" applyBorder="0"/>
    <xf numFmtId="37" fontId="53" fillId="1" borderId="204">
      <alignment horizontal="centerContinuous" vertical="center"/>
    </xf>
    <xf numFmtId="37" fontId="53" fillId="1" borderId="204">
      <alignment horizontal="centerContinuous"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0" fontId="55" fillId="0" borderId="402" applyNumberFormat="0" applyFill="0" applyBorder="0" applyAlignment="0" applyProtection="0"/>
    <xf numFmtId="0" fontId="53" fillId="35" borderId="404">
      <alignment horizontal="center" vertical="center"/>
    </xf>
    <xf numFmtId="5" fontId="64" fillId="0" borderId="316" applyAlignment="0" applyProtection="0"/>
    <xf numFmtId="5" fontId="64" fillId="0" borderId="316" applyAlignment="0" applyProtection="0"/>
    <xf numFmtId="0" fontId="53" fillId="35" borderId="279">
      <alignment horizontal="center" vertical="center"/>
    </xf>
    <xf numFmtId="0" fontId="112" fillId="0" borderId="303"/>
    <xf numFmtId="37" fontId="85" fillId="58" borderId="312" applyBorder="0" applyProtection="0">
      <alignment vertical="center"/>
    </xf>
    <xf numFmtId="5" fontId="64" fillId="0" borderId="329" applyAlignment="0" applyProtection="0"/>
    <xf numFmtId="0" fontId="87" fillId="0" borderId="275" applyNumberFormat="0" applyFill="0" applyBorder="0" applyAlignment="0" applyProtection="0"/>
    <xf numFmtId="0" fontId="49" fillId="0" borderId="318" applyNumberFormat="0" applyFill="0" applyAlignment="0" applyProtection="0"/>
    <xf numFmtId="37" fontId="85" fillId="58" borderId="282" applyBorder="0" applyProtection="0">
      <alignment vertical="center"/>
    </xf>
    <xf numFmtId="37" fontId="53" fillId="1" borderId="271">
      <alignment horizontal="centerContinuous" vertical="center"/>
    </xf>
    <xf numFmtId="37" fontId="85" fillId="58" borderId="269" applyBorder="0" applyProtection="0">
      <alignment vertical="center"/>
    </xf>
    <xf numFmtId="37" fontId="85" fillId="58" borderId="269" applyBorder="0" applyProtection="0">
      <alignment vertical="center"/>
    </xf>
    <xf numFmtId="177" fontId="33" fillId="0" borderId="271"/>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101" fillId="61" borderId="270"/>
    <xf numFmtId="0" fontId="101" fillId="61" borderId="270"/>
    <xf numFmtId="0" fontId="101" fillId="61" borderId="270"/>
    <xf numFmtId="0" fontId="101" fillId="61" borderId="270"/>
    <xf numFmtId="0" fontId="112" fillId="0" borderId="270"/>
    <xf numFmtId="0" fontId="112" fillId="0" borderId="270"/>
    <xf numFmtId="0" fontId="112" fillId="0" borderId="270"/>
    <xf numFmtId="0" fontId="112" fillId="0" borderId="270"/>
    <xf numFmtId="0" fontId="112" fillId="0" borderId="270"/>
    <xf numFmtId="185" fontId="54" fillId="0" borderId="271" applyFont="0" applyFill="0" applyBorder="0" applyAlignment="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0" fontId="148" fillId="1" borderId="272" applyNumberFormat="0" applyFont="0" applyAlignment="0">
      <alignment horizontal="center"/>
    </xf>
    <xf numFmtId="37" fontId="24" fillId="0" borderId="270" applyBorder="0">
      <alignment horizontal="right"/>
      <protection locked="0"/>
    </xf>
    <xf numFmtId="0" fontId="112" fillId="0" borderId="321"/>
    <xf numFmtId="0" fontId="112" fillId="0" borderId="303"/>
    <xf numFmtId="5" fontId="64" fillId="0" borderId="388" applyAlignment="0" applyProtection="0"/>
    <xf numFmtId="0" fontId="148" fillId="1" borderId="324" applyNumberFormat="0" applyFont="0" applyAlignment="0">
      <alignment horizontal="center"/>
    </xf>
    <xf numFmtId="0" fontId="112" fillId="0" borderId="297"/>
    <xf numFmtId="0" fontId="101" fillId="61" borderId="321"/>
    <xf numFmtId="5" fontId="64" fillId="0" borderId="316" applyAlignment="0" applyProtection="0"/>
    <xf numFmtId="0" fontId="88" fillId="0" borderId="331" applyNumberFormat="0" applyFill="0" applyBorder="0" applyAlignment="0" applyProtection="0"/>
    <xf numFmtId="0" fontId="112" fillId="0" borderId="286"/>
    <xf numFmtId="8" fontId="131" fillId="0" borderId="345" applyNumberFormat="0" applyFill="0" applyBorder="0" applyAlignment="0" applyProtection="0"/>
    <xf numFmtId="2" fontId="24" fillId="36" borderId="346" applyFill="0" applyBorder="0" applyProtection="0">
      <alignment horizontal="center"/>
    </xf>
    <xf numFmtId="0" fontId="101" fillId="61" borderId="379"/>
    <xf numFmtId="5" fontId="64" fillId="0" borderId="329" applyAlignment="0" applyProtection="0"/>
    <xf numFmtId="5" fontId="64" fillId="0" borderId="316" applyAlignment="0" applyProtection="0"/>
    <xf numFmtId="0" fontId="122" fillId="0" borderId="380">
      <alignment horizontal="left" vertical="center"/>
    </xf>
    <xf numFmtId="5" fontId="64" fillId="0" borderId="388" applyAlignment="0" applyProtection="0"/>
    <xf numFmtId="0" fontId="148" fillId="1" borderId="380" applyNumberFormat="0" applyFont="0" applyAlignment="0">
      <alignment horizontal="center"/>
    </xf>
    <xf numFmtId="0" fontId="126" fillId="64" borderId="309">
      <alignment horizontal="left" vertical="center"/>
    </xf>
    <xf numFmtId="0" fontId="112" fillId="0" borderId="344"/>
    <xf numFmtId="338" fontId="24" fillId="0" borderId="410" applyBorder="0">
      <alignment horizontal="right"/>
    </xf>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49" fillId="0" borderId="274" applyNumberFormat="0" applyFill="0" applyAlignment="0" applyProtection="0"/>
    <xf numFmtId="0" fontId="55" fillId="0" borderId="295" applyNumberFormat="0" applyFill="0" applyBorder="0" applyAlignment="0" applyProtection="0"/>
    <xf numFmtId="0" fontId="101" fillId="61" borderId="286"/>
    <xf numFmtId="0" fontId="101" fillId="61" borderId="286"/>
    <xf numFmtId="0" fontId="122" fillId="62" borderId="344">
      <alignment horizontal="center" vertical="center" wrapText="1"/>
      <protection hidden="1"/>
    </xf>
    <xf numFmtId="0" fontId="101" fillId="61" borderId="303"/>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5" fontId="64" fillId="0" borderId="329" applyAlignment="0" applyProtection="0"/>
    <xf numFmtId="5" fontId="64" fillId="0" borderId="316" applyAlignment="0" applyProtection="0"/>
    <xf numFmtId="0" fontId="88" fillId="0" borderId="295" applyNumberFormat="0" applyFill="0" applyBorder="0" applyAlignment="0" applyProtection="0"/>
    <xf numFmtId="301" fontId="94" fillId="0" borderId="329" applyFont="0" applyFill="0" applyBorder="0" applyAlignment="0" applyProtection="0">
      <alignment horizontal="center"/>
    </xf>
    <xf numFmtId="5" fontId="64" fillId="0" borderId="363" applyAlignment="0" applyProtection="0"/>
    <xf numFmtId="314" fontId="28" fillId="0" borderId="317" applyFont="0" applyFill="0" applyBorder="0" applyProtection="0"/>
    <xf numFmtId="0" fontId="54" fillId="0" borderId="295" applyNumberFormat="0" applyFill="0" applyAlignment="0" applyProtection="0"/>
    <xf numFmtId="37" fontId="85" fillId="58" borderId="282" applyBorder="0" applyProtection="0">
      <alignment vertical="center"/>
    </xf>
    <xf numFmtId="37" fontId="85" fillId="58" borderId="323" applyBorder="0" applyProtection="0">
      <alignment vertical="center"/>
    </xf>
    <xf numFmtId="5" fontId="64" fillId="0" borderId="363" applyAlignment="0" applyProtection="0"/>
    <xf numFmtId="5" fontId="64" fillId="0" borderId="329" applyAlignment="0" applyProtection="0"/>
    <xf numFmtId="0" fontId="112" fillId="0" borderId="321"/>
    <xf numFmtId="311" fontId="24" fillId="0" borderId="317" applyFont="0" applyFill="0" applyBorder="0" applyAlignment="0" applyProtection="0">
      <protection locked="0"/>
    </xf>
    <xf numFmtId="0" fontId="112" fillId="0" borderId="404"/>
    <xf numFmtId="0" fontId="101" fillId="61" borderId="279"/>
    <xf numFmtId="5" fontId="64" fillId="0" borderId="388" applyAlignment="0" applyProtection="0"/>
    <xf numFmtId="0" fontId="126" fillId="64" borderId="409" applyBorder="0">
      <alignment horizontal="center" vertical="center" wrapText="1"/>
    </xf>
    <xf numFmtId="177" fontId="33" fillId="0" borderId="204"/>
    <xf numFmtId="177" fontId="33" fillId="0" borderId="204"/>
    <xf numFmtId="177" fontId="33" fillId="0" borderId="204"/>
    <xf numFmtId="177" fontId="33" fillId="0" borderId="204"/>
    <xf numFmtId="177" fontId="33" fillId="0" borderId="204"/>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26" fillId="64" borderId="310" applyBorder="0">
      <alignment horizontal="center" vertical="center" wrapText="1"/>
    </xf>
    <xf numFmtId="0" fontId="55" fillId="0" borderId="413" applyNumberFormat="0" applyFill="0" applyBorder="0" applyAlignment="0" applyProtection="0"/>
    <xf numFmtId="37" fontId="85" fillId="58" borderId="335" applyBorder="0" applyProtection="0">
      <alignment vertical="center"/>
    </xf>
    <xf numFmtId="0" fontId="122" fillId="0" borderId="347">
      <alignment horizontal="left" vertical="center"/>
    </xf>
    <xf numFmtId="0" fontId="126" fillId="64" borderId="375">
      <alignment horizontal="left" vertical="center"/>
    </xf>
    <xf numFmtId="0" fontId="100" fillId="43" borderId="392" applyNumberFormat="0" applyAlignment="0" applyProtection="0"/>
    <xf numFmtId="0" fontId="55" fillId="0" borderId="306" applyNumberFormat="0" applyFill="0" applyBorder="0" applyAlignment="0" applyProtection="0"/>
    <xf numFmtId="0" fontId="88" fillId="0" borderId="319" applyNumberFormat="0" applyFill="0" applyBorder="0" applyAlignment="0" applyProtection="0"/>
    <xf numFmtId="0" fontId="112" fillId="0" borderId="286"/>
    <xf numFmtId="0" fontId="126" fillId="64" borderId="287">
      <alignment horizontal="left" vertical="center"/>
    </xf>
    <xf numFmtId="0" fontId="112" fillId="0" borderId="286"/>
    <xf numFmtId="0" fontId="100" fillId="43" borderId="285" applyNumberFormat="0" applyAlignment="0" applyProtection="0"/>
    <xf numFmtId="5" fontId="64" fillId="0" borderId="292" applyAlignment="0" applyProtection="0"/>
    <xf numFmtId="177" fontId="33" fillId="0" borderId="292"/>
    <xf numFmtId="0" fontId="88" fillId="0" borderId="284" applyNumberFormat="0" applyFill="0" applyBorder="0" applyAlignment="0" applyProtection="0"/>
    <xf numFmtId="0" fontId="88" fillId="0" borderId="284" applyNumberFormat="0" applyFill="0" applyBorder="0" applyAlignment="0" applyProtection="0"/>
    <xf numFmtId="0" fontId="53" fillId="35" borderId="279">
      <alignment horizontal="center" vertical="center"/>
    </xf>
    <xf numFmtId="0" fontId="54" fillId="0" borderId="295" applyNumberFormat="0" applyFill="0" applyAlignment="0" applyProtection="0"/>
    <xf numFmtId="37" fontId="85" fillId="58" borderId="377" applyBorder="0" applyProtection="0">
      <alignment vertical="center"/>
    </xf>
    <xf numFmtId="2" fontId="24" fillId="36" borderId="244" applyFill="0" applyBorder="0" applyProtection="0">
      <alignment horizontal="center"/>
    </xf>
    <xf numFmtId="2" fontId="24" fillId="36" borderId="244" applyFill="0" applyBorder="0" applyProtection="0">
      <alignment horizontal="center"/>
    </xf>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0" fontId="88" fillId="0" borderId="342" applyNumberFormat="0" applyFill="0" applyBorder="0" applyAlignment="0" applyProtection="0"/>
    <xf numFmtId="37" fontId="85" fillId="58" borderId="323" applyBorder="0" applyProtection="0">
      <alignment vertical="center"/>
    </xf>
    <xf numFmtId="261" fontId="69" fillId="0" borderId="161" applyNumberFormat="0" applyFill="0" applyAlignment="0" applyProtection="0">
      <alignment horizontal="center"/>
    </xf>
    <xf numFmtId="261" fontId="69" fillId="0" borderId="161" applyNumberFormat="0" applyFill="0" applyAlignment="0" applyProtection="0">
      <alignment horizontal="center"/>
    </xf>
    <xf numFmtId="261" fontId="69" fillId="0" borderId="161" applyNumberFormat="0" applyFill="0" applyAlignment="0" applyProtection="0">
      <alignment horizontal="center"/>
    </xf>
    <xf numFmtId="261" fontId="69" fillId="0" borderId="161" applyNumberFormat="0" applyFill="0" applyAlignment="0" applyProtection="0">
      <alignment horizontal="center"/>
    </xf>
    <xf numFmtId="0" fontId="54" fillId="0" borderId="391" applyNumberFormat="0" applyFill="0" applyAlignment="0" applyProtection="0"/>
    <xf numFmtId="0" fontId="126" fillId="64" borderId="249">
      <alignment horizontal="left" vertical="center"/>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5" fontId="64" fillId="0" borderId="316" applyAlignment="0" applyProtection="0"/>
    <xf numFmtId="0" fontId="122" fillId="0" borderId="293">
      <alignment horizontal="left" vertical="center"/>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112" fillId="0" borderId="279"/>
    <xf numFmtId="0" fontId="101" fillId="61" borderId="279"/>
    <xf numFmtId="5" fontId="64" fillId="0" borderId="292" applyAlignment="0" applyProtection="0"/>
    <xf numFmtId="37" fontId="85" fillId="58" borderId="291" applyBorder="0" applyProtection="0">
      <alignment vertical="center"/>
    </xf>
    <xf numFmtId="37" fontId="85" fillId="58" borderId="291" applyBorder="0" applyProtection="0">
      <alignment vertical="center"/>
    </xf>
    <xf numFmtId="37" fontId="85" fillId="58" borderId="291" applyBorder="0" applyProtection="0">
      <alignment vertical="center"/>
    </xf>
    <xf numFmtId="0" fontId="55" fillId="0" borderId="295" applyNumberFormat="0" applyFill="0" applyBorder="0" applyAlignment="0" applyProtection="0"/>
    <xf numFmtId="5" fontId="64" fillId="0" borderId="388" applyAlignment="0" applyProtection="0"/>
    <xf numFmtId="2" fontId="24" fillId="36" borderId="282" applyFill="0" applyBorder="0" applyProtection="0">
      <alignment horizontal="center"/>
    </xf>
    <xf numFmtId="338" fontId="24" fillId="0" borderId="378" applyBorder="0">
      <alignment horizontal="right"/>
    </xf>
    <xf numFmtId="5" fontId="64" fillId="0" borderId="363" applyAlignment="0" applyProtection="0"/>
    <xf numFmtId="5" fontId="64" fillId="0" borderId="363" applyAlignment="0" applyProtection="0"/>
    <xf numFmtId="0" fontId="49" fillId="0" borderId="256" applyNumberFormat="0" applyFill="0" applyAlignment="0" applyProtection="0"/>
    <xf numFmtId="185" fontId="54" fillId="0" borderId="363" applyFont="0" applyFill="0" applyBorder="0" applyAlignment="0" applyProtection="0">
      <alignment horizontal="center"/>
    </xf>
    <xf numFmtId="0" fontId="101" fillId="61" borderId="344"/>
    <xf numFmtId="0" fontId="148" fillId="1" borderId="407" applyNumberFormat="0" applyFont="0" applyAlignment="0">
      <alignment horizontal="center"/>
    </xf>
    <xf numFmtId="0" fontId="101" fillId="61" borderId="286"/>
    <xf numFmtId="0" fontId="52" fillId="32" borderId="286"/>
    <xf numFmtId="0" fontId="48" fillId="65" borderId="299">
      <alignment horizontal="left" vertical="center" wrapText="1"/>
    </xf>
    <xf numFmtId="0" fontId="55" fillId="0" borderId="286">
      <alignment horizontal="center"/>
    </xf>
    <xf numFmtId="0" fontId="88" fillId="0" borderId="402" applyNumberFormat="0" applyFill="0" applyBorder="0" applyAlignment="0" applyProtection="0"/>
    <xf numFmtId="0" fontId="112" fillId="0" borderId="297"/>
    <xf numFmtId="37" fontId="85" fillId="58" borderId="377" applyBorder="0" applyProtection="0">
      <alignment vertical="center"/>
    </xf>
    <xf numFmtId="5" fontId="64" fillId="0" borderId="329" applyAlignment="0" applyProtection="0"/>
    <xf numFmtId="5" fontId="64" fillId="0" borderId="316" applyAlignment="0" applyProtection="0"/>
    <xf numFmtId="5" fontId="64" fillId="0" borderId="400" applyAlignment="0" applyProtection="0"/>
    <xf numFmtId="0" fontId="55" fillId="0" borderId="331" applyNumberFormat="0" applyFill="0" applyBorder="0" applyAlignment="0" applyProtection="0"/>
    <xf numFmtId="8" fontId="131" fillId="0" borderId="322" applyNumberFormat="0" applyFill="0" applyBorder="0" applyAlignment="0" applyProtection="0"/>
    <xf numFmtId="0" fontId="101" fillId="61" borderId="404"/>
    <xf numFmtId="0" fontId="112" fillId="0" borderId="303"/>
    <xf numFmtId="0" fontId="112" fillId="0" borderId="303"/>
    <xf numFmtId="37" fontId="24" fillId="0" borderId="286" applyBorder="0">
      <alignment horizontal="right"/>
      <protection locked="0"/>
    </xf>
    <xf numFmtId="37" fontId="53" fillId="1" borderId="316">
      <alignment horizontal="centerContinuous" vertical="center"/>
    </xf>
    <xf numFmtId="5" fontId="64" fillId="0" borderId="363" applyAlignment="0" applyProtection="0"/>
    <xf numFmtId="0" fontId="101" fillId="61" borderId="321"/>
    <xf numFmtId="5" fontId="64" fillId="0" borderId="388" applyAlignment="0" applyProtection="0"/>
    <xf numFmtId="5" fontId="64" fillId="0" borderId="316" applyAlignment="0" applyProtection="0"/>
    <xf numFmtId="2" fontId="24" fillId="36" borderId="323" applyFill="0" applyBorder="0" applyProtection="0">
      <alignment horizontal="center"/>
    </xf>
    <xf numFmtId="0" fontId="88" fillId="0" borderId="331" applyNumberFormat="0" applyFill="0" applyBorder="0" applyAlignment="0" applyProtection="0"/>
    <xf numFmtId="37" fontId="85" fillId="58" borderId="335" applyBorder="0" applyProtection="0">
      <alignment vertical="center"/>
    </xf>
    <xf numFmtId="0" fontId="101" fillId="61" borderId="286"/>
    <xf numFmtId="37" fontId="85" fillId="58" borderId="312" applyBorder="0" applyProtection="0">
      <alignment vertical="center"/>
    </xf>
    <xf numFmtId="0" fontId="112" fillId="0" borderId="344"/>
    <xf numFmtId="0" fontId="87" fillId="0" borderId="342" applyNumberFormat="0" applyFill="0" applyBorder="0" applyAlignment="0" applyProtection="0"/>
    <xf numFmtId="5" fontId="64" fillId="0" borderId="400" applyAlignment="0" applyProtection="0"/>
    <xf numFmtId="338" fontId="24" fillId="0" borderId="251" applyBorder="0">
      <alignment horizontal="right"/>
    </xf>
    <xf numFmtId="0" fontId="55" fillId="0" borderId="275" applyNumberFormat="0" applyFill="0" applyBorder="0" applyAlignment="0" applyProtection="0"/>
    <xf numFmtId="0" fontId="55" fillId="0" borderId="275" applyNumberFormat="0" applyFill="0" applyBorder="0" applyAlignment="0" applyProtection="0"/>
    <xf numFmtId="0" fontId="88"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37" fontId="85" fillId="58" borderId="312" applyBorder="0" applyProtection="0">
      <alignment vertical="center"/>
    </xf>
    <xf numFmtId="0" fontId="147" fillId="0" borderId="252"/>
    <xf numFmtId="0" fontId="147" fillId="0" borderId="252"/>
    <xf numFmtId="0" fontId="147" fillId="0" borderId="252"/>
    <xf numFmtId="0" fontId="147" fillId="0" borderId="252"/>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37" fontId="24" fillId="0" borderId="248" applyBorder="0">
      <alignment horizontal="right"/>
      <protection locked="0"/>
    </xf>
    <xf numFmtId="37" fontId="24" fillId="0" borderId="248" applyBorder="0">
      <alignment horizontal="right"/>
      <protection locked="0"/>
    </xf>
    <xf numFmtId="0" fontId="126" fillId="64" borderId="300" applyBorder="0">
      <alignment horizontal="center" vertical="center" wrapText="1"/>
    </xf>
    <xf numFmtId="1" fontId="54" fillId="0" borderId="329" applyNumberFormat="0" applyFont="0" applyFill="0" applyProtection="0">
      <alignment horizontal="center"/>
    </xf>
    <xf numFmtId="0" fontId="87" fillId="0" borderId="284" applyNumberFormat="0" applyFill="0" applyBorder="0" applyAlignment="0" applyProtection="0"/>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0" fontId="87"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177" fontId="33" fillId="0" borderId="271"/>
    <xf numFmtId="177" fontId="33" fillId="0" borderId="271"/>
    <xf numFmtId="177" fontId="33" fillId="0" borderId="271"/>
    <xf numFmtId="177" fontId="33" fillId="0" borderId="271"/>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 fontId="54" fillId="0" borderId="233"/>
    <xf numFmtId="0" fontId="55" fillId="0" borderId="233">
      <alignment horizontal="center"/>
    </xf>
    <xf numFmtId="0" fontId="56" fillId="36" borderId="233">
      <alignment horizontal="center"/>
    </xf>
    <xf numFmtId="0" fontId="101" fillId="61" borderId="404"/>
    <xf numFmtId="0" fontId="54" fillId="0" borderId="284" applyNumberFormat="0" applyFill="0" applyAlignment="0" applyProtection="0"/>
    <xf numFmtId="0" fontId="112" fillId="0" borderId="344"/>
    <xf numFmtId="0" fontId="53" fillId="35" borderId="270">
      <alignment horizontal="center" vertical="center"/>
    </xf>
    <xf numFmtId="0" fontId="55" fillId="0" borderId="402" applyNumberFormat="0" applyFill="0" applyBorder="0" applyAlignment="0" applyProtection="0"/>
    <xf numFmtId="0" fontId="101" fillId="61" borderId="286"/>
    <xf numFmtId="0" fontId="87" fillId="0" borderId="413" applyNumberFormat="0" applyFill="0" applyBorder="0" applyAlignment="0" applyProtection="0"/>
    <xf numFmtId="5" fontId="64" fillId="0" borderId="292" applyAlignment="0" applyProtection="0"/>
    <xf numFmtId="0" fontId="55" fillId="0" borderId="295" applyNumberFormat="0" applyFill="0" applyBorder="0" applyAlignment="0" applyProtection="0"/>
    <xf numFmtId="0" fontId="112" fillId="0" borderId="404"/>
    <xf numFmtId="5" fontId="64" fillId="0" borderId="329" applyAlignment="0" applyProtection="0"/>
    <xf numFmtId="5" fontId="64" fillId="0" borderId="400" applyAlignment="0" applyProtection="0"/>
    <xf numFmtId="0" fontId="101" fillId="61" borderId="344"/>
    <xf numFmtId="5" fontId="64" fillId="0" borderId="316" applyAlignment="0" applyProtection="0"/>
    <xf numFmtId="0" fontId="112" fillId="0" borderId="379"/>
    <xf numFmtId="311" fontId="24" fillId="0" borderId="317" applyFont="0" applyFill="0" applyBorder="0" applyAlignment="0" applyProtection="0">
      <protection locked="0"/>
    </xf>
    <xf numFmtId="5" fontId="64" fillId="0" borderId="316" applyAlignment="0" applyProtection="0"/>
    <xf numFmtId="37" fontId="85" fillId="58" borderId="335" applyBorder="0" applyProtection="0">
      <alignment vertical="center"/>
    </xf>
    <xf numFmtId="338" fontId="24" fillId="0" borderId="350" applyBorder="0">
      <alignment horizontal="right"/>
    </xf>
    <xf numFmtId="0" fontId="101" fillId="61" borderId="303"/>
    <xf numFmtId="0" fontId="101" fillId="61" borderId="286"/>
    <xf numFmtId="0" fontId="101" fillId="61" borderId="286"/>
    <xf numFmtId="218" fontId="24" fillId="0" borderId="279">
      <alignment horizontal="center" vertical="center"/>
    </xf>
    <xf numFmtId="37" fontId="85" fillId="58" borderId="406" applyBorder="0" applyProtection="0">
      <alignment vertical="center"/>
    </xf>
    <xf numFmtId="0" fontId="101" fillId="61" borderId="379"/>
    <xf numFmtId="5" fontId="64" fillId="0" borderId="292" applyAlignment="0" applyProtection="0"/>
    <xf numFmtId="5" fontId="64" fillId="0" borderId="271" applyAlignment="0" applyProtection="0"/>
    <xf numFmtId="37" fontId="85" fillId="58" borderId="269" applyBorder="0" applyProtection="0">
      <alignment vertical="center"/>
    </xf>
    <xf numFmtId="5" fontId="64" fillId="0" borderId="271" applyAlignment="0" applyProtection="0"/>
    <xf numFmtId="5" fontId="64" fillId="0" borderId="271" applyAlignment="0" applyProtection="0"/>
    <xf numFmtId="37" fontId="85" fillId="58" borderId="282" applyBorder="0" applyProtection="0">
      <alignment vertical="center"/>
    </xf>
    <xf numFmtId="0" fontId="101" fillId="61" borderId="270"/>
    <xf numFmtId="0" fontId="112" fillId="0" borderId="270"/>
    <xf numFmtId="1" fontId="54" fillId="0" borderId="271" applyNumberFormat="0" applyFont="0" applyFill="0" applyProtection="0">
      <alignment horizontal="center"/>
    </xf>
    <xf numFmtId="1" fontId="54" fillId="0" borderId="271" applyNumberFormat="0" applyFont="0" applyFill="0" applyProtection="0">
      <alignment horizontal="center"/>
    </xf>
    <xf numFmtId="37" fontId="24" fillId="0" borderId="270" applyBorder="0">
      <alignment horizontal="right"/>
      <protection locked="0"/>
    </xf>
    <xf numFmtId="0" fontId="112" fillId="0" borderId="279"/>
    <xf numFmtId="5" fontId="64" fillId="0" borderId="363" applyAlignment="0" applyProtection="0"/>
    <xf numFmtId="5" fontId="64" fillId="0" borderId="316" applyAlignment="0" applyProtection="0"/>
    <xf numFmtId="37" fontId="85" fillId="58" borderId="301" applyBorder="0" applyProtection="0">
      <alignment vertical="center"/>
    </xf>
    <xf numFmtId="1" fontId="54" fillId="0" borderId="292" applyNumberFormat="0" applyFont="0" applyFill="0" applyProtection="0">
      <alignment horizontal="center"/>
    </xf>
    <xf numFmtId="37" fontId="85" fillId="58" borderId="301" applyBorder="0" applyProtection="0">
      <alignment vertical="center"/>
    </xf>
    <xf numFmtId="0" fontId="112" fillId="0" borderId="286"/>
    <xf numFmtId="5" fontId="64" fillId="0" borderId="316" applyAlignment="0" applyProtection="0"/>
    <xf numFmtId="0" fontId="126" fillId="64" borderId="299">
      <alignment horizontal="left" vertical="center"/>
    </xf>
    <xf numFmtId="0" fontId="112" fillId="0" borderId="297"/>
    <xf numFmtId="37" fontId="85" fillId="58" borderId="389" applyBorder="0" applyProtection="0">
      <alignment vertical="center"/>
    </xf>
    <xf numFmtId="5" fontId="64" fillId="0" borderId="292" applyAlignment="0" applyProtection="0"/>
    <xf numFmtId="5" fontId="64" fillId="0" borderId="316" applyAlignment="0" applyProtection="0"/>
    <xf numFmtId="0" fontId="126" fillId="64" borderId="277">
      <alignment horizontal="left" vertical="center"/>
    </xf>
    <xf numFmtId="0" fontId="88" fillId="0" borderId="413" applyNumberFormat="0" applyFill="0" applyBorder="0" applyAlignment="0" applyProtection="0"/>
    <xf numFmtId="5" fontId="64" fillId="0" borderId="316" applyAlignment="0" applyProtection="0"/>
    <xf numFmtId="37" fontId="85" fillId="58" borderId="282" applyBorder="0" applyProtection="0">
      <alignment vertical="center"/>
    </xf>
    <xf numFmtId="0" fontId="112" fillId="0" borderId="379"/>
    <xf numFmtId="37" fontId="85" fillId="58" borderId="269" applyBorder="0" applyProtection="0">
      <alignment vertical="center"/>
    </xf>
    <xf numFmtId="0" fontId="122" fillId="62" borderId="259">
      <alignment horizontal="center" vertical="center" wrapText="1"/>
      <protection hidden="1"/>
    </xf>
    <xf numFmtId="185" fontId="54" fillId="0" borderId="263" applyFont="0" applyFill="0" applyBorder="0" applyAlignment="0" applyProtection="0">
      <alignment horizontal="center"/>
    </xf>
    <xf numFmtId="1" fontId="54" fillId="0" borderId="263" applyNumberFormat="0" applyFont="0" applyFill="0" applyProtection="0">
      <alignment horizontal="center"/>
    </xf>
    <xf numFmtId="0" fontId="112" fillId="0" borderId="259"/>
    <xf numFmtId="0" fontId="112" fillId="0" borderId="259"/>
    <xf numFmtId="0" fontId="112" fillId="0" borderId="259"/>
    <xf numFmtId="0" fontId="112" fillId="0" borderId="259"/>
    <xf numFmtId="0" fontId="112" fillId="0" borderId="259"/>
    <xf numFmtId="0" fontId="101" fillId="61" borderId="259"/>
    <xf numFmtId="0" fontId="101" fillId="61" borderId="259"/>
    <xf numFmtId="0" fontId="101" fillId="61" borderId="259"/>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388" applyAlignment="0" applyProtection="0"/>
    <xf numFmtId="338" fontId="24" fillId="0" borderId="313" applyBorder="0">
      <alignment horizontal="right"/>
    </xf>
    <xf numFmtId="0" fontId="54" fillId="0" borderId="275" applyNumberFormat="0" applyFill="0" applyAlignment="0" applyProtection="0"/>
    <xf numFmtId="5" fontId="64" fillId="0" borderId="316" applyAlignment="0" applyProtection="0"/>
    <xf numFmtId="218" fontId="24" fillId="0" borderId="303">
      <alignment horizontal="center" vertical="center"/>
    </xf>
    <xf numFmtId="0" fontId="112" fillId="0" borderId="303"/>
    <xf numFmtId="37" fontId="85" fillId="58" borderId="282" applyBorder="0" applyProtection="0">
      <alignment vertical="center"/>
    </xf>
    <xf numFmtId="37" fontId="85" fillId="58" borderId="357" applyBorder="0" applyProtection="0">
      <alignment vertical="center"/>
    </xf>
    <xf numFmtId="5" fontId="64" fillId="0" borderId="316" applyAlignment="0" applyProtection="0"/>
    <xf numFmtId="0" fontId="112" fillId="0" borderId="379"/>
    <xf numFmtId="37" fontId="85" fillId="58" borderId="291" applyBorder="0" applyProtection="0">
      <alignment vertical="center"/>
    </xf>
    <xf numFmtId="0" fontId="126" fillId="64" borderId="349" applyBorder="0">
      <alignment horizontal="center" vertical="center" wrapText="1"/>
    </xf>
    <xf numFmtId="37" fontId="85" fillId="58" borderId="301" applyBorder="0" applyProtection="0">
      <alignment vertical="center"/>
    </xf>
    <xf numFmtId="37" fontId="85" fillId="58" borderId="406" applyBorder="0" applyProtection="0">
      <alignment vertical="center"/>
    </xf>
    <xf numFmtId="37" fontId="24" fillId="0" borderId="297" applyBorder="0">
      <alignment horizontal="right"/>
      <protection locked="0"/>
    </xf>
    <xf numFmtId="0" fontId="112" fillId="0" borderId="297"/>
    <xf numFmtId="0" fontId="101" fillId="61" borderId="286"/>
    <xf numFmtId="0" fontId="101" fillId="61" borderId="321"/>
    <xf numFmtId="0" fontId="112" fillId="0" borderId="303"/>
    <xf numFmtId="5" fontId="64" fillId="0" borderId="316" applyAlignment="0" applyProtection="0"/>
    <xf numFmtId="5" fontId="64" fillId="0" borderId="388" applyAlignment="0" applyProtection="0"/>
    <xf numFmtId="0" fontId="49" fillId="0" borderId="381" applyNumberFormat="0" applyFill="0" applyAlignment="0" applyProtection="0"/>
    <xf numFmtId="0" fontId="87" fillId="0" borderId="342" applyNumberFormat="0" applyFill="0" applyBorder="0" applyAlignment="0" applyProtection="0"/>
    <xf numFmtId="0" fontId="48" fillId="65" borderId="348">
      <alignment horizontal="left" vertical="center" wrapText="1"/>
    </xf>
    <xf numFmtId="0" fontId="88" fillId="0" borderId="391" applyNumberFormat="0" applyFill="0" applyBorder="0" applyAlignment="0" applyProtection="0"/>
    <xf numFmtId="5" fontId="64" fillId="0" borderId="388" applyAlignment="0" applyProtection="0"/>
    <xf numFmtId="0" fontId="112" fillId="0" borderId="321"/>
    <xf numFmtId="2" fontId="24" fillId="36" borderId="291" applyFill="0" applyBorder="0" applyProtection="0">
      <alignment horizontal="center"/>
    </xf>
    <xf numFmtId="0" fontId="101" fillId="61" borderId="297"/>
    <xf numFmtId="0" fontId="101" fillId="61" borderId="303"/>
    <xf numFmtId="0" fontId="112" fillId="0" borderId="286"/>
    <xf numFmtId="5" fontId="64" fillId="0" borderId="400" applyAlignment="0" applyProtection="0"/>
    <xf numFmtId="0" fontId="69" fillId="0" borderId="317" applyNumberFormat="0" applyFill="0" applyAlignment="0" applyProtection="0"/>
    <xf numFmtId="0" fontId="112" fillId="0" borderId="344"/>
    <xf numFmtId="0" fontId="112" fillId="0" borderId="321"/>
    <xf numFmtId="1" fontId="54" fillId="0" borderId="316" applyNumberFormat="0" applyFont="0" applyFill="0" applyProtection="0">
      <alignment horizontal="center"/>
    </xf>
    <xf numFmtId="338" fontId="24" fillId="0" borderId="267" applyBorder="0">
      <alignment horizontal="right"/>
    </xf>
    <xf numFmtId="0" fontId="55" fillId="0" borderId="284" applyNumberFormat="0" applyFill="0" applyBorder="0" applyAlignment="0" applyProtection="0"/>
    <xf numFmtId="37" fontId="85" fillId="58" borderId="406" applyBorder="0" applyProtection="0">
      <alignment vertical="center"/>
    </xf>
    <xf numFmtId="37" fontId="24" fillId="0" borderId="297" applyBorder="0">
      <alignment horizontal="right"/>
      <protection locked="0"/>
    </xf>
    <xf numFmtId="5" fontId="64" fillId="0" borderId="316" applyAlignment="0" applyProtection="0"/>
    <xf numFmtId="0" fontId="126" fillId="64" borderId="288" applyBorder="0">
      <alignment horizontal="center" vertical="center" wrapText="1"/>
    </xf>
    <xf numFmtId="5" fontId="64" fillId="0" borderId="400" applyAlignment="0" applyProtection="0"/>
    <xf numFmtId="5" fontId="64" fillId="0" borderId="400" applyAlignment="0" applyProtection="0"/>
    <xf numFmtId="0" fontId="112" fillId="0" borderId="297"/>
    <xf numFmtId="0" fontId="101" fillId="61" borderId="303"/>
    <xf numFmtId="0" fontId="88" fillId="0" borderId="402" applyNumberFormat="0" applyFill="0" applyBorder="0" applyAlignment="0" applyProtection="0"/>
    <xf numFmtId="37" fontId="85" fillId="58" borderId="301" applyBorder="0" applyProtection="0">
      <alignment vertical="center"/>
    </xf>
    <xf numFmtId="0" fontId="112" fillId="0" borderId="303"/>
    <xf numFmtId="37" fontId="24" fillId="0" borderId="297" applyBorder="0">
      <alignment horizontal="right"/>
      <protection locked="0"/>
    </xf>
    <xf numFmtId="37" fontId="85" fillId="58" borderId="389" applyBorder="0" applyProtection="0">
      <alignment vertical="center"/>
    </xf>
    <xf numFmtId="5" fontId="64" fillId="0" borderId="363" applyAlignment="0" applyProtection="0"/>
    <xf numFmtId="0" fontId="101" fillId="61" borderId="286"/>
    <xf numFmtId="0" fontId="122" fillId="0" borderId="358">
      <alignment horizontal="left" vertical="center"/>
    </xf>
    <xf numFmtId="0" fontId="112" fillId="0" borderId="286"/>
    <xf numFmtId="0" fontId="101" fillId="61" borderId="344"/>
    <xf numFmtId="0" fontId="101" fillId="61" borderId="286"/>
    <xf numFmtId="0" fontId="122" fillId="62" borderId="286">
      <alignment horizontal="center" vertical="center" wrapText="1"/>
      <protection hidden="1"/>
    </xf>
    <xf numFmtId="0" fontId="87" fillId="0" borderId="342" applyNumberFormat="0" applyFill="0" applyBorder="0" applyAlignment="0" applyProtection="0"/>
    <xf numFmtId="0" fontId="55" fillId="0" borderId="284" applyNumberFormat="0" applyFill="0" applyBorder="0" applyAlignment="0" applyProtection="0"/>
    <xf numFmtId="37" fontId="85" fillId="58" borderId="291" applyBorder="0" applyProtection="0">
      <alignment vertical="center"/>
    </xf>
    <xf numFmtId="0" fontId="48" fillId="65" borderId="277">
      <alignment horizontal="left" vertical="center" wrapText="1"/>
    </xf>
    <xf numFmtId="0" fontId="148" fillId="1" borderId="315" applyNumberFormat="0" applyFont="0" applyAlignment="0">
      <alignment horizontal="center"/>
    </xf>
    <xf numFmtId="0" fontId="87" fillId="0" borderId="391" applyNumberFormat="0" applyFill="0" applyBorder="0" applyAlignment="0" applyProtection="0"/>
    <xf numFmtId="0" fontId="55" fillId="0" borderId="413" applyNumberFormat="0" applyFill="0" applyBorder="0" applyAlignment="0" applyProtection="0"/>
    <xf numFmtId="5" fontId="64" fillId="0" borderId="292" applyAlignment="0" applyProtection="0"/>
    <xf numFmtId="0" fontId="88" fillId="0" borderId="319" applyNumberFormat="0" applyFill="0" applyBorder="0" applyAlignment="0" applyProtection="0"/>
    <xf numFmtId="5" fontId="64" fillId="0" borderId="316" applyAlignment="0" applyProtection="0"/>
    <xf numFmtId="0" fontId="54" fillId="0" borderId="402" applyNumberFormat="0" applyFill="0" applyAlignment="0" applyProtection="0"/>
    <xf numFmtId="0" fontId="48" fillId="65" borderId="309">
      <alignment horizontal="left" vertical="center" wrapText="1"/>
    </xf>
    <xf numFmtId="0" fontId="87" fillId="0" borderId="391" applyNumberFormat="0" applyFill="0" applyBorder="0" applyAlignment="0" applyProtection="0"/>
    <xf numFmtId="0" fontId="112" fillId="0" borderId="344"/>
    <xf numFmtId="0" fontId="112" fillId="0" borderId="379"/>
    <xf numFmtId="0" fontId="87" fillId="0" borderId="275" applyNumberFormat="0" applyFill="0" applyBorder="0" applyAlignment="0" applyProtection="0"/>
    <xf numFmtId="5" fontId="64" fillId="0" borderId="329" applyAlignment="0" applyProtection="0"/>
    <xf numFmtId="37" fontId="85" fillId="58" borderId="282" applyBorder="0" applyProtection="0">
      <alignment vertical="center"/>
    </xf>
    <xf numFmtId="37" fontId="85" fillId="58" borderId="269" applyBorder="0" applyProtection="0">
      <alignment vertical="center"/>
    </xf>
    <xf numFmtId="5" fontId="64" fillId="0" borderId="271" applyAlignment="0" applyProtection="0"/>
    <xf numFmtId="5" fontId="64" fillId="0" borderId="271" applyAlignment="0" applyProtection="0"/>
    <xf numFmtId="5" fontId="64" fillId="0" borderId="271" applyAlignment="0" applyProtection="0"/>
    <xf numFmtId="0" fontId="101" fillId="61" borderId="270"/>
    <xf numFmtId="0" fontId="122" fillId="62" borderId="270">
      <alignment horizontal="center" vertical="center" wrapText="1"/>
      <protection hidden="1"/>
    </xf>
    <xf numFmtId="5" fontId="64" fillId="0" borderId="363" applyAlignment="0" applyProtection="0"/>
    <xf numFmtId="0" fontId="49" fillId="0" borderId="283" applyNumberFormat="0" applyFill="0" applyAlignment="0" applyProtection="0"/>
    <xf numFmtId="5" fontId="64" fillId="0" borderId="316" applyAlignment="0" applyProtection="0"/>
    <xf numFmtId="5" fontId="64" fillId="0" borderId="316" applyAlignment="0" applyProtection="0"/>
    <xf numFmtId="37" fontId="85" fillId="58" borderId="323" applyBorder="0" applyProtection="0">
      <alignment vertical="center"/>
    </xf>
    <xf numFmtId="37" fontId="85" fillId="58" borderId="357" applyBorder="0" applyProtection="0">
      <alignment vertical="center"/>
    </xf>
    <xf numFmtId="37" fontId="85" fillId="58" borderId="346" applyBorder="0" applyProtection="0">
      <alignment vertical="center"/>
    </xf>
    <xf numFmtId="0" fontId="100" fillId="43" borderId="307" applyNumberFormat="0" applyAlignment="0" applyProtection="0"/>
    <xf numFmtId="37" fontId="85" fillId="58" borderId="291" applyBorder="0" applyProtection="0">
      <alignment vertical="center"/>
    </xf>
    <xf numFmtId="37" fontId="85" fillId="58" borderId="291" applyBorder="0" applyProtection="0">
      <alignment vertical="center"/>
    </xf>
    <xf numFmtId="5" fontId="64" fillId="0" borderId="292" applyAlignment="0" applyProtection="0"/>
    <xf numFmtId="0" fontId="55" fillId="0" borderId="342" applyNumberFormat="0" applyFill="0" applyBorder="0" applyAlignment="0" applyProtection="0"/>
    <xf numFmtId="3" fontId="54" fillId="0" borderId="259"/>
    <xf numFmtId="0" fontId="126" fillId="64" borderId="309">
      <alignment horizontal="left" vertical="center"/>
    </xf>
    <xf numFmtId="0" fontId="112" fillId="0" borderId="321"/>
    <xf numFmtId="0" fontId="54" fillId="0" borderId="413" applyNumberFormat="0" applyFill="0" applyAlignment="0" applyProtection="0"/>
    <xf numFmtId="37" fontId="24" fillId="0" borderId="259" applyBorder="0">
      <alignment horizontal="right"/>
      <protection locked="0"/>
    </xf>
    <xf numFmtId="0" fontId="122" fillId="62" borderId="259">
      <alignment horizontal="center" vertical="center" wrapText="1"/>
      <protection hidden="1"/>
    </xf>
    <xf numFmtId="5" fontId="64" fillId="0" borderId="316" applyAlignment="0" applyProtection="0"/>
    <xf numFmtId="0" fontId="112" fillId="0" borderId="286"/>
    <xf numFmtId="8" fontId="131" fillId="0" borderId="405" applyNumberFormat="0" applyFill="0" applyBorder="0" applyAlignment="0" applyProtection="0"/>
    <xf numFmtId="0" fontId="55" fillId="0" borderId="295" applyNumberFormat="0" applyFill="0" applyBorder="0" applyAlignment="0" applyProtection="0"/>
    <xf numFmtId="0" fontId="55" fillId="0" borderId="413" applyNumberFormat="0" applyFill="0" applyBorder="0" applyAlignment="0" applyProtection="0"/>
    <xf numFmtId="0" fontId="112" fillId="0" borderId="286"/>
    <xf numFmtId="2" fontId="24" fillId="36" borderId="346" applyFill="0" applyBorder="0" applyProtection="0">
      <alignment horizontal="center"/>
    </xf>
    <xf numFmtId="0" fontId="101" fillId="61" borderId="404"/>
    <xf numFmtId="0" fontId="88" fillId="0" borderId="342" applyNumberFormat="0" applyFill="0" applyBorder="0" applyAlignment="0" applyProtection="0"/>
    <xf numFmtId="0" fontId="112" fillId="0" borderId="404"/>
    <xf numFmtId="0" fontId="101" fillId="61" borderId="297"/>
    <xf numFmtId="0" fontId="48" fillId="65" borderId="261">
      <alignment horizontal="left" vertical="center" wrapText="1"/>
    </xf>
    <xf numFmtId="37" fontId="85" fillId="58" borderId="282" applyBorder="0" applyProtection="0">
      <alignment vertical="center"/>
    </xf>
    <xf numFmtId="5" fontId="64" fillId="0" borderId="329" applyAlignment="0" applyProtection="0"/>
    <xf numFmtId="8" fontId="131" fillId="0" borderId="260" applyNumberFormat="0" applyFill="0" applyBorder="0" applyAlignment="0" applyProtection="0"/>
    <xf numFmtId="0" fontId="126" fillId="64" borderId="261">
      <alignment horizontal="left" vertical="center"/>
    </xf>
    <xf numFmtId="0" fontId="112" fillId="0" borderId="279"/>
    <xf numFmtId="0" fontId="112" fillId="0" borderId="297"/>
    <xf numFmtId="0" fontId="112" fillId="0" borderId="259"/>
    <xf numFmtId="0" fontId="112" fillId="0" borderId="259"/>
    <xf numFmtId="0" fontId="101" fillId="61" borderId="286"/>
    <xf numFmtId="0" fontId="88" fillId="0" borderId="413" applyNumberFormat="0" applyFill="0" applyBorder="0" applyAlignment="0" applyProtection="0"/>
    <xf numFmtId="37" fontId="85" fillId="58" borderId="291" applyBorder="0" applyProtection="0">
      <alignment vertical="center"/>
    </xf>
    <xf numFmtId="0" fontId="101" fillId="61" borderId="259"/>
    <xf numFmtId="0" fontId="101" fillId="61" borderId="259"/>
    <xf numFmtId="0" fontId="49" fillId="0" borderId="274" applyNumberFormat="0" applyFill="0" applyAlignment="0" applyProtection="0"/>
    <xf numFmtId="177" fontId="33" fillId="0" borderId="316"/>
    <xf numFmtId="37" fontId="85" fillId="58" borderId="346" applyBorder="0" applyProtection="0">
      <alignment vertical="center"/>
    </xf>
    <xf numFmtId="218" fontId="24" fillId="0" borderId="279">
      <alignment horizontal="center" vertical="center"/>
    </xf>
    <xf numFmtId="0" fontId="87" fillId="0" borderId="306" applyNumberFormat="0" applyFill="0" applyBorder="0" applyAlignment="0" applyProtection="0"/>
    <xf numFmtId="0" fontId="112" fillId="0" borderId="344"/>
    <xf numFmtId="5" fontId="64" fillId="0" borderId="316" applyAlignment="0" applyProtection="0"/>
    <xf numFmtId="5" fontId="64" fillId="0" borderId="316" applyAlignment="0" applyProtection="0"/>
    <xf numFmtId="5" fontId="64" fillId="0" borderId="363" applyAlignment="0" applyProtection="0"/>
    <xf numFmtId="0" fontId="55" fillId="0" borderId="295" applyNumberFormat="0" applyFill="0" applyBorder="0" applyAlignment="0" applyProtection="0"/>
    <xf numFmtId="5" fontId="64" fillId="0" borderId="316" applyAlignment="0" applyProtection="0"/>
    <xf numFmtId="0" fontId="101" fillId="61" borderId="297"/>
    <xf numFmtId="37" fontId="24" fillId="0" borderId="344" applyBorder="0">
      <alignment horizontal="right"/>
      <protection locked="0"/>
    </xf>
    <xf numFmtId="5" fontId="64" fillId="0" borderId="400" applyAlignment="0" applyProtection="0"/>
    <xf numFmtId="338" fontId="24" fillId="0" borderId="361" applyBorder="0">
      <alignment horizontal="right"/>
    </xf>
    <xf numFmtId="0" fontId="101" fillId="61" borderId="344"/>
    <xf numFmtId="0" fontId="122" fillId="0" borderId="324">
      <alignment horizontal="left" vertical="center"/>
    </xf>
    <xf numFmtId="0" fontId="112" fillId="0" borderId="297"/>
    <xf numFmtId="0" fontId="87" fillId="0" borderId="319" applyNumberFormat="0" applyFill="0" applyBorder="0" applyAlignment="0" applyProtection="0"/>
    <xf numFmtId="1" fontId="54" fillId="0" borderId="292" applyNumberFormat="0" applyFont="0" applyFill="0" applyProtection="0">
      <alignment horizontal="center"/>
    </xf>
    <xf numFmtId="5" fontId="64" fillId="0" borderId="388" applyAlignment="0" applyProtection="0"/>
    <xf numFmtId="0" fontId="101" fillId="61" borderId="297"/>
    <xf numFmtId="37" fontId="85" fillId="58" borderId="312" applyBorder="0" applyProtection="0">
      <alignment vertical="center"/>
    </xf>
    <xf numFmtId="0" fontId="101" fillId="61" borderId="286"/>
    <xf numFmtId="5" fontId="64" fillId="0" borderId="316" applyAlignment="0" applyProtection="0"/>
    <xf numFmtId="0" fontId="101" fillId="61" borderId="303"/>
    <xf numFmtId="0" fontId="88" fillId="0" borderId="295" applyNumberFormat="0" applyFill="0" applyBorder="0" applyAlignment="0" applyProtection="0"/>
    <xf numFmtId="37" fontId="85" fillId="58" borderId="282" applyBorder="0" applyProtection="0">
      <alignment vertical="center"/>
    </xf>
    <xf numFmtId="0" fontId="112" fillId="0" borderId="297"/>
    <xf numFmtId="37" fontId="24" fillId="0" borderId="286" applyBorder="0">
      <alignment horizontal="right"/>
      <protection locked="0"/>
    </xf>
    <xf numFmtId="5" fontId="64" fillId="0" borderId="292" applyAlignment="0" applyProtection="0"/>
    <xf numFmtId="0" fontId="101" fillId="61" borderId="297"/>
    <xf numFmtId="5" fontId="64" fillId="0" borderId="363" applyAlignment="0" applyProtection="0"/>
    <xf numFmtId="0" fontId="101" fillId="61" borderId="404"/>
    <xf numFmtId="0" fontId="122" fillId="0" borderId="407">
      <alignment horizontal="left" vertical="center"/>
    </xf>
    <xf numFmtId="338" fontId="24" fillId="0" borderId="289" applyBorder="0">
      <alignment horizontal="right"/>
    </xf>
    <xf numFmtId="0" fontId="112" fillId="0" borderId="379"/>
    <xf numFmtId="0" fontId="147" fillId="0" borderId="290"/>
    <xf numFmtId="0" fontId="126" fillId="64" borderId="288" applyBorder="0">
      <alignment horizontal="center" vertical="center" wrapText="1"/>
    </xf>
    <xf numFmtId="5" fontId="64" fillId="0" borderId="316" applyAlignment="0" applyProtection="0"/>
    <xf numFmtId="0" fontId="112" fillId="0" borderId="286"/>
    <xf numFmtId="0" fontId="101" fillId="61" borderId="286"/>
    <xf numFmtId="5" fontId="64" fillId="0" borderId="292" applyAlignment="0" applyProtection="0"/>
    <xf numFmtId="37" fontId="85" fillId="58" borderId="291" applyBorder="0" applyProtection="0">
      <alignment vertical="center"/>
    </xf>
    <xf numFmtId="5" fontId="64" fillId="0" borderId="292" applyAlignment="0" applyProtection="0"/>
    <xf numFmtId="5" fontId="64" fillId="0" borderId="292" applyAlignment="0" applyProtection="0"/>
    <xf numFmtId="0" fontId="54" fillId="0" borderId="284" applyNumberFormat="0" applyFill="0" applyAlignment="0" applyProtection="0"/>
    <xf numFmtId="0" fontId="52" fillId="32" borderId="279"/>
    <xf numFmtId="0" fontId="126" fillId="64" borderId="278" applyBorder="0">
      <alignment horizontal="center" vertical="center" wrapText="1"/>
    </xf>
    <xf numFmtId="0" fontId="48" fillId="65" borderId="277">
      <alignment horizontal="left" vertical="center" wrapText="1"/>
    </xf>
    <xf numFmtId="177" fontId="33" fillId="0" borderId="329"/>
    <xf numFmtId="0" fontId="100" fillId="43" borderId="276" applyNumberFormat="0" applyAlignment="0" applyProtection="0"/>
    <xf numFmtId="0" fontId="55" fillId="0" borderId="331" applyNumberFormat="0" applyFill="0" applyBorder="0" applyAlignment="0" applyProtection="0"/>
    <xf numFmtId="301" fontId="94" fillId="0" borderId="292" applyFont="0" applyFill="0" applyBorder="0" applyAlignment="0" applyProtection="0">
      <alignment horizontal="center"/>
    </xf>
    <xf numFmtId="0" fontId="101" fillId="61" borderId="279"/>
    <xf numFmtId="5" fontId="64" fillId="0" borderId="329" applyAlignment="0" applyProtection="0"/>
    <xf numFmtId="37" fontId="85" fillId="58" borderId="357" applyBorder="0" applyProtection="0">
      <alignment vertical="center"/>
    </xf>
    <xf numFmtId="5" fontId="64" fillId="0" borderId="363" applyAlignment="0" applyProtection="0"/>
    <xf numFmtId="37" fontId="24" fillId="0" borderId="297" applyBorder="0">
      <alignment horizontal="right"/>
      <protection locked="0"/>
    </xf>
    <xf numFmtId="0" fontId="87" fillId="0" borderId="257" applyNumberFormat="0" applyFill="0" applyBorder="0" applyAlignment="0" applyProtection="0"/>
    <xf numFmtId="0" fontId="54" fillId="0" borderId="257" applyNumberFormat="0" applyFill="0" applyAlignment="0" applyProtection="0"/>
    <xf numFmtId="0" fontId="55"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7" fillId="0" borderId="257" applyNumberFormat="0" applyFill="0" applyBorder="0" applyAlignment="0" applyProtection="0"/>
    <xf numFmtId="37" fontId="85" fillId="58" borderId="406" applyBorder="0" applyProtection="0">
      <alignment vertical="center"/>
    </xf>
    <xf numFmtId="0" fontId="53" fillId="35" borderId="286">
      <alignment horizontal="center" vertical="center"/>
    </xf>
    <xf numFmtId="5" fontId="64" fillId="0" borderId="363" applyAlignment="0" applyProtection="0"/>
    <xf numFmtId="0" fontId="55" fillId="0" borderId="275" applyNumberFormat="0" applyFill="0" applyBorder="0" applyAlignment="0" applyProtection="0"/>
    <xf numFmtId="37" fontId="85" fillId="58" borderId="377" applyBorder="0" applyProtection="0">
      <alignment vertical="center"/>
    </xf>
    <xf numFmtId="5" fontId="64" fillId="0" borderId="388" applyAlignment="0" applyProtection="0"/>
    <xf numFmtId="37" fontId="85" fillId="58" borderId="406" applyBorder="0" applyProtection="0">
      <alignment vertical="center"/>
    </xf>
    <xf numFmtId="5" fontId="64" fillId="0" borderId="329" applyAlignment="0" applyProtection="0"/>
    <xf numFmtId="0" fontId="55" fillId="0" borderId="331" applyNumberFormat="0" applyFill="0" applyBorder="0" applyAlignment="0" applyProtection="0"/>
    <xf numFmtId="5" fontId="64" fillId="0" borderId="329" applyAlignment="0" applyProtection="0"/>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301" fontId="94" fillId="0" borderId="254" applyFont="0" applyFill="0" applyBorder="0" applyAlignment="0" applyProtection="0">
      <alignment horizontal="center"/>
    </xf>
    <xf numFmtId="301" fontId="94" fillId="0" borderId="254" applyFont="0" applyFill="0" applyBorder="0" applyAlignment="0" applyProtection="0">
      <alignment horizontal="center"/>
    </xf>
    <xf numFmtId="185" fontId="54" fillId="0" borderId="254" applyFont="0" applyFill="0" applyBorder="0" applyAlignment="0" applyProtection="0">
      <alignment horizontal="center"/>
    </xf>
    <xf numFmtId="185" fontId="54" fillId="0" borderId="254" applyFont="0" applyFill="0" applyBorder="0" applyAlignment="0" applyProtection="0">
      <alignment horizontal="center"/>
    </xf>
    <xf numFmtId="185" fontId="54" fillId="0" borderId="254" applyFont="0" applyFill="0" applyBorder="0" applyAlignment="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0" fontId="122" fillId="0" borderId="255">
      <alignment horizontal="left" vertical="center"/>
    </xf>
    <xf numFmtId="1" fontId="54" fillId="0" borderId="254" applyNumberFormat="0" applyFont="0" applyFill="0" applyProtection="0">
      <alignment horizontal="center"/>
    </xf>
    <xf numFmtId="0" fontId="112" fillId="0" borderId="404"/>
    <xf numFmtId="2" fontId="24" fillId="36" borderId="312" applyFill="0" applyBorder="0" applyProtection="0">
      <alignment horizontal="center"/>
    </xf>
    <xf numFmtId="0" fontId="88" fillId="0" borderId="306" applyNumberFormat="0" applyFill="0" applyBorder="0" applyAlignment="0" applyProtection="0"/>
    <xf numFmtId="338" fontId="24" fillId="0" borderId="251" applyBorder="0">
      <alignment horizontal="right"/>
    </xf>
    <xf numFmtId="338" fontId="24" fillId="0" borderId="251" applyBorder="0">
      <alignment horizontal="right"/>
    </xf>
    <xf numFmtId="0" fontId="122" fillId="62" borderId="233">
      <alignment horizontal="center" vertical="center" wrapText="1"/>
      <protection hidden="1"/>
    </xf>
    <xf numFmtId="0" fontId="122" fillId="62" borderId="233">
      <alignment horizontal="center" vertical="center" wrapText="1"/>
      <protection hidden="1"/>
    </xf>
    <xf numFmtId="0" fontId="148" fillId="1" borderId="255" applyNumberFormat="0" applyFont="0" applyAlignment="0">
      <alignment horizontal="center"/>
    </xf>
    <xf numFmtId="37" fontId="24" fillId="0" borderId="233" applyBorder="0">
      <alignment horizontal="right"/>
      <protection locked="0"/>
    </xf>
    <xf numFmtId="37" fontId="24" fillId="0" borderId="233" applyBorder="0">
      <alignment horizontal="right"/>
      <protection locked="0"/>
    </xf>
    <xf numFmtId="37" fontId="24" fillId="0" borderId="233" applyBorder="0">
      <alignment horizontal="right"/>
      <protection locked="0"/>
    </xf>
    <xf numFmtId="5" fontId="64" fillId="0" borderId="316" applyAlignment="0" applyProtection="0"/>
    <xf numFmtId="0" fontId="87" fillId="0" borderId="295" applyNumberFormat="0" applyFill="0" applyBorder="0" applyAlignment="0" applyProtection="0"/>
    <xf numFmtId="37" fontId="85" fillId="58" borderId="312" applyBorder="0" applyProtection="0">
      <alignment vertical="center"/>
    </xf>
    <xf numFmtId="0" fontId="53" fillId="35" borderId="303">
      <alignment horizontal="center" vertical="center"/>
    </xf>
    <xf numFmtId="0" fontId="122" fillId="0" borderId="315">
      <alignment horizontal="left" vertical="center"/>
    </xf>
    <xf numFmtId="0" fontId="54" fillId="0" borderId="306" applyNumberFormat="0" applyFill="0" applyAlignment="0" applyProtection="0"/>
    <xf numFmtId="5" fontId="64" fillId="0" borderId="388" applyAlignment="0" applyProtection="0"/>
    <xf numFmtId="37" fontId="85" fillId="58" borderId="346" applyBorder="0" applyProtection="0">
      <alignment vertical="center"/>
    </xf>
    <xf numFmtId="0" fontId="101" fillId="61" borderId="303"/>
    <xf numFmtId="0" fontId="49" fillId="0" borderId="245" applyNumberFormat="0" applyFill="0" applyAlignment="0" applyProtection="0"/>
    <xf numFmtId="0" fontId="55" fillId="0" borderId="284" applyNumberFormat="0" applyFill="0" applyBorder="0" applyAlignment="0" applyProtection="0"/>
    <xf numFmtId="0" fontId="147" fillId="0" borderId="268"/>
    <xf numFmtId="5" fontId="64" fillId="0" borderId="388" applyAlignment="0" applyProtection="0"/>
    <xf numFmtId="5" fontId="64" fillId="0" borderId="329" applyAlignment="0" applyProtection="0"/>
    <xf numFmtId="218" fontId="24" fillId="0" borderId="270">
      <alignment horizontal="center" vertical="center"/>
    </xf>
    <xf numFmtId="5" fontId="64" fillId="0" borderId="329" applyAlignment="0" applyProtection="0"/>
    <xf numFmtId="185" fontId="54" fillId="0" borderId="388" applyFont="0" applyFill="0" applyBorder="0" applyAlignment="0" applyProtection="0">
      <alignment horizontal="center"/>
    </xf>
    <xf numFmtId="0" fontId="88" fillId="0" borderId="413" applyNumberFormat="0" applyFill="0" applyBorder="0" applyAlignment="0" applyProtection="0"/>
    <xf numFmtId="0" fontId="87" fillId="0" borderId="306" applyNumberFormat="0" applyFill="0" applyBorder="0" applyAlignment="0" applyProtection="0"/>
    <xf numFmtId="1" fontId="54" fillId="0" borderId="388" applyNumberFormat="0" applyFont="0" applyFill="0" applyProtection="0">
      <alignment horizontal="center"/>
    </xf>
    <xf numFmtId="0" fontId="112" fillId="0" borderId="404"/>
    <xf numFmtId="5" fontId="64" fillId="0" borderId="316" applyAlignment="0" applyProtection="0"/>
    <xf numFmtId="0" fontId="112" fillId="0" borderId="404"/>
    <xf numFmtId="0" fontId="125" fillId="0" borderId="317" applyFill="0" applyAlignment="0" applyProtection="0">
      <protection locked="0"/>
    </xf>
    <xf numFmtId="5" fontId="64" fillId="0" borderId="292" applyAlignment="0" applyProtection="0"/>
    <xf numFmtId="5" fontId="64" fillId="0" borderId="316" applyAlignment="0" applyProtection="0"/>
    <xf numFmtId="5" fontId="64" fillId="0" borderId="329" applyAlignment="0" applyProtection="0"/>
    <xf numFmtId="37" fontId="85" fillId="58" borderId="335" applyBorder="0" applyProtection="0">
      <alignment vertical="center"/>
    </xf>
    <xf numFmtId="5" fontId="64" fillId="0" borderId="292" applyAlignment="0" applyProtection="0"/>
    <xf numFmtId="0" fontId="112" fillId="0" borderId="286"/>
    <xf numFmtId="0" fontId="87" fillId="0" borderId="284" applyNumberFormat="0" applyFill="0" applyBorder="0" applyAlignment="0" applyProtection="0"/>
    <xf numFmtId="0" fontId="49" fillId="0" borderId="412" applyNumberFormat="0" applyFill="0" applyAlignment="0" applyProtection="0"/>
    <xf numFmtId="8" fontId="131" fillId="0" borderId="308" applyNumberFormat="0" applyFill="0" applyBorder="0" applyAlignment="0" applyProtection="0"/>
    <xf numFmtId="2" fontId="24" fillId="36" borderId="346" applyFill="0" applyBorder="0" applyProtection="0">
      <alignment horizontal="center"/>
    </xf>
    <xf numFmtId="0" fontId="88" fillId="0" borderId="275" applyNumberFormat="0" applyFill="0" applyBorder="0"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185" fontId="54" fillId="0" borderId="271" applyFont="0" applyFill="0" applyBorder="0" applyAlignment="0" applyProtection="0">
      <alignment horizontal="center"/>
    </xf>
    <xf numFmtId="0" fontId="112" fillId="0" borderId="270"/>
    <xf numFmtId="301" fontId="94" fillId="0" borderId="271" applyFont="0" applyFill="0" applyBorder="0" applyAlignment="0" applyProtection="0">
      <alignment horizontal="center"/>
    </xf>
    <xf numFmtId="0" fontId="87" fillId="0" borderId="413" applyNumberFormat="0" applyFill="0" applyBorder="0" applyAlignment="0" applyProtection="0"/>
    <xf numFmtId="0" fontId="101" fillId="61" borderId="297"/>
    <xf numFmtId="0" fontId="87" fillId="0" borderId="319" applyNumberFormat="0" applyFill="0" applyBorder="0" applyAlignment="0" applyProtection="0"/>
    <xf numFmtId="0" fontId="49" fillId="0" borderId="214" applyNumberFormat="0" applyFill="0" applyAlignment="0" applyProtection="0"/>
    <xf numFmtId="0" fontId="87" fillId="0" borderId="331" applyNumberFormat="0" applyFill="0" applyBorder="0" applyAlignment="0" applyProtection="0"/>
    <xf numFmtId="0" fontId="100" fillId="43" borderId="320" applyNumberFormat="0" applyAlignment="0" applyProtection="0"/>
    <xf numFmtId="0" fontId="87" fillId="0" borderId="391" applyNumberFormat="0" applyFill="0" applyBorder="0" applyAlignment="0" applyProtection="0"/>
    <xf numFmtId="0" fontId="101" fillId="61" borderId="286"/>
    <xf numFmtId="5" fontId="64" fillId="0" borderId="316" applyAlignment="0" applyProtection="0"/>
    <xf numFmtId="8" fontId="131" fillId="0" borderId="322" applyNumberFormat="0" applyFill="0" applyBorder="0" applyAlignment="0" applyProtection="0"/>
    <xf numFmtId="5" fontId="64" fillId="0" borderId="363" applyAlignment="0" applyProtection="0"/>
    <xf numFmtId="0" fontId="148" fillId="1" borderId="293" applyNumberFormat="0" applyFont="0" applyAlignment="0">
      <alignment horizontal="center"/>
    </xf>
    <xf numFmtId="5" fontId="64" fillId="0" borderId="363" applyAlignment="0" applyProtection="0"/>
    <xf numFmtId="37" fontId="24" fillId="0" borderId="297" applyBorder="0">
      <alignment horizontal="right"/>
      <protection locked="0"/>
    </xf>
    <xf numFmtId="338" fontId="24" fillId="0" borderId="327" applyBorder="0">
      <alignment horizontal="right"/>
    </xf>
    <xf numFmtId="0" fontId="101" fillId="61" borderId="297"/>
    <xf numFmtId="0" fontId="112" fillId="0" borderId="286"/>
    <xf numFmtId="0" fontId="88" fillId="0" borderId="295" applyNumberFormat="0" applyFill="0" applyBorder="0" applyAlignment="0" applyProtection="0"/>
    <xf numFmtId="0" fontId="54" fillId="0" borderId="342" applyNumberFormat="0" applyFill="0" applyAlignment="0" applyProtection="0"/>
    <xf numFmtId="0" fontId="101" fillId="61" borderId="286"/>
    <xf numFmtId="0" fontId="126" fillId="64" borderId="288" applyBorder="0">
      <alignment horizontal="center" vertical="center" wrapText="1"/>
    </xf>
    <xf numFmtId="0" fontId="112" fillId="0" borderId="286"/>
    <xf numFmtId="0" fontId="101" fillId="61" borderId="297"/>
    <xf numFmtId="5" fontId="64" fillId="0" borderId="292" applyAlignment="0" applyProtection="0"/>
    <xf numFmtId="177" fontId="33" fillId="0" borderId="363"/>
    <xf numFmtId="5" fontId="64" fillId="0" borderId="329" applyAlignment="0" applyProtection="0"/>
    <xf numFmtId="37" fontId="85" fillId="58" borderId="346" applyBorder="0" applyProtection="0">
      <alignment vertical="center"/>
    </xf>
    <xf numFmtId="5" fontId="64" fillId="0" borderId="292" applyAlignment="0" applyProtection="0"/>
    <xf numFmtId="5" fontId="64" fillId="0" borderId="292" applyAlignment="0" applyProtection="0"/>
    <xf numFmtId="0" fontId="55" fillId="0" borderId="284" applyNumberFormat="0" applyFill="0" applyBorder="0" applyAlignment="0" applyProtection="0"/>
    <xf numFmtId="5" fontId="64" fillId="0" borderId="329" applyAlignment="0" applyProtection="0"/>
    <xf numFmtId="0" fontId="100" fillId="43" borderId="343" applyNumberFormat="0" applyAlignment="0" applyProtection="0"/>
    <xf numFmtId="0" fontId="87" fillId="0" borderId="217" applyNumberFormat="0" applyFill="0" applyBorder="0" applyAlignment="0" applyProtection="0"/>
    <xf numFmtId="0" fontId="55" fillId="0" borderId="279">
      <alignment horizontal="center"/>
    </xf>
    <xf numFmtId="0" fontId="122" fillId="62" borderId="321">
      <alignment horizontal="center" vertical="center" wrapText="1"/>
      <protection hidden="1"/>
    </xf>
    <xf numFmtId="5" fontId="64" fillId="0" borderId="329" applyAlignment="0" applyProtection="0"/>
    <xf numFmtId="1" fontId="54" fillId="0" borderId="263" applyNumberFormat="0" applyFont="0" applyFill="0" applyProtection="0">
      <alignment horizontal="center"/>
    </xf>
    <xf numFmtId="185" fontId="54" fillId="0" borderId="263" applyFont="0" applyFill="0" applyBorder="0" applyAlignment="0" applyProtection="0">
      <alignment horizontal="center"/>
    </xf>
    <xf numFmtId="0" fontId="112" fillId="0" borderId="259"/>
    <xf numFmtId="0" fontId="112" fillId="0" borderId="259"/>
    <xf numFmtId="0" fontId="112" fillId="0" borderId="259"/>
    <xf numFmtId="0" fontId="101" fillId="61" borderId="259"/>
    <xf numFmtId="0" fontId="101" fillId="61" borderId="259"/>
    <xf numFmtId="0" fontId="101" fillId="61" borderId="259"/>
    <xf numFmtId="0" fontId="101" fillId="61" borderId="259"/>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55" fillId="0" borderId="275" applyNumberFormat="0" applyFill="0" applyBorder="0" applyAlignment="0" applyProtection="0"/>
    <xf numFmtId="0" fontId="112" fillId="0" borderId="344"/>
    <xf numFmtId="37" fontId="85" fillId="58" borderId="406" applyBorder="0" applyProtection="0">
      <alignment vertical="center"/>
    </xf>
    <xf numFmtId="0" fontId="101" fillId="61" borderId="286"/>
    <xf numFmtId="0" fontId="112" fillId="0" borderId="297"/>
    <xf numFmtId="37" fontId="85" fillId="58" borderId="301" applyBorder="0" applyProtection="0">
      <alignment vertical="center"/>
    </xf>
    <xf numFmtId="0" fontId="88" fillId="0" borderId="331" applyNumberFormat="0" applyFill="0" applyBorder="0" applyAlignment="0" applyProtection="0"/>
    <xf numFmtId="37" fontId="85" fillId="58" borderId="291" applyBorder="0" applyProtection="0">
      <alignment vertical="center"/>
    </xf>
    <xf numFmtId="301" fontId="94" fillId="0" borderId="388" applyFont="0" applyFill="0" applyBorder="0" applyAlignment="0" applyProtection="0">
      <alignment horizontal="center"/>
    </xf>
    <xf numFmtId="5" fontId="64" fillId="0" borderId="363" applyAlignment="0" applyProtection="0"/>
    <xf numFmtId="1" fontId="54" fillId="0" borderId="388" applyNumberFormat="0" applyFont="0" applyFill="0" applyProtection="0">
      <alignment horizontal="center"/>
    </xf>
    <xf numFmtId="37" fontId="24" fillId="0" borderId="404" applyBorder="0">
      <alignment horizontal="right"/>
      <protection locked="0"/>
    </xf>
    <xf numFmtId="0" fontId="101" fillId="61" borderId="321"/>
    <xf numFmtId="37" fontId="85" fillId="58" borderId="335" applyBorder="0" applyProtection="0">
      <alignment vertical="center"/>
    </xf>
    <xf numFmtId="5" fontId="64" fillId="0" borderId="316" applyAlignment="0" applyProtection="0"/>
    <xf numFmtId="0" fontId="88" fillId="0" borderId="391" applyNumberFormat="0" applyFill="0" applyBorder="0" applyAlignment="0" applyProtection="0"/>
    <xf numFmtId="0" fontId="55" fillId="0" borderId="284" applyNumberFormat="0" applyFill="0" applyBorder="0" applyAlignment="0" applyProtection="0"/>
    <xf numFmtId="177" fontId="33" fillId="0" borderId="329"/>
    <xf numFmtId="5" fontId="64" fillId="0" borderId="316" applyAlignment="0" applyProtection="0"/>
    <xf numFmtId="37" fontId="85" fillId="58" borderId="301" applyBorder="0" applyProtection="0">
      <alignment vertical="center"/>
    </xf>
    <xf numFmtId="37" fontId="85" fillId="58" borderId="335" applyBorder="0" applyProtection="0">
      <alignment vertical="center"/>
    </xf>
    <xf numFmtId="0" fontId="122" fillId="62" borderId="279">
      <alignment horizontal="center" vertical="center" wrapText="1"/>
      <protection hidden="1"/>
    </xf>
    <xf numFmtId="5" fontId="64" fillId="0" borderId="316" applyAlignment="0" applyProtection="0"/>
    <xf numFmtId="0" fontId="101" fillId="61" borderId="297"/>
    <xf numFmtId="0" fontId="55" fillId="0" borderId="306" applyNumberFormat="0" applyFill="0" applyBorder="0" applyAlignment="0" applyProtection="0"/>
    <xf numFmtId="0" fontId="112" fillId="0" borderId="303"/>
    <xf numFmtId="0" fontId="112" fillId="0" borderId="286"/>
    <xf numFmtId="37" fontId="85" fillId="58" borderId="301" applyBorder="0" applyProtection="0">
      <alignment vertical="center"/>
    </xf>
    <xf numFmtId="0" fontId="55" fillId="0" borderId="284" applyNumberFormat="0" applyFill="0" applyBorder="0" applyAlignment="0" applyProtection="0"/>
    <xf numFmtId="0" fontId="112" fillId="0" borderId="286"/>
    <xf numFmtId="3" fontId="54" fillId="0" borderId="270"/>
    <xf numFmtId="37" fontId="85" fillId="58" borderId="291" applyBorder="0" applyProtection="0">
      <alignment vertical="center"/>
    </xf>
    <xf numFmtId="37" fontId="85" fillId="58" borderId="389" applyBorder="0" applyProtection="0">
      <alignment vertical="center"/>
    </xf>
    <xf numFmtId="0" fontId="101" fillId="61" borderId="286"/>
    <xf numFmtId="0" fontId="101" fillId="61" borderId="297"/>
    <xf numFmtId="0" fontId="101" fillId="61" borderId="279"/>
    <xf numFmtId="37" fontId="85" fillId="58" borderId="357" applyBorder="0" applyProtection="0">
      <alignment vertical="center"/>
    </xf>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55" fillId="0" borderId="303">
      <alignment horizontal="center"/>
    </xf>
    <xf numFmtId="37" fontId="85" fillId="58" borderId="389" applyBorder="0" applyProtection="0">
      <alignment vertical="center"/>
    </xf>
    <xf numFmtId="0" fontId="101" fillId="61" borderId="344"/>
    <xf numFmtId="2" fontId="24" fillId="36" borderId="301" applyFill="0" applyBorder="0" applyProtection="0">
      <alignment horizontal="center"/>
    </xf>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5" fontId="64" fillId="0" borderId="292" applyAlignment="0" applyProtection="0"/>
    <xf numFmtId="338" fontId="24" fillId="0" borderId="350" applyBorder="0">
      <alignment horizontal="right"/>
    </xf>
    <xf numFmtId="0" fontId="112" fillId="0" borderId="321"/>
    <xf numFmtId="0" fontId="122" fillId="62" borderId="297">
      <alignment horizontal="center" vertical="center" wrapText="1"/>
      <protection hidden="1"/>
    </xf>
    <xf numFmtId="0" fontId="112" fillId="0" borderId="286"/>
    <xf numFmtId="5" fontId="64" fillId="0" borderId="292" applyAlignment="0" applyProtection="0"/>
    <xf numFmtId="5" fontId="64" fillId="0" borderId="292" applyAlignment="0" applyProtection="0"/>
    <xf numFmtId="5" fontId="64" fillId="0" borderId="292" applyAlignment="0" applyProtection="0"/>
    <xf numFmtId="0" fontId="88" fillId="0" borderId="284" applyNumberFormat="0" applyFill="0" applyBorder="0" applyAlignment="0" applyProtection="0"/>
    <xf numFmtId="5" fontId="64" fillId="0" borderId="316" applyAlignment="0" applyProtection="0"/>
    <xf numFmtId="0" fontId="104" fillId="0" borderId="161">
      <alignment horizontal="center"/>
    </xf>
    <xf numFmtId="5" fontId="64" fillId="0" borderId="292" applyAlignment="0" applyProtection="0"/>
    <xf numFmtId="5" fontId="64" fillId="0" borderId="388" applyAlignment="0" applyProtection="0"/>
    <xf numFmtId="5" fontId="64" fillId="0" borderId="388" applyAlignment="0" applyProtection="0"/>
    <xf numFmtId="37" fontId="85" fillId="58" borderId="269" applyBorder="0" applyProtection="0">
      <alignment vertical="center"/>
    </xf>
    <xf numFmtId="5" fontId="64" fillId="0" borderId="271" applyAlignment="0" applyProtection="0"/>
    <xf numFmtId="5" fontId="64" fillId="0" borderId="271" applyAlignment="0" applyProtection="0"/>
    <xf numFmtId="0" fontId="101" fillId="61" borderId="270"/>
    <xf numFmtId="0" fontId="101" fillId="61" borderId="270"/>
    <xf numFmtId="0" fontId="112" fillId="0" borderId="270"/>
    <xf numFmtId="0" fontId="122" fillId="0" borderId="407">
      <alignment horizontal="left" vertical="center"/>
    </xf>
    <xf numFmtId="5" fontId="64" fillId="0" borderId="316" applyAlignment="0" applyProtection="0"/>
    <xf numFmtId="0" fontId="101" fillId="61" borderId="279"/>
    <xf numFmtId="0" fontId="112" fillId="0" borderId="303"/>
    <xf numFmtId="0" fontId="101" fillId="61" borderId="379"/>
    <xf numFmtId="43" fontId="1" fillId="0" borderId="0" applyFont="0" applyFill="0" applyBorder="0" applyAlignment="0" applyProtection="0"/>
    <xf numFmtId="0" fontId="55" fillId="0" borderId="295" applyNumberFormat="0" applyFill="0" applyBorder="0" applyAlignment="0" applyProtection="0"/>
    <xf numFmtId="177" fontId="33" fillId="0" borderId="388"/>
    <xf numFmtId="43" fontId="1" fillId="0" borderId="0" applyFont="0" applyFill="0" applyBorder="0" applyAlignment="0" applyProtection="0"/>
    <xf numFmtId="0" fontId="88" fillId="0" borderId="319" applyNumberFormat="0" applyFill="0" applyBorder="0" applyAlignment="0" applyProtection="0"/>
    <xf numFmtId="0" fontId="54" fillId="0" borderId="413"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5" fontId="64" fillId="0" borderId="292" applyAlignment="0" applyProtection="0"/>
    <xf numFmtId="37" fontId="85" fillId="58" borderId="346" applyBorder="0" applyProtection="0">
      <alignment vertical="center"/>
    </xf>
    <xf numFmtId="0" fontId="101" fillId="61" borderId="344"/>
    <xf numFmtId="0" fontId="112" fillId="0" borderId="286"/>
    <xf numFmtId="0" fontId="112" fillId="0" borderId="404"/>
    <xf numFmtId="37" fontId="85" fillId="58" borderId="389" applyBorder="0" applyProtection="0">
      <alignment vertical="center"/>
    </xf>
    <xf numFmtId="5" fontId="64" fillId="0" borderId="329" applyAlignment="0" applyProtection="0"/>
    <xf numFmtId="37" fontId="85" fillId="58" borderId="291" applyBorder="0" applyProtection="0">
      <alignment vertical="center"/>
    </xf>
    <xf numFmtId="5" fontId="64" fillId="0" borderId="292" applyAlignment="0" applyProtection="0"/>
    <xf numFmtId="5" fontId="64" fillId="0" borderId="388" applyAlignment="0" applyProtection="0"/>
    <xf numFmtId="0" fontId="54" fillId="0" borderId="295" applyNumberFormat="0" applyFill="0" applyAlignment="0" applyProtection="0"/>
    <xf numFmtId="37" fontId="85" fillId="58" borderId="323" applyBorder="0" applyProtection="0">
      <alignment vertical="center"/>
    </xf>
    <xf numFmtId="0" fontId="101" fillId="61" borderId="321"/>
    <xf numFmtId="0" fontId="56" fillId="36" borderId="259">
      <alignment horizontal="center"/>
    </xf>
    <xf numFmtId="4" fontId="54" fillId="0" borderId="259"/>
    <xf numFmtId="5" fontId="64" fillId="0" borderId="316" applyAlignment="0" applyProtection="0"/>
    <xf numFmtId="0" fontId="87" fillId="0" borderId="331" applyNumberFormat="0" applyFill="0" applyBorder="0" applyAlignment="0" applyProtection="0"/>
    <xf numFmtId="0" fontId="148" fillId="1" borderId="347" applyNumberFormat="0" applyFont="0" applyAlignment="0">
      <alignment horizontal="center"/>
    </xf>
    <xf numFmtId="5" fontId="64" fillId="0" borderId="388" applyAlignment="0" applyProtection="0"/>
    <xf numFmtId="37" fontId="24" fillId="0" borderId="259" applyBorder="0">
      <alignment horizontal="right"/>
      <protection locked="0"/>
    </xf>
    <xf numFmtId="0" fontId="122" fillId="62" borderId="259">
      <alignment horizontal="center" vertical="center" wrapText="1"/>
      <protection hidden="1"/>
    </xf>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297"/>
    <xf numFmtId="0" fontId="112" fillId="0" borderId="297"/>
    <xf numFmtId="0" fontId="55" fillId="0" borderId="297">
      <alignment horizontal="center"/>
    </xf>
    <xf numFmtId="0" fontId="101" fillId="61" borderId="404"/>
    <xf numFmtId="0" fontId="112" fillId="0" borderId="303"/>
    <xf numFmtId="44" fontId="1" fillId="0" borderId="0" applyFont="0" applyFill="0" applyBorder="0" applyAlignment="0" applyProtection="0"/>
    <xf numFmtId="44" fontId="1" fillId="0" borderId="0" applyFont="0" applyFill="0" applyBorder="0" applyAlignment="0" applyProtection="0"/>
    <xf numFmtId="5" fontId="64" fillId="0" borderId="363" applyAlignment="0" applyProtection="0"/>
    <xf numFmtId="5" fontId="64" fillId="0" borderId="316" applyAlignment="0" applyProtection="0"/>
    <xf numFmtId="301" fontId="94" fillId="0" borderId="363" applyFont="0" applyFill="0" applyBorder="0" applyAlignment="0" applyProtection="0">
      <alignment horizontal="center"/>
    </xf>
    <xf numFmtId="301" fontId="94" fillId="0" borderId="316" applyFont="0" applyFill="0" applyBorder="0" applyAlignment="0" applyProtection="0">
      <alignment horizontal="center"/>
    </xf>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01" fillId="61" borderId="303"/>
    <xf numFmtId="0" fontId="48" fillId="65" borderId="261">
      <alignment horizontal="left" vertical="center" wrapText="1"/>
    </xf>
    <xf numFmtId="2" fontId="24" fillId="36" borderId="406" applyFill="0" applyBorder="0" applyProtection="0">
      <alignment horizontal="center"/>
    </xf>
    <xf numFmtId="8" fontId="131" fillId="0" borderId="260" applyNumberFormat="0" applyFill="0" applyBorder="0" applyAlignment="0" applyProtection="0"/>
    <xf numFmtId="8" fontId="131" fillId="0" borderId="298" applyNumberFormat="0" applyFill="0" applyBorder="0" applyAlignment="0" applyProtection="0"/>
    <xf numFmtId="297" fontId="22" fillId="36" borderId="128" applyFont="0" applyFill="0" applyBorder="0" applyAlignment="0" applyProtection="0"/>
    <xf numFmtId="297" fontId="22" fillId="36" borderId="128" applyFont="0" applyFill="0" applyBorder="0" applyAlignment="0" applyProtection="0"/>
    <xf numFmtId="5" fontId="64" fillId="0" borderId="316" applyAlignment="0" applyProtection="0"/>
    <xf numFmtId="5" fontId="64" fillId="0" borderId="292" applyAlignment="0" applyProtection="0"/>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5" fontId="64" fillId="0" borderId="400" applyAlignment="0" applyProtection="0"/>
    <xf numFmtId="5" fontId="64" fillId="0" borderId="329" applyAlignment="0" applyProtection="0"/>
    <xf numFmtId="5" fontId="64" fillId="0" borderId="316" applyAlignment="0" applyProtection="0"/>
    <xf numFmtId="301" fontId="94" fillId="0" borderId="316" applyFont="0" applyFill="0" applyBorder="0" applyAlignment="0" applyProtection="0">
      <alignment horizontal="center"/>
    </xf>
    <xf numFmtId="0" fontId="112" fillId="0" borderId="259"/>
    <xf numFmtId="0" fontId="112" fillId="0" borderId="259"/>
    <xf numFmtId="2" fontId="24" fillId="36" borderId="357" applyFill="0" applyBorder="0" applyProtection="0">
      <alignment horizontal="center"/>
    </xf>
    <xf numFmtId="0" fontId="55" fillId="0" borderId="284" applyNumberFormat="0" applyFill="0" applyBorder="0" applyAlignment="0" applyProtection="0"/>
    <xf numFmtId="0" fontId="87" fillId="0" borderId="295" applyNumberFormat="0" applyFill="0" applyBorder="0" applyAlignment="0" applyProtection="0"/>
    <xf numFmtId="0" fontId="112" fillId="0" borderId="286"/>
    <xf numFmtId="0" fontId="101" fillId="61" borderId="344"/>
    <xf numFmtId="0" fontId="101" fillId="61" borderId="297"/>
    <xf numFmtId="5" fontId="64" fillId="0" borderId="363" applyAlignment="0" applyProtection="0"/>
    <xf numFmtId="0" fontId="101" fillId="61" borderId="259"/>
    <xf numFmtId="5" fontId="64" fillId="0" borderId="388" applyAlignment="0" applyProtection="0"/>
    <xf numFmtId="5" fontId="64" fillId="0" borderId="292" applyAlignment="0" applyProtection="0"/>
    <xf numFmtId="2" fontId="24" fillId="36" borderId="291" applyFill="0" applyBorder="0" applyProtection="0">
      <alignment horizontal="center"/>
    </xf>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37" fontId="85" fillId="58" borderId="301" applyBorder="0" applyProtection="0">
      <alignment vertical="center"/>
    </xf>
    <xf numFmtId="177" fontId="33" fillId="0" borderId="329"/>
    <xf numFmtId="0" fontId="87" fillId="0" borderId="306" applyNumberFormat="0" applyFill="0" applyBorder="0" applyAlignment="0" applyProtection="0"/>
    <xf numFmtId="0" fontId="112" fillId="0" borderId="344"/>
    <xf numFmtId="0" fontId="53" fillId="35" borderId="279">
      <alignment horizontal="center" vertic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0" fontId="122" fillId="0" borderId="347">
      <alignment horizontal="left" vertical="center"/>
    </xf>
    <xf numFmtId="0" fontId="48" fillId="65" borderId="287">
      <alignment horizontal="left" vertical="center" wrapText="1"/>
    </xf>
    <xf numFmtId="0" fontId="101" fillId="61" borderId="286"/>
    <xf numFmtId="37" fontId="24" fillId="0" borderId="321" applyBorder="0">
      <alignment horizontal="right"/>
      <protection locked="0"/>
    </xf>
    <xf numFmtId="37" fontId="85" fillId="58" borderId="312" applyBorder="0" applyProtection="0">
      <alignment vertical="center"/>
    </xf>
    <xf numFmtId="301" fontId="94" fillId="0" borderId="388" applyFont="0" applyFill="0" applyBorder="0" applyAlignment="0" applyProtection="0">
      <alignment horizontal="center"/>
    </xf>
    <xf numFmtId="5" fontId="64" fillId="0" borderId="292" applyAlignment="0" applyProtection="0"/>
    <xf numFmtId="5" fontId="64" fillId="0" borderId="400" applyAlignment="0" applyProtection="0"/>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338" fontId="24" fillId="0" borderId="350" applyBorder="0">
      <alignment horizontal="right"/>
    </xf>
    <xf numFmtId="37" fontId="85" fillId="58" borderId="301" applyBorder="0" applyProtection="0">
      <alignment vertical="center"/>
    </xf>
    <xf numFmtId="0" fontId="101" fillId="61" borderId="286"/>
    <xf numFmtId="5" fontId="64" fillId="0" borderId="388" applyAlignment="0" applyProtection="0"/>
    <xf numFmtId="37" fontId="85" fillId="58" borderId="357" applyBorder="0" applyProtection="0">
      <alignment vertical="center"/>
    </xf>
    <xf numFmtId="5" fontId="64" fillId="0" borderId="363" applyAlignment="0" applyProtection="0"/>
    <xf numFmtId="5" fontId="64" fillId="0" borderId="363" applyAlignment="0" applyProtection="0"/>
    <xf numFmtId="177" fontId="33" fillId="0" borderId="316"/>
    <xf numFmtId="338" fontId="24" fillId="0" borderId="280" applyBorder="0">
      <alignment horizontal="right"/>
    </xf>
    <xf numFmtId="37" fontId="85" fillId="58" borderId="406" applyBorder="0" applyProtection="0">
      <alignment vertical="center"/>
    </xf>
    <xf numFmtId="37" fontId="85" fillId="58" borderId="357" applyBorder="0" applyProtection="0">
      <alignmen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37" fontId="85" fillId="58" borderId="323" applyBorder="0" applyProtection="0">
      <alignment vertical="center"/>
    </xf>
    <xf numFmtId="5" fontId="64" fillId="0" borderId="400" applyAlignment="0" applyProtection="0"/>
    <xf numFmtId="5" fontId="64" fillId="0" borderId="363" applyAlignment="0" applyProtection="0"/>
    <xf numFmtId="185" fontId="54" fillId="0" borderId="316" applyFont="0" applyFill="0" applyBorder="0" applyAlignment="0" applyProtection="0">
      <alignment horizontal="center"/>
    </xf>
    <xf numFmtId="5" fontId="64" fillId="0" borderId="316" applyAlignment="0" applyProtection="0"/>
    <xf numFmtId="0" fontId="101" fillId="61" borderId="404"/>
    <xf numFmtId="0" fontId="49" fillId="0" borderId="235" applyNumberFormat="0" applyFill="0" applyAlignment="0" applyProtection="0"/>
    <xf numFmtId="0" fontId="49" fillId="0" borderId="235" applyNumberFormat="0" applyFill="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0" fontId="49" fillId="0" borderId="235" applyNumberFormat="0" applyFill="0" applyAlignment="0" applyProtection="0"/>
    <xf numFmtId="37" fontId="24" fillId="0" borderId="344" applyBorder="0">
      <alignment horizontal="right"/>
      <protection locked="0"/>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112" fillId="0" borderId="297"/>
    <xf numFmtId="0" fontId="55" fillId="0" borderId="295" applyNumberFormat="0" applyFill="0" applyBorder="0" applyAlignment="0" applyProtection="0"/>
    <xf numFmtId="37" fontId="24" fillId="0" borderId="344" applyBorder="0">
      <alignment horizontal="right"/>
      <protection locked="0"/>
    </xf>
    <xf numFmtId="5" fontId="64" fillId="0" borderId="329" applyAlignment="0" applyProtection="0"/>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5" fontId="64" fillId="0" borderId="363" applyAlignment="0" applyProtection="0"/>
    <xf numFmtId="37" fontId="85" fillId="58" borderId="389" applyBorder="0" applyProtection="0">
      <alignment vertical="center"/>
    </xf>
    <xf numFmtId="5" fontId="64" fillId="0" borderId="329" applyAlignment="0" applyProtection="0"/>
    <xf numFmtId="338" fontId="24" fillId="0" borderId="410" applyBorder="0">
      <alignment horizontal="right"/>
    </xf>
    <xf numFmtId="0" fontId="112" fillId="0" borderId="297"/>
    <xf numFmtId="37" fontId="85" fillId="58" borderId="357" applyBorder="0" applyProtection="0">
      <alignment vertical="center"/>
    </xf>
    <xf numFmtId="301" fontId="94" fillId="0" borderId="329" applyFont="0" applyFill="0" applyBorder="0" applyAlignment="0" applyProtection="0">
      <alignment horizontal="center"/>
    </xf>
    <xf numFmtId="8" fontId="131" fillId="0" borderId="345" applyNumberFormat="0" applyFill="0" applyBorder="0" applyAlignment="0" applyProtection="0"/>
    <xf numFmtId="5" fontId="64" fillId="0" borderId="292" applyAlignment="0" applyProtection="0"/>
    <xf numFmtId="2" fontId="24" fillId="36" borderId="291" applyFill="0" applyBorder="0" applyProtection="0">
      <alignment horizontal="center"/>
    </xf>
    <xf numFmtId="37" fontId="85" fillId="58" borderId="291" applyBorder="0" applyProtection="0">
      <alignment vertical="center"/>
    </xf>
    <xf numFmtId="5" fontId="64" fillId="0" borderId="316" applyAlignment="0" applyProtection="0"/>
    <xf numFmtId="0" fontId="126" fillId="64" borderId="408">
      <alignment horizontal="left" vertical="center"/>
    </xf>
    <xf numFmtId="5" fontId="64" fillId="0" borderId="316" applyAlignment="0" applyProtection="0"/>
    <xf numFmtId="0" fontId="88" fillId="0" borderId="342" applyNumberFormat="0" applyFill="0" applyBorder="0" applyAlignment="0" applyProtection="0"/>
    <xf numFmtId="0" fontId="88" fillId="0" borderId="413" applyNumberFormat="0" applyFill="0" applyBorder="0" applyAlignment="0" applyProtection="0"/>
    <xf numFmtId="218" fontId="24" fillId="0" borderId="297">
      <alignment horizontal="center" vertical="center"/>
    </xf>
    <xf numFmtId="0" fontId="101" fillId="61" borderId="303"/>
    <xf numFmtId="2" fontId="24" fillId="36" borderId="312" applyFill="0" applyBorder="0" applyProtection="0">
      <alignment horizontal="center"/>
    </xf>
    <xf numFmtId="0" fontId="101" fillId="61" borderId="297"/>
    <xf numFmtId="0" fontId="49" fillId="0" borderId="390" applyNumberFormat="0" applyFill="0" applyAlignment="0" applyProtection="0"/>
    <xf numFmtId="0" fontId="112" fillId="0" borderId="379"/>
    <xf numFmtId="37" fontId="85" fillId="58" borderId="406" applyBorder="0" applyProtection="0">
      <alignment vertical="center"/>
    </xf>
    <xf numFmtId="0" fontId="101" fillId="61" borderId="303"/>
    <xf numFmtId="0" fontId="101" fillId="61" borderId="404"/>
    <xf numFmtId="0" fontId="101" fillId="61" borderId="344"/>
    <xf numFmtId="0" fontId="112" fillId="0" borderId="379"/>
    <xf numFmtId="5" fontId="64" fillId="0" borderId="329" applyAlignment="0" applyProtection="0"/>
    <xf numFmtId="0" fontId="87" fillId="0" borderId="284" applyNumberFormat="0" applyFill="0" applyBorder="0" applyAlignment="0" applyProtection="0"/>
    <xf numFmtId="0" fontId="100" fillId="43" borderId="403" applyNumberFormat="0" applyAlignment="0" applyProtection="0"/>
    <xf numFmtId="0" fontId="1" fillId="0" borderId="0"/>
    <xf numFmtId="37" fontId="85" fillId="58" borderId="323" applyBorder="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2" fillId="32" borderId="344">
      <alignment horizontal="center"/>
    </xf>
    <xf numFmtId="0" fontId="53" fillId="35" borderId="303">
      <alignment horizontal="center" vertical="center"/>
    </xf>
    <xf numFmtId="37" fontId="24" fillId="0" borderId="321" applyBorder="0">
      <alignment horizontal="right"/>
      <protection locked="0"/>
    </xf>
    <xf numFmtId="0" fontId="112" fillId="0" borderId="404"/>
    <xf numFmtId="246" fontId="1" fillId="0" borderId="0"/>
    <xf numFmtId="0" fontId="53" fillId="35" borderId="233">
      <alignment horizontal="center" vertical="center"/>
    </xf>
    <xf numFmtId="0" fontId="52" fillId="32" borderId="233"/>
    <xf numFmtId="0" fontId="56" fillId="36" borderId="233">
      <alignment horizontal="center"/>
    </xf>
    <xf numFmtId="0" fontId="55" fillId="0" borderId="233">
      <alignment horizontal="center"/>
    </xf>
    <xf numFmtId="218" fontId="24" fillId="0" borderId="233">
      <alignment horizontal="center" vertical="center"/>
    </xf>
    <xf numFmtId="4" fontId="54" fillId="0" borderId="233"/>
    <xf numFmtId="0" fontId="1" fillId="0" borderId="0"/>
    <xf numFmtId="3" fontId="54" fillId="0" borderId="233"/>
    <xf numFmtId="0" fontId="53" fillId="35" borderId="233">
      <alignment horizontal="center" vertical="center"/>
    </xf>
    <xf numFmtId="0" fontId="52" fillId="32" borderId="233">
      <alignment horizontal="center"/>
    </xf>
    <xf numFmtId="5" fontId="64" fillId="0" borderId="400" applyAlignment="0" applyProtection="0"/>
    <xf numFmtId="5" fontId="64" fillId="0" borderId="400" applyAlignment="0" applyProtection="0"/>
    <xf numFmtId="0" fontId="101" fillId="61" borderId="404"/>
    <xf numFmtId="164" fontId="91" fillId="60" borderId="317">
      <alignment horizontal="center" vertical="center" wrapText="1"/>
    </xf>
    <xf numFmtId="0" fontId="1" fillId="0" borderId="0"/>
    <xf numFmtId="0" fontId="126" fillId="64" borderId="325">
      <alignment horizontal="left" vertical="center"/>
    </xf>
    <xf numFmtId="37" fontId="85" fillId="58" borderId="346" applyBorder="0" applyProtection="0">
      <alignment vertical="center"/>
    </xf>
    <xf numFmtId="0" fontId="101" fillId="61" borderId="321"/>
    <xf numFmtId="0" fontId="112" fillId="0" borderId="303"/>
    <xf numFmtId="0" fontId="126" fillId="64" borderId="310" applyBorder="0">
      <alignment horizontal="center" vertical="center" wrapText="1"/>
    </xf>
    <xf numFmtId="5" fontId="64" fillId="0" borderId="316" applyAlignment="0" applyProtection="0"/>
    <xf numFmtId="0" fontId="49" fillId="0" borderId="390" applyNumberFormat="0" applyFill="0" applyAlignment="0" applyProtection="0"/>
    <xf numFmtId="0" fontId="1" fillId="0" borderId="0"/>
    <xf numFmtId="0" fontId="1" fillId="0" borderId="0"/>
    <xf numFmtId="1" fontId="54" fillId="0" borderId="388" applyNumberFormat="0" applyFont="0" applyFill="0" applyProtection="0">
      <alignment horizontal="center"/>
    </xf>
    <xf numFmtId="2" fontId="24" fillId="36" borderId="406" applyFill="0" applyBorder="0" applyProtection="0">
      <alignment horizontal="center"/>
    </xf>
    <xf numFmtId="0" fontId="122" fillId="62" borderId="286">
      <alignment horizontal="center" vertical="center" wrapText="1"/>
      <protection hidden="1"/>
    </xf>
    <xf numFmtId="338" fontId="24" fillId="0" borderId="289" applyBorder="0">
      <alignment horizontal="right"/>
    </xf>
    <xf numFmtId="0" fontId="126" fillId="64" borderId="288" applyBorder="0">
      <alignment horizontal="center" vertical="center" wrapText="1"/>
    </xf>
    <xf numFmtId="2" fontId="24" fillId="36" borderId="282" applyFill="0" applyBorder="0" applyProtection="0">
      <alignment horizontal="center"/>
    </xf>
    <xf numFmtId="5" fontId="64" fillId="0" borderId="316" applyAlignment="0" applyProtection="0"/>
    <xf numFmtId="0" fontId="112" fillId="0" borderId="286"/>
    <xf numFmtId="0" fontId="112" fillId="0" borderId="286"/>
    <xf numFmtId="5" fontId="64" fillId="0" borderId="292" applyAlignment="0" applyProtection="0"/>
    <xf numFmtId="5" fontId="64" fillId="0" borderId="292" applyAlignment="0" applyProtection="0"/>
    <xf numFmtId="37" fontId="85" fillId="58" borderId="291" applyBorder="0" applyProtection="0">
      <alignment vertical="center"/>
    </xf>
    <xf numFmtId="5" fontId="64" fillId="0" borderId="292" applyAlignment="0" applyProtection="0"/>
    <xf numFmtId="5" fontId="64" fillId="0" borderId="292" applyAlignment="0" applyProtection="0"/>
    <xf numFmtId="5" fontId="64" fillId="0" borderId="292" applyAlignment="0" applyProtection="0"/>
    <xf numFmtId="177" fontId="33" fillId="0" borderId="292"/>
    <xf numFmtId="0" fontId="55" fillId="0" borderId="284" applyNumberFormat="0" applyFill="0" applyBorder="0" applyAlignment="0" applyProtection="0"/>
    <xf numFmtId="0" fontId="1" fillId="3" borderId="1" applyNumberFormat="0" applyFont="0" applyAlignment="0" applyProtection="0"/>
    <xf numFmtId="0" fontId="87" fillId="0" borderId="284" applyNumberFormat="0" applyFill="0" applyBorder="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12" fillId="0" borderId="344"/>
    <xf numFmtId="338" fontId="24" fillId="0" borderId="313" applyBorder="0">
      <alignment horizontal="right"/>
    </xf>
    <xf numFmtId="0" fontId="101" fillId="61" borderId="321"/>
    <xf numFmtId="0" fontId="112" fillId="0" borderId="344"/>
    <xf numFmtId="0" fontId="48" fillId="65" borderId="277">
      <alignment horizontal="left" vertical="center" wrapText="1"/>
    </xf>
    <xf numFmtId="0" fontId="112" fillId="0" borderId="297"/>
    <xf numFmtId="338" fontId="24" fillId="0" borderId="327" applyBorder="0">
      <alignment horizontal="right"/>
    </xf>
    <xf numFmtId="0" fontId="53" fillId="35" borderId="297">
      <alignment horizontal="center" vertical="center"/>
    </xf>
    <xf numFmtId="37" fontId="85" fillId="58" borderId="312" applyBorder="0" applyProtection="0">
      <alignment vertical="center"/>
    </xf>
    <xf numFmtId="0" fontId="125" fillId="0" borderId="317" applyFill="0" applyAlignment="0" applyProtection="0">
      <protection locked="0"/>
    </xf>
    <xf numFmtId="9" fontId="1" fillId="0" borderId="0" applyFont="0" applyFill="0" applyBorder="0" applyAlignment="0" applyProtection="0"/>
    <xf numFmtId="9" fontId="1" fillId="0" borderId="0" applyFont="0" applyFill="0" applyBorder="0" applyAlignment="0" applyProtection="0"/>
    <xf numFmtId="0" fontId="112" fillId="0" borderId="404"/>
    <xf numFmtId="37" fontId="85" fillId="58" borderId="301" applyBorder="0" applyProtection="0">
      <alignment vertical="center"/>
    </xf>
    <xf numFmtId="0" fontId="55" fillId="0" borderId="342" applyNumberFormat="0" applyFill="0" applyBorder="0" applyAlignment="0" applyProtection="0"/>
    <xf numFmtId="5" fontId="64" fillId="0" borderId="400" applyAlignment="0" applyProtection="0"/>
    <xf numFmtId="177" fontId="33" fillId="0" borderId="388"/>
    <xf numFmtId="5" fontId="64" fillId="0" borderId="388" applyAlignment="0" applyProtection="0"/>
    <xf numFmtId="0" fontId="148" fillId="1" borderId="293" applyNumberFormat="0" applyFont="0" applyAlignment="0">
      <alignment horizontal="center"/>
    </xf>
    <xf numFmtId="0" fontId="101" fillId="61" borderId="279"/>
    <xf numFmtId="0" fontId="112" fillId="0" borderId="279"/>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37" fontId="85" fillId="58" borderId="291" applyBorder="0" applyProtection="0">
      <alignment vertical="center"/>
    </xf>
    <xf numFmtId="0" fontId="112" fillId="0" borderId="344"/>
    <xf numFmtId="0" fontId="87" fillId="0" borderId="295" applyNumberFormat="0" applyFill="0" applyBorder="0" applyAlignment="0" applyProtection="0"/>
    <xf numFmtId="185" fontId="54" fillId="0" borderId="329" applyFont="0" applyFill="0" applyBorder="0" applyAlignment="0" applyProtection="0">
      <alignment horizontal="center"/>
    </xf>
    <xf numFmtId="37" fontId="85" fillId="58" borderId="323" applyBorder="0" applyProtection="0">
      <alignment vertical="center"/>
    </xf>
    <xf numFmtId="338" fontId="24" fillId="0" borderId="206" applyBorder="0">
      <alignment horizontal="right"/>
    </xf>
    <xf numFmtId="338" fontId="24" fillId="0" borderId="206" applyBorder="0">
      <alignment horizontal="right"/>
    </xf>
    <xf numFmtId="338" fontId="24" fillId="0" borderId="206" applyBorder="0">
      <alignment horizontal="right"/>
    </xf>
    <xf numFmtId="338" fontId="24" fillId="0" borderId="206" applyBorder="0">
      <alignment horizontal="right"/>
    </xf>
    <xf numFmtId="0" fontId="49" fillId="0" borderId="364" applyNumberFormat="0" applyFill="0" applyAlignment="0" applyProtection="0"/>
    <xf numFmtId="0" fontId="54" fillId="0" borderId="402" applyNumberFormat="0" applyFill="0" applyAlignment="0" applyProtection="0"/>
    <xf numFmtId="37" fontId="85" fillId="58" borderId="323" applyBorder="0" applyProtection="0">
      <alignment vertical="center"/>
    </xf>
    <xf numFmtId="0" fontId="49" fillId="0" borderId="401" applyNumberFormat="0" applyFill="0" applyAlignment="0" applyProtection="0"/>
    <xf numFmtId="0" fontId="69" fillId="0" borderId="317" applyNumberFormat="0" applyFill="0" applyAlignment="0" applyProtection="0"/>
    <xf numFmtId="0" fontId="101" fillId="61" borderId="379"/>
    <xf numFmtId="177" fontId="33" fillId="0" borderId="388"/>
    <xf numFmtId="0" fontId="101" fillId="61" borderId="344"/>
    <xf numFmtId="202" fontId="43" fillId="0" borderId="234" applyFont="0" applyFill="0" applyBorder="0" applyAlignment="0" applyProtection="0"/>
    <xf numFmtId="0" fontId="101" fillId="61" borderId="344"/>
    <xf numFmtId="37" fontId="85" fillId="58" borderId="312" applyBorder="0" applyProtection="0">
      <alignment vertical="center"/>
    </xf>
    <xf numFmtId="37" fontId="53" fillId="1" borderId="316">
      <alignment horizontal="centerContinuous" vertical="center"/>
    </xf>
    <xf numFmtId="0" fontId="122" fillId="62" borderId="303">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55" fillId="0" borderId="319" applyNumberFormat="0" applyFill="0" applyBorder="0" applyAlignment="0" applyProtection="0"/>
    <xf numFmtId="0" fontId="54" fillId="0" borderId="257" applyNumberFormat="0" applyFill="0" applyAlignment="0" applyProtection="0"/>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54" fillId="0" borderId="257" applyNumberFormat="0" applyFill="0" applyAlignment="0" applyProtection="0"/>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0" fontId="55" fillId="0" borderId="257" applyNumberFormat="0" applyFill="0" applyBorder="0" applyAlignment="0" applyProtection="0"/>
    <xf numFmtId="0" fontId="55"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0" fontId="50" fillId="0" borderId="221"/>
    <xf numFmtId="0" fontId="50" fillId="0" borderId="221"/>
    <xf numFmtId="0" fontId="101" fillId="61" borderId="404"/>
    <xf numFmtId="2" fontId="24" fillId="36" borderId="282" applyFill="0" applyBorder="0" applyProtection="0">
      <alignment horizontal="center"/>
    </xf>
    <xf numFmtId="5" fontId="64" fillId="0" borderId="316" applyAlignment="0" applyProtection="0"/>
    <xf numFmtId="0" fontId="101" fillId="61" borderId="286"/>
    <xf numFmtId="0" fontId="101" fillId="61" borderId="286"/>
    <xf numFmtId="37" fontId="85" fillId="58" borderId="406" applyBorder="0" applyProtection="0">
      <alignment vertical="center"/>
    </xf>
    <xf numFmtId="5" fontId="64" fillId="0" borderId="400" applyAlignment="0" applyProtection="0"/>
    <xf numFmtId="0" fontId="54" fillId="0" borderId="275" applyNumberFormat="0" applyFill="0" applyAlignment="0" applyProtection="0"/>
    <xf numFmtId="0" fontId="55" fillId="0" borderId="275" applyNumberFormat="0" applyFill="0" applyBorder="0" applyAlignment="0" applyProtection="0"/>
    <xf numFmtId="37" fontId="85" fillId="58" borderId="282" applyBorder="0" applyProtection="0">
      <alignment vertical="center"/>
    </xf>
    <xf numFmtId="5" fontId="64" fillId="0" borderId="316" applyAlignment="0" applyProtection="0"/>
    <xf numFmtId="37" fontId="85" fillId="58" borderId="282" applyBorder="0" applyProtection="0">
      <alignment vertical="center"/>
    </xf>
    <xf numFmtId="0" fontId="101" fillId="61" borderId="404"/>
    <xf numFmtId="5" fontId="64" fillId="0" borderId="329" applyAlignment="0" applyProtection="0"/>
    <xf numFmtId="0" fontId="88" fillId="0" borderId="331" applyNumberFormat="0" applyFill="0" applyBorder="0" applyAlignment="0" applyProtection="0"/>
    <xf numFmtId="0" fontId="112" fillId="0" borderId="379"/>
    <xf numFmtId="5" fontId="64" fillId="0" borderId="388" applyAlignment="0" applyProtection="0"/>
    <xf numFmtId="0" fontId="122" fillId="62" borderId="404">
      <alignment horizontal="center" vertical="center" wrapText="1"/>
      <protection hidden="1"/>
    </xf>
    <xf numFmtId="37" fontId="53" fillId="1" borderId="254">
      <alignment horizontal="centerContinuous" vertical="center"/>
    </xf>
    <xf numFmtId="37" fontId="53" fillId="1" borderId="254">
      <alignment horizontal="centerContinuous"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5" fontId="64" fillId="0" borderId="329"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52" fillId="32" borderId="186">
      <alignment horizontal="center"/>
    </xf>
    <xf numFmtId="0" fontId="53" fillId="35" borderId="186">
      <alignment horizontal="center" vertical="center"/>
    </xf>
    <xf numFmtId="3" fontId="54" fillId="0" borderId="186"/>
    <xf numFmtId="4" fontId="54" fillId="0" borderId="186"/>
    <xf numFmtId="218" fontId="24" fillId="0" borderId="186">
      <alignment horizontal="center" vertical="center"/>
    </xf>
    <xf numFmtId="0" fontId="55" fillId="0" borderId="186">
      <alignment horizontal="center"/>
    </xf>
    <xf numFmtId="0" fontId="56" fillId="36" borderId="186">
      <alignment horizontal="center"/>
    </xf>
    <xf numFmtId="0" fontId="52" fillId="32" borderId="186"/>
    <xf numFmtId="0" fontId="53" fillId="35" borderId="186">
      <alignment horizontal="center" vertical="center"/>
    </xf>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37" fontId="53" fillId="1" borderId="204">
      <alignment horizontal="centerContinuous" vertical="center"/>
    </xf>
    <xf numFmtId="37" fontId="53" fillId="1" borderId="204">
      <alignment horizontal="centerContinuous"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177" fontId="33" fillId="0" borderId="204"/>
    <xf numFmtId="177" fontId="33" fillId="0" borderId="204"/>
    <xf numFmtId="177" fontId="33" fillId="0" borderId="204"/>
    <xf numFmtId="177" fontId="33" fillId="0" borderId="204"/>
    <xf numFmtId="177" fontId="33" fillId="0" borderId="204"/>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46" fontId="1" fillId="0" borderId="0"/>
    <xf numFmtId="0" fontId="1" fillId="0" borderId="0"/>
    <xf numFmtId="0" fontId="1" fillId="0" borderId="0"/>
    <xf numFmtId="0" fontId="1" fillId="0" borderId="0"/>
    <xf numFmtId="0" fontId="1" fillId="0" borderId="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338" fontId="24" fillId="0" borderId="206" applyBorder="0">
      <alignment horizontal="right"/>
    </xf>
    <xf numFmtId="338" fontId="24" fillId="0" borderId="206" applyBorder="0">
      <alignment horizontal="right"/>
    </xf>
    <xf numFmtId="338" fontId="24" fillId="0" borderId="206" applyBorder="0">
      <alignment horizontal="right"/>
    </xf>
    <xf numFmtId="338" fontId="24" fillId="0" borderId="206" applyBorder="0">
      <alignment horizontal="right"/>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0" fontId="1" fillId="0" borderId="0"/>
    <xf numFmtId="0" fontId="101" fillId="61" borderId="404"/>
    <xf numFmtId="0" fontId="112" fillId="0" borderId="379"/>
    <xf numFmtId="0" fontId="101" fillId="61" borderId="297"/>
    <xf numFmtId="0" fontId="112" fillId="0" borderId="297"/>
    <xf numFmtId="0" fontId="122" fillId="62" borderId="297">
      <alignment horizontal="center" vertical="center" wrapText="1"/>
      <protection hidden="1"/>
    </xf>
    <xf numFmtId="5" fontId="64" fillId="0" borderId="329" applyAlignment="0" applyProtection="0"/>
    <xf numFmtId="0" fontId="100" fillId="43" borderId="276" applyNumberFormat="0" applyAlignment="0" applyProtection="0"/>
    <xf numFmtId="0" fontId="112" fillId="0" borderId="286"/>
    <xf numFmtId="0" fontId="112" fillId="0" borderId="303"/>
    <xf numFmtId="0" fontId="101" fillId="61" borderId="404"/>
    <xf numFmtId="185" fontId="54" fillId="0" borderId="292" applyFont="0" applyFill="0" applyBorder="0" applyAlignment="0" applyProtection="0">
      <alignment horizontal="center"/>
    </xf>
    <xf numFmtId="0" fontId="112" fillId="0" borderId="279"/>
    <xf numFmtId="0" fontId="101" fillId="61" borderId="279"/>
    <xf numFmtId="0" fontId="101" fillId="61" borderId="279"/>
    <xf numFmtId="5" fontId="64" fillId="0" borderId="292" applyAlignment="0" applyProtection="0"/>
    <xf numFmtId="5" fontId="64" fillId="0" borderId="292" applyAlignment="0" applyProtection="0"/>
    <xf numFmtId="0" fontId="88" fillId="0" borderId="342" applyNumberFormat="0" applyFill="0" applyBorder="0" applyAlignment="0" applyProtection="0"/>
    <xf numFmtId="37" fontId="85" fillId="58" borderId="312" applyBorder="0" applyProtection="0">
      <alignment vertical="center"/>
    </xf>
    <xf numFmtId="5" fontId="64" fillId="0" borderId="316" applyAlignment="0" applyProtection="0"/>
    <xf numFmtId="0" fontId="101" fillId="61" borderId="297"/>
    <xf numFmtId="0" fontId="112" fillId="0" borderId="297"/>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249" fontId="28" fillId="0" borderId="232" applyBorder="0"/>
    <xf numFmtId="0" fontId="122" fillId="62" borderId="379">
      <alignment horizontal="center" vertical="center" wrapText="1"/>
      <protection hidden="1"/>
    </xf>
    <xf numFmtId="5" fontId="64" fillId="0" borderId="363" applyAlignment="0" applyProtection="0"/>
    <xf numFmtId="37" fontId="85" fillId="58" borderId="389" applyBorder="0" applyProtection="0">
      <alignment vertical="center"/>
    </xf>
    <xf numFmtId="0" fontId="59" fillId="0" borderId="215" applyNumberFormat="0" applyFill="0" applyProtection="0">
      <alignment horizontal="center"/>
    </xf>
    <xf numFmtId="0" fontId="24" fillId="0" borderId="221" applyNumberFormat="0" applyFont="0" applyFill="0" applyAlignment="0" applyProtection="0"/>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5" fontId="64" fillId="0" borderId="363" applyAlignment="0" applyProtection="0"/>
    <xf numFmtId="5" fontId="64" fillId="0" borderId="363" applyAlignment="0" applyProtection="0"/>
    <xf numFmtId="0" fontId="112" fillId="0" borderId="379"/>
    <xf numFmtId="0" fontId="126" fillId="64" borderId="288" applyBorder="0">
      <alignment horizontal="center" vertical="center" wrapText="1"/>
    </xf>
    <xf numFmtId="5" fontId="64" fillId="0" borderId="316" applyAlignment="0" applyProtection="0"/>
    <xf numFmtId="0" fontId="101" fillId="61" borderId="286"/>
    <xf numFmtId="0" fontId="101" fillId="61" borderId="321"/>
    <xf numFmtId="5" fontId="64" fillId="0" borderId="329" applyAlignment="0" applyProtection="0"/>
    <xf numFmtId="0" fontId="112" fillId="0" borderId="286"/>
    <xf numFmtId="5" fontId="64" fillId="0" borderId="329" applyAlignment="0" applyProtection="0"/>
    <xf numFmtId="0" fontId="227" fillId="0" borderId="222" applyNumberFormat="0" applyFill="0" applyAlignment="0" applyProtection="0"/>
    <xf numFmtId="0" fontId="33" fillId="0" borderId="204" applyFont="0" applyFill="0" applyBorder="0" applyAlignment="0" applyProtection="0">
      <alignment horizontal="right"/>
    </xf>
    <xf numFmtId="0" fontId="1" fillId="0" borderId="0"/>
    <xf numFmtId="0" fontId="100" fillId="43" borderId="320" applyNumberFormat="0"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49" fillId="0" borderId="223" applyNumberFormat="0" applyFill="0" applyAlignment="0" applyProtection="0"/>
    <xf numFmtId="0" fontId="49" fillId="0" borderId="223" applyNumberFormat="0" applyFill="0" applyAlignment="0" applyProtection="0"/>
    <xf numFmtId="0" fontId="49" fillId="0" borderId="223" applyNumberFormat="0" applyFill="0" applyAlignment="0" applyProtection="0"/>
    <xf numFmtId="0" fontId="49" fillId="0" borderId="223" applyNumberFormat="0" applyFill="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37" fontId="53" fillId="1" borderId="204">
      <alignment horizontal="centerContinuous" vertical="center"/>
    </xf>
    <xf numFmtId="37" fontId="53" fillId="1" borderId="204">
      <alignment horizontal="centerContinuous"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177" fontId="33" fillId="0" borderId="204"/>
    <xf numFmtId="177" fontId="33" fillId="0" borderId="204"/>
    <xf numFmtId="177" fontId="33" fillId="0" borderId="204"/>
    <xf numFmtId="177" fontId="33" fillId="0" borderId="204"/>
    <xf numFmtId="177" fontId="33" fillId="0" borderId="204"/>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0" fontId="100" fillId="43" borderId="225" applyNumberFormat="0" applyAlignment="0" applyProtection="0"/>
    <xf numFmtId="0" fontId="100" fillId="43" borderId="225" applyNumberFormat="0" applyAlignment="0" applyProtection="0"/>
    <xf numFmtId="0" fontId="100" fillId="43" borderId="225" applyNumberFormat="0" applyAlignment="0" applyProtection="0"/>
    <xf numFmtId="0" fontId="100" fillId="43" borderId="225" applyNumberFormat="0" applyAlignment="0" applyProtection="0"/>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46" fontId="1" fillId="0" borderId="0"/>
    <xf numFmtId="0" fontId="1" fillId="0" borderId="0"/>
    <xf numFmtId="0" fontId="1" fillId="0" borderId="0"/>
    <xf numFmtId="0" fontId="1" fillId="0" borderId="0"/>
    <xf numFmtId="0" fontId="1" fillId="0" borderId="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338" fontId="24" fillId="0" borderId="228" applyBorder="0">
      <alignment horizontal="right"/>
    </xf>
    <xf numFmtId="338" fontId="24" fillId="0" borderId="228" applyBorder="0">
      <alignment horizontal="right"/>
    </xf>
    <xf numFmtId="338" fontId="24" fillId="0" borderId="228" applyBorder="0">
      <alignment horizontal="right"/>
    </xf>
    <xf numFmtId="338" fontId="24" fillId="0" borderId="228" applyBorder="0">
      <alignment horizontal="right"/>
    </xf>
    <xf numFmtId="0" fontId="147" fillId="0" borderId="229"/>
    <xf numFmtId="0" fontId="147" fillId="0" borderId="229"/>
    <xf numFmtId="0" fontId="147" fillId="0" borderId="229"/>
    <xf numFmtId="0" fontId="147" fillId="0" borderId="229"/>
    <xf numFmtId="0" fontId="147" fillId="0" borderId="229"/>
    <xf numFmtId="0" fontId="147" fillId="0" borderId="229"/>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1" fontId="54" fillId="0" borderId="363" applyNumberFormat="0" applyFont="0" applyFill="0" applyProtection="0">
      <alignment horizontal="center"/>
    </xf>
    <xf numFmtId="0" fontId="148" fillId="1" borderId="304" applyNumberFormat="0" applyFont="0" applyAlignment="0">
      <alignment horizontal="center"/>
    </xf>
    <xf numFmtId="0" fontId="126" fillId="64" borderId="249">
      <alignment horizontal="left" vertical="center"/>
    </xf>
    <xf numFmtId="43" fontId="1" fillId="0" borderId="0" applyFont="0" applyFill="0" applyBorder="0" applyAlignment="0" applyProtection="0"/>
    <xf numFmtId="43" fontId="1" fillId="0" borderId="0" applyFont="0" applyFill="0" applyBorder="0" applyAlignment="0" applyProtection="0"/>
    <xf numFmtId="0" fontId="112" fillId="0" borderId="321"/>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5" fontId="64" fillId="0" borderId="316" applyAlignment="0" applyProtection="0"/>
    <xf numFmtId="37" fontId="85" fillId="58" borderId="301" applyBorder="0" applyProtection="0">
      <alignment vertical="center"/>
    </xf>
    <xf numFmtId="0" fontId="1" fillId="0" borderId="0"/>
    <xf numFmtId="0" fontId="1" fillId="0" borderId="0"/>
    <xf numFmtId="0" fontId="1" fillId="0" borderId="0"/>
    <xf numFmtId="0" fontId="1" fillId="0" borderId="0"/>
    <xf numFmtId="0" fontId="126" fillId="64" borderId="278" applyBorder="0">
      <alignment horizontal="center" vertical="center" wrapText="1"/>
    </xf>
    <xf numFmtId="0" fontId="88"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0" fontId="1" fillId="0" borderId="0"/>
    <xf numFmtId="0" fontId="101" fillId="61" borderId="344"/>
    <xf numFmtId="0" fontId="1" fillId="0" borderId="0"/>
    <xf numFmtId="44" fontId="1" fillId="0" borderId="0" applyFont="0" applyFill="0" applyBorder="0" applyAlignment="0" applyProtection="0"/>
    <xf numFmtId="0" fontId="112" fillId="0" borderId="259"/>
    <xf numFmtId="5" fontId="64" fillId="0" borderId="316" applyAlignment="0" applyProtection="0"/>
    <xf numFmtId="177" fontId="33" fillId="0" borderId="388"/>
    <xf numFmtId="0" fontId="49" fillId="0" borderId="235" applyNumberFormat="0" applyFill="0" applyAlignment="0" applyProtection="0"/>
    <xf numFmtId="0" fontId="112" fillId="0" borderId="286"/>
    <xf numFmtId="37" fontId="85" fillId="58" borderId="357" applyBorder="0" applyProtection="0">
      <alignment vertical="center"/>
    </xf>
    <xf numFmtId="0" fontId="48" fillId="65" borderId="287">
      <alignment horizontal="left" vertical="center" wrapText="1"/>
    </xf>
    <xf numFmtId="0" fontId="101" fillId="61" borderId="286"/>
    <xf numFmtId="5" fontId="64" fillId="0" borderId="292" applyAlignment="0" applyProtection="0"/>
    <xf numFmtId="5" fontId="64" fillId="0" borderId="292" applyAlignment="0" applyProtection="0"/>
    <xf numFmtId="37" fontId="85" fillId="58" borderId="389" applyBorder="0" applyProtection="0">
      <alignment vertical="center"/>
    </xf>
    <xf numFmtId="37" fontId="85" fillId="58" borderId="312" applyBorder="0" applyProtection="0">
      <alignment vertical="center"/>
    </xf>
    <xf numFmtId="9" fontId="1" fillId="0" borderId="0" applyFont="0" applyFill="0" applyBorder="0" applyAlignment="0" applyProtection="0"/>
    <xf numFmtId="338" fontId="24" fillId="0" borderId="302" applyBorder="0">
      <alignment horizontal="right"/>
    </xf>
    <xf numFmtId="5" fontId="64" fillId="0" borderId="329" applyAlignment="0" applyProtection="0"/>
    <xf numFmtId="0" fontId="64" fillId="0" borderId="161">
      <alignment horizontal="center"/>
    </xf>
    <xf numFmtId="0" fontId="55" fillId="0" borderId="257" applyNumberFormat="0" applyFill="0" applyBorder="0" applyAlignment="0" applyProtection="0"/>
    <xf numFmtId="5" fontId="64" fillId="0" borderId="388" applyAlignment="0" applyProtection="0"/>
    <xf numFmtId="0" fontId="270"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42"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0" fontId="108" fillId="0" borderId="0"/>
    <xf numFmtId="42" fontId="108" fillId="0" borderId="0" applyFont="0" applyFill="0" applyBorder="0" applyAlignment="0" applyProtection="0"/>
    <xf numFmtId="41" fontId="108" fillId="0" borderId="0" applyFont="0" applyFill="0" applyBorder="0" applyAlignment="0" applyProtection="0"/>
    <xf numFmtId="44" fontId="108"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4" fontId="1" fillId="0" borderId="0" applyFont="0" applyFill="0" applyBorder="0" applyAlignment="0" applyProtection="0"/>
    <xf numFmtId="0" fontId="177" fillId="0" borderId="0"/>
    <xf numFmtId="0" fontId="1" fillId="0" borderId="0"/>
    <xf numFmtId="0" fontId="1" fillId="0" borderId="0"/>
    <xf numFmtId="0" fontId="1" fillId="0" borderId="0"/>
    <xf numFmtId="0" fontId="24" fillId="0" borderId="0"/>
    <xf numFmtId="0" fontId="113" fillId="0" borderId="0" applyAlignment="0"/>
    <xf numFmtId="0" fontId="300" fillId="99" borderId="0" applyAlignment="0"/>
    <xf numFmtId="0" fontId="304" fillId="0" borderId="0" applyAlignment="0"/>
    <xf numFmtId="0" fontId="298" fillId="84" borderId="0" applyAlignment="0"/>
    <xf numFmtId="0" fontId="44" fillId="85" borderId="0" applyAlignment="0"/>
    <xf numFmtId="0" fontId="297" fillId="0" borderId="0" applyAlignment="0"/>
    <xf numFmtId="0" fontId="299" fillId="100" borderId="0" applyAlignment="0"/>
    <xf numFmtId="0" fontId="302" fillId="0" borderId="0" applyAlignment="0"/>
    <xf numFmtId="0" fontId="301" fillId="0" borderId="0" applyAlignment="0"/>
    <xf numFmtId="0" fontId="277" fillId="0" borderId="0" applyAlignment="0"/>
    <xf numFmtId="0" fontId="303" fillId="0" borderId="0" applyAlignment="0"/>
    <xf numFmtId="0" fontId="24" fillId="0" borderId="0"/>
    <xf numFmtId="0" fontId="296" fillId="0" borderId="0" applyAlignment="0"/>
    <xf numFmtId="0" fontId="277" fillId="0" borderId="0" applyAlignment="0">
      <alignment wrapText="1"/>
    </xf>
    <xf numFmtId="0" fontId="24" fillId="0" borderId="0"/>
    <xf numFmtId="0" fontId="54" fillId="0" borderId="236" applyNumberFormat="0" applyFill="0" applyAlignment="0" applyProtection="0"/>
    <xf numFmtId="0" fontId="54" fillId="0" borderId="236" applyNumberFormat="0" applyFill="0" applyAlignment="0" applyProtection="0"/>
    <xf numFmtId="5" fontId="64" fillId="0" borderId="329" applyAlignment="0" applyProtection="0"/>
    <xf numFmtId="0" fontId="88" fillId="0" borderId="295" applyNumberFormat="0" applyFill="0" applyBorder="0" applyAlignment="0" applyProtection="0"/>
    <xf numFmtId="37" fontId="85" fillId="58" borderId="357" applyBorder="0" applyProtection="0">
      <alignment vertical="center"/>
    </xf>
    <xf numFmtId="0" fontId="122" fillId="62" borderId="379">
      <alignment horizontal="center" vertical="center" wrapText="1"/>
      <protection hidden="1"/>
    </xf>
    <xf numFmtId="5" fontId="64" fillId="0" borderId="400" applyAlignment="0" applyProtection="0"/>
    <xf numFmtId="37" fontId="85" fillId="58" borderId="291" applyBorder="0" applyProtection="0">
      <alignment vertical="center"/>
    </xf>
    <xf numFmtId="37" fontId="85" fillId="58" borderId="291" applyBorder="0" applyProtection="0">
      <alignment vertical="center"/>
    </xf>
    <xf numFmtId="37" fontId="85" fillId="58" borderId="291" applyBorder="0" applyProtection="0">
      <alignment vertical="center"/>
    </xf>
    <xf numFmtId="37" fontId="85" fillId="58" borderId="291" applyBorder="0" applyProtection="0">
      <alignment vertical="center"/>
    </xf>
    <xf numFmtId="0" fontId="87" fillId="0" borderId="284" applyNumberFormat="0" applyFill="0" applyBorder="0" applyAlignment="0" applyProtection="0"/>
    <xf numFmtId="0" fontId="88" fillId="0" borderId="284" applyNumberFormat="0" applyFill="0" applyBorder="0" applyAlignment="0" applyProtection="0"/>
    <xf numFmtId="0" fontId="55" fillId="0" borderId="284" applyNumberFormat="0" applyFill="0" applyBorder="0" applyAlignment="0" applyProtection="0"/>
    <xf numFmtId="0" fontId="54" fillId="0" borderId="284" applyNumberFormat="0" applyFill="0" applyAlignment="0" applyProtection="0"/>
    <xf numFmtId="0" fontId="54" fillId="0" borderId="284" applyNumberFormat="0" applyFill="0"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01" fillId="61" borderId="286"/>
    <xf numFmtId="0" fontId="112" fillId="0" borderId="286"/>
    <xf numFmtId="0" fontId="112" fillId="0" borderId="286"/>
    <xf numFmtId="2" fontId="24" fillId="36" borderId="282" applyFill="0" applyBorder="0" applyProtection="0">
      <alignment horizontal="center"/>
    </xf>
    <xf numFmtId="0" fontId="126" fillId="64" borderId="287">
      <alignment horizontal="left" vertical="center"/>
    </xf>
    <xf numFmtId="0" fontId="48" fillId="65" borderId="287">
      <alignment horizontal="left" vertical="center" wrapText="1"/>
    </xf>
    <xf numFmtId="0" fontId="122" fillId="62" borderId="286">
      <alignment horizontal="center" vertical="center" wrapText="1"/>
      <protection hidden="1"/>
    </xf>
    <xf numFmtId="0" fontId="88" fillId="0" borderId="306" applyNumberFormat="0" applyFill="0" applyBorder="0" applyAlignment="0" applyProtection="0"/>
    <xf numFmtId="0" fontId="126" fillId="64" borderId="287">
      <alignment horizontal="left" vertical="center"/>
    </xf>
    <xf numFmtId="338" fontId="24" fillId="0" borderId="289" applyBorder="0">
      <alignment horizontal="right"/>
    </xf>
    <xf numFmtId="37" fontId="85" fillId="58" borderId="301" applyBorder="0" applyProtection="0">
      <alignment vertical="center"/>
    </xf>
    <xf numFmtId="5" fontId="64" fillId="0" borderId="329" applyAlignment="0" applyProtection="0"/>
    <xf numFmtId="0" fontId="112" fillId="0" borderId="303"/>
    <xf numFmtId="5" fontId="64" fillId="0" borderId="329" applyAlignment="0" applyProtection="0"/>
    <xf numFmtId="5" fontId="64" fillId="0" borderId="329" applyAlignment="0" applyProtection="0"/>
    <xf numFmtId="0" fontId="101" fillId="61" borderId="344"/>
    <xf numFmtId="5" fontId="64" fillId="0" borderId="316" applyAlignment="0" applyProtection="0"/>
    <xf numFmtId="177" fontId="33" fillId="0" borderId="363"/>
    <xf numFmtId="0" fontId="53" fillId="35" borderId="344">
      <alignment horizontal="center" vertical="center"/>
    </xf>
    <xf numFmtId="338" fontId="24" fillId="0" borderId="302" applyBorder="0">
      <alignment horizontal="right"/>
    </xf>
    <xf numFmtId="0" fontId="100" fillId="43" borderId="403" applyNumberFormat="0" applyAlignment="0" applyProtection="0"/>
    <xf numFmtId="0" fontId="112" fillId="0" borderId="297"/>
    <xf numFmtId="5" fontId="64" fillId="0" borderId="363" applyAlignment="0" applyProtection="0"/>
    <xf numFmtId="37" fontId="85" fillId="58" borderId="282" applyBorder="0" applyProtection="0">
      <alignment vertical="center"/>
    </xf>
    <xf numFmtId="5" fontId="64" fillId="0" borderId="292" applyAlignment="0" applyProtection="0"/>
    <xf numFmtId="0" fontId="101" fillId="61" borderId="279"/>
    <xf numFmtId="0" fontId="122" fillId="62" borderId="279">
      <alignment horizontal="center" vertical="center" wrapText="1"/>
      <protection hidden="1"/>
    </xf>
    <xf numFmtId="0" fontId="87" fillId="0" borderId="331" applyNumberFormat="0" applyFill="0" applyBorder="0" applyAlignment="0" applyProtection="0"/>
    <xf numFmtId="37" fontId="85" fillId="58" borderId="323" applyBorder="0" applyProtection="0">
      <alignment vertical="center"/>
    </xf>
    <xf numFmtId="5" fontId="64" fillId="0" borderId="388" applyAlignment="0" applyProtection="0"/>
    <xf numFmtId="0" fontId="112" fillId="0" borderId="344"/>
    <xf numFmtId="5" fontId="64" fillId="0" borderId="316" applyAlignment="0" applyProtection="0"/>
    <xf numFmtId="338" fontId="24" fillId="0" borderId="289" applyBorder="0">
      <alignment horizontal="right"/>
    </xf>
    <xf numFmtId="0" fontId="122" fillId="62" borderId="286">
      <alignment horizontal="center" vertical="center" wrapText="1"/>
      <protection hidden="1"/>
    </xf>
    <xf numFmtId="0" fontId="148" fillId="1" borderId="407" applyNumberFormat="0" applyFont="0" applyAlignment="0">
      <alignment horizontal="center"/>
    </xf>
    <xf numFmtId="37" fontId="85" fillId="58" borderId="282" applyBorder="0" applyProtection="0">
      <alignment vertical="center"/>
    </xf>
    <xf numFmtId="0" fontId="88" fillId="0" borderId="284" applyNumberFormat="0" applyFill="0" applyBorder="0" applyAlignment="0" applyProtection="0"/>
    <xf numFmtId="37" fontId="85" fillId="58" borderId="282" applyBorder="0" applyProtection="0">
      <alignment vertical="center"/>
    </xf>
    <xf numFmtId="5" fontId="64" fillId="0" borderId="400" applyAlignment="0" applyProtection="0"/>
    <xf numFmtId="0" fontId="54" fillId="0" borderId="319" applyNumberFormat="0" applyFill="0" applyAlignment="0" applyProtection="0"/>
    <xf numFmtId="0" fontId="88" fillId="0" borderId="317" applyNumberFormat="0" applyFill="0" applyProtection="0">
      <alignment horizontal="right" wrapText="1"/>
    </xf>
    <xf numFmtId="0" fontId="88" fillId="0" borderId="306" applyNumberFormat="0" applyFill="0" applyBorder="0" applyAlignment="0" applyProtection="0"/>
    <xf numFmtId="0" fontId="147" fillId="0" borderId="411"/>
    <xf numFmtId="0" fontId="48" fillId="65" borderId="408">
      <alignment horizontal="left" vertical="center" wrapText="1"/>
    </xf>
    <xf numFmtId="177" fontId="33" fillId="0" borderId="292"/>
    <xf numFmtId="247" fontId="28" fillId="0" borderId="317"/>
    <xf numFmtId="0" fontId="55" fillId="0" borderId="379">
      <alignment horizontal="center"/>
    </xf>
    <xf numFmtId="0" fontId="54" fillId="0" borderId="402" applyNumberFormat="0" applyFill="0" applyAlignment="0" applyProtection="0"/>
    <xf numFmtId="0" fontId="112" fillId="0" borderId="344"/>
    <xf numFmtId="5" fontId="64" fillId="0" borderId="400" applyAlignment="0" applyProtection="0"/>
    <xf numFmtId="0" fontId="88" fillId="0" borderId="295" applyNumberFormat="0" applyFill="0" applyBorder="0" applyAlignment="0" applyProtection="0"/>
    <xf numFmtId="37" fontId="85" fillId="58" borderId="312" applyBorder="0" applyProtection="0">
      <alignment vertical="center"/>
    </xf>
    <xf numFmtId="185" fontId="54" fillId="0" borderId="388" applyFont="0" applyFill="0" applyBorder="0" applyAlignment="0" applyProtection="0">
      <alignment horizontal="center"/>
    </xf>
    <xf numFmtId="0" fontId="112" fillId="0" borderId="303"/>
    <xf numFmtId="0" fontId="148" fillId="1" borderId="358" applyNumberFormat="0" applyFont="0" applyAlignment="0">
      <alignment horizontal="center"/>
    </xf>
    <xf numFmtId="0" fontId="53" fillId="35" borderId="297">
      <alignment horizontal="center" vertical="center"/>
    </xf>
    <xf numFmtId="0" fontId="88" fillId="0" borderId="295" applyNumberFormat="0" applyFill="0" applyBorder="0" applyAlignment="0" applyProtection="0"/>
    <xf numFmtId="0" fontId="147" fillId="0" borderId="328"/>
    <xf numFmtId="261" fontId="69" fillId="0" borderId="234" applyNumberFormat="0" applyFill="0" applyAlignment="0" applyProtection="0">
      <alignment horizontal="center"/>
    </xf>
    <xf numFmtId="338" fontId="24" fillId="0" borderId="350" applyBorder="0">
      <alignment horizontal="right"/>
    </xf>
    <xf numFmtId="261" fontId="69" fillId="0" borderId="234" applyNumberFormat="0" applyFill="0" applyAlignment="0" applyProtection="0">
      <alignment horizontal="center"/>
    </xf>
    <xf numFmtId="261" fontId="69" fillId="0" borderId="234" applyNumberFormat="0" applyFill="0" applyAlignment="0" applyProtection="0">
      <alignment horizontal="center"/>
    </xf>
    <xf numFmtId="261" fontId="69" fillId="0" borderId="234" applyNumberFormat="0" applyFill="0" applyAlignment="0" applyProtection="0">
      <alignment horizontal="center"/>
    </xf>
    <xf numFmtId="0" fontId="112" fillId="0" borderId="297"/>
    <xf numFmtId="5" fontId="64" fillId="0" borderId="388" applyAlignment="0" applyProtection="0"/>
    <xf numFmtId="0" fontId="101" fillId="61" borderId="297"/>
    <xf numFmtId="0" fontId="101" fillId="61" borderId="286"/>
    <xf numFmtId="5" fontId="64" fillId="0" borderId="316" applyAlignment="0" applyProtection="0"/>
    <xf numFmtId="5" fontId="64" fillId="0" borderId="388" applyAlignment="0" applyProtection="0"/>
    <xf numFmtId="0" fontId="55" fillId="0" borderId="284" applyNumberFormat="0" applyFill="0" applyBorder="0" applyAlignment="0" applyProtection="0"/>
    <xf numFmtId="37" fontId="85" fillId="58" borderId="301" applyBorder="0" applyProtection="0">
      <alignment vertical="center"/>
    </xf>
    <xf numFmtId="0" fontId="87" fillId="0" borderId="295" applyNumberFormat="0" applyFill="0" applyBorder="0" applyAlignment="0" applyProtection="0"/>
    <xf numFmtId="37" fontId="85" fillId="58" borderId="323" applyBorder="0" applyProtection="0">
      <alignment vertical="center"/>
    </xf>
    <xf numFmtId="0" fontId="112" fillId="0" borderId="297"/>
    <xf numFmtId="5" fontId="64" fillId="0" borderId="316" applyAlignment="0" applyProtection="0"/>
    <xf numFmtId="0" fontId="112" fillId="0" borderId="321"/>
    <xf numFmtId="5" fontId="64" fillId="0" borderId="292" applyAlignment="0" applyProtection="0"/>
    <xf numFmtId="0" fontId="55" fillId="0" borderId="391" applyNumberFormat="0" applyFill="0" applyBorder="0" applyAlignment="0" applyProtection="0"/>
    <xf numFmtId="37" fontId="85" fillId="58" borderId="406" applyBorder="0" applyProtection="0">
      <alignment vertical="center"/>
    </xf>
    <xf numFmtId="0" fontId="101" fillId="61" borderId="286"/>
    <xf numFmtId="0" fontId="112" fillId="0" borderId="286"/>
    <xf numFmtId="5" fontId="64" fillId="0" borderId="329" applyAlignment="0" applyProtection="0"/>
    <xf numFmtId="5" fontId="64" fillId="0" borderId="316" applyAlignment="0" applyProtection="0"/>
    <xf numFmtId="37" fontId="24" fillId="0" borderId="286" applyBorder="0">
      <alignment horizontal="right"/>
      <protection locked="0"/>
    </xf>
    <xf numFmtId="0" fontId="101" fillId="61" borderId="344"/>
    <xf numFmtId="0" fontId="100" fillId="43" borderId="258" applyNumberFormat="0" applyAlignment="0" applyProtection="0"/>
    <xf numFmtId="0" fontId="100" fillId="43" borderId="258" applyNumberFormat="0" applyAlignment="0" applyProtection="0"/>
    <xf numFmtId="0" fontId="55" fillId="0" borderId="331" applyNumberFormat="0" applyFill="0" applyBorder="0" applyAlignment="0" applyProtection="0"/>
    <xf numFmtId="2" fontId="24" fillId="36" borderId="357" applyFill="0" applyBorder="0" applyProtection="0">
      <alignment horizontal="center"/>
    </xf>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338" fontId="24" fillId="0" borderId="289" applyBorder="0">
      <alignment horizontal="right"/>
    </xf>
    <xf numFmtId="0" fontId="33" fillId="0" borderId="292" applyFont="0" applyFill="0" applyBorder="0" applyAlignment="0" applyProtection="0">
      <alignment horizontal="right"/>
    </xf>
    <xf numFmtId="0" fontId="101" fillId="61" borderId="379"/>
    <xf numFmtId="177" fontId="33" fillId="0" borderId="316"/>
    <xf numFmtId="5" fontId="64" fillId="0" borderId="400" applyAlignment="0" applyProtection="0"/>
    <xf numFmtId="0" fontId="101" fillId="61" borderId="404"/>
    <xf numFmtId="185" fontId="54" fillId="0" borderId="329" applyFont="0" applyFill="0" applyBorder="0" applyAlignment="0" applyProtection="0">
      <alignment horizontal="center"/>
    </xf>
    <xf numFmtId="0" fontId="112" fillId="0" borderId="321"/>
    <xf numFmtId="37" fontId="24" fillId="0" borderId="286" applyBorder="0">
      <alignment horizontal="right"/>
      <protection locked="0"/>
    </xf>
    <xf numFmtId="0" fontId="55" fillId="0" borderId="402" applyNumberFormat="0" applyFill="0" applyBorder="0" applyAlignment="0" applyProtection="0"/>
    <xf numFmtId="0" fontId="87" fillId="0" borderId="284" applyNumberFormat="0" applyFill="0" applyBorder="0" applyAlignment="0" applyProtection="0"/>
    <xf numFmtId="5" fontId="64" fillId="0" borderId="388" applyAlignment="0" applyProtection="0"/>
    <xf numFmtId="185" fontId="54" fillId="0" borderId="363" applyFont="0" applyFill="0" applyBorder="0" applyAlignment="0" applyProtection="0">
      <alignment horizontal="center"/>
    </xf>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5" fontId="64" fillId="0" borderId="363" applyAlignment="0" applyProtection="0"/>
    <xf numFmtId="2" fontId="24" fillId="36" borderId="282" applyFill="0" applyBorder="0" applyProtection="0">
      <alignment horizontal="center"/>
    </xf>
    <xf numFmtId="0" fontId="126" fillId="64" borderId="299">
      <alignment horizontal="left" vertical="center"/>
    </xf>
    <xf numFmtId="37" fontId="85" fillId="58" borderId="357" applyBorder="0" applyProtection="0">
      <alignment vertical="center"/>
    </xf>
    <xf numFmtId="5" fontId="64" fillId="0" borderId="388" applyAlignment="0" applyProtection="0"/>
    <xf numFmtId="5" fontId="64" fillId="0" borderId="316" applyAlignment="0" applyProtection="0"/>
    <xf numFmtId="0" fontId="101" fillId="61" borderId="297"/>
    <xf numFmtId="0" fontId="101" fillId="61" borderId="404"/>
    <xf numFmtId="37" fontId="24" fillId="0" borderId="404" applyBorder="0">
      <alignment horizontal="right"/>
      <protection locked="0"/>
    </xf>
    <xf numFmtId="0" fontId="88" fillId="0" borderId="295" applyNumberFormat="0" applyFill="0" applyBorder="0" applyAlignment="0" applyProtection="0"/>
    <xf numFmtId="5" fontId="64" fillId="0" borderId="292" applyAlignment="0" applyProtection="0"/>
    <xf numFmtId="5" fontId="64" fillId="0" borderId="292" applyAlignment="0" applyProtection="0"/>
    <xf numFmtId="301" fontId="94" fillId="0" borderId="292" applyFont="0" applyFill="0" applyBorder="0" applyAlignment="0" applyProtection="0">
      <alignment horizontal="center"/>
    </xf>
    <xf numFmtId="37" fontId="24" fillId="0" borderId="279" applyBorder="0">
      <alignment horizontal="right"/>
      <protection locked="0"/>
    </xf>
    <xf numFmtId="8" fontId="131" fillId="0" borderId="345" applyNumberFormat="0" applyFill="0" applyBorder="0" applyAlignment="0" applyProtection="0"/>
    <xf numFmtId="338" fontId="24" fillId="0" borderId="361" applyBorder="0">
      <alignment horizontal="right"/>
    </xf>
    <xf numFmtId="5" fontId="64" fillId="0" borderId="388" applyAlignment="0" applyProtection="0"/>
    <xf numFmtId="0" fontId="101" fillId="61" borderId="297"/>
    <xf numFmtId="0" fontId="87" fillId="0" borderId="342" applyNumberFormat="0" applyFill="0" applyBorder="0" applyAlignment="0" applyProtection="0"/>
    <xf numFmtId="5" fontId="64" fillId="0" borderId="400" applyAlignment="0" applyProtection="0"/>
    <xf numFmtId="0" fontId="126" fillId="64" borderId="261">
      <alignment horizontal="left" vertical="center"/>
    </xf>
    <xf numFmtId="0" fontId="126" fillId="64" borderId="261">
      <alignment horizontal="left" vertical="center"/>
    </xf>
    <xf numFmtId="0" fontId="126" fillId="64" borderId="261">
      <alignment horizontal="left" vertical="center"/>
    </xf>
    <xf numFmtId="0" fontId="126" fillId="64" borderId="262" applyBorder="0">
      <alignment horizontal="center" vertical="center" wrapText="1"/>
    </xf>
    <xf numFmtId="0" fontId="126" fillId="64" borderId="262" applyBorder="0">
      <alignment horizontal="center" vertical="center" wrapText="1"/>
    </xf>
    <xf numFmtId="0" fontId="126" fillId="64" borderId="262" applyBorder="0">
      <alignment horizontal="center" vertical="center" wrapText="1"/>
    </xf>
    <xf numFmtId="2" fontId="24" fillId="36" borderId="377" applyFill="0" applyBorder="0" applyProtection="0">
      <alignment horizontal="center"/>
    </xf>
    <xf numFmtId="5" fontId="64" fillId="0" borderId="316" applyAlignment="0" applyProtection="0"/>
    <xf numFmtId="0" fontId="112" fillId="0" borderId="404"/>
    <xf numFmtId="8" fontId="131" fillId="0" borderId="260" applyNumberFormat="0" applyFill="0" applyBorder="0" applyAlignment="0" applyProtection="0"/>
    <xf numFmtId="8" fontId="131" fillId="0" borderId="260" applyNumberFormat="0" applyFill="0" applyBorder="0" applyAlignment="0" applyProtection="0"/>
    <xf numFmtId="0" fontId="48" fillId="65" borderId="261">
      <alignment horizontal="left" vertical="center" wrapText="1"/>
    </xf>
    <xf numFmtId="0" fontId="48" fillId="65" borderId="261">
      <alignment horizontal="left" vertical="center" wrapText="1"/>
    </xf>
    <xf numFmtId="0" fontId="87" fillId="0" borderId="331" applyNumberFormat="0" applyFill="0" applyBorder="0" applyAlignment="0" applyProtection="0"/>
    <xf numFmtId="5" fontId="64" fillId="0" borderId="316" applyAlignment="0" applyProtection="0"/>
    <xf numFmtId="0" fontId="112" fillId="0" borderId="303"/>
    <xf numFmtId="0" fontId="147" fillId="0" borderId="328"/>
    <xf numFmtId="5" fontId="64" fillId="0" borderId="316" applyAlignment="0" applyProtection="0"/>
    <xf numFmtId="0" fontId="87" fillId="0" borderId="306" applyNumberFormat="0" applyFill="0" applyBorder="0" applyAlignment="0" applyProtection="0"/>
    <xf numFmtId="0" fontId="122" fillId="62" borderId="297">
      <alignment horizontal="center" vertical="center" wrapText="1"/>
      <protection hidden="1"/>
    </xf>
    <xf numFmtId="0" fontId="112" fillId="0" borderId="297"/>
    <xf numFmtId="0" fontId="101" fillId="61" borderId="297"/>
    <xf numFmtId="0" fontId="55" fillId="0" borderId="391" applyNumberFormat="0" applyFill="0" applyBorder="0" applyAlignment="0" applyProtection="0"/>
    <xf numFmtId="5" fontId="64" fillId="0" borderId="329" applyAlignment="0" applyProtection="0"/>
    <xf numFmtId="0" fontId="122" fillId="0" borderId="358">
      <alignment horizontal="left" vertical="center"/>
    </xf>
    <xf numFmtId="0" fontId="112" fillId="0" borderId="286"/>
    <xf numFmtId="37" fontId="53" fillId="1" borderId="363">
      <alignment horizontal="centerContinuous" vertical="center"/>
    </xf>
    <xf numFmtId="177" fontId="33" fillId="0" borderId="388"/>
    <xf numFmtId="0" fontId="101" fillId="61" borderId="344"/>
    <xf numFmtId="0" fontId="122" fillId="62" borderId="286">
      <alignment horizontal="center" vertical="center" wrapText="1"/>
      <protection hidden="1"/>
    </xf>
    <xf numFmtId="37" fontId="85" fillId="58" borderId="323" applyBorder="0" applyProtection="0">
      <alignment vertical="center"/>
    </xf>
    <xf numFmtId="0" fontId="101" fillId="61" borderId="379"/>
    <xf numFmtId="1" fontId="54" fillId="0" borderId="317" applyNumberFormat="0" applyFont="0" applyFill="0" applyAlignment="0" applyProtection="0">
      <alignment horizontal="center"/>
    </xf>
    <xf numFmtId="0" fontId="88" fillId="0" borderId="402" applyNumberFormat="0" applyFill="0" applyBorder="0" applyAlignment="0" applyProtection="0"/>
    <xf numFmtId="37" fontId="53" fillId="1" borderId="400">
      <alignment horizontal="centerContinuous" vertical="center"/>
    </xf>
    <xf numFmtId="0" fontId="87" fillId="0" borderId="295" applyNumberFormat="0" applyFill="0" applyBorder="0" applyAlignment="0" applyProtection="0"/>
    <xf numFmtId="0" fontId="122" fillId="0" borderId="324">
      <alignment horizontal="left" vertical="center"/>
    </xf>
    <xf numFmtId="37" fontId="85" fillId="58" borderId="389" applyBorder="0" applyProtection="0">
      <alignment vertical="center"/>
    </xf>
    <xf numFmtId="5" fontId="64" fillId="0" borderId="388" applyAlignment="0" applyProtection="0"/>
    <xf numFmtId="5" fontId="64" fillId="0" borderId="363" applyAlignment="0" applyProtection="0"/>
    <xf numFmtId="0" fontId="112" fillId="0" borderId="344"/>
    <xf numFmtId="5" fontId="64" fillId="0" borderId="329" applyAlignment="0" applyProtection="0"/>
    <xf numFmtId="5" fontId="64" fillId="0" borderId="363" applyAlignment="0" applyProtection="0"/>
    <xf numFmtId="5" fontId="64" fillId="0" borderId="388" applyAlignment="0" applyProtection="0"/>
    <xf numFmtId="0" fontId="112" fillId="0" borderId="297"/>
    <xf numFmtId="37" fontId="85" fillId="58" borderId="406" applyBorder="0" applyProtection="0">
      <alignment vertical="center"/>
    </xf>
    <xf numFmtId="0" fontId="122" fillId="62" borderId="259">
      <alignment horizontal="center" vertical="center" wrapText="1"/>
      <protection hidden="1"/>
    </xf>
    <xf numFmtId="0" fontId="122" fillId="62" borderId="259">
      <alignment horizontal="center" vertical="center" wrapText="1"/>
      <protection hidden="1"/>
    </xf>
    <xf numFmtId="0" fontId="100" fillId="43" borderId="296" applyNumberFormat="0" applyAlignment="0" applyProtection="0"/>
    <xf numFmtId="37" fontId="24" fillId="0" borderId="259" applyBorder="0">
      <alignment horizontal="right"/>
      <protection locked="0"/>
    </xf>
    <xf numFmtId="0" fontId="87" fillId="0" borderId="413" applyNumberFormat="0" applyFill="0" applyBorder="0" applyAlignment="0" applyProtection="0"/>
    <xf numFmtId="5" fontId="64" fillId="0" borderId="329" applyAlignment="0" applyProtection="0"/>
    <xf numFmtId="5" fontId="64" fillId="0" borderId="329" applyAlignment="0" applyProtection="0"/>
    <xf numFmtId="301" fontId="94" fillId="0" borderId="316" applyFont="0" applyFill="0" applyBorder="0" applyAlignment="0" applyProtection="0">
      <alignment horizontal="center"/>
    </xf>
    <xf numFmtId="5" fontId="64" fillId="0" borderId="316" applyAlignment="0" applyProtection="0"/>
    <xf numFmtId="5" fontId="64" fillId="0" borderId="316" applyAlignment="0" applyProtection="0"/>
    <xf numFmtId="37" fontId="85" fillId="58" borderId="312" applyBorder="0" applyProtection="0">
      <alignment vertical="center"/>
    </xf>
    <xf numFmtId="5" fontId="64" fillId="0" borderId="400" applyAlignment="0" applyProtection="0"/>
    <xf numFmtId="0" fontId="87" fillId="0" borderId="295" applyNumberFormat="0" applyFill="0" applyBorder="0" applyAlignment="0" applyProtection="0"/>
    <xf numFmtId="0" fontId="52" fillId="32" borderId="259">
      <alignment horizontal="center"/>
    </xf>
    <xf numFmtId="0" fontId="55" fillId="0" borderId="259">
      <alignment horizontal="center"/>
    </xf>
    <xf numFmtId="0" fontId="53" fillId="35" borderId="259">
      <alignment horizontal="center" vertical="center"/>
    </xf>
    <xf numFmtId="5" fontId="64" fillId="0" borderId="316" applyAlignment="0" applyProtection="0"/>
    <xf numFmtId="1" fontId="54" fillId="0" borderId="363" applyNumberFormat="0" applyFont="0" applyFill="0" applyProtection="0">
      <alignment horizontal="center"/>
    </xf>
    <xf numFmtId="0" fontId="101" fillId="61" borderId="379"/>
    <xf numFmtId="37" fontId="85" fillId="58" borderId="406" applyBorder="0" applyProtection="0">
      <alignment vertical="center"/>
    </xf>
    <xf numFmtId="0" fontId="126" fillId="64" borderId="278" applyBorder="0">
      <alignment horizontal="center" vertical="center" wrapText="1"/>
    </xf>
    <xf numFmtId="0" fontId="101" fillId="61" borderId="286"/>
    <xf numFmtId="37" fontId="85" fillId="58" borderId="377" applyBorder="0" applyProtection="0">
      <alignment vertical="center"/>
    </xf>
    <xf numFmtId="1" fontId="54" fillId="0" borderId="363" applyNumberFormat="0" applyFont="0" applyFill="0" applyProtection="0">
      <alignment horizontal="center"/>
    </xf>
    <xf numFmtId="5" fontId="64" fillId="0" borderId="292" applyAlignment="0" applyProtection="0"/>
    <xf numFmtId="0" fontId="88" fillId="0" borderId="284" applyNumberFormat="0" applyFill="0" applyBorder="0" applyAlignment="0" applyProtection="0"/>
    <xf numFmtId="5" fontId="64" fillId="0" borderId="292" applyAlignment="0" applyProtection="0"/>
    <xf numFmtId="5" fontId="64" fillId="0" borderId="292" applyAlignment="0" applyProtection="0"/>
    <xf numFmtId="0" fontId="101" fillId="61" borderId="286"/>
    <xf numFmtId="0" fontId="112" fillId="0" borderId="286"/>
    <xf numFmtId="37" fontId="85" fillId="58" borderId="301" applyBorder="0" applyProtection="0">
      <alignment vertical="center"/>
    </xf>
    <xf numFmtId="5" fontId="64" fillId="0" borderId="400" applyAlignment="0" applyProtection="0"/>
    <xf numFmtId="2" fontId="24" fillId="36" borderId="282" applyFill="0" applyBorder="0" applyProtection="0">
      <alignment horizontal="center"/>
    </xf>
    <xf numFmtId="0" fontId="49" fillId="0" borderId="294" applyNumberFormat="0" applyFill="0" applyAlignment="0" applyProtection="0"/>
    <xf numFmtId="0" fontId="126" fillId="64" borderId="375">
      <alignment horizontal="left" vertical="center"/>
    </xf>
    <xf numFmtId="0" fontId="101" fillId="61" borderId="303"/>
    <xf numFmtId="0" fontId="112" fillId="0" borderId="303"/>
    <xf numFmtId="5" fontId="64" fillId="0" borderId="292" applyAlignment="0" applyProtection="0"/>
    <xf numFmtId="0" fontId="112" fillId="0" borderId="279"/>
    <xf numFmtId="0" fontId="101" fillId="61" borderId="404"/>
    <xf numFmtId="5" fontId="64" fillId="0" borderId="400" applyAlignment="0" applyProtection="0"/>
    <xf numFmtId="185" fontId="54" fillId="0" borderId="363" applyFont="0" applyFill="0" applyBorder="0" applyAlignment="0" applyProtection="0">
      <alignment horizontal="center"/>
    </xf>
    <xf numFmtId="0" fontId="112" fillId="0" borderId="379"/>
    <xf numFmtId="5" fontId="64" fillId="0" borderId="363" applyAlignment="0" applyProtection="0"/>
    <xf numFmtId="0" fontId="122" fillId="62" borderId="286">
      <alignment horizontal="center" vertical="center" wrapText="1"/>
      <protection hidden="1"/>
    </xf>
    <xf numFmtId="0" fontId="112" fillId="0" borderId="379"/>
    <xf numFmtId="0" fontId="101" fillId="61" borderId="321"/>
    <xf numFmtId="177" fontId="33" fillId="0" borderId="363"/>
    <xf numFmtId="5" fontId="64" fillId="0" borderId="292" applyAlignment="0" applyProtection="0"/>
    <xf numFmtId="0" fontId="122" fillId="62" borderId="279">
      <alignment horizontal="center" vertical="center" wrapText="1"/>
      <protection hidden="1"/>
    </xf>
    <xf numFmtId="37" fontId="85" fillId="58" borderId="406" applyBorder="0" applyProtection="0">
      <alignment vertical="center"/>
    </xf>
    <xf numFmtId="0" fontId="148" fillId="1" borderId="347" applyNumberFormat="0" applyFont="0" applyAlignment="0">
      <alignment horizontal="center"/>
    </xf>
    <xf numFmtId="37" fontId="85" fillId="58" borderId="282" applyBorder="0" applyProtection="0">
      <alignment vertical="center"/>
    </xf>
    <xf numFmtId="0" fontId="54" fillId="0" borderId="342" applyNumberFormat="0" applyFill="0" applyAlignment="0" applyProtection="0"/>
    <xf numFmtId="37" fontId="85" fillId="58" borderId="301" applyBorder="0" applyProtection="0">
      <alignment vertical="center"/>
    </xf>
    <xf numFmtId="5" fontId="64" fillId="0" borderId="363" applyAlignment="0" applyProtection="0"/>
    <xf numFmtId="37" fontId="85" fillId="58" borderId="282" applyBorder="0" applyProtection="0">
      <alignment vertical="center"/>
    </xf>
    <xf numFmtId="0" fontId="122" fillId="0" borderId="380">
      <alignment horizontal="left" vertical="center"/>
    </xf>
    <xf numFmtId="5" fontId="64" fillId="0" borderId="292" applyAlignment="0" applyProtection="0"/>
    <xf numFmtId="0" fontId="112" fillId="0" borderId="286"/>
    <xf numFmtId="37" fontId="85" fillId="58" borderId="282" applyBorder="0" applyProtection="0">
      <alignment vertical="center"/>
    </xf>
    <xf numFmtId="37" fontId="24" fillId="0" borderId="404" applyBorder="0">
      <alignment horizontal="right"/>
      <protection locked="0"/>
    </xf>
    <xf numFmtId="301" fontId="94" fillId="0" borderId="363" applyFont="0" applyFill="0" applyBorder="0" applyAlignment="0" applyProtection="0">
      <alignment horizontal="center"/>
    </xf>
    <xf numFmtId="37" fontId="85" fillId="58" borderId="301" applyBorder="0" applyProtection="0">
      <alignment vertical="center"/>
    </xf>
    <xf numFmtId="5" fontId="64" fillId="0" borderId="329" applyAlignment="0" applyProtection="0"/>
    <xf numFmtId="37" fontId="85" fillId="58" borderId="291" applyBorder="0" applyProtection="0">
      <alignment vertical="center"/>
    </xf>
    <xf numFmtId="0" fontId="87" fillId="0" borderId="295" applyNumberFormat="0" applyFill="0" applyBorder="0" applyAlignment="0" applyProtection="0"/>
    <xf numFmtId="3" fontId="54" fillId="0" borderId="286"/>
    <xf numFmtId="5" fontId="64" fillId="0" borderId="292" applyAlignment="0" applyProtection="0"/>
    <xf numFmtId="0" fontId="112" fillId="0" borderId="279"/>
    <xf numFmtId="5" fontId="64" fillId="0" borderId="388" applyAlignment="0" applyProtection="0"/>
    <xf numFmtId="5" fontId="64" fillId="0" borderId="316" applyAlignment="0" applyProtection="0"/>
    <xf numFmtId="5" fontId="64" fillId="0" borderId="363" applyAlignment="0" applyProtection="0"/>
    <xf numFmtId="164" fontId="91" fillId="60" borderId="317">
      <alignment horizontal="center" vertical="center" wrapText="1"/>
    </xf>
    <xf numFmtId="0" fontId="87" fillId="0" borderId="413" applyNumberFormat="0" applyFill="0" applyBorder="0" applyAlignment="0" applyProtection="0"/>
    <xf numFmtId="0" fontId="101" fillId="61" borderId="344"/>
    <xf numFmtId="0" fontId="122" fillId="62" borderId="404">
      <alignment horizontal="center" vertical="center" wrapText="1"/>
      <protection hidden="1"/>
    </xf>
    <xf numFmtId="0" fontId="101" fillId="61" borderId="286"/>
    <xf numFmtId="37" fontId="24" fillId="0" borderId="303" applyBorder="0">
      <alignment horizontal="right"/>
      <protection locked="0"/>
    </xf>
    <xf numFmtId="0" fontId="112" fillId="0" borderId="344"/>
    <xf numFmtId="5" fontId="64" fillId="0" borderId="400" applyAlignment="0" applyProtection="0"/>
    <xf numFmtId="37" fontId="85" fillId="58" borderId="301" applyBorder="0" applyProtection="0">
      <alignment vertical="center"/>
    </xf>
    <xf numFmtId="5" fontId="64" fillId="0" borderId="316" applyAlignment="0" applyProtection="0"/>
    <xf numFmtId="5" fontId="64" fillId="0" borderId="329" applyAlignment="0" applyProtection="0"/>
    <xf numFmtId="37" fontId="24" fillId="0" borderId="270" applyBorder="0">
      <alignment horizontal="right"/>
      <protection locked="0"/>
    </xf>
    <xf numFmtId="0" fontId="122" fillId="62" borderId="270">
      <alignment horizontal="center" vertical="center" wrapText="1"/>
      <protection hidden="1"/>
    </xf>
    <xf numFmtId="338" fontId="24" fillId="0" borderId="267" applyBorder="0">
      <alignment horizontal="right"/>
    </xf>
    <xf numFmtId="0" fontId="122" fillId="0" borderId="272">
      <alignment horizontal="left" vertical="center"/>
    </xf>
    <xf numFmtId="185" fontId="54" fillId="0" borderId="271" applyFont="0" applyFill="0" applyBorder="0" applyAlignment="0" applyProtection="0">
      <alignment horizontal="center"/>
    </xf>
    <xf numFmtId="2" fontId="24" fillId="36" borderId="269" applyFill="0" applyBorder="0" applyProtection="0">
      <alignment horizontal="center"/>
    </xf>
    <xf numFmtId="185" fontId="54" fillId="0" borderId="271" applyFont="0" applyFill="0" applyBorder="0" applyAlignment="0" applyProtection="0">
      <alignment horizontal="center"/>
    </xf>
    <xf numFmtId="301" fontId="94" fillId="0" borderId="271" applyFont="0" applyFill="0" applyBorder="0" applyAlignment="0" applyProtection="0">
      <alignment horizontal="center"/>
    </xf>
    <xf numFmtId="301" fontId="94" fillId="0" borderId="271" applyFont="0" applyFill="0" applyBorder="0" applyAlignment="0" applyProtection="0">
      <alignment horizontal="center"/>
    </xf>
    <xf numFmtId="0" fontId="112" fillId="0" borderId="270"/>
    <xf numFmtId="0" fontId="101" fillId="61" borderId="270"/>
    <xf numFmtId="0" fontId="112" fillId="0" borderId="270"/>
    <xf numFmtId="0" fontId="101" fillId="61" borderId="270"/>
    <xf numFmtId="0" fontId="101" fillId="61"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53" fillId="1" borderId="271">
      <alignment horizontal="centerContinuous" vertical="center"/>
    </xf>
    <xf numFmtId="338" fontId="24" fillId="0" borderId="327" applyBorder="0">
      <alignment horizontal="right"/>
    </xf>
    <xf numFmtId="301" fontId="94" fillId="0" borderId="363" applyFont="0" applyFill="0" applyBorder="0" applyAlignment="0" applyProtection="0">
      <alignment horizontal="center"/>
    </xf>
    <xf numFmtId="0" fontId="87" fillId="0" borderId="284" applyNumberFormat="0" applyFill="0" applyBorder="0" applyAlignment="0" applyProtection="0"/>
    <xf numFmtId="5" fontId="64" fillId="0" borderId="316" applyAlignment="0" applyProtection="0"/>
    <xf numFmtId="5" fontId="64" fillId="0" borderId="316" applyAlignment="0" applyProtection="0"/>
    <xf numFmtId="0" fontId="88" fillId="0" borderId="275" applyNumberFormat="0" applyFill="0" applyBorder="0" applyAlignment="0" applyProtection="0"/>
    <xf numFmtId="37" fontId="85" fillId="58" borderId="406" applyBorder="0" applyProtection="0">
      <alignment vertical="center"/>
    </xf>
    <xf numFmtId="0" fontId="87" fillId="0" borderId="275" applyNumberFormat="0" applyFill="0" applyBorder="0" applyAlignment="0" applyProtection="0"/>
    <xf numFmtId="0" fontId="101" fillId="61" borderId="404"/>
    <xf numFmtId="0" fontId="101" fillId="61" borderId="404"/>
    <xf numFmtId="37" fontId="85" fillId="58" borderId="406" applyBorder="0" applyProtection="0">
      <alignment vertical="center"/>
    </xf>
    <xf numFmtId="37" fontId="85" fillId="58" borderId="301" applyBorder="0" applyProtection="0">
      <alignment vertical="center"/>
    </xf>
    <xf numFmtId="0" fontId="49" fillId="0" borderId="352" applyNumberFormat="0" applyFill="0" applyAlignment="0" applyProtection="0"/>
    <xf numFmtId="0" fontId="112" fillId="0" borderId="303"/>
    <xf numFmtId="218" fontId="24" fillId="0" borderId="379">
      <alignment horizontal="center" vertical="center"/>
    </xf>
    <xf numFmtId="37" fontId="53" fillId="1" borderId="316">
      <alignment horizontal="centerContinuous" vertical="center"/>
    </xf>
    <xf numFmtId="0" fontId="112" fillId="0" borderId="297"/>
    <xf numFmtId="0" fontId="122" fillId="62" borderId="404">
      <alignment horizontal="center" vertical="center" wrapText="1"/>
      <protection hidden="1"/>
    </xf>
    <xf numFmtId="0" fontId="112" fillId="0" borderId="321"/>
    <xf numFmtId="5" fontId="64" fillId="0" borderId="292" applyAlignment="0" applyProtection="0"/>
    <xf numFmtId="5" fontId="64" fillId="0" borderId="292" applyAlignment="0" applyProtection="0"/>
    <xf numFmtId="0" fontId="101" fillId="61" borderId="279"/>
    <xf numFmtId="0" fontId="147" fillId="0" borderId="411"/>
    <xf numFmtId="5" fontId="64" fillId="0" borderId="388" applyAlignment="0" applyProtection="0"/>
    <xf numFmtId="5" fontId="64" fillId="0" borderId="363" applyAlignment="0" applyProtection="0"/>
    <xf numFmtId="0" fontId="56" fillId="36" borderId="379">
      <alignment horizontal="center"/>
    </xf>
    <xf numFmtId="338" fontId="24" fillId="0" borderId="302" applyBorder="0">
      <alignment horizontal="right"/>
    </xf>
    <xf numFmtId="0" fontId="147" fillId="0" borderId="328"/>
    <xf numFmtId="5" fontId="64" fillId="0" borderId="329" applyAlignment="0" applyProtection="0"/>
    <xf numFmtId="177" fontId="33" fillId="0" borderId="292"/>
    <xf numFmtId="37" fontId="85" fillId="58" borderId="291" applyBorder="0" applyProtection="0">
      <alignment vertical="center"/>
    </xf>
    <xf numFmtId="0" fontId="55" fillId="0" borderId="284" applyNumberFormat="0" applyFill="0" applyBorder="0" applyAlignment="0" applyProtection="0"/>
    <xf numFmtId="0" fontId="54" fillId="0" borderId="284" applyNumberFormat="0" applyFill="0" applyAlignment="0" applyProtection="0"/>
    <xf numFmtId="5" fontId="64" fillId="0" borderId="292" applyAlignment="0" applyProtection="0"/>
    <xf numFmtId="0" fontId="101" fillId="61" borderId="286"/>
    <xf numFmtId="0" fontId="126" fillId="64" borderId="288" applyBorder="0">
      <alignment horizontal="center" vertical="center" wrapText="1"/>
    </xf>
    <xf numFmtId="5" fontId="64" fillId="0" borderId="316" applyAlignment="0" applyProtection="0"/>
    <xf numFmtId="0" fontId="112" fillId="0" borderId="297"/>
    <xf numFmtId="0" fontId="101" fillId="61" borderId="379"/>
    <xf numFmtId="5" fontId="64" fillId="0" borderId="388" applyAlignment="0" applyProtection="0"/>
    <xf numFmtId="0" fontId="101" fillId="61" borderId="279"/>
    <xf numFmtId="0" fontId="122" fillId="0" borderId="315">
      <alignment horizontal="left" vertical="center"/>
    </xf>
    <xf numFmtId="5" fontId="64" fillId="0" borderId="400" applyAlignment="0" applyProtection="0"/>
    <xf numFmtId="37" fontId="85" fillId="58" borderId="346" applyBorder="0" applyProtection="0">
      <alignment vertical="center"/>
    </xf>
    <xf numFmtId="37" fontId="85" fillId="58" borderId="323" applyBorder="0" applyProtection="0">
      <alignment vertical="center"/>
    </xf>
    <xf numFmtId="37" fontId="24" fillId="0" borderId="297" applyBorder="0">
      <alignment horizontal="right"/>
      <protection locked="0"/>
    </xf>
    <xf numFmtId="0" fontId="112" fillId="0" borderId="286"/>
    <xf numFmtId="37" fontId="85" fillId="58" borderId="282" applyBorder="0" applyProtection="0">
      <alignment vertical="center"/>
    </xf>
    <xf numFmtId="5" fontId="64" fillId="0" borderId="316" applyAlignment="0" applyProtection="0"/>
    <xf numFmtId="338" fontId="24" fillId="0" borderId="350" applyBorder="0">
      <alignment horizontal="right"/>
    </xf>
    <xf numFmtId="0" fontId="112" fillId="0" borderId="303"/>
    <xf numFmtId="0" fontId="112" fillId="0" borderId="303"/>
    <xf numFmtId="0" fontId="112" fillId="0" borderId="297"/>
    <xf numFmtId="5" fontId="64" fillId="0" borderId="316" applyAlignment="0" applyProtection="0"/>
    <xf numFmtId="0" fontId="148" fillId="1" borderId="407" applyNumberFormat="0" applyFont="0" applyAlignment="0">
      <alignment horizontal="center"/>
    </xf>
    <xf numFmtId="177" fontId="33" fillId="0" borderId="363"/>
    <xf numFmtId="0" fontId="48" fillId="65" borderId="408">
      <alignment horizontal="left" vertical="center" wrapText="1"/>
    </xf>
    <xf numFmtId="0" fontId="148" fillId="1" borderId="324" applyNumberFormat="0" applyFont="0" applyAlignment="0">
      <alignment horizontal="center"/>
    </xf>
    <xf numFmtId="37" fontId="85" fillId="58" borderId="406" applyBorder="0" applyProtection="0">
      <alignment vertical="center"/>
    </xf>
    <xf numFmtId="5" fontId="64" fillId="0" borderId="363" applyAlignment="0" applyProtection="0"/>
    <xf numFmtId="177" fontId="33" fillId="0" borderId="316"/>
    <xf numFmtId="0" fontId="54" fillId="0" borderId="342" applyNumberFormat="0" applyFill="0" applyAlignment="0" applyProtection="0"/>
    <xf numFmtId="0" fontId="87" fillId="0" borderId="319" applyNumberFormat="0" applyFill="0" applyBorder="0" applyAlignment="0" applyProtection="0"/>
    <xf numFmtId="0" fontId="88" fillId="0" borderId="342" applyNumberFormat="0" applyFill="0" applyBorder="0" applyAlignment="0" applyProtection="0"/>
    <xf numFmtId="0" fontId="55" fillId="0" borderId="319" applyNumberFormat="0" applyFill="0" applyBorder="0" applyAlignment="0" applyProtection="0"/>
    <xf numFmtId="0" fontId="56" fillId="36" borderId="279">
      <alignment horizontal="center"/>
    </xf>
    <xf numFmtId="0" fontId="100" fillId="43" borderId="307" applyNumberFormat="0" applyAlignment="0" applyProtection="0"/>
    <xf numFmtId="0" fontId="101" fillId="61" borderId="303"/>
    <xf numFmtId="0" fontId="112" fillId="0" borderId="286"/>
    <xf numFmtId="0" fontId="48" fillId="65" borderId="348">
      <alignment horizontal="left" vertical="center" wrapText="1"/>
    </xf>
    <xf numFmtId="0" fontId="126" fillId="64" borderId="310" applyBorder="0">
      <alignment horizontal="center" vertical="center" wrapText="1"/>
    </xf>
    <xf numFmtId="0" fontId="55" fillId="0" borderId="306" applyNumberFormat="0" applyFill="0" applyBorder="0" applyAlignment="0" applyProtection="0"/>
    <xf numFmtId="0" fontId="112" fillId="0" borderId="303"/>
    <xf numFmtId="338" fontId="24" fillId="0" borderId="280" applyBorder="0">
      <alignment horizontal="right"/>
    </xf>
    <xf numFmtId="5" fontId="64" fillId="0" borderId="329" applyAlignment="0" applyProtection="0"/>
    <xf numFmtId="0" fontId="54" fillId="0" borderId="331" applyNumberFormat="0" applyFill="0" applyAlignment="0" applyProtection="0"/>
    <xf numFmtId="5" fontId="64" fillId="0" borderId="388" applyAlignment="0" applyProtection="0"/>
    <xf numFmtId="37" fontId="85" fillId="58" borderId="312" applyBorder="0" applyProtection="0">
      <alignment vertical="center"/>
    </xf>
    <xf numFmtId="0" fontId="33" fillId="0" borderId="329" applyFont="0" applyFill="0" applyBorder="0" applyAlignment="0" applyProtection="0">
      <alignment horizontal="right"/>
    </xf>
    <xf numFmtId="37" fontId="85" fillId="58" borderId="301" applyBorder="0" applyProtection="0">
      <alignment vertical="center"/>
    </xf>
    <xf numFmtId="0" fontId="88" fillId="0" borderId="284" applyNumberFormat="0" applyFill="0" applyBorder="0" applyAlignment="0" applyProtection="0"/>
    <xf numFmtId="177" fontId="33" fillId="0" borderId="388"/>
    <xf numFmtId="5" fontId="64" fillId="0" borderId="316" applyAlignment="0" applyProtection="0"/>
    <xf numFmtId="0" fontId="54" fillId="0" borderId="402" applyNumberFormat="0" applyFill="0" applyAlignment="0" applyProtection="0"/>
    <xf numFmtId="0" fontId="101" fillId="61" borderId="344"/>
    <xf numFmtId="177" fontId="33" fillId="0" borderId="316"/>
    <xf numFmtId="0" fontId="101" fillId="61" borderId="344"/>
    <xf numFmtId="0" fontId="88" fillId="0" borderId="342" applyNumberFormat="0" applyFill="0" applyBorder="0" applyAlignment="0" applyProtection="0"/>
    <xf numFmtId="37" fontId="85" fillId="58" borderId="323" applyBorder="0" applyProtection="0">
      <alignment vertical="center"/>
    </xf>
    <xf numFmtId="37" fontId="85" fillId="58" borderId="335" applyBorder="0" applyProtection="0">
      <alignment vertical="center"/>
    </xf>
    <xf numFmtId="37" fontId="85" fillId="58" borderId="406" applyBorder="0" applyProtection="0">
      <alignment vertical="center"/>
    </xf>
    <xf numFmtId="5" fontId="64" fillId="0" borderId="363" applyAlignment="0" applyProtection="0"/>
    <xf numFmtId="5" fontId="64" fillId="0" borderId="363" applyAlignment="0" applyProtection="0"/>
    <xf numFmtId="4" fontId="54" fillId="0" borderId="286"/>
    <xf numFmtId="177" fontId="33" fillId="0" borderId="388"/>
    <xf numFmtId="5" fontId="64" fillId="0" borderId="388" applyAlignment="0" applyProtection="0"/>
    <xf numFmtId="0" fontId="147" fillId="0" borderId="268"/>
    <xf numFmtId="37" fontId="85" fillId="58" borderId="406" applyBorder="0" applyProtection="0">
      <alignment vertical="center"/>
    </xf>
    <xf numFmtId="0" fontId="54" fillId="0" borderId="284" applyNumberFormat="0" applyFill="0" applyAlignment="0" applyProtection="0"/>
    <xf numFmtId="37" fontId="24" fillId="0" borderId="286" applyBorder="0">
      <alignment horizontal="right"/>
      <protection locked="0"/>
    </xf>
    <xf numFmtId="301" fontId="94" fillId="0" borderId="363" applyFont="0" applyFill="0" applyBorder="0" applyAlignment="0" applyProtection="0">
      <alignment horizontal="center"/>
    </xf>
    <xf numFmtId="0" fontId="100" fillId="43" borderId="320" applyNumberFormat="0" applyAlignment="0" applyProtection="0"/>
    <xf numFmtId="37" fontId="85" fillId="58" borderId="312" applyBorder="0" applyProtection="0">
      <alignment vertical="center"/>
    </xf>
    <xf numFmtId="0" fontId="122" fillId="62" borderId="404">
      <alignment horizontal="center" vertical="center" wrapText="1"/>
      <protection hidden="1"/>
    </xf>
    <xf numFmtId="218" fontId="24" fillId="0" borderId="404">
      <alignment horizontal="center" vertical="center"/>
    </xf>
    <xf numFmtId="0" fontId="55" fillId="0" borderId="319" applyNumberFormat="0" applyFill="0" applyBorder="0" applyAlignment="0" applyProtection="0"/>
    <xf numFmtId="5" fontId="64" fillId="0" borderId="388" applyAlignment="0" applyProtection="0"/>
    <xf numFmtId="5" fontId="64" fillId="0" borderId="363" applyAlignment="0" applyProtection="0"/>
    <xf numFmtId="0" fontId="101" fillId="61" borderId="286"/>
    <xf numFmtId="262" fontId="69" fillId="0" borderId="317" applyFill="0" applyAlignment="0" applyProtection="0">
      <alignment horizontal="center"/>
    </xf>
    <xf numFmtId="2" fontId="24" fillId="36" borderId="301" applyFill="0" applyBorder="0" applyProtection="0">
      <alignment horizontal="center"/>
    </xf>
    <xf numFmtId="0" fontId="126" fillId="64" borderId="287">
      <alignment horizontal="left" vertical="center"/>
    </xf>
    <xf numFmtId="37" fontId="85" fillId="58" borderId="282" applyBorder="0" applyProtection="0">
      <alignment vertical="center"/>
    </xf>
    <xf numFmtId="0" fontId="112" fillId="0" borderId="344"/>
    <xf numFmtId="5" fontId="64" fillId="0" borderId="363" applyAlignment="0" applyProtection="0"/>
    <xf numFmtId="5" fontId="64" fillId="0" borderId="316" applyAlignment="0" applyProtection="0"/>
    <xf numFmtId="0" fontId="112" fillId="0" borderId="279"/>
    <xf numFmtId="5" fontId="64" fillId="0" borderId="329" applyAlignment="0" applyProtection="0"/>
    <xf numFmtId="37" fontId="53" fillId="1" borderId="388">
      <alignment horizontal="centerContinuous" vertical="center"/>
    </xf>
    <xf numFmtId="37" fontId="85" fillId="58" borderId="291" applyBorder="0" applyProtection="0">
      <alignment vertical="center"/>
    </xf>
    <xf numFmtId="5" fontId="64" fillId="0" borderId="292" applyAlignment="0" applyProtection="0"/>
    <xf numFmtId="5" fontId="64" fillId="0" borderId="292" applyAlignment="0" applyProtection="0"/>
    <xf numFmtId="37" fontId="24" fillId="0" borderId="297" applyBorder="0">
      <alignment horizontal="right"/>
      <protection locked="0"/>
    </xf>
    <xf numFmtId="0" fontId="88" fillId="0" borderId="331" applyNumberFormat="0" applyFill="0" applyBorder="0" applyAlignment="0" applyProtection="0"/>
    <xf numFmtId="0" fontId="55" fillId="0" borderId="331" applyNumberFormat="0" applyFill="0" applyBorder="0" applyAlignment="0" applyProtection="0"/>
    <xf numFmtId="5" fontId="64" fillId="0" borderId="400" applyAlignment="0" applyProtection="0"/>
    <xf numFmtId="0" fontId="56" fillId="36" borderId="297">
      <alignment horizontal="center"/>
    </xf>
    <xf numFmtId="0" fontId="101" fillId="61" borderId="286"/>
    <xf numFmtId="1" fontId="54" fillId="0" borderId="388" applyNumberFormat="0" applyFont="0" applyFill="0" applyProtection="0">
      <alignment horizontal="center"/>
    </xf>
    <xf numFmtId="0" fontId="101" fillId="61" borderId="286"/>
    <xf numFmtId="37" fontId="24" fillId="0" borderId="286" applyBorder="0">
      <alignment horizontal="right"/>
      <protection locked="0"/>
    </xf>
    <xf numFmtId="0" fontId="112" fillId="0" borderId="286"/>
    <xf numFmtId="5" fontId="64" fillId="0" borderId="363" applyAlignment="0" applyProtection="0"/>
    <xf numFmtId="185" fontId="54" fillId="0" borderId="388" applyFont="0" applyFill="0" applyBorder="0" applyAlignment="0" applyProtection="0">
      <alignment horizontal="center"/>
    </xf>
    <xf numFmtId="1" fontId="54" fillId="0" borderId="316" applyNumberFormat="0" applyFont="0" applyFill="0" applyProtection="0">
      <alignment horizontal="center"/>
    </xf>
    <xf numFmtId="0" fontId="112" fillId="0" borderId="344"/>
    <xf numFmtId="2" fontId="24" fillId="36" borderId="323" applyFill="0" applyBorder="0" applyProtection="0">
      <alignment horizontal="center"/>
    </xf>
    <xf numFmtId="4" fontId="54" fillId="0" borderId="344"/>
    <xf numFmtId="5" fontId="64" fillId="0" borderId="316" applyAlignment="0" applyProtection="0"/>
    <xf numFmtId="0" fontId="126" fillId="64" borderId="309">
      <alignment horizontal="left" vertical="center"/>
    </xf>
    <xf numFmtId="0" fontId="148" fillId="1" borderId="407" applyNumberFormat="0" applyFont="0" applyAlignment="0">
      <alignment horizontal="center"/>
    </xf>
    <xf numFmtId="37" fontId="85" fillId="58" borderId="357" applyBorder="0" applyProtection="0">
      <alignment vertical="center"/>
    </xf>
    <xf numFmtId="0" fontId="112" fillId="0" borderId="303"/>
    <xf numFmtId="3" fontId="54" fillId="0" borderId="297"/>
    <xf numFmtId="0" fontId="112" fillId="0" borderId="297"/>
    <xf numFmtId="0" fontId="54" fillId="0" borderId="342" applyNumberFormat="0" applyFill="0" applyAlignment="0" applyProtection="0"/>
    <xf numFmtId="5" fontId="64" fillId="0" borderId="316" applyAlignment="0" applyProtection="0"/>
    <xf numFmtId="0" fontId="54" fillId="0" borderId="295" applyNumberFormat="0" applyFill="0" applyAlignment="0" applyProtection="0"/>
    <xf numFmtId="37" fontId="85" fillId="58" borderId="291" applyBorder="0" applyProtection="0">
      <alignment vertical="center"/>
    </xf>
    <xf numFmtId="0" fontId="101" fillId="61" borderId="279"/>
    <xf numFmtId="0" fontId="101" fillId="61" borderId="286"/>
    <xf numFmtId="0" fontId="112" fillId="0" borderId="404"/>
    <xf numFmtId="0" fontId="101" fillId="61" borderId="297"/>
    <xf numFmtId="5" fontId="64" fillId="0" borderId="329" applyAlignment="0" applyProtection="0"/>
    <xf numFmtId="0" fontId="101" fillId="61" borderId="404"/>
    <xf numFmtId="0" fontId="148" fillId="1" borderId="407" applyNumberFormat="0" applyFont="0" applyAlignment="0">
      <alignment horizontal="center"/>
    </xf>
    <xf numFmtId="5" fontId="64" fillId="0" borderId="363" applyAlignment="0" applyProtection="0"/>
    <xf numFmtId="338" fontId="24" fillId="0" borderId="410" applyBorder="0">
      <alignment horizontal="right"/>
    </xf>
    <xf numFmtId="5" fontId="64" fillId="0" borderId="363" applyAlignment="0" applyProtection="0"/>
    <xf numFmtId="301" fontId="94" fillId="0" borderId="388" applyFont="0" applyFill="0" applyBorder="0" applyAlignment="0" applyProtection="0">
      <alignment horizontal="center"/>
    </xf>
    <xf numFmtId="37" fontId="85" fillId="58" borderId="323" applyBorder="0" applyProtection="0">
      <alignment vertical="center"/>
    </xf>
    <xf numFmtId="0" fontId="112" fillId="0" borderId="344"/>
    <xf numFmtId="5" fontId="64" fillId="0" borderId="400" applyAlignment="0" applyProtection="0"/>
    <xf numFmtId="5" fontId="64" fillId="0" borderId="363" applyAlignment="0" applyProtection="0"/>
    <xf numFmtId="2" fontId="24" fillId="36" borderId="377" applyFill="0" applyBorder="0" applyProtection="0">
      <alignment horizontal="center"/>
    </xf>
    <xf numFmtId="0" fontId="87" fillId="0" borderId="402" applyNumberFormat="0" applyFill="0" applyBorder="0" applyAlignment="0" applyProtection="0"/>
    <xf numFmtId="177" fontId="33" fillId="0" borderId="388"/>
    <xf numFmtId="0" fontId="101" fillId="61" borderId="404"/>
    <xf numFmtId="5" fontId="64" fillId="0" borderId="388" applyAlignment="0" applyProtection="0"/>
    <xf numFmtId="37" fontId="24" fillId="0" borderId="303" applyBorder="0">
      <alignment horizontal="right"/>
      <protection locked="0"/>
    </xf>
    <xf numFmtId="5" fontId="64" fillId="0" borderId="388" applyAlignment="0" applyProtection="0"/>
    <xf numFmtId="37" fontId="85" fillId="58" borderId="323" applyBorder="0" applyProtection="0">
      <alignment vertical="center"/>
    </xf>
    <xf numFmtId="0" fontId="100" fillId="43" borderId="392" applyNumberFormat="0" applyAlignment="0" applyProtection="0"/>
    <xf numFmtId="0" fontId="28" fillId="0" borderId="317" applyBorder="0">
      <alignment horizontal="centerContinuous"/>
    </xf>
    <xf numFmtId="37" fontId="85" fillId="58" borderId="357" applyBorder="0" applyProtection="0">
      <alignment vertical="center"/>
    </xf>
    <xf numFmtId="0" fontId="55" fillId="0" borderId="342" applyNumberFormat="0" applyFill="0" applyBorder="0" applyAlignment="0" applyProtection="0"/>
    <xf numFmtId="5" fontId="64" fillId="0" borderId="329" applyAlignment="0" applyProtection="0"/>
    <xf numFmtId="0" fontId="112" fillId="0" borderId="297"/>
    <xf numFmtId="0" fontId="100" fillId="43" borderId="296" applyNumberFormat="0" applyAlignment="0" applyProtection="0"/>
    <xf numFmtId="0" fontId="101" fillId="61" borderId="297"/>
    <xf numFmtId="1" fontId="54" fillId="0" borderId="363" applyNumberFormat="0" applyFont="0" applyFill="0" applyProtection="0">
      <alignment horizontal="center"/>
    </xf>
    <xf numFmtId="37" fontId="53" fillId="1" borderId="263">
      <alignment horizontal="centerContinuous" vertical="center"/>
    </xf>
    <xf numFmtId="0" fontId="87" fillId="0" borderId="275" applyNumberFormat="0" applyFill="0" applyBorder="0" applyAlignment="0" applyProtection="0"/>
    <xf numFmtId="0" fontId="88" fillId="0" borderId="275" applyNumberFormat="0" applyFill="0" applyBorder="0" applyAlignment="0" applyProtection="0"/>
    <xf numFmtId="37" fontId="85" fillId="58" borderId="389" applyBorder="0" applyProtection="0">
      <alignment vertical="center"/>
    </xf>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301" fontId="94" fillId="0" borderId="263" applyFont="0" applyFill="0" applyBorder="0" applyAlignment="0" applyProtection="0">
      <alignment horizontal="center"/>
    </xf>
    <xf numFmtId="301" fontId="94" fillId="0" borderId="263" applyFont="0" applyFill="0" applyBorder="0" applyAlignment="0" applyProtection="0">
      <alignment horizontal="center"/>
    </xf>
    <xf numFmtId="301" fontId="94" fillId="0" borderId="263" applyFont="0" applyFill="0" applyBorder="0" applyAlignment="0" applyProtection="0">
      <alignment horizontal="center"/>
    </xf>
    <xf numFmtId="185" fontId="54" fillId="0" borderId="263" applyFont="0" applyFill="0" applyBorder="0" applyAlignment="0" applyProtection="0">
      <alignment horizontal="center"/>
    </xf>
    <xf numFmtId="185" fontId="54" fillId="0" borderId="263" applyFont="0" applyFill="0" applyBorder="0" applyAlignment="0" applyProtection="0">
      <alignment horizontal="center"/>
    </xf>
    <xf numFmtId="1" fontId="54" fillId="0" borderId="263" applyNumberFormat="0" applyFont="0" applyFill="0" applyProtection="0">
      <alignment horizontal="center"/>
    </xf>
    <xf numFmtId="1" fontId="54" fillId="0" borderId="263" applyNumberFormat="0" applyFont="0" applyFill="0" applyProtection="0">
      <alignment horizontal="center"/>
    </xf>
    <xf numFmtId="5" fontId="64" fillId="0" borderId="363" applyAlignment="0" applyProtection="0"/>
    <xf numFmtId="0" fontId="122" fillId="62" borderId="259">
      <alignment horizontal="center" vertical="center" wrapText="1"/>
      <protection hidden="1"/>
    </xf>
    <xf numFmtId="0" fontId="122" fillId="62" borderId="259">
      <alignment horizontal="center" vertical="center" wrapText="1"/>
      <protection hidden="1"/>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85" fillId="58" borderId="389" applyBorder="0" applyProtection="0">
      <alignment vertical="center"/>
    </xf>
    <xf numFmtId="0" fontId="88" fillId="0" borderId="217" applyNumberFormat="0" applyFill="0" applyBorder="0" applyAlignment="0" applyProtection="0"/>
    <xf numFmtId="0" fontId="87" fillId="0" borderId="217" applyNumberFormat="0" applyFill="0" applyBorder="0" applyAlignment="0" applyProtection="0"/>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5" fontId="64" fillId="0" borderId="329" applyAlignment="0" applyProtection="0"/>
    <xf numFmtId="37" fontId="85" fillId="58" borderId="282" applyBorder="0" applyProtection="0">
      <alignment vertical="center"/>
    </xf>
    <xf numFmtId="37" fontId="85" fillId="58" borderId="282" applyBorder="0" applyProtection="0">
      <alignment vertical="center"/>
    </xf>
    <xf numFmtId="5" fontId="64" fillId="0" borderId="329" applyAlignment="0" applyProtection="0"/>
    <xf numFmtId="37" fontId="24" fillId="0" borderId="286" applyBorder="0">
      <alignment horizontal="right"/>
      <protection locked="0"/>
    </xf>
    <xf numFmtId="0" fontId="112" fillId="0" borderId="344"/>
    <xf numFmtId="0" fontId="101" fillId="61" borderId="404"/>
    <xf numFmtId="5" fontId="64" fillId="0" borderId="363" applyAlignment="0" applyProtection="0"/>
    <xf numFmtId="0" fontId="101" fillId="61" borderId="379"/>
    <xf numFmtId="37" fontId="85" fillId="58" borderId="312" applyBorder="0" applyProtection="0">
      <alignment vertical="center"/>
    </xf>
    <xf numFmtId="0" fontId="101" fillId="61" borderId="303"/>
    <xf numFmtId="164" fontId="91" fillId="60" borderId="317">
      <alignment horizontal="center" vertical="center" wrapText="1"/>
    </xf>
    <xf numFmtId="0" fontId="48" fillId="65" borderId="277">
      <alignment horizontal="left" vertical="center" wrapText="1"/>
    </xf>
    <xf numFmtId="37" fontId="85" fillId="58" borderId="291" applyBorder="0" applyProtection="0">
      <alignment vertical="center"/>
    </xf>
    <xf numFmtId="0" fontId="87" fillId="0" borderId="284" applyNumberFormat="0" applyFill="0" applyBorder="0" applyAlignment="0" applyProtection="0"/>
    <xf numFmtId="5" fontId="64" fillId="0" borderId="292" applyAlignment="0" applyProtection="0"/>
    <xf numFmtId="5" fontId="64" fillId="0" borderId="292" applyAlignment="0" applyProtection="0"/>
    <xf numFmtId="0" fontId="101" fillId="61" borderId="286"/>
    <xf numFmtId="5" fontId="64" fillId="0" borderId="292" applyAlignment="0" applyProtection="0"/>
    <xf numFmtId="0" fontId="54" fillId="0" borderId="306" applyNumberFormat="0" applyFill="0" applyAlignment="0" applyProtection="0"/>
    <xf numFmtId="0" fontId="101" fillId="61" borderId="303"/>
    <xf numFmtId="301" fontId="94" fillId="0" borderId="388" applyFont="0" applyFill="0" applyBorder="0" applyAlignment="0" applyProtection="0">
      <alignment horizontal="center"/>
    </xf>
    <xf numFmtId="5" fontId="64" fillId="0" borderId="316" applyAlignment="0" applyProtection="0"/>
    <xf numFmtId="5" fontId="64" fillId="0" borderId="316" applyAlignment="0" applyProtection="0"/>
    <xf numFmtId="0" fontId="122" fillId="0" borderId="304">
      <alignment horizontal="left" vertical="center"/>
    </xf>
    <xf numFmtId="185" fontId="54" fillId="0" borderId="292" applyFont="0" applyFill="0" applyBorder="0" applyAlignment="0" applyProtection="0">
      <alignment horizontal="center"/>
    </xf>
    <xf numFmtId="5" fontId="64" fillId="0" borderId="388" applyAlignment="0" applyProtection="0"/>
    <xf numFmtId="0" fontId="101" fillId="61" borderId="297"/>
    <xf numFmtId="37" fontId="85" fillId="58" borderId="323" applyBorder="0" applyProtection="0">
      <alignment vertical="center"/>
    </xf>
    <xf numFmtId="338" fontId="24" fillId="0" borderId="378" applyBorder="0">
      <alignment horizontal="right"/>
    </xf>
    <xf numFmtId="37" fontId="24" fillId="0" borderId="344" applyBorder="0">
      <alignment horizontal="right"/>
      <protection locked="0"/>
    </xf>
    <xf numFmtId="37" fontId="85" fillId="58" borderId="406" applyBorder="0" applyProtection="0">
      <alignment vertical="center"/>
    </xf>
    <xf numFmtId="0" fontId="122" fillId="62" borderId="297">
      <alignment horizontal="center" vertical="center" wrapText="1"/>
      <protection hidden="1"/>
    </xf>
    <xf numFmtId="5" fontId="64" fillId="0" borderId="363" applyAlignment="0" applyProtection="0"/>
    <xf numFmtId="0" fontId="112" fillId="0" borderId="279"/>
    <xf numFmtId="177" fontId="33" fillId="0" borderId="292"/>
    <xf numFmtId="5" fontId="64" fillId="0" borderId="292" applyAlignment="0" applyProtection="0"/>
    <xf numFmtId="5" fontId="64" fillId="0" borderId="400" applyAlignment="0" applyProtection="0"/>
    <xf numFmtId="0" fontId="48" fillId="65" borderId="408">
      <alignment horizontal="left" vertical="center" wrapText="1"/>
    </xf>
    <xf numFmtId="8" fontId="131" fillId="0" borderId="345" applyNumberFormat="0" applyFill="0" applyBorder="0" applyAlignment="0" applyProtection="0"/>
    <xf numFmtId="0" fontId="49" fillId="0" borderId="283" applyNumberFormat="0" applyFill="0" applyAlignment="0" applyProtection="0"/>
    <xf numFmtId="0" fontId="126" fillId="64" borderId="299">
      <alignment horizontal="left" vertical="center"/>
    </xf>
    <xf numFmtId="37" fontId="24" fillId="0" borderId="344" applyBorder="0">
      <alignment horizontal="right"/>
      <protection locked="0"/>
    </xf>
    <xf numFmtId="0" fontId="148" fillId="1" borderId="358" applyNumberFormat="0" applyFont="0" applyAlignment="0">
      <alignment horizontal="center"/>
    </xf>
    <xf numFmtId="5" fontId="64" fillId="0" borderId="388" applyAlignment="0" applyProtection="0"/>
    <xf numFmtId="0" fontId="101" fillId="61" borderId="303"/>
    <xf numFmtId="0" fontId="122" fillId="0" borderId="347">
      <alignment horizontal="left" vertical="center"/>
    </xf>
    <xf numFmtId="0" fontId="101" fillId="61" borderId="297"/>
    <xf numFmtId="0" fontId="100" fillId="43" borderId="237" applyNumberFormat="0" applyAlignment="0" applyProtection="0"/>
    <xf numFmtId="0" fontId="100" fillId="43" borderId="237" applyNumberFormat="0" applyAlignment="0" applyProtection="0"/>
    <xf numFmtId="0" fontId="112" fillId="0" borderId="286"/>
    <xf numFmtId="0" fontId="100" fillId="43" borderId="237" applyNumberFormat="0" applyAlignment="0" applyProtection="0"/>
    <xf numFmtId="0" fontId="100" fillId="43" borderId="237" applyNumberFormat="0" applyAlignment="0" applyProtection="0"/>
    <xf numFmtId="5" fontId="64" fillId="0" borderId="316" applyAlignment="0" applyProtection="0"/>
    <xf numFmtId="0" fontId="101" fillId="61" borderId="321"/>
    <xf numFmtId="37" fontId="85" fillId="58" borderId="312" applyBorder="0" applyProtection="0">
      <alignment vertical="center"/>
    </xf>
    <xf numFmtId="314" fontId="28" fillId="0" borderId="317" applyFont="0" applyFill="0" applyBorder="0" applyProtection="0"/>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5" fontId="64" fillId="0" borderId="329" applyAlignment="0" applyProtection="0"/>
    <xf numFmtId="5" fontId="64" fillId="0" borderId="316" applyAlignment="0" applyProtection="0"/>
    <xf numFmtId="5" fontId="64" fillId="0" borderId="388" applyAlignment="0" applyProtection="0"/>
    <xf numFmtId="1" fontId="54" fillId="0" borderId="329" applyNumberFormat="0" applyFont="0" applyFill="0" applyProtection="0">
      <alignment horizontal="center"/>
    </xf>
    <xf numFmtId="0" fontId="101" fillId="61" borderId="344"/>
    <xf numFmtId="5" fontId="64" fillId="0" borderId="292" applyAlignment="0" applyProtection="0"/>
    <xf numFmtId="0" fontId="104" fillId="0" borderId="234">
      <alignment horizontal="center"/>
    </xf>
    <xf numFmtId="37" fontId="24" fillId="0" borderId="297" applyBorder="0">
      <alignment horizontal="right"/>
      <protection locked="0"/>
    </xf>
    <xf numFmtId="0" fontId="55" fillId="0" borderId="413" applyNumberFormat="0" applyFill="0" applyBorder="0" applyAlignment="0" applyProtection="0"/>
    <xf numFmtId="8" fontId="131" fillId="0" borderId="308" applyNumberFormat="0" applyFill="0" applyBorder="0" applyAlignment="0" applyProtection="0"/>
    <xf numFmtId="37" fontId="85" fillId="58" borderId="377" applyBorder="0" applyProtection="0">
      <alignment vertical="center"/>
    </xf>
    <xf numFmtId="0" fontId="88" fillId="0" borderId="306" applyNumberFormat="0" applyFill="0" applyBorder="0" applyAlignment="0" applyProtection="0"/>
    <xf numFmtId="0" fontId="126" fillId="64" borderId="375">
      <alignment horizontal="left" vertical="center"/>
    </xf>
    <xf numFmtId="37" fontId="85" fillId="58" borderId="377" applyBorder="0" applyProtection="0">
      <alignment vertical="center"/>
    </xf>
    <xf numFmtId="0" fontId="122" fillId="62" borderId="279">
      <alignment horizontal="center" vertical="center" wrapText="1"/>
      <protection hidden="1"/>
    </xf>
    <xf numFmtId="0" fontId="88" fillId="0" borderId="295" applyNumberFormat="0" applyFill="0" applyBorder="0" applyAlignment="0" applyProtection="0"/>
    <xf numFmtId="0" fontId="101" fillId="61" borderId="286"/>
    <xf numFmtId="0" fontId="112" fillId="0" borderId="344"/>
    <xf numFmtId="5" fontId="64" fillId="0" borderId="363" applyAlignment="0" applyProtection="0"/>
    <xf numFmtId="37" fontId="85" fillId="58" borderId="282" applyBorder="0" applyProtection="0">
      <alignment vertical="center"/>
    </xf>
    <xf numFmtId="0" fontId="126" fillId="64" borderId="408">
      <alignment horizontal="left" vertical="center"/>
    </xf>
    <xf numFmtId="0" fontId="126" fillId="64" borderId="349" applyBorder="0">
      <alignment horizontal="center" vertical="center" wrapText="1"/>
    </xf>
    <xf numFmtId="4" fontId="54" fillId="0" borderId="404"/>
    <xf numFmtId="37" fontId="24" fillId="0" borderId="270" applyBorder="0">
      <alignment horizontal="right"/>
      <protection locked="0"/>
    </xf>
    <xf numFmtId="338" fontId="24" fillId="0" borderId="267" applyBorder="0">
      <alignment horizontal="right"/>
    </xf>
    <xf numFmtId="185" fontId="54" fillId="0" borderId="329" applyFont="0" applyFill="0" applyBorder="0" applyAlignment="0" applyProtection="0">
      <alignment horizontal="center"/>
    </xf>
    <xf numFmtId="0" fontId="122" fillId="0" borderId="272">
      <alignment horizontal="left" vertical="center"/>
    </xf>
    <xf numFmtId="185" fontId="54" fillId="0" borderId="271" applyFont="0" applyFill="0" applyBorder="0" applyAlignment="0" applyProtection="0">
      <alignment horizontal="center"/>
    </xf>
    <xf numFmtId="2" fontId="24" fillId="36" borderId="269" applyFill="0" applyBorder="0" applyProtection="0">
      <alignment horizontal="center"/>
    </xf>
    <xf numFmtId="0" fontId="112" fillId="0" borderId="270"/>
    <xf numFmtId="0" fontId="112" fillId="0" borderId="270"/>
    <xf numFmtId="0" fontId="112" fillId="0" borderId="270"/>
    <xf numFmtId="0" fontId="112" fillId="0"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37" fontId="85" fillId="58" borderId="269" applyBorder="0" applyProtection="0">
      <alignment vertical="center"/>
    </xf>
    <xf numFmtId="338" fontId="24" fillId="0" borderId="410" applyBorder="0">
      <alignment horizontal="right"/>
    </xf>
    <xf numFmtId="0" fontId="87" fillId="0" borderId="275" applyNumberFormat="0" applyFill="0" applyBorder="0" applyAlignment="0" applyProtection="0"/>
    <xf numFmtId="0" fontId="88" fillId="0" borderId="275" applyNumberFormat="0" applyFill="0" applyBorder="0" applyAlignment="0" applyProtection="0"/>
    <xf numFmtId="5" fontId="64" fillId="0" borderId="400" applyAlignment="0" applyProtection="0"/>
    <xf numFmtId="0" fontId="126" fillId="64" borderId="325">
      <alignment horizontal="left" vertical="center"/>
    </xf>
    <xf numFmtId="5" fontId="64" fillId="0" borderId="363" applyAlignment="0" applyProtection="0"/>
    <xf numFmtId="338" fontId="24" fillId="0" borderId="350" applyBorder="0">
      <alignment horizontal="right"/>
    </xf>
    <xf numFmtId="0" fontId="112" fillId="0" borderId="286"/>
    <xf numFmtId="37" fontId="85" fillId="58" borderId="406" applyBorder="0" applyProtection="0">
      <alignment vertical="center"/>
    </xf>
    <xf numFmtId="5" fontId="64" fillId="0" borderId="316" applyAlignment="0" applyProtection="0"/>
    <xf numFmtId="0" fontId="126" fillId="64" borderId="287">
      <alignment horizontal="left" vertical="center"/>
    </xf>
    <xf numFmtId="37" fontId="85" fillId="58" borderId="346" applyBorder="0" applyProtection="0">
      <alignment vertical="center"/>
    </xf>
    <xf numFmtId="0" fontId="101" fillId="61" borderId="303"/>
    <xf numFmtId="0" fontId="112" fillId="0" borderId="303"/>
    <xf numFmtId="37" fontId="85" fillId="58" borderId="301" applyBorder="0" applyProtection="0">
      <alignment vertical="center"/>
    </xf>
    <xf numFmtId="0" fontId="101" fillId="61" borderId="404"/>
    <xf numFmtId="0" fontId="101" fillId="61" borderId="404"/>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54" fillId="0" borderId="331" applyNumberFormat="0" applyFill="0" applyAlignment="0" applyProtection="0"/>
    <xf numFmtId="37" fontId="85" fillId="58" borderId="377" applyBorder="0" applyProtection="0">
      <alignment vertical="center"/>
    </xf>
    <xf numFmtId="5" fontId="64" fillId="0" borderId="400" applyAlignment="0" applyProtection="0"/>
    <xf numFmtId="0" fontId="101" fillId="61" borderId="279"/>
    <xf numFmtId="5" fontId="64" fillId="0" borderId="329" applyAlignment="0" applyProtection="0"/>
    <xf numFmtId="5" fontId="64" fillId="0" borderId="363" applyAlignment="0" applyProtection="0"/>
    <xf numFmtId="0" fontId="122" fillId="0" borderId="324">
      <alignment horizontal="left" vertical="center"/>
    </xf>
    <xf numFmtId="0" fontId="88" fillId="0" borderId="284" applyNumberFormat="0" applyFill="0" applyBorder="0" applyAlignment="0" applyProtection="0"/>
    <xf numFmtId="5" fontId="64" fillId="0" borderId="292" applyAlignment="0" applyProtection="0"/>
    <xf numFmtId="5" fontId="64" fillId="0" borderId="292" applyAlignment="0" applyProtection="0"/>
    <xf numFmtId="2" fontId="24" fillId="36" borderId="282" applyFill="0" applyBorder="0" applyProtection="0">
      <alignment horizontal="center"/>
    </xf>
    <xf numFmtId="5" fontId="64" fillId="0" borderId="292" applyAlignment="0" applyProtection="0"/>
    <xf numFmtId="0" fontId="112" fillId="0" borderId="286"/>
    <xf numFmtId="0" fontId="122" fillId="62" borderId="286">
      <alignment horizontal="center" vertical="center" wrapText="1"/>
      <protection hidden="1"/>
    </xf>
    <xf numFmtId="5" fontId="64" fillId="0" borderId="316" applyAlignment="0" applyProtection="0"/>
    <xf numFmtId="0" fontId="87" fillId="0" borderId="391" applyNumberFormat="0" applyFill="0" applyBorder="0" applyAlignment="0" applyProtection="0"/>
    <xf numFmtId="0" fontId="101" fillId="61" borderId="303"/>
    <xf numFmtId="0" fontId="101" fillId="61" borderId="344"/>
    <xf numFmtId="297" fontId="22" fillId="36" borderId="239" applyFont="0" applyFill="0" applyBorder="0" applyAlignment="0" applyProtection="0"/>
    <xf numFmtId="297" fontId="22" fillId="36" borderId="239" applyFont="0" applyFill="0" applyBorder="0" applyAlignment="0" applyProtection="0"/>
    <xf numFmtId="5" fontId="64" fillId="0" borderId="388" applyAlignment="0" applyProtection="0"/>
    <xf numFmtId="5" fontId="64" fillId="0" borderId="292" applyAlignment="0" applyProtection="0"/>
    <xf numFmtId="0" fontId="87" fillId="0" borderId="331" applyNumberFormat="0" applyFill="0" applyBorder="0" applyAlignment="0" applyProtection="0"/>
    <xf numFmtId="0" fontId="101" fillId="61" borderId="286"/>
    <xf numFmtId="2" fontId="24" fillId="36" borderId="312" applyFill="0" applyBorder="0" applyProtection="0">
      <alignment horizontal="center"/>
    </xf>
    <xf numFmtId="0" fontId="122" fillId="0" borderId="324">
      <alignment horizontal="left" vertical="center"/>
    </xf>
    <xf numFmtId="0" fontId="54" fillId="0" borderId="391" applyNumberFormat="0" applyFill="0" applyAlignment="0" applyProtection="0"/>
    <xf numFmtId="0" fontId="101" fillId="61" borderId="404"/>
    <xf numFmtId="0" fontId="122" fillId="62" borderId="404">
      <alignment horizontal="center" vertical="center" wrapText="1"/>
      <protection hidden="1"/>
    </xf>
    <xf numFmtId="0" fontId="49" fillId="0" borderId="305" applyNumberFormat="0" applyFill="0" applyAlignment="0" applyProtection="0"/>
    <xf numFmtId="0" fontId="101" fillId="61" borderId="297"/>
    <xf numFmtId="0" fontId="112" fillId="0" borderId="404"/>
    <xf numFmtId="8" fontId="131" fillId="0" borderId="298" applyNumberFormat="0" applyFill="0" applyBorder="0" applyAlignment="0" applyProtection="0"/>
    <xf numFmtId="2" fontId="24" fillId="36" borderId="346" applyFill="0" applyBorder="0" applyProtection="0">
      <alignment horizontal="center"/>
    </xf>
    <xf numFmtId="37" fontId="85" fillId="58" borderId="312" applyBorder="0" applyProtection="0">
      <alignment vertical="center"/>
    </xf>
    <xf numFmtId="0" fontId="101" fillId="61" borderId="297"/>
    <xf numFmtId="8" fontId="131" fillId="0" borderId="405" applyNumberFormat="0" applyFill="0" applyBorder="0" applyAlignment="0" applyProtection="0"/>
    <xf numFmtId="5" fontId="64" fillId="0" borderId="329" applyAlignment="0" applyProtection="0"/>
    <xf numFmtId="5" fontId="64" fillId="0" borderId="316" applyAlignment="0" applyProtection="0"/>
    <xf numFmtId="0" fontId="101" fillId="61" borderId="297"/>
    <xf numFmtId="37" fontId="85" fillId="58" borderId="377" applyBorder="0" applyProtection="0">
      <alignment vertical="center"/>
    </xf>
    <xf numFmtId="0" fontId="87" fillId="0" borderId="284" applyNumberFormat="0" applyFill="0" applyBorder="0" applyAlignment="0" applyProtection="0"/>
    <xf numFmtId="0" fontId="101" fillId="61" borderId="286"/>
    <xf numFmtId="0" fontId="112" fillId="0" borderId="404"/>
    <xf numFmtId="0" fontId="100" fillId="43" borderId="285" applyNumberFormat="0" applyAlignment="0" applyProtection="0"/>
    <xf numFmtId="37" fontId="85" fillId="58" borderId="282" applyBorder="0" applyProtection="0">
      <alignment vertical="center"/>
    </xf>
    <xf numFmtId="0" fontId="126" fillId="64" borderId="408">
      <alignment horizontal="left" vertic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5" fontId="64" fillId="0" borderId="316" applyAlignment="0" applyProtection="0"/>
    <xf numFmtId="0" fontId="112" fillId="0" borderId="279"/>
    <xf numFmtId="0" fontId="88" fillId="0" borderId="295" applyNumberFormat="0" applyFill="0" applyBorder="0" applyAlignment="0" applyProtection="0"/>
    <xf numFmtId="37" fontId="85" fillId="58" borderId="312" applyBorder="0" applyProtection="0">
      <alignment vertical="center"/>
    </xf>
    <xf numFmtId="0" fontId="112" fillId="0" borderId="303"/>
    <xf numFmtId="301" fontId="94" fillId="0" borderId="363" applyFont="0" applyFill="0" applyBorder="0" applyAlignment="0" applyProtection="0">
      <alignment horizont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2" fontId="24" fillId="36" borderId="301" applyFill="0" applyBorder="0" applyProtection="0">
      <alignment horizontal="center"/>
    </xf>
    <xf numFmtId="5" fontId="64" fillId="0" borderId="363" applyAlignment="0" applyProtection="0"/>
    <xf numFmtId="2" fontId="24" fillId="36" borderId="312" applyFill="0" applyBorder="0" applyProtection="0">
      <alignment horizontal="center"/>
    </xf>
    <xf numFmtId="0" fontId="112" fillId="0" borderId="279"/>
    <xf numFmtId="0" fontId="87" fillId="0" borderId="402" applyNumberFormat="0" applyFill="0" applyBorder="0" applyAlignment="0" applyProtection="0"/>
    <xf numFmtId="0" fontId="101" fillId="61" borderId="344"/>
    <xf numFmtId="5" fontId="64" fillId="0" borderId="363" applyAlignment="0" applyProtection="0"/>
    <xf numFmtId="5" fontId="64" fillId="0" borderId="329" applyAlignment="0" applyProtection="0"/>
    <xf numFmtId="5" fontId="64" fillId="0" borderId="363" applyAlignment="0" applyProtection="0"/>
    <xf numFmtId="5" fontId="64" fillId="0" borderId="316" applyAlignment="0" applyProtection="0"/>
    <xf numFmtId="0" fontId="55" fillId="0" borderId="413" applyNumberFormat="0" applyFill="0" applyBorder="0" applyAlignment="0" applyProtection="0"/>
    <xf numFmtId="5" fontId="64" fillId="0" borderId="329" applyAlignment="0" applyProtection="0"/>
    <xf numFmtId="0" fontId="112" fillId="0" borderId="297"/>
    <xf numFmtId="37" fontId="24" fillId="0" borderId="344" applyBorder="0">
      <alignment horizontal="right"/>
      <protection locked="0"/>
    </xf>
    <xf numFmtId="0" fontId="147" fillId="0" borderId="268"/>
    <xf numFmtId="0" fontId="88" fillId="0" borderId="284" applyNumberFormat="0" applyFill="0" applyBorder="0" applyAlignment="0" applyProtection="0"/>
    <xf numFmtId="338" fontId="24" fillId="0" borderId="267" applyBorder="0">
      <alignment horizontal="right"/>
    </xf>
    <xf numFmtId="0" fontId="112" fillId="0" borderId="344"/>
    <xf numFmtId="1" fontId="54" fillId="0" borderId="388" applyNumberFormat="0" applyFont="0" applyFill="0" applyProtection="0">
      <alignment horizontal="center"/>
    </xf>
    <xf numFmtId="5" fontId="64" fillId="0" borderId="388" applyAlignment="0" applyProtection="0"/>
    <xf numFmtId="0" fontId="126" fillId="64" borderId="300" applyBorder="0">
      <alignment horizontal="center" vertical="center" wrapText="1"/>
    </xf>
    <xf numFmtId="5" fontId="64" fillId="0" borderId="316" applyAlignment="0" applyProtection="0"/>
    <xf numFmtId="5" fontId="64" fillId="0" borderId="316" applyAlignment="0" applyProtection="0"/>
    <xf numFmtId="5" fontId="64" fillId="0" borderId="388" applyAlignment="0" applyProtection="0"/>
    <xf numFmtId="0" fontId="126" fillId="64" borderId="348">
      <alignment horizontal="left" vertical="center"/>
    </xf>
    <xf numFmtId="0" fontId="55" fillId="0" borderId="402" applyNumberFormat="0" applyFill="0" applyBorder="0" applyAlignment="0" applyProtection="0"/>
    <xf numFmtId="0" fontId="101" fillId="61" borderId="404"/>
    <xf numFmtId="0" fontId="112" fillId="0" borderId="344"/>
    <xf numFmtId="37" fontId="85" fillId="58" borderId="406" applyBorder="0" applyProtection="0">
      <alignment vertical="center"/>
    </xf>
    <xf numFmtId="0" fontId="55" fillId="0" borderId="344">
      <alignment horizontal="center"/>
    </xf>
    <xf numFmtId="5" fontId="64" fillId="0" borderId="316" applyAlignment="0" applyProtection="0"/>
    <xf numFmtId="0" fontId="54" fillId="0" borderId="319" applyNumberFormat="0" applyFill="0" applyAlignment="0" applyProtection="0"/>
    <xf numFmtId="338" fontId="24" fillId="0" borderId="327" applyBorder="0">
      <alignment horizontal="right"/>
    </xf>
    <xf numFmtId="5" fontId="64" fillId="0" borderId="363" applyAlignment="0" applyProtection="0"/>
    <xf numFmtId="37" fontId="85" fillId="58" borderId="357" applyBorder="0" applyProtection="0">
      <alignment vertical="center"/>
    </xf>
    <xf numFmtId="0" fontId="112" fillId="0" borderId="404"/>
    <xf numFmtId="37" fontId="85" fillId="58" borderId="312" applyBorder="0" applyProtection="0">
      <alignment vertical="center"/>
    </xf>
    <xf numFmtId="0" fontId="49" fillId="0" borderId="274" applyNumberFormat="0" applyFill="0" applyAlignment="0" applyProtection="0"/>
    <xf numFmtId="0" fontId="101" fillId="61" borderId="404"/>
    <xf numFmtId="0" fontId="122" fillId="0" borderId="324">
      <alignment horizontal="left" vertical="center"/>
    </xf>
    <xf numFmtId="5" fontId="64" fillId="0" borderId="329" applyAlignment="0" applyProtection="0"/>
    <xf numFmtId="0" fontId="101" fillId="61" borderId="286"/>
    <xf numFmtId="37" fontId="85" fillId="58" borderId="377" applyBorder="0" applyProtection="0">
      <alignment vertical="center"/>
    </xf>
    <xf numFmtId="0" fontId="122" fillId="62" borderId="344">
      <alignment horizontal="center" vertical="center" wrapText="1"/>
      <protection hidden="1"/>
    </xf>
    <xf numFmtId="0" fontId="122" fillId="0" borderId="347">
      <alignment horizontal="left" vertical="center"/>
    </xf>
    <xf numFmtId="338" fontId="24" fillId="0" borderId="361" applyBorder="0">
      <alignment horizontal="right"/>
    </xf>
    <xf numFmtId="0" fontId="112" fillId="0" borderId="286"/>
    <xf numFmtId="5" fontId="64" fillId="0" borderId="363" applyAlignment="0" applyProtection="0"/>
    <xf numFmtId="0" fontId="101" fillId="61" borderId="344"/>
    <xf numFmtId="0" fontId="54" fillId="0" borderId="342" applyNumberFormat="0" applyFill="0" applyAlignment="0" applyProtection="0"/>
    <xf numFmtId="37" fontId="85" fillId="58" borderId="335" applyBorder="0" applyProtection="0">
      <alignment vertical="center"/>
    </xf>
    <xf numFmtId="37" fontId="85" fillId="58" borderId="301" applyBorder="0" applyProtection="0">
      <alignment vertical="center"/>
    </xf>
    <xf numFmtId="0" fontId="112" fillId="0" borderId="303"/>
    <xf numFmtId="0" fontId="112" fillId="0" borderId="303"/>
    <xf numFmtId="0" fontId="56" fillId="36" borderId="279">
      <alignment horizontal="center"/>
    </xf>
    <xf numFmtId="0" fontId="126" fillId="64" borderId="309">
      <alignment horizontal="left" vertical="center"/>
    </xf>
    <xf numFmtId="0" fontId="122" fillId="62" borderId="303">
      <alignment horizontal="center" vertical="center" wrapText="1"/>
      <protection hidden="1"/>
    </xf>
    <xf numFmtId="0" fontId="49" fillId="0" borderId="245" applyNumberFormat="0" applyFill="0" applyAlignment="0" applyProtection="0"/>
    <xf numFmtId="0" fontId="49" fillId="0" borderId="245" applyNumberFormat="0" applyFill="0" applyAlignment="0" applyProtection="0"/>
    <xf numFmtId="0" fontId="49" fillId="0" borderId="245" applyNumberFormat="0" applyFill="0" applyAlignment="0" applyProtection="0"/>
    <xf numFmtId="5" fontId="64" fillId="0" borderId="316" applyAlignment="0" applyProtection="0"/>
    <xf numFmtId="5" fontId="64" fillId="0" borderId="329" applyAlignment="0" applyProtection="0"/>
    <xf numFmtId="5" fontId="64" fillId="0" borderId="388" applyAlignment="0" applyProtection="0"/>
    <xf numFmtId="2" fontId="24" fillId="36" borderId="377" applyFill="0" applyBorder="0" applyProtection="0">
      <alignment horizontal="center"/>
    </xf>
    <xf numFmtId="37" fontId="85" fillId="58" borderId="323" applyBorder="0" applyProtection="0">
      <alignment vertical="center"/>
    </xf>
    <xf numFmtId="0" fontId="52" fillId="32" borderId="297"/>
    <xf numFmtId="5" fontId="64" fillId="0" borderId="388" applyAlignment="0" applyProtection="0"/>
    <xf numFmtId="0" fontId="112" fillId="0" borderId="286"/>
    <xf numFmtId="5" fontId="64" fillId="0" borderId="316" applyAlignment="0" applyProtection="0"/>
    <xf numFmtId="0" fontId="55" fillId="0" borderId="295" applyNumberFormat="0" applyFill="0" applyBorder="0" applyAlignment="0" applyProtection="0"/>
    <xf numFmtId="5" fontId="64" fillId="0" borderId="292" applyAlignment="0" applyProtection="0"/>
    <xf numFmtId="5" fontId="64" fillId="0" borderId="292" applyAlignment="0" applyProtection="0"/>
    <xf numFmtId="0" fontId="122" fillId="0" borderId="293">
      <alignment horizontal="left" vertical="center"/>
    </xf>
    <xf numFmtId="0" fontId="87" fillId="0" borderId="391" applyNumberFormat="0" applyFill="0" applyBorder="0" applyAlignment="0" applyProtection="0"/>
    <xf numFmtId="0" fontId="49" fillId="0" borderId="283" applyNumberFormat="0" applyFill="0" applyAlignment="0" applyProtection="0"/>
    <xf numFmtId="177" fontId="33" fillId="0" borderId="363"/>
    <xf numFmtId="5" fontId="64" fillId="0" borderId="329" applyAlignment="0" applyProtection="0"/>
    <xf numFmtId="0" fontId="49" fillId="0" borderId="401" applyNumberFormat="0" applyFill="0" applyAlignment="0" applyProtection="0"/>
    <xf numFmtId="5" fontId="64" fillId="0" borderId="316" applyAlignment="0" applyProtection="0"/>
    <xf numFmtId="0" fontId="122" fillId="0" borderId="315">
      <alignment horizontal="left" vertical="center"/>
    </xf>
    <xf numFmtId="0" fontId="101" fillId="61" borderId="303"/>
    <xf numFmtId="0" fontId="112" fillId="0" borderId="297"/>
    <xf numFmtId="0" fontId="138" fillId="0" borderId="317" applyNumberFormat="0" applyFill="0" applyBorder="0" applyAlignment="0">
      <protection locked="0"/>
    </xf>
    <xf numFmtId="8" fontId="131" fillId="0" borderId="298" applyNumberFormat="0" applyFill="0" applyBorder="0" applyAlignment="0" applyProtection="0"/>
    <xf numFmtId="0" fontId="49" fillId="0" borderId="364" applyNumberFormat="0" applyFill="0" applyAlignment="0" applyProtection="0"/>
    <xf numFmtId="338" fontId="24" fillId="0" borderId="313" applyBorder="0">
      <alignment horizontal="right"/>
    </xf>
    <xf numFmtId="5" fontId="64" fillId="0" borderId="316" applyAlignment="0" applyProtection="0"/>
    <xf numFmtId="0" fontId="112" fillId="0" borderId="297"/>
    <xf numFmtId="0" fontId="101" fillId="61" borderId="297"/>
    <xf numFmtId="5" fontId="64" fillId="0" borderId="388" applyAlignment="0" applyProtection="0"/>
    <xf numFmtId="0" fontId="101" fillId="61" borderId="286"/>
    <xf numFmtId="0" fontId="101" fillId="61" borderId="286"/>
    <xf numFmtId="0" fontId="122" fillId="62" borderId="404">
      <alignment horizontal="center" vertical="center" wrapText="1"/>
      <protection hidden="1"/>
    </xf>
    <xf numFmtId="177" fontId="33" fillId="0" borderId="329"/>
    <xf numFmtId="37" fontId="85" fillId="58" borderId="346" applyBorder="0" applyProtection="0">
      <alignment vertical="center"/>
    </xf>
    <xf numFmtId="37" fontId="85" fillId="58" borderId="301" applyBorder="0" applyProtection="0">
      <alignment vertical="center"/>
    </xf>
    <xf numFmtId="5" fontId="64" fillId="0" borderId="316" applyAlignment="0" applyProtection="0"/>
    <xf numFmtId="37" fontId="85" fillId="58" borderId="357" applyBorder="0" applyProtection="0">
      <alignment vertical="center"/>
    </xf>
    <xf numFmtId="5" fontId="64" fillId="0" borderId="363" applyAlignment="0" applyProtection="0"/>
    <xf numFmtId="0" fontId="88" fillId="0" borderId="284" applyNumberFormat="0" applyFill="0" applyBorder="0" applyAlignment="0" applyProtection="0"/>
    <xf numFmtId="5" fontId="64" fillId="0" borderId="316" applyAlignment="0" applyProtection="0"/>
    <xf numFmtId="37" fontId="85" fillId="58" borderId="389" applyBorder="0" applyProtection="0">
      <alignment vertical="center"/>
    </xf>
    <xf numFmtId="8" fontId="131" fillId="0" borderId="298" applyNumberFormat="0" applyFill="0" applyBorder="0" applyAlignment="0" applyProtection="0"/>
    <xf numFmtId="5" fontId="64" fillId="0" borderId="316" applyAlignment="0" applyProtection="0"/>
    <xf numFmtId="301" fontId="94" fillId="0" borderId="363" applyFont="0" applyFill="0" applyBorder="0" applyAlignment="0" applyProtection="0">
      <alignment horizontal="center"/>
    </xf>
    <xf numFmtId="0" fontId="112" fillId="0" borderId="303"/>
    <xf numFmtId="5" fontId="64" fillId="0" borderId="316" applyAlignment="0" applyProtection="0"/>
    <xf numFmtId="0" fontId="101" fillId="61" borderId="393"/>
    <xf numFmtId="5" fontId="64" fillId="0" borderId="329" applyAlignment="0" applyProtection="0"/>
    <xf numFmtId="0" fontId="48" fillId="65" borderId="287">
      <alignment horizontal="left" vertical="center" wrapText="1"/>
    </xf>
    <xf numFmtId="0" fontId="48" fillId="65" borderId="287">
      <alignment horizontal="left" vertical="center" wrapText="1"/>
    </xf>
    <xf numFmtId="338" fontId="24" fillId="0" borderId="289" applyBorder="0">
      <alignment horizontal="right"/>
    </xf>
    <xf numFmtId="37" fontId="85" fillId="58" borderId="301" applyBorder="0" applyProtection="0">
      <alignment vertical="center"/>
    </xf>
    <xf numFmtId="8" fontId="131" fillId="0" borderId="308" applyNumberFormat="0" applyFill="0" applyBorder="0" applyAlignment="0" applyProtection="0"/>
    <xf numFmtId="2" fontId="24" fillId="36" borderId="301" applyFill="0" applyBorder="0" applyProtection="0">
      <alignment horizontal="center"/>
    </xf>
    <xf numFmtId="0" fontId="48" fillId="65" borderId="309">
      <alignment horizontal="left" vertical="center" wrapText="1"/>
    </xf>
    <xf numFmtId="338" fontId="24" fillId="0" borderId="313" applyBorder="0">
      <alignment horizontal="right"/>
    </xf>
    <xf numFmtId="185" fontId="54" fillId="0" borderId="388" applyFont="0" applyFill="0" applyBorder="0" applyAlignment="0" applyProtection="0">
      <alignment horizontal="center"/>
    </xf>
    <xf numFmtId="5" fontId="64" fillId="0" borderId="400" applyAlignment="0" applyProtection="0"/>
    <xf numFmtId="0" fontId="101" fillId="61" borderId="404"/>
    <xf numFmtId="177" fontId="33" fillId="0" borderId="329"/>
    <xf numFmtId="0" fontId="100" fillId="43" borderId="307" applyNumberFormat="0" applyAlignment="0" applyProtection="0"/>
    <xf numFmtId="2" fontId="24" fillId="36" borderId="323" applyFill="0" applyBorder="0" applyProtection="0">
      <alignment horizontal="center"/>
    </xf>
    <xf numFmtId="5" fontId="64" fillId="0" borderId="329" applyAlignment="0" applyProtection="0"/>
    <xf numFmtId="0" fontId="101" fillId="61" borderId="404"/>
    <xf numFmtId="37" fontId="85" fillId="58" borderId="301" applyBorder="0" applyProtection="0">
      <alignment vertical="center"/>
    </xf>
    <xf numFmtId="37" fontId="85" fillId="58" borderId="406" applyBorder="0" applyProtection="0">
      <alignment vertical="center"/>
    </xf>
    <xf numFmtId="5" fontId="64" fillId="0" borderId="400" applyAlignment="0" applyProtection="0"/>
    <xf numFmtId="0" fontId="87" fillId="0" borderId="295" applyNumberFormat="0" applyFill="0" applyBorder="0" applyAlignment="0" applyProtection="0"/>
    <xf numFmtId="5" fontId="64" fillId="0" borderId="316" applyAlignment="0" applyProtection="0"/>
    <xf numFmtId="0" fontId="122" fillId="62" borderId="297">
      <alignment horizontal="center" vertical="center" wrapText="1"/>
      <protection hidden="1"/>
    </xf>
    <xf numFmtId="0" fontId="48" fillId="65" borderId="408">
      <alignment horizontal="left" vertical="center" wrapText="1"/>
    </xf>
    <xf numFmtId="37" fontId="53" fillId="1" borderId="316">
      <alignment horizontal="centerContinuous" vertical="center"/>
    </xf>
    <xf numFmtId="0" fontId="148" fillId="1" borderId="347" applyNumberFormat="0" applyFont="0" applyAlignment="0">
      <alignment horizontal="center"/>
    </xf>
    <xf numFmtId="5" fontId="64" fillId="0" borderId="363" applyAlignment="0" applyProtection="0"/>
    <xf numFmtId="37" fontId="53" fillId="1" borderId="316">
      <alignment horizontal="centerContinuous" vertical="center"/>
    </xf>
    <xf numFmtId="0" fontId="87" fillId="0" borderId="295" applyNumberFormat="0" applyFill="0" applyBorder="0" applyAlignment="0" applyProtection="0"/>
    <xf numFmtId="37" fontId="85" fillId="58" borderId="291" applyBorder="0" applyProtection="0">
      <alignment vertical="center"/>
    </xf>
    <xf numFmtId="37" fontId="53" fillId="1" borderId="292">
      <alignment horizontal="centerContinuous" vertical="center"/>
    </xf>
    <xf numFmtId="5" fontId="64" fillId="0" borderId="292" applyAlignment="0" applyProtection="0"/>
    <xf numFmtId="5" fontId="64" fillId="0" borderId="292" applyAlignment="0" applyProtection="0"/>
    <xf numFmtId="5" fontId="64" fillId="0" borderId="292" applyAlignment="0" applyProtection="0"/>
    <xf numFmtId="185" fontId="54" fillId="0" borderId="292" applyFont="0" applyFill="0" applyBorder="0" applyAlignment="0" applyProtection="0">
      <alignment horizontal="center"/>
    </xf>
    <xf numFmtId="0" fontId="101" fillId="61" borderId="279"/>
    <xf numFmtId="0" fontId="112" fillId="0" borderId="279"/>
    <xf numFmtId="0" fontId="101" fillId="61" borderId="279"/>
    <xf numFmtId="0" fontId="122" fillId="62" borderId="279">
      <alignment horizontal="center" vertical="center" wrapText="1"/>
      <protection hidden="1"/>
    </xf>
    <xf numFmtId="0" fontId="88" fillId="0" borderId="319" applyNumberFormat="0" applyFill="0" applyBorder="0" applyAlignment="0" applyProtection="0"/>
    <xf numFmtId="5" fontId="64" fillId="0" borderId="329" applyAlignment="0" applyProtection="0"/>
    <xf numFmtId="0" fontId="101" fillId="61" borderId="321"/>
    <xf numFmtId="5" fontId="64" fillId="0" borderId="388" applyAlignment="0" applyProtection="0"/>
    <xf numFmtId="247" fontId="28" fillId="0" borderId="317"/>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0" fontId="112" fillId="0" borderId="404"/>
    <xf numFmtId="0" fontId="54" fillId="0" borderId="331" applyNumberFormat="0" applyFill="0" applyAlignment="0" applyProtection="0"/>
    <xf numFmtId="37" fontId="85" fillId="58" borderId="346" applyBorder="0" applyProtection="0">
      <alignment vertical="center"/>
    </xf>
    <xf numFmtId="0" fontId="101" fillId="61" borderId="297"/>
    <xf numFmtId="5" fontId="64" fillId="0" borderId="329" applyAlignment="0" applyProtection="0"/>
    <xf numFmtId="5" fontId="64" fillId="0" borderId="329" applyAlignment="0" applyProtection="0"/>
    <xf numFmtId="37" fontId="85" fillId="58" borderId="282" applyBorder="0" applyProtection="0">
      <alignment vertical="center"/>
    </xf>
    <xf numFmtId="5" fontId="64" fillId="0" borderId="363" applyAlignment="0" applyProtection="0"/>
    <xf numFmtId="0" fontId="126" fillId="64" borderId="348">
      <alignment horizontal="left" vertical="center"/>
    </xf>
    <xf numFmtId="5" fontId="64" fillId="0" borderId="316" applyAlignment="0" applyProtection="0"/>
    <xf numFmtId="5" fontId="64" fillId="0" borderId="388" applyAlignment="0" applyProtection="0"/>
    <xf numFmtId="0" fontId="101" fillId="61" borderId="344"/>
    <xf numFmtId="5" fontId="64" fillId="0" borderId="316" applyAlignment="0" applyProtection="0"/>
    <xf numFmtId="0" fontId="54" fillId="0" borderId="413" applyNumberFormat="0" applyFill="0" applyAlignment="0" applyProtection="0"/>
    <xf numFmtId="37" fontId="85" fillId="58" borderId="301" applyBorder="0" applyProtection="0">
      <alignment vertical="center"/>
    </xf>
    <xf numFmtId="0" fontId="88" fillId="0" borderId="331" applyNumberFormat="0" applyFill="0" applyBorder="0" applyAlignment="0" applyProtection="0"/>
    <xf numFmtId="37" fontId="85" fillId="58" borderId="357" applyBorder="0" applyProtection="0">
      <alignment vertical="center"/>
    </xf>
    <xf numFmtId="0" fontId="101" fillId="61" borderId="303"/>
    <xf numFmtId="37" fontId="53" fillId="1" borderId="363">
      <alignment horizontal="centerContinuous" vertical="center"/>
    </xf>
    <xf numFmtId="0" fontId="101" fillId="61" borderId="297"/>
    <xf numFmtId="185" fontId="54" fillId="0" borderId="363" applyFont="0" applyFill="0" applyBorder="0" applyAlignment="0" applyProtection="0">
      <alignment horizontal="center"/>
    </xf>
    <xf numFmtId="0" fontId="112" fillId="0" borderId="321"/>
    <xf numFmtId="5" fontId="64" fillId="0" borderId="316" applyAlignment="0" applyProtection="0"/>
    <xf numFmtId="5" fontId="64" fillId="0" borderId="316" applyAlignment="0" applyProtection="0"/>
    <xf numFmtId="0" fontId="147" fillId="0" borderId="351"/>
    <xf numFmtId="0" fontId="48" fillId="65" borderId="348">
      <alignment horizontal="left" vertical="center" wrapText="1"/>
    </xf>
    <xf numFmtId="5" fontId="64" fillId="0" borderId="388" applyAlignment="0" applyProtection="0"/>
    <xf numFmtId="5" fontId="64" fillId="0" borderId="316" applyAlignment="0" applyProtection="0"/>
    <xf numFmtId="338" fontId="24" fillId="0" borderId="313" applyBorder="0">
      <alignment horizontal="right"/>
    </xf>
    <xf numFmtId="5" fontId="64" fillId="0" borderId="400" applyAlignment="0" applyProtection="0"/>
    <xf numFmtId="5" fontId="64" fillId="0" borderId="316" applyAlignment="0" applyProtection="0"/>
    <xf numFmtId="5" fontId="64" fillId="0" borderId="329" applyAlignment="0" applyProtection="0"/>
    <xf numFmtId="0" fontId="112" fillId="0" borderId="303"/>
    <xf numFmtId="0" fontId="112" fillId="0" borderId="344"/>
    <xf numFmtId="37" fontId="85" fillId="58" borderId="269" applyBorder="0" applyProtection="0">
      <alignment vertical="center"/>
    </xf>
    <xf numFmtId="37" fontId="85" fillId="58" borderId="269" applyBorder="0" applyProtection="0">
      <alignment vertical="center"/>
    </xf>
    <xf numFmtId="0" fontId="52" fillId="32" borderId="238">
      <alignment horizontal="center"/>
    </xf>
    <xf numFmtId="0" fontId="53" fillId="35" borderId="238">
      <alignment horizontal="center" vertical="center"/>
    </xf>
    <xf numFmtId="3" fontId="54" fillId="0" borderId="238"/>
    <xf numFmtId="4" fontId="54" fillId="0" borderId="238"/>
    <xf numFmtId="218" fontId="24" fillId="0" borderId="238">
      <alignment horizontal="center" vertical="center"/>
    </xf>
    <xf numFmtId="0" fontId="55" fillId="0" borderId="238">
      <alignment horizontal="center"/>
    </xf>
    <xf numFmtId="0" fontId="56" fillId="36" borderId="238">
      <alignment horizontal="center"/>
    </xf>
    <xf numFmtId="0" fontId="52" fillId="32" borderId="238"/>
    <xf numFmtId="0" fontId="53" fillId="35" borderId="238">
      <alignment horizontal="center" vertical="center"/>
    </xf>
    <xf numFmtId="0" fontId="112" fillId="0" borderId="259"/>
    <xf numFmtId="0" fontId="112" fillId="0" borderId="297"/>
    <xf numFmtId="0" fontId="112" fillId="0" borderId="344"/>
    <xf numFmtId="0" fontId="112" fillId="0" borderId="259"/>
    <xf numFmtId="0" fontId="112" fillId="0" borderId="259"/>
    <xf numFmtId="5" fontId="64" fillId="0" borderId="316" applyAlignment="0" applyProtection="0"/>
    <xf numFmtId="0" fontId="122" fillId="62" borderId="286">
      <alignment horizontal="center" vertical="center" wrapText="1"/>
      <protection hidden="1"/>
    </xf>
    <xf numFmtId="5" fontId="64" fillId="0" borderId="388" applyAlignment="0" applyProtection="0"/>
    <xf numFmtId="5" fontId="64" fillId="0" borderId="292" applyAlignment="0" applyProtection="0"/>
    <xf numFmtId="0" fontId="126" fillId="64" borderId="262" applyBorder="0">
      <alignment horizontal="center" vertical="center" wrapText="1"/>
    </xf>
    <xf numFmtId="0" fontId="148" fillId="1" borderId="315" applyNumberFormat="0" applyFont="0" applyAlignment="0">
      <alignment horizontal="center"/>
    </xf>
    <xf numFmtId="37" fontId="53" fillId="1" borderId="329">
      <alignment horizontal="centerContinuous" vertical="center"/>
    </xf>
    <xf numFmtId="0" fontId="101" fillId="61" borderId="379"/>
    <xf numFmtId="37" fontId="85" fillId="58" borderId="282" applyBorder="0" applyProtection="0">
      <alignment vertical="center"/>
    </xf>
    <xf numFmtId="0" fontId="48" fillId="65" borderId="261">
      <alignment horizontal="left" vertical="center" wrapText="1"/>
    </xf>
    <xf numFmtId="8" fontId="131" fillId="0" borderId="260" applyNumberFormat="0" applyFill="0" applyBorder="0" applyAlignment="0" applyProtection="0"/>
    <xf numFmtId="0" fontId="55" fillId="0" borderId="413" applyNumberFormat="0" applyFill="0" applyBorder="0" applyAlignment="0" applyProtection="0"/>
    <xf numFmtId="5" fontId="64" fillId="0" borderId="316" applyAlignment="0" applyProtection="0"/>
    <xf numFmtId="0" fontId="122" fillId="62" borderId="303">
      <alignment horizontal="center" vertical="center" wrapText="1"/>
      <protection hidden="1"/>
    </xf>
    <xf numFmtId="338" fontId="24" fillId="0" borderId="327" applyBorder="0">
      <alignment horizontal="right"/>
    </xf>
    <xf numFmtId="0" fontId="122" fillId="0" borderId="407">
      <alignment horizontal="left" vertical="center"/>
    </xf>
    <xf numFmtId="0" fontId="87" fillId="0" borderId="295" applyNumberFormat="0" applyFill="0" applyBorder="0" applyAlignment="0" applyProtection="0"/>
    <xf numFmtId="0" fontId="54" fillId="0" borderId="331" applyNumberFormat="0" applyFill="0" applyAlignment="0" applyProtection="0"/>
    <xf numFmtId="0" fontId="112" fillId="0" borderId="321"/>
    <xf numFmtId="37" fontId="24" fillId="0" borderId="259" applyBorder="0">
      <alignment horizontal="right"/>
      <protection locked="0"/>
    </xf>
    <xf numFmtId="0" fontId="147" fillId="0" borderId="351"/>
    <xf numFmtId="5" fontId="64" fillId="0" borderId="400" applyAlignment="0" applyProtection="0"/>
    <xf numFmtId="0" fontId="53" fillId="35" borderId="259">
      <alignment horizontal="center" vertical="center"/>
    </xf>
    <xf numFmtId="0" fontId="54" fillId="0" borderId="413" applyNumberFormat="0" applyFill="0" applyAlignment="0" applyProtection="0"/>
    <xf numFmtId="0" fontId="87" fillId="0" borderId="284" applyNumberFormat="0" applyFill="0" applyBorder="0" applyAlignment="0" applyProtection="0"/>
    <xf numFmtId="5" fontId="64" fillId="0" borderId="292" applyAlignment="0" applyProtection="0"/>
    <xf numFmtId="0" fontId="101" fillId="61" borderId="404"/>
    <xf numFmtId="0" fontId="101" fillId="61" borderId="286"/>
    <xf numFmtId="0" fontId="55" fillId="0" borderId="342" applyNumberFormat="0" applyFill="0" applyBorder="0" applyAlignment="0" applyProtection="0"/>
    <xf numFmtId="37" fontId="24" fillId="0" borderId="279" applyBorder="0">
      <alignment horizontal="right"/>
      <protection locked="0"/>
    </xf>
    <xf numFmtId="5" fontId="64" fillId="0" borderId="363" applyAlignment="0" applyProtection="0"/>
    <xf numFmtId="5" fontId="64" fillId="0" borderId="329" applyAlignment="0" applyProtection="0"/>
    <xf numFmtId="5" fontId="64" fillId="0" borderId="329" applyAlignment="0" applyProtection="0"/>
    <xf numFmtId="0" fontId="112" fillId="0" borderId="303"/>
    <xf numFmtId="37" fontId="85" fillId="58" borderId="323" applyBorder="0" applyProtection="0">
      <alignment vertical="center"/>
    </xf>
    <xf numFmtId="0" fontId="112" fillId="0" borderId="303"/>
    <xf numFmtId="0" fontId="101" fillId="61" borderId="344"/>
    <xf numFmtId="0" fontId="112" fillId="0" borderId="297"/>
    <xf numFmtId="0" fontId="54" fillId="0" borderId="284" applyNumberFormat="0" applyFill="0" applyAlignment="0" applyProtection="0"/>
    <xf numFmtId="0" fontId="101" fillId="61" borderId="404"/>
    <xf numFmtId="0" fontId="88" fillId="0" borderId="391" applyNumberFormat="0" applyFill="0" applyBorder="0" applyAlignment="0" applyProtection="0"/>
    <xf numFmtId="0" fontId="112" fillId="0" borderId="344"/>
    <xf numFmtId="0" fontId="88" fillId="0" borderId="319" applyNumberFormat="0" applyFill="0" applyBorder="0" applyAlignment="0" applyProtection="0"/>
    <xf numFmtId="1" fontId="54" fillId="0" borderId="271" applyNumberFormat="0" applyFont="0" applyFill="0" applyProtection="0">
      <alignment horizontal="center"/>
    </xf>
    <xf numFmtId="37" fontId="24" fillId="0" borderId="270" applyBorder="0">
      <alignment horizontal="right"/>
      <protection locked="0"/>
    </xf>
    <xf numFmtId="0" fontId="112" fillId="0" borderId="270"/>
    <xf numFmtId="0" fontId="112" fillId="0" borderId="27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5" fontId="64" fillId="0" borderId="271" applyAlignment="0" applyProtection="0"/>
    <xf numFmtId="0" fontId="88" fillId="0" borderId="402" applyNumberFormat="0" applyFill="0" applyBorder="0" applyAlignment="0" applyProtection="0"/>
    <xf numFmtId="37" fontId="85" fillId="58" borderId="377" applyBorder="0" applyProtection="0">
      <alignment vertical="center"/>
    </xf>
    <xf numFmtId="0" fontId="55" fillId="0" borderId="306" applyNumberFormat="0" applyFill="0" applyBorder="0" applyAlignment="0" applyProtection="0"/>
    <xf numFmtId="37" fontId="24" fillId="0" borderId="286" applyBorder="0">
      <alignment horizontal="right"/>
      <protection locked="0"/>
    </xf>
    <xf numFmtId="5" fontId="64" fillId="0" borderId="329" applyAlignment="0" applyProtection="0"/>
    <xf numFmtId="5" fontId="64" fillId="0" borderId="388" applyAlignment="0" applyProtection="0"/>
    <xf numFmtId="0" fontId="112" fillId="0" borderId="344"/>
    <xf numFmtId="0" fontId="88" fillId="0" borderId="295" applyNumberFormat="0" applyFill="0" applyBorder="0" applyAlignment="0" applyProtection="0"/>
    <xf numFmtId="0" fontId="87" fillId="0" borderId="284" applyNumberFormat="0" applyFill="0" applyBorder="0" applyAlignment="0" applyProtection="0"/>
    <xf numFmtId="0" fontId="126" fillId="64" borderId="277">
      <alignment horizontal="left" vertical="center"/>
    </xf>
    <xf numFmtId="37" fontId="85" fillId="58" borderId="291" applyBorder="0" applyProtection="0">
      <alignment vertical="center"/>
    </xf>
    <xf numFmtId="37" fontId="85" fillId="58" borderId="346" applyBorder="0" applyProtection="0">
      <alignment vertical="center"/>
    </xf>
    <xf numFmtId="0" fontId="49" fillId="0" borderId="294" applyNumberFormat="0" applyFill="0" applyAlignment="0" applyProtection="0"/>
    <xf numFmtId="5" fontId="64" fillId="0" borderId="363" applyAlignment="0" applyProtection="0"/>
    <xf numFmtId="0" fontId="54" fillId="0" borderId="284" applyNumberFormat="0" applyFill="0" applyAlignment="0" applyProtection="0"/>
    <xf numFmtId="0" fontId="122" fillId="0" borderId="324">
      <alignment horizontal="left" vertical="center"/>
    </xf>
    <xf numFmtId="0" fontId="54" fillId="0" borderId="295" applyNumberFormat="0" applyFill="0" applyAlignment="0" applyProtection="0"/>
    <xf numFmtId="0" fontId="101" fillId="61" borderId="344"/>
    <xf numFmtId="0" fontId="101" fillId="61" borderId="286"/>
    <xf numFmtId="0" fontId="55" fillId="0" borderId="342" applyNumberFormat="0" applyFill="0" applyBorder="0" applyAlignment="0" applyProtection="0"/>
    <xf numFmtId="0" fontId="52" fillId="32" borderId="270">
      <alignment horizontal="center"/>
    </xf>
    <xf numFmtId="5" fontId="64" fillId="0" borderId="329" applyAlignment="0" applyProtection="0"/>
    <xf numFmtId="37" fontId="85" fillId="58" borderId="323" applyBorder="0" applyProtection="0">
      <alignment vertical="center"/>
    </xf>
    <xf numFmtId="5" fontId="64" fillId="0" borderId="388" applyAlignment="0" applyProtection="0"/>
    <xf numFmtId="0" fontId="101" fillId="61" borderId="303"/>
    <xf numFmtId="2" fontId="24" fillId="36" borderId="301" applyFill="0" applyBorder="0" applyProtection="0">
      <alignment horizontal="center"/>
    </xf>
    <xf numFmtId="301" fontId="94" fillId="0" borderId="363" applyFont="0" applyFill="0" applyBorder="0" applyAlignment="0" applyProtection="0">
      <alignment horizontal="center"/>
    </xf>
    <xf numFmtId="0" fontId="49" fillId="0" borderId="341" applyNumberFormat="0" applyFill="0" applyAlignment="0" applyProtection="0"/>
    <xf numFmtId="5" fontId="64" fillId="0" borderId="292" applyAlignment="0" applyProtection="0"/>
    <xf numFmtId="0" fontId="147" fillId="0" borderId="411"/>
    <xf numFmtId="0" fontId="101" fillId="61" borderId="404"/>
    <xf numFmtId="1" fontId="54" fillId="0" borderId="388" applyNumberFormat="0" applyFont="0" applyFill="0" applyProtection="0">
      <alignment horizontal="center"/>
    </xf>
    <xf numFmtId="37" fontId="24" fillId="0" borderId="286" applyBorder="0">
      <alignment horizontal="right"/>
      <protection locked="0"/>
    </xf>
    <xf numFmtId="5" fontId="64" fillId="0" borderId="316" applyAlignment="0" applyProtection="0"/>
    <xf numFmtId="5" fontId="64" fillId="0" borderId="400" applyAlignment="0" applyProtection="0"/>
    <xf numFmtId="37" fontId="53" fillId="1" borderId="388">
      <alignment horizontal="centerContinuous" vertical="center"/>
    </xf>
    <xf numFmtId="37" fontId="85" fillId="58" borderId="377" applyBorder="0" applyProtection="0">
      <alignment vertical="center"/>
    </xf>
    <xf numFmtId="5" fontId="64" fillId="0" borderId="316" applyAlignment="0" applyProtection="0"/>
    <xf numFmtId="37" fontId="85" fillId="58" borderId="282" applyBorder="0" applyProtection="0">
      <alignment vertical="center"/>
    </xf>
    <xf numFmtId="0" fontId="101" fillId="61" borderId="379"/>
    <xf numFmtId="0" fontId="112" fillId="0" borderId="379"/>
    <xf numFmtId="0" fontId="55" fillId="0" borderId="342" applyNumberFormat="0" applyFill="0" applyBorder="0" applyAlignment="0" applyProtection="0"/>
    <xf numFmtId="37" fontId="85" fillId="58" borderId="269" applyBorder="0" applyProtection="0">
      <alignment vertical="center"/>
    </xf>
    <xf numFmtId="5" fontId="64" fillId="0" borderId="263" applyAlignment="0" applyProtection="0"/>
    <xf numFmtId="0" fontId="54" fillId="0" borderId="275" applyNumberFormat="0" applyFill="0" applyAlignment="0" applyProtection="0"/>
    <xf numFmtId="0" fontId="87" fillId="0" borderId="275" applyNumberFormat="0" applyFill="0" applyBorder="0"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12" fillId="0" borderId="259"/>
    <xf numFmtId="0" fontId="101" fillId="61" borderId="259"/>
    <xf numFmtId="5" fontId="64" fillId="0" borderId="263" applyAlignment="0" applyProtection="0"/>
    <xf numFmtId="5" fontId="64" fillId="0" borderId="263" applyAlignment="0" applyProtection="0"/>
    <xf numFmtId="0" fontId="101" fillId="61" borderId="344"/>
    <xf numFmtId="0" fontId="101" fillId="61" borderId="259"/>
    <xf numFmtId="0" fontId="101" fillId="61" borderId="259"/>
    <xf numFmtId="0" fontId="112" fillId="0" borderId="259"/>
    <xf numFmtId="0" fontId="112" fillId="0" borderId="259"/>
    <xf numFmtId="301" fontId="94" fillId="0" borderId="263" applyFont="0" applyFill="0" applyBorder="0" applyAlignment="0" applyProtection="0">
      <alignment horizontal="center"/>
    </xf>
    <xf numFmtId="37" fontId="85" fillId="58" borderId="282" applyBorder="0" applyProtection="0">
      <alignment vertical="center"/>
    </xf>
    <xf numFmtId="1" fontId="54" fillId="0" borderId="263" applyNumberFormat="0" applyFont="0" applyFill="0" applyProtection="0">
      <alignment horizontal="center"/>
    </xf>
    <xf numFmtId="37" fontId="24" fillId="0" borderId="259" applyBorder="0">
      <alignment horizontal="right"/>
      <protection locked="0"/>
    </xf>
    <xf numFmtId="0" fontId="122" fillId="62" borderId="259">
      <alignment horizontal="center" vertical="center" wrapText="1"/>
      <protection hidden="1"/>
    </xf>
    <xf numFmtId="0" fontId="87" fillId="0" borderId="217" applyNumberFormat="0" applyFill="0" applyBorder="0" applyAlignment="0" applyProtection="0"/>
    <xf numFmtId="37" fontId="85" fillId="58" borderId="269" applyBorder="0" applyProtection="0">
      <alignment vertical="center"/>
    </xf>
    <xf numFmtId="37" fontId="85" fillId="58" borderId="282" applyBorder="0" applyProtection="0">
      <alignment vertical="center"/>
    </xf>
    <xf numFmtId="37" fontId="85" fillId="58" borderId="282" applyBorder="0" applyProtection="0">
      <alignment vertical="center"/>
    </xf>
    <xf numFmtId="0" fontId="54" fillId="0" borderId="306" applyNumberFormat="0" applyFill="0" applyAlignment="0" applyProtection="0"/>
    <xf numFmtId="0" fontId="55" fillId="0" borderId="319" applyNumberFormat="0" applyFill="0" applyBorder="0" applyAlignment="0" applyProtection="0"/>
    <xf numFmtId="0" fontId="55" fillId="0" borderId="402" applyNumberFormat="0" applyFill="0" applyBorder="0" applyAlignment="0" applyProtection="0"/>
    <xf numFmtId="5" fontId="64" fillId="0" borderId="292" applyAlignment="0" applyProtection="0"/>
    <xf numFmtId="0" fontId="87" fillId="0" borderId="295" applyNumberFormat="0" applyFill="0" applyBorder="0" applyAlignment="0" applyProtection="0"/>
    <xf numFmtId="0" fontId="54" fillId="0" borderId="284" applyNumberFormat="0" applyFill="0" applyAlignment="0" applyProtection="0"/>
    <xf numFmtId="0" fontId="101" fillId="61" borderId="286"/>
    <xf numFmtId="0" fontId="28" fillId="0" borderId="317" applyBorder="0">
      <alignment horizontal="centerContinuous"/>
    </xf>
    <xf numFmtId="5" fontId="64" fillId="0" borderId="292" applyAlignment="0" applyProtection="0"/>
    <xf numFmtId="37" fontId="24" fillId="0" borderId="286" applyBorder="0">
      <alignment horizontal="right"/>
      <protection locked="0"/>
    </xf>
    <xf numFmtId="5" fontId="64" fillId="0" borderId="329" applyAlignment="0" applyProtection="0"/>
    <xf numFmtId="8" fontId="131" fillId="0" borderId="308" applyNumberFormat="0" applyFill="0" applyBorder="0" applyAlignment="0" applyProtection="0"/>
    <xf numFmtId="5" fontId="64" fillId="0" borderId="316" applyAlignment="0" applyProtection="0"/>
    <xf numFmtId="37" fontId="85" fillId="58" borderId="312" applyBorder="0" applyProtection="0">
      <alignment vertical="center"/>
    </xf>
    <xf numFmtId="0" fontId="126" fillId="64" borderId="300" applyBorder="0">
      <alignment horizontal="center" vertical="center" wrapText="1"/>
    </xf>
    <xf numFmtId="0" fontId="87" fillId="0" borderId="319" applyNumberFormat="0" applyFill="0" applyBorder="0" applyAlignment="0" applyProtection="0"/>
    <xf numFmtId="0" fontId="122" fillId="62" borderId="321">
      <alignment horizontal="center" vertical="center" wrapText="1"/>
      <protection hidden="1"/>
    </xf>
    <xf numFmtId="2" fontId="24" fillId="36" borderId="357" applyFill="0" applyBorder="0" applyProtection="0">
      <alignment horizontal="center"/>
    </xf>
    <xf numFmtId="0" fontId="112" fillId="0" borderId="297"/>
    <xf numFmtId="0" fontId="101" fillId="61" borderId="286"/>
    <xf numFmtId="37" fontId="85" fillId="58" borderId="389" applyBorder="0" applyProtection="0">
      <alignment vertical="center"/>
    </xf>
    <xf numFmtId="5" fontId="64" fillId="0" borderId="388" applyAlignment="0" applyProtection="0"/>
    <xf numFmtId="5" fontId="64" fillId="0" borderId="271" applyAlignment="0" applyProtection="0"/>
    <xf numFmtId="1" fontId="54" fillId="0" borderId="271" applyNumberFormat="0" applyFont="0" applyFill="0" applyProtection="0">
      <alignment horizontal="center"/>
    </xf>
    <xf numFmtId="0" fontId="122" fillId="62" borderId="270">
      <alignment horizontal="center" vertical="center" wrapText="1"/>
      <protection hidden="1"/>
    </xf>
    <xf numFmtId="0" fontId="112" fillId="0" borderId="270"/>
    <xf numFmtId="0" fontId="112" fillId="0" borderId="270"/>
    <xf numFmtId="37" fontId="85" fillId="58" borderId="269" applyBorder="0" applyProtection="0">
      <alignment vertical="center"/>
    </xf>
    <xf numFmtId="5" fontId="64" fillId="0" borderId="271" applyAlignment="0" applyProtection="0"/>
    <xf numFmtId="5" fontId="64" fillId="0" borderId="271" applyAlignment="0" applyProtection="0"/>
    <xf numFmtId="0" fontId="49" fillId="0" borderId="401" applyNumberFormat="0" applyFill="0" applyAlignment="0" applyProtection="0"/>
    <xf numFmtId="0" fontId="126" fillId="64" borderId="310" applyBorder="0">
      <alignment horizontal="center" vertical="center" wrapText="1"/>
    </xf>
    <xf numFmtId="0" fontId="88" fillId="0" borderId="391" applyNumberFormat="0" applyFill="0" applyBorder="0" applyAlignment="0" applyProtection="0"/>
    <xf numFmtId="8" fontId="131" fillId="0" borderId="345" applyNumberFormat="0" applyFill="0" applyBorder="0" applyAlignment="0" applyProtection="0"/>
    <xf numFmtId="5" fontId="64" fillId="0" borderId="363" applyAlignment="0" applyProtection="0"/>
    <xf numFmtId="5" fontId="64" fillId="0" borderId="292" applyAlignment="0" applyProtection="0"/>
    <xf numFmtId="5" fontId="64" fillId="0" borderId="292" applyAlignment="0" applyProtection="0"/>
    <xf numFmtId="0" fontId="126" fillId="64" borderId="278" applyBorder="0">
      <alignment horizontal="center" vertical="center" wrapText="1"/>
    </xf>
    <xf numFmtId="5" fontId="64" fillId="0" borderId="316" applyAlignment="0" applyProtection="0"/>
    <xf numFmtId="5" fontId="64" fillId="0" borderId="363" applyAlignment="0" applyProtection="0"/>
    <xf numFmtId="2" fontId="24" fillId="36" borderId="282" applyFill="0" applyBorder="0" applyProtection="0">
      <alignment horizontal="center"/>
    </xf>
    <xf numFmtId="37" fontId="85" fillId="58" borderId="291" applyBorder="0" applyProtection="0">
      <alignment vertical="center"/>
    </xf>
    <xf numFmtId="5" fontId="64" fillId="0" borderId="292" applyAlignment="0" applyProtection="0"/>
    <xf numFmtId="0" fontId="48" fillId="65" borderId="287">
      <alignment horizontal="left" vertical="center" wrapText="1"/>
    </xf>
    <xf numFmtId="5" fontId="64" fillId="0" borderId="388" applyAlignment="0" applyProtection="0"/>
    <xf numFmtId="0" fontId="87" fillId="0" borderId="319" applyNumberFormat="0" applyFill="0" applyBorder="0" applyAlignment="0" applyProtection="0"/>
    <xf numFmtId="0" fontId="48" fillId="65" borderId="348">
      <alignment horizontal="left" vertical="center" wrapText="1"/>
    </xf>
    <xf numFmtId="5" fontId="64" fillId="0" borderId="316" applyAlignment="0" applyProtection="0"/>
    <xf numFmtId="0" fontId="53" fillId="35" borderId="270">
      <alignment horizontal="center" vertical="center"/>
    </xf>
    <xf numFmtId="0" fontId="100" fillId="43" borderId="285" applyNumberFormat="0" applyAlignment="0" applyProtection="0"/>
    <xf numFmtId="0" fontId="54" fillId="0" borderId="295" applyNumberFormat="0" applyFill="0" applyAlignment="0" applyProtection="0"/>
    <xf numFmtId="0" fontId="48" fillId="65" borderId="348">
      <alignment horizontal="left" vertical="center" wrapText="1"/>
    </xf>
    <xf numFmtId="0" fontId="48" fillId="65" borderId="309">
      <alignment horizontal="left" vertical="center" wrapText="1"/>
    </xf>
    <xf numFmtId="5" fontId="64" fillId="0" borderId="316" applyAlignment="0" applyProtection="0"/>
    <xf numFmtId="0" fontId="112" fillId="0" borderId="344"/>
    <xf numFmtId="5" fontId="64" fillId="0" borderId="363" applyAlignment="0" applyProtection="0"/>
    <xf numFmtId="0" fontId="49" fillId="0" borderId="352" applyNumberFormat="0" applyFill="0" applyAlignment="0" applyProtection="0"/>
    <xf numFmtId="0" fontId="122" fillId="0" borderId="407">
      <alignment horizontal="left" vertical="center"/>
    </xf>
    <xf numFmtId="0" fontId="125" fillId="0" borderId="317" applyFill="0" applyAlignment="0" applyProtection="0">
      <protection locked="0"/>
    </xf>
    <xf numFmtId="0" fontId="49" fillId="0" borderId="245" applyNumberFormat="0" applyFill="0" applyAlignment="0" applyProtection="0"/>
    <xf numFmtId="37" fontId="85" fillId="58" borderId="323" applyBorder="0" applyProtection="0">
      <alignment vertical="center"/>
    </xf>
    <xf numFmtId="0" fontId="100" fillId="43" borderId="403" applyNumberFormat="0" applyAlignment="0" applyProtection="0"/>
    <xf numFmtId="0" fontId="112" fillId="0" borderId="404"/>
    <xf numFmtId="185" fontId="54" fillId="0" borderId="363" applyFont="0" applyFill="0" applyBorder="0" applyAlignment="0" applyProtection="0">
      <alignment horizontal="center"/>
    </xf>
    <xf numFmtId="0" fontId="49" fillId="0" borderId="412" applyNumberFormat="0" applyFill="0" applyAlignment="0" applyProtection="0"/>
    <xf numFmtId="0" fontId="122" fillId="0" borderId="304">
      <alignment horizontal="left" vertical="center"/>
    </xf>
    <xf numFmtId="0" fontId="55" fillId="0" borderId="331" applyNumberFormat="0" applyFill="0" applyBorder="0" applyAlignment="0" applyProtection="0"/>
    <xf numFmtId="5" fontId="64" fillId="0" borderId="329" applyAlignment="0" applyProtection="0"/>
    <xf numFmtId="0" fontId="49" fillId="0" borderId="341" applyNumberFormat="0" applyFill="0" applyAlignment="0" applyProtection="0"/>
    <xf numFmtId="0" fontId="112" fillId="0" borderId="286"/>
    <xf numFmtId="37" fontId="85" fillId="58" borderId="346" applyBorder="0" applyProtection="0">
      <alignment vertical="center"/>
    </xf>
    <xf numFmtId="0" fontId="112" fillId="0" borderId="379"/>
    <xf numFmtId="0" fontId="88" fillId="0" borderId="342" applyNumberFormat="0" applyFill="0" applyBorder="0" applyAlignment="0" applyProtection="0"/>
    <xf numFmtId="0" fontId="49" fillId="0" borderId="294" applyNumberFormat="0" applyFill="0" applyAlignment="0" applyProtection="0"/>
    <xf numFmtId="0" fontId="112" fillId="0" borderId="233"/>
    <xf numFmtId="0" fontId="148" fillId="1" borderId="255" applyNumberFormat="0" applyFont="0" applyAlignment="0">
      <alignment horizontal="center"/>
    </xf>
    <xf numFmtId="37" fontId="24" fillId="0" borderId="233" applyBorder="0">
      <alignment horizontal="right"/>
      <protection locked="0"/>
    </xf>
    <xf numFmtId="37" fontId="24" fillId="0" borderId="233" applyBorder="0">
      <alignment horizontal="right"/>
      <protection locked="0"/>
    </xf>
    <xf numFmtId="338" fontId="24" fillId="0" borderId="251" applyBorder="0">
      <alignment horizontal="right"/>
    </xf>
    <xf numFmtId="0" fontId="122" fillId="62" borderId="233">
      <alignment horizontal="center" vertical="center" wrapText="1"/>
      <protection hidden="1"/>
    </xf>
    <xf numFmtId="0" fontId="122" fillId="62" borderId="233">
      <alignment horizontal="center" vertical="center" wrapText="1"/>
      <protection hidden="1"/>
    </xf>
    <xf numFmtId="0" fontId="147" fillId="0" borderId="290"/>
    <xf numFmtId="2" fontId="24" fillId="36" borderId="253" applyFill="0" applyBorder="0" applyProtection="0">
      <alignment horizontal="center"/>
    </xf>
    <xf numFmtId="1" fontId="54" fillId="0" borderId="254" applyNumberFormat="0" applyFont="0" applyFill="0" applyProtection="0">
      <alignment horizontal="center"/>
    </xf>
    <xf numFmtId="1" fontId="54" fillId="0" borderId="254" applyNumberFormat="0" applyFont="0" applyFill="0" applyProtection="0">
      <alignment horizontal="center"/>
    </xf>
    <xf numFmtId="1" fontId="54" fillId="0" borderId="254" applyNumberFormat="0" applyFont="0" applyFill="0" applyProtection="0">
      <alignment horizontal="center"/>
    </xf>
    <xf numFmtId="0" fontId="122" fillId="0" borderId="255">
      <alignment horizontal="left" vertical="center"/>
    </xf>
    <xf numFmtId="2" fontId="24" fillId="36" borderId="253" applyFill="0" applyBorder="0" applyProtection="0">
      <alignment horizontal="center"/>
    </xf>
    <xf numFmtId="301" fontId="94" fillId="0" borderId="254" applyFont="0" applyFill="0" applyBorder="0" applyAlignment="0" applyProtection="0">
      <alignment horizontal="center"/>
    </xf>
    <xf numFmtId="185" fontId="54" fillId="0" borderId="254" applyFont="0" applyFill="0" applyBorder="0" applyAlignment="0" applyProtection="0">
      <alignment horizontal="center"/>
    </xf>
    <xf numFmtId="185" fontId="54" fillId="0" borderId="254" applyFont="0" applyFill="0" applyBorder="0" applyAlignment="0" applyProtection="0">
      <alignment horizontal="center"/>
    </xf>
    <xf numFmtId="0" fontId="55" fillId="0" borderId="319" applyNumberFormat="0" applyFill="0" applyBorder="0" applyAlignment="0" applyProtection="0"/>
    <xf numFmtId="301" fontId="94" fillId="0" borderId="254" applyFont="0" applyFill="0" applyBorder="0" applyAlignment="0" applyProtection="0">
      <alignment horizontal="center"/>
    </xf>
    <xf numFmtId="0" fontId="112" fillId="0" borderId="233"/>
    <xf numFmtId="0" fontId="112" fillId="0" borderId="233"/>
    <xf numFmtId="0" fontId="112" fillId="0" borderId="233"/>
    <xf numFmtId="0" fontId="112" fillId="0" borderId="233"/>
    <xf numFmtId="0" fontId="112" fillId="0" borderId="233"/>
    <xf numFmtId="5" fontId="64" fillId="0" borderId="254" applyAlignment="0" applyProtection="0"/>
    <xf numFmtId="0" fontId="101" fillId="61" borderId="233"/>
    <xf numFmtId="0" fontId="112" fillId="0" borderId="233"/>
    <xf numFmtId="0" fontId="112" fillId="0" borderId="233"/>
    <xf numFmtId="0" fontId="112" fillId="0"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5" fontId="64" fillId="0" borderId="254" applyAlignment="0" applyProtection="0"/>
    <xf numFmtId="5" fontId="64" fillId="0" borderId="254" applyAlignment="0" applyProtection="0"/>
    <xf numFmtId="0" fontId="101" fillId="61" borderId="233"/>
    <xf numFmtId="0" fontId="101" fillId="61" borderId="233"/>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0" fontId="88" fillId="0" borderId="402" applyNumberFormat="0" applyFill="0" applyBorder="0" applyAlignment="0" applyProtection="0"/>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177" fontId="33" fillId="0" borderId="254"/>
    <xf numFmtId="37" fontId="53" fillId="1" borderId="254">
      <alignment horizontal="centerContinuous"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0" fontId="55" fillId="0" borderId="342" applyNumberFormat="0" applyFill="0" applyBorder="0" applyAlignment="0" applyProtection="0"/>
    <xf numFmtId="0" fontId="112" fillId="0" borderId="404"/>
    <xf numFmtId="5" fontId="64" fillId="0" borderId="329" applyAlignment="0" applyProtection="0"/>
    <xf numFmtId="185" fontId="54" fillId="0" borderId="316" applyFont="0" applyFill="0" applyBorder="0" applyAlignment="0" applyProtection="0">
      <alignment horizontal="center"/>
    </xf>
    <xf numFmtId="37" fontId="85" fillId="58" borderId="389" applyBorder="0" applyProtection="0">
      <alignment vertical="center"/>
    </xf>
    <xf numFmtId="5" fontId="64" fillId="0" borderId="400" applyAlignment="0" applyProtection="0"/>
    <xf numFmtId="5" fontId="64" fillId="0" borderId="363" applyAlignment="0" applyProtection="0"/>
    <xf numFmtId="0" fontId="55" fillId="0" borderId="275" applyNumberFormat="0" applyFill="0" applyBorder="0" applyAlignment="0" applyProtection="0"/>
    <xf numFmtId="5" fontId="64" fillId="0" borderId="316" applyAlignment="0" applyProtection="0"/>
    <xf numFmtId="0" fontId="101" fillId="61" borderId="286"/>
    <xf numFmtId="1" fontId="54" fillId="0" borderId="316" applyNumberFormat="0" applyFont="0" applyFill="0" applyProtection="0">
      <alignment horizontal="center"/>
    </xf>
    <xf numFmtId="0" fontId="48" fillId="65" borderId="408">
      <alignment horizontal="left" vertical="center" wrapText="1"/>
    </xf>
    <xf numFmtId="2" fontId="24" fillId="36" borderId="323" applyFill="0" applyBorder="0" applyProtection="0">
      <alignment horizontal="center"/>
    </xf>
    <xf numFmtId="0" fontId="88" fillId="0" borderId="257" applyNumberFormat="0" applyFill="0" applyBorder="0" applyAlignment="0" applyProtection="0"/>
    <xf numFmtId="0" fontId="87" fillId="0" borderId="257" applyNumberFormat="0" applyFill="0" applyBorder="0" applyAlignment="0" applyProtection="0"/>
    <xf numFmtId="0" fontId="54" fillId="0" borderId="257" applyNumberFormat="0" applyFill="0" applyAlignment="0" applyProtection="0"/>
    <xf numFmtId="0" fontId="88" fillId="0" borderId="257" applyNumberFormat="0" applyFill="0" applyBorder="0" applyAlignment="0" applyProtection="0"/>
    <xf numFmtId="0" fontId="55" fillId="0" borderId="257" applyNumberFormat="0" applyFill="0" applyBorder="0" applyAlignment="0" applyProtection="0"/>
    <xf numFmtId="0" fontId="88" fillId="0" borderId="331" applyNumberFormat="0" applyFill="0" applyBorder="0" applyAlignment="0" applyProtection="0"/>
    <xf numFmtId="338" fontId="24" fillId="0" borderId="327" applyBorder="0">
      <alignment horizontal="right"/>
    </xf>
    <xf numFmtId="5" fontId="64" fillId="0" borderId="400" applyAlignment="0" applyProtection="0"/>
    <xf numFmtId="0" fontId="112" fillId="0" borderId="404"/>
    <xf numFmtId="5" fontId="64" fillId="0" borderId="316" applyAlignment="0" applyProtection="0"/>
    <xf numFmtId="5" fontId="64" fillId="0" borderId="316" applyAlignment="0" applyProtection="0"/>
    <xf numFmtId="5" fontId="64" fillId="0" borderId="316" applyAlignment="0" applyProtection="0"/>
    <xf numFmtId="37" fontId="85" fillId="58" borderId="291" applyBorder="0" applyProtection="0">
      <alignment vertical="center"/>
    </xf>
    <xf numFmtId="5" fontId="64" fillId="0" borderId="292" applyAlignment="0" applyProtection="0"/>
    <xf numFmtId="0" fontId="101" fillId="61" borderId="404"/>
    <xf numFmtId="0" fontId="101" fillId="61" borderId="344"/>
    <xf numFmtId="5" fontId="64" fillId="0" borderId="316" applyAlignment="0" applyProtection="0"/>
    <xf numFmtId="0" fontId="122" fillId="62" borderId="279">
      <alignment horizontal="center" vertical="center" wrapText="1"/>
      <protection hidden="1"/>
    </xf>
    <xf numFmtId="5" fontId="64" fillId="0" borderId="292" applyAlignment="0" applyProtection="0"/>
    <xf numFmtId="37" fontId="85" fillId="58" borderId="323" applyBorder="0" applyProtection="0">
      <alignment vertical="center"/>
    </xf>
    <xf numFmtId="0" fontId="126" fillId="64" borderId="278" applyBorder="0">
      <alignment horizontal="center" vertical="center" wrapText="1"/>
    </xf>
    <xf numFmtId="5" fontId="64" fillId="0" borderId="316" applyAlignment="0" applyProtection="0"/>
    <xf numFmtId="5" fontId="64" fillId="0" borderId="316" applyAlignment="0" applyProtection="0"/>
    <xf numFmtId="0" fontId="88" fillId="0" borderId="284" applyNumberFormat="0" applyFill="0" applyBorder="0" applyAlignment="0" applyProtection="0"/>
    <xf numFmtId="0" fontId="55" fillId="0" borderId="284" applyNumberFormat="0" applyFill="0" applyBorder="0" applyAlignment="0" applyProtection="0"/>
    <xf numFmtId="5" fontId="64" fillId="0" borderId="292" applyAlignment="0" applyProtection="0"/>
    <xf numFmtId="1" fontId="54" fillId="0" borderId="363" applyNumberFormat="0" applyFont="0" applyFill="0" applyProtection="0">
      <alignment horizontal="center"/>
    </xf>
    <xf numFmtId="0" fontId="112" fillId="0" borderId="286"/>
    <xf numFmtId="37" fontId="85" fillId="58" borderId="406" applyBorder="0" applyProtection="0">
      <alignment vertical="center"/>
    </xf>
    <xf numFmtId="5" fontId="64" fillId="0" borderId="292" applyAlignment="0" applyProtection="0"/>
    <xf numFmtId="0" fontId="112" fillId="0" borderId="279"/>
    <xf numFmtId="5" fontId="64" fillId="0" borderId="316" applyAlignment="0" applyProtection="0"/>
    <xf numFmtId="0" fontId="112" fillId="0" borderId="404"/>
    <xf numFmtId="2" fontId="24" fillId="36" borderId="323" applyFill="0" applyBorder="0" applyProtection="0">
      <alignment horizontal="center"/>
    </xf>
    <xf numFmtId="0" fontId="54" fillId="0" borderId="284" applyNumberFormat="0" applyFill="0" applyAlignment="0" applyProtection="0"/>
    <xf numFmtId="0" fontId="112" fillId="0" borderId="303"/>
    <xf numFmtId="1" fontId="54" fillId="0" borderId="363" applyNumberFormat="0" applyFont="0" applyFill="0" applyProtection="0">
      <alignment horizontal="center"/>
    </xf>
    <xf numFmtId="5" fontId="64" fillId="0" borderId="292" applyAlignment="0" applyProtection="0"/>
    <xf numFmtId="5" fontId="64" fillId="0" borderId="292" applyAlignment="0" applyProtection="0"/>
    <xf numFmtId="37" fontId="24" fillId="0" borderId="297" applyBorder="0">
      <alignment horizontal="right"/>
      <protection locked="0"/>
    </xf>
    <xf numFmtId="0" fontId="101" fillId="61" borderId="303"/>
    <xf numFmtId="0" fontId="101" fillId="61" borderId="286"/>
    <xf numFmtId="0" fontId="126" fillId="64" borderId="376" applyBorder="0">
      <alignment horizontal="center" vertical="center" wrapText="1"/>
    </xf>
    <xf numFmtId="5" fontId="64" fillId="0" borderId="316" applyAlignment="0" applyProtection="0"/>
    <xf numFmtId="0" fontId="112" fillId="0" borderId="286"/>
    <xf numFmtId="37" fontId="85" fillId="58" borderId="282" applyBorder="0" applyProtection="0">
      <alignment vertical="center"/>
    </xf>
    <xf numFmtId="0" fontId="49" fillId="0" borderId="364" applyNumberFormat="0" applyFill="0" applyAlignment="0" applyProtection="0"/>
    <xf numFmtId="0" fontId="101" fillId="61" borderId="303"/>
    <xf numFmtId="5" fontId="64" fillId="0" borderId="363" applyAlignment="0" applyProtection="0"/>
    <xf numFmtId="0" fontId="87" fillId="0" borderId="295" applyNumberFormat="0" applyFill="0" applyBorder="0" applyAlignment="0" applyProtection="0"/>
    <xf numFmtId="218" fontId="24" fillId="0" borderId="286">
      <alignment horizontal="center" vertical="center"/>
    </xf>
    <xf numFmtId="0" fontId="101" fillId="61" borderId="259"/>
    <xf numFmtId="0" fontId="112" fillId="0" borderId="303"/>
    <xf numFmtId="0" fontId="101" fillId="61" borderId="344"/>
    <xf numFmtId="37" fontId="24" fillId="0" borderId="297" applyBorder="0">
      <alignment horizontal="right"/>
      <protection locked="0"/>
    </xf>
    <xf numFmtId="0" fontId="112" fillId="0" borderId="286"/>
    <xf numFmtId="5" fontId="64" fillId="0" borderId="292" applyAlignment="0" applyProtection="0"/>
    <xf numFmtId="0" fontId="112" fillId="0" borderId="303"/>
    <xf numFmtId="0" fontId="54" fillId="0" borderId="295" applyNumberFormat="0" applyFill="0" applyAlignment="0" applyProtection="0"/>
    <xf numFmtId="0" fontId="100" fillId="43" borderId="258" applyNumberFormat="0" applyAlignment="0" applyProtection="0"/>
    <xf numFmtId="0" fontId="101" fillId="61" borderId="259"/>
    <xf numFmtId="0" fontId="101" fillId="61" borderId="259"/>
    <xf numFmtId="0" fontId="101" fillId="61" borderId="259"/>
    <xf numFmtId="5" fontId="64" fillId="0" borderId="400" applyAlignment="0" applyProtection="0"/>
    <xf numFmtId="5" fontId="64" fillId="0" borderId="329" applyAlignment="0" applyProtection="0"/>
    <xf numFmtId="0" fontId="112" fillId="0" borderId="344"/>
    <xf numFmtId="0" fontId="112" fillId="0" borderId="259"/>
    <xf numFmtId="0" fontId="112" fillId="0" borderId="259"/>
    <xf numFmtId="5" fontId="64" fillId="0" borderId="363" applyAlignment="0" applyProtection="0"/>
    <xf numFmtId="0" fontId="112" fillId="0" borderId="259"/>
    <xf numFmtId="0" fontId="101" fillId="61" borderId="303"/>
    <xf numFmtId="0" fontId="88" fillId="0" borderId="295" applyNumberFormat="0" applyFill="0" applyBorder="0" applyAlignment="0" applyProtection="0"/>
    <xf numFmtId="0" fontId="112" fillId="0" borderId="259"/>
    <xf numFmtId="5" fontId="64" fillId="0" borderId="292" applyAlignment="0" applyProtection="0"/>
    <xf numFmtId="247" fontId="28" fillId="0" borderId="317"/>
    <xf numFmtId="0" fontId="112" fillId="0" borderId="286"/>
    <xf numFmtId="0" fontId="88" fillId="0" borderId="391" applyNumberFormat="0" applyFill="0" applyBorder="0" applyAlignment="0" applyProtection="0"/>
    <xf numFmtId="5" fontId="64" fillId="0" borderId="329" applyAlignment="0" applyProtection="0"/>
    <xf numFmtId="0" fontId="48" fillId="65" borderId="261">
      <alignment horizontal="left" vertical="center" wrapText="1"/>
    </xf>
    <xf numFmtId="5" fontId="64" fillId="0" borderId="329" applyAlignment="0" applyProtection="0"/>
    <xf numFmtId="5" fontId="64" fillId="0" borderId="316" applyAlignment="0" applyProtection="0"/>
    <xf numFmtId="0" fontId="147" fillId="0" borderId="328"/>
    <xf numFmtId="0" fontId="126" fillId="64" borderId="262" applyBorder="0">
      <alignment horizontal="center" vertical="center" wrapText="1"/>
    </xf>
    <xf numFmtId="37" fontId="85" fillId="58" borderId="389" applyBorder="0" applyProtection="0">
      <alignment vertical="center"/>
    </xf>
    <xf numFmtId="5" fontId="64" fillId="0" borderId="316" applyAlignment="0" applyProtection="0"/>
    <xf numFmtId="37" fontId="85" fillId="58" borderId="312" applyBorder="0" applyProtection="0">
      <alignment vertical="center"/>
    </xf>
    <xf numFmtId="0" fontId="122" fillId="62" borderId="259">
      <alignment horizontal="center" vertical="center" wrapText="1"/>
      <protection hidden="1"/>
    </xf>
    <xf numFmtId="5" fontId="64" fillId="0" borderId="388" applyAlignment="0" applyProtection="0"/>
    <xf numFmtId="0" fontId="88" fillId="0" borderId="295" applyNumberFormat="0" applyFill="0" applyBorder="0" applyAlignment="0" applyProtection="0"/>
    <xf numFmtId="5" fontId="64" fillId="0" borderId="316" applyAlignment="0" applyProtection="0"/>
    <xf numFmtId="218" fontId="24" fillId="0" borderId="259">
      <alignment horizontal="center" vertical="center"/>
    </xf>
    <xf numFmtId="37" fontId="85" fillId="58" borderId="301" applyBorder="0" applyProtection="0">
      <alignment vertical="center"/>
    </xf>
    <xf numFmtId="0" fontId="101" fillId="61" borderId="297"/>
    <xf numFmtId="0" fontId="126" fillId="64" borderId="409" applyBorder="0">
      <alignment horizontal="center" vertical="center" wrapText="1"/>
    </xf>
    <xf numFmtId="0" fontId="101" fillId="61" borderId="286"/>
    <xf numFmtId="0" fontId="87" fillId="0" borderId="284" applyNumberFormat="0" applyFill="0" applyBorder="0" applyAlignment="0" applyProtection="0"/>
    <xf numFmtId="0" fontId="122" fillId="62" borderId="344">
      <alignment horizontal="center" vertical="center" wrapText="1"/>
      <protection hidden="1"/>
    </xf>
    <xf numFmtId="5" fontId="64" fillId="0" borderId="388" applyAlignment="0" applyProtection="0"/>
    <xf numFmtId="0" fontId="148" fillId="1" borderId="380" applyNumberFormat="0" applyFont="0" applyAlignment="0">
      <alignment horizontal="center"/>
    </xf>
    <xf numFmtId="0" fontId="101" fillId="61" borderId="297"/>
    <xf numFmtId="37" fontId="85" fillId="58" borderId="301" applyBorder="0" applyProtection="0">
      <alignment vertical="center"/>
    </xf>
    <xf numFmtId="5" fontId="64" fillId="0" borderId="400" applyAlignment="0" applyProtection="0"/>
    <xf numFmtId="0" fontId="101" fillId="61" borderId="344"/>
    <xf numFmtId="5" fontId="64" fillId="0" borderId="400" applyAlignment="0" applyProtection="0"/>
    <xf numFmtId="37" fontId="24" fillId="0" borderId="379" applyBorder="0">
      <alignment horizontal="right"/>
      <protection locked="0"/>
    </xf>
    <xf numFmtId="0" fontId="101" fillId="61" borderId="297"/>
    <xf numFmtId="5" fontId="64" fillId="0" borderId="388" applyAlignment="0" applyProtection="0"/>
    <xf numFmtId="5" fontId="64" fillId="0" borderId="388" applyAlignment="0" applyProtection="0"/>
    <xf numFmtId="5" fontId="64" fillId="0" borderId="292" applyAlignment="0" applyProtection="0"/>
    <xf numFmtId="5" fontId="64" fillId="0" borderId="271" applyAlignment="0" applyProtection="0"/>
    <xf numFmtId="0" fontId="112" fillId="0" borderId="270"/>
    <xf numFmtId="0" fontId="112" fillId="0"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0" fontId="55" fillId="0" borderId="275" applyNumberFormat="0" applyFill="0" applyBorder="0" applyAlignment="0" applyProtection="0"/>
    <xf numFmtId="37" fontId="24" fillId="0" borderId="286" applyBorder="0">
      <alignment horizontal="right"/>
      <protection locked="0"/>
    </xf>
    <xf numFmtId="0" fontId="101" fillId="61" borderId="286"/>
    <xf numFmtId="0" fontId="148" fillId="1" borderId="324" applyNumberFormat="0" applyFont="0" applyAlignment="0">
      <alignment horizontal="center"/>
    </xf>
    <xf numFmtId="177" fontId="33" fillId="0" borderId="316"/>
    <xf numFmtId="1" fontId="54" fillId="0" borderId="329" applyNumberFormat="0" applyFont="0" applyFill="0" applyProtection="0">
      <alignment horizontal="center"/>
    </xf>
    <xf numFmtId="37" fontId="24" fillId="0" borderId="344" applyBorder="0">
      <alignment horizontal="right"/>
      <protection locked="0"/>
    </xf>
    <xf numFmtId="5" fontId="64" fillId="0" borderId="316" applyAlignment="0" applyProtection="0"/>
    <xf numFmtId="5" fontId="64" fillId="0" borderId="292" applyAlignment="0" applyProtection="0"/>
    <xf numFmtId="5" fontId="64" fillId="0" borderId="292" applyAlignment="0" applyProtection="0"/>
    <xf numFmtId="0" fontId="112" fillId="0" borderId="286"/>
    <xf numFmtId="0" fontId="147" fillId="0" borderId="290"/>
    <xf numFmtId="37" fontId="85" fillId="58" borderId="291" applyBorder="0" applyProtection="0">
      <alignment vertical="center"/>
    </xf>
    <xf numFmtId="5" fontId="64" fillId="0" borderId="363" applyAlignment="0" applyProtection="0"/>
    <xf numFmtId="338" fontId="24" fillId="0" borderId="410" applyBorder="0">
      <alignment horizontal="right"/>
    </xf>
    <xf numFmtId="5" fontId="64" fillId="0" borderId="388" applyAlignment="0" applyProtection="0"/>
    <xf numFmtId="0" fontId="55" fillId="0" borderId="295" applyNumberFormat="0" applyFill="0" applyBorder="0" applyAlignment="0" applyProtection="0"/>
    <xf numFmtId="0" fontId="88" fillId="0" borderId="413" applyNumberFormat="0" applyFill="0" applyBorder="0" applyAlignment="0" applyProtection="0"/>
    <xf numFmtId="37" fontId="85" fillId="58" borderId="323" applyBorder="0" applyProtection="0">
      <alignment vertical="center"/>
    </xf>
    <xf numFmtId="0" fontId="55" fillId="0" borderId="342" applyNumberFormat="0" applyFill="0" applyBorder="0" applyAlignment="0" applyProtection="0"/>
    <xf numFmtId="5" fontId="64" fillId="0" borderId="292" applyAlignment="0" applyProtection="0"/>
    <xf numFmtId="5" fontId="64" fillId="0" borderId="363" applyAlignment="0" applyProtection="0"/>
    <xf numFmtId="0" fontId="87" fillId="0" borderId="284" applyNumberFormat="0" applyFill="0" applyBorder="0" applyAlignment="0" applyProtection="0"/>
    <xf numFmtId="5" fontId="64" fillId="0" borderId="316" applyAlignment="0" applyProtection="0"/>
    <xf numFmtId="37" fontId="24" fillId="0" borderId="303" applyBorder="0">
      <alignment horizontal="right"/>
      <protection locked="0"/>
    </xf>
    <xf numFmtId="0" fontId="126" fillId="64" borderId="288" applyBorder="0">
      <alignment horizontal="center" vertical="center" wrapText="1"/>
    </xf>
    <xf numFmtId="0" fontId="101" fillId="61" borderId="379"/>
    <xf numFmtId="1" fontId="54" fillId="0" borderId="363" applyNumberFormat="0" applyFont="0" applyFill="0" applyProtection="0">
      <alignment horizontal="center"/>
    </xf>
    <xf numFmtId="37" fontId="85" fillId="58" borderId="335" applyBorder="0" applyProtection="0">
      <alignment vertical="center"/>
    </xf>
    <xf numFmtId="0" fontId="112" fillId="0" borderId="344"/>
    <xf numFmtId="0" fontId="112" fillId="0" borderId="297"/>
    <xf numFmtId="37" fontId="85" fillId="58" borderId="323" applyBorder="0" applyProtection="0">
      <alignment vertical="center"/>
    </xf>
    <xf numFmtId="0" fontId="88" fillId="0" borderId="284" applyNumberFormat="0" applyFill="0" applyBorder="0" applyAlignment="0" applyProtection="0"/>
    <xf numFmtId="0" fontId="126" fillId="64" borderId="348">
      <alignment horizontal="left" vertical="center"/>
    </xf>
    <xf numFmtId="5" fontId="64" fillId="0" borderId="329" applyAlignment="0" applyProtection="0"/>
    <xf numFmtId="0" fontId="112" fillId="0" borderId="321"/>
    <xf numFmtId="5" fontId="64" fillId="0" borderId="329" applyAlignment="0" applyProtection="0"/>
    <xf numFmtId="37" fontId="85" fillId="58" borderId="335" applyBorder="0" applyProtection="0">
      <alignment vertical="center"/>
    </xf>
    <xf numFmtId="5" fontId="64" fillId="0" borderId="363" applyAlignment="0" applyProtection="0"/>
    <xf numFmtId="0" fontId="122" fillId="62" borderId="286">
      <alignment horizontal="center" vertical="center" wrapText="1"/>
      <protection hidden="1"/>
    </xf>
    <xf numFmtId="177" fontId="33" fillId="0" borderId="329"/>
    <xf numFmtId="5" fontId="64" fillId="0" borderId="292" applyAlignment="0" applyProtection="0"/>
    <xf numFmtId="0" fontId="87" fillId="0" borderId="402" applyNumberFormat="0" applyFill="0" applyBorder="0" applyAlignment="0" applyProtection="0"/>
    <xf numFmtId="0" fontId="126" fillId="64" borderId="300" applyBorder="0">
      <alignment horizontal="center" vertical="center" wrapText="1"/>
    </xf>
    <xf numFmtId="0" fontId="112" fillId="0" borderId="404"/>
    <xf numFmtId="301" fontId="94" fillId="0" borderId="388" applyFont="0" applyFill="0" applyBorder="0" applyAlignment="0" applyProtection="0">
      <alignment horizontal="center"/>
    </xf>
    <xf numFmtId="185" fontId="54" fillId="0" borderId="329" applyFont="0" applyFill="0" applyBorder="0" applyAlignment="0" applyProtection="0">
      <alignment horizontal="center"/>
    </xf>
    <xf numFmtId="0" fontId="112" fillId="0" borderId="259"/>
    <xf numFmtId="5" fontId="64" fillId="0" borderId="329" applyAlignment="0" applyProtection="0"/>
    <xf numFmtId="0" fontId="88" fillId="0" borderId="275" applyNumberFormat="0" applyFill="0" applyBorder="0" applyAlignment="0" applyProtection="0"/>
    <xf numFmtId="37" fontId="53" fillId="1" borderId="263">
      <alignment horizontal="centerContinuous" vertical="center"/>
    </xf>
    <xf numFmtId="5" fontId="64" fillId="0" borderId="263" applyAlignment="0" applyProtection="0"/>
    <xf numFmtId="0" fontId="55" fillId="0" borderId="275" applyNumberFormat="0" applyFill="0" applyBorder="0" applyAlignment="0" applyProtection="0"/>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01" fillId="61" borderId="259"/>
    <xf numFmtId="0" fontId="101" fillId="61" borderId="259"/>
    <xf numFmtId="0" fontId="101" fillId="61" borderId="259"/>
    <xf numFmtId="0" fontId="112" fillId="0" borderId="259"/>
    <xf numFmtId="5" fontId="64" fillId="0" borderId="263" applyAlignment="0" applyProtection="0"/>
    <xf numFmtId="37" fontId="85" fillId="58" borderId="269" applyBorder="0" applyProtection="0">
      <alignment vertical="center"/>
    </xf>
    <xf numFmtId="301" fontId="94" fillId="0" borderId="263" applyFont="0" applyFill="0" applyBorder="0" applyAlignment="0" applyProtection="0">
      <alignment horizontal="center"/>
    </xf>
    <xf numFmtId="185" fontId="54" fillId="0" borderId="263" applyFont="0" applyFill="0" applyBorder="0" applyAlignment="0" applyProtection="0">
      <alignment horizontal="center"/>
    </xf>
    <xf numFmtId="0" fontId="55" fillId="0" borderId="413" applyNumberFormat="0" applyFill="0" applyBorder="0" applyAlignment="0" applyProtection="0"/>
    <xf numFmtId="0" fontId="87" fillId="0" borderId="217" applyNumberFormat="0" applyFill="0" applyBorder="0" applyAlignment="0" applyProtection="0"/>
    <xf numFmtId="37" fontId="24" fillId="0" borderId="259" applyBorder="0">
      <alignment horizontal="right"/>
      <protection locked="0"/>
    </xf>
    <xf numFmtId="37" fontId="85" fillId="58" borderId="291" applyBorder="0" applyProtection="0">
      <alignment vertical="center"/>
    </xf>
    <xf numFmtId="0" fontId="112" fillId="0" borderId="404"/>
    <xf numFmtId="0" fontId="101" fillId="61" borderId="297"/>
    <xf numFmtId="0" fontId="112" fillId="0" borderId="344"/>
    <xf numFmtId="0" fontId="88" fillId="0" borderId="391" applyNumberFormat="0" applyFill="0" applyBorder="0" applyAlignment="0" applyProtection="0"/>
    <xf numFmtId="0" fontId="126" fillId="64" borderId="288" applyBorder="0">
      <alignment horizontal="center" vertical="center" wrapText="1"/>
    </xf>
    <xf numFmtId="5" fontId="64" fillId="0" borderId="292" applyAlignment="0" applyProtection="0"/>
    <xf numFmtId="37" fontId="24" fillId="0" borderId="404" applyBorder="0">
      <alignment horizontal="right"/>
      <protection locked="0"/>
    </xf>
    <xf numFmtId="338" fontId="24" fillId="0" borderId="302" applyBorder="0">
      <alignment horizontal="right"/>
    </xf>
    <xf numFmtId="5" fontId="64" fillId="0" borderId="400" applyAlignment="0" applyProtection="0"/>
    <xf numFmtId="0" fontId="148" fillId="1" borderId="324" applyNumberFormat="0" applyFont="0" applyAlignment="0">
      <alignment horizontal="center"/>
    </xf>
    <xf numFmtId="177" fontId="33" fillId="0" borderId="329"/>
    <xf numFmtId="5" fontId="64" fillId="0" borderId="316" applyAlignment="0" applyProtection="0"/>
    <xf numFmtId="249" fontId="28" fillId="0" borderId="317"/>
    <xf numFmtId="0" fontId="52" fillId="32" borderId="379">
      <alignment horizontal="center"/>
    </xf>
    <xf numFmtId="0" fontId="122" fillId="62" borderId="297">
      <alignment horizontal="center" vertical="center" wrapText="1"/>
      <protection hidden="1"/>
    </xf>
    <xf numFmtId="5" fontId="64" fillId="0" borderId="388" applyAlignment="0" applyProtection="0"/>
    <xf numFmtId="0" fontId="87" fillId="0" borderId="391" applyNumberFormat="0" applyFill="0" applyBorder="0" applyAlignment="0" applyProtection="0"/>
    <xf numFmtId="0" fontId="55" fillId="0" borderId="295" applyNumberFormat="0" applyFill="0" applyBorder="0" applyAlignment="0" applyProtection="0"/>
    <xf numFmtId="0" fontId="100" fillId="43" borderId="343" applyNumberFormat="0" applyAlignment="0" applyProtection="0"/>
    <xf numFmtId="5" fontId="64" fillId="0" borderId="292" applyAlignment="0" applyProtection="0"/>
    <xf numFmtId="5" fontId="64" fillId="0" borderId="316" applyAlignment="0" applyProtection="0"/>
    <xf numFmtId="8" fontId="131" fillId="0" borderId="345" applyNumberFormat="0" applyFill="0" applyBorder="0" applyAlignment="0" applyProtection="0"/>
    <xf numFmtId="5" fontId="64" fillId="0" borderId="316" applyAlignment="0" applyProtection="0"/>
    <xf numFmtId="0" fontId="101" fillId="61" borderId="270"/>
    <xf numFmtId="301" fontId="94" fillId="0" borderId="271" applyFont="0" applyFill="0" applyBorder="0" applyAlignment="0" applyProtection="0">
      <alignment horizontal="center"/>
    </xf>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0" fontId="55" fillId="0" borderId="342" applyNumberFormat="0" applyFill="0" applyBorder="0" applyAlignment="0" applyProtection="0"/>
    <xf numFmtId="37" fontId="85" fillId="58" borderId="282" applyBorder="0" applyProtection="0">
      <alignment vertical="center"/>
    </xf>
    <xf numFmtId="0" fontId="54" fillId="0" borderId="306" applyNumberFormat="0" applyFill="0" applyAlignment="0" applyProtection="0"/>
    <xf numFmtId="0" fontId="112" fillId="0" borderId="303"/>
    <xf numFmtId="0" fontId="112" fillId="0" borderId="297"/>
    <xf numFmtId="0" fontId="101" fillId="61" borderId="286"/>
    <xf numFmtId="37" fontId="85" fillId="58" borderId="291" applyBorder="0" applyProtection="0">
      <alignment vertical="center"/>
    </xf>
    <xf numFmtId="0" fontId="54" fillId="0" borderId="284" applyNumberFormat="0" applyFill="0" applyAlignment="0" applyProtection="0"/>
    <xf numFmtId="177" fontId="33" fillId="0" borderId="316"/>
    <xf numFmtId="0" fontId="112" fillId="0" borderId="344"/>
    <xf numFmtId="5" fontId="64" fillId="0" borderId="292" applyAlignment="0" applyProtection="0"/>
    <xf numFmtId="5" fontId="64" fillId="0" borderId="292" applyAlignment="0" applyProtection="0"/>
    <xf numFmtId="0" fontId="54" fillId="0" borderId="295" applyNumberFormat="0" applyFill="0" applyAlignment="0" applyProtection="0"/>
    <xf numFmtId="5" fontId="64" fillId="0" borderId="316" applyAlignment="0" applyProtection="0"/>
    <xf numFmtId="5" fontId="64" fillId="0" borderId="316" applyAlignment="0" applyProtection="0"/>
    <xf numFmtId="5" fontId="64" fillId="0" borderId="316" applyAlignment="0" applyProtection="0"/>
    <xf numFmtId="2" fontId="24" fillId="36" borderId="346" applyFill="0" applyBorder="0" applyProtection="0">
      <alignment horizontal="center"/>
    </xf>
    <xf numFmtId="37" fontId="85" fillId="58" borderId="335" applyBorder="0" applyProtection="0">
      <alignment vertical="center"/>
    </xf>
    <xf numFmtId="37" fontId="85" fillId="58" borderId="335" applyBorder="0" applyProtection="0">
      <alignment vertical="center"/>
    </xf>
    <xf numFmtId="0" fontId="112" fillId="0" borderId="297"/>
    <xf numFmtId="5" fontId="64" fillId="0" borderId="316" applyAlignment="0" applyProtection="0"/>
    <xf numFmtId="5" fontId="64" fillId="0" borderId="400" applyAlignment="0" applyProtection="0"/>
    <xf numFmtId="0" fontId="112" fillId="0" borderId="297"/>
    <xf numFmtId="0" fontId="53" fillId="35" borderId="233">
      <alignment horizontal="center" vertical="center"/>
    </xf>
    <xf numFmtId="0" fontId="101" fillId="61" borderId="344"/>
    <xf numFmtId="218" fontId="24" fillId="0" borderId="233">
      <alignment horizontal="center" vertical="center"/>
    </xf>
    <xf numFmtId="0" fontId="53" fillId="35" borderId="233">
      <alignment horizontal="center" vertical="center"/>
    </xf>
    <xf numFmtId="0" fontId="88" fillId="0" borderId="331" applyNumberFormat="0" applyFill="0" applyBorder="0"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88" fillId="0" borderId="217" applyNumberFormat="0" applyFill="0" applyBorder="0" applyAlignment="0" applyProtection="0"/>
    <xf numFmtId="0" fontId="54" fillId="0" borderId="217" applyNumberFormat="0" applyFill="0" applyAlignment="0" applyProtection="0"/>
    <xf numFmtId="177" fontId="33" fillId="0" borderId="271"/>
    <xf numFmtId="0" fontId="54" fillId="0" borderId="217" applyNumberFormat="0" applyFill="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37" fontId="85" fillId="58" borderId="269" applyBorder="0" applyProtection="0">
      <alignment vertical="center"/>
    </xf>
    <xf numFmtId="0" fontId="87" fillId="0" borderId="217" applyNumberFormat="0" applyFill="0" applyBorder="0" applyAlignment="0" applyProtection="0"/>
    <xf numFmtId="37" fontId="85" fillId="58" borderId="269" applyBorder="0" applyProtection="0">
      <alignment vertical="center"/>
    </xf>
    <xf numFmtId="37" fontId="53" fillId="1" borderId="271">
      <alignment horizontal="centerContinuous" vertical="center"/>
    </xf>
    <xf numFmtId="37" fontId="85" fillId="58" borderId="269" applyBorder="0" applyProtection="0">
      <alignment vertical="center"/>
    </xf>
    <xf numFmtId="37" fontId="85" fillId="58" borderId="269" applyBorder="0" applyProtection="0">
      <alignment vertical="center"/>
    </xf>
    <xf numFmtId="0" fontId="122" fillId="62" borderId="248">
      <alignment horizontal="center" vertical="center" wrapText="1"/>
      <protection hidden="1"/>
    </xf>
    <xf numFmtId="37" fontId="85" fillId="58" borderId="282" applyBorder="0" applyProtection="0">
      <alignment vertical="center"/>
    </xf>
    <xf numFmtId="338" fontId="24" fillId="0" borderId="327" applyBorder="0">
      <alignment horizontal="right"/>
    </xf>
    <xf numFmtId="5" fontId="64" fillId="0" borderId="316" applyAlignment="0" applyProtection="0"/>
    <xf numFmtId="0" fontId="126" fillId="64" borderId="348">
      <alignment horizontal="left" vertical="center"/>
    </xf>
    <xf numFmtId="37" fontId="24" fillId="0" borderId="248" applyBorder="0">
      <alignment horizontal="right"/>
      <protection locked="0"/>
    </xf>
    <xf numFmtId="37" fontId="24" fillId="0" borderId="248" applyBorder="0">
      <alignment horizontal="right"/>
      <protection locked="0"/>
    </xf>
    <xf numFmtId="0" fontId="122" fillId="62" borderId="248">
      <alignment horizontal="center" vertical="center" wrapText="1"/>
      <protection hidden="1"/>
    </xf>
    <xf numFmtId="0" fontId="54" fillId="0" borderId="275" applyNumberFormat="0" applyFill="0" applyAlignment="0" applyProtection="0"/>
    <xf numFmtId="0" fontId="147" fillId="0" borderId="252"/>
    <xf numFmtId="0" fontId="87"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54" fillId="0" borderId="275" applyNumberFormat="0" applyFill="0" applyAlignment="0" applyProtection="0"/>
    <xf numFmtId="338" fontId="24" fillId="0" borderId="251" applyBorder="0">
      <alignment horizontal="right"/>
    </xf>
    <xf numFmtId="0" fontId="101" fillId="61" borderId="286"/>
    <xf numFmtId="0" fontId="54" fillId="0" borderId="391" applyNumberFormat="0" applyFill="0" applyAlignment="0" applyProtection="0"/>
    <xf numFmtId="0" fontId="112" fillId="0" borderId="303"/>
    <xf numFmtId="338" fontId="24" fillId="0" borderId="280" applyBorder="0">
      <alignment horizontal="right"/>
    </xf>
    <xf numFmtId="0" fontId="88" fillId="0" borderId="319" applyNumberFormat="0" applyFill="0" applyBorder="0" applyAlignment="0" applyProtection="0"/>
    <xf numFmtId="5" fontId="64" fillId="0" borderId="388" applyAlignment="0" applyProtection="0"/>
    <xf numFmtId="0" fontId="122" fillId="0" borderId="347">
      <alignment horizontal="left" vertical="center"/>
    </xf>
    <xf numFmtId="0" fontId="112" fillId="0" borderId="286"/>
    <xf numFmtId="0" fontId="112" fillId="0" borderId="286"/>
    <xf numFmtId="0" fontId="48" fillId="65" borderId="325">
      <alignment horizontal="left" vertical="center" wrapText="1"/>
    </xf>
    <xf numFmtId="0" fontId="112" fillId="0" borderId="321"/>
    <xf numFmtId="0" fontId="54" fillId="0" borderId="306" applyNumberFormat="0" applyFill="0" applyAlignment="0" applyProtection="0"/>
    <xf numFmtId="5" fontId="64" fillId="0" borderId="363" applyAlignment="0" applyProtection="0"/>
    <xf numFmtId="0" fontId="126" fillId="64" borderId="310" applyBorder="0">
      <alignment horizontal="center" vertical="center" wrapText="1"/>
    </xf>
    <xf numFmtId="5" fontId="64" fillId="0" borderId="329" applyAlignment="0" applyProtection="0"/>
    <xf numFmtId="0" fontId="112" fillId="0" borderId="303"/>
    <xf numFmtId="5" fontId="64" fillId="0" borderId="316" applyAlignment="0" applyProtection="0"/>
    <xf numFmtId="0" fontId="101" fillId="61" borderId="321"/>
    <xf numFmtId="37" fontId="85" fillId="58" borderId="312" applyBorder="0" applyProtection="0">
      <alignment vertical="center"/>
    </xf>
    <xf numFmtId="5" fontId="64" fillId="0" borderId="316" applyAlignment="0" applyProtection="0"/>
    <xf numFmtId="5" fontId="64" fillId="0" borderId="316" applyAlignment="0" applyProtection="0"/>
    <xf numFmtId="5" fontId="64" fillId="0" borderId="363" applyAlignment="0" applyProtection="0"/>
    <xf numFmtId="2" fontId="24" fillId="36" borderId="377" applyFill="0" applyBorder="0" applyProtection="0">
      <alignment horizontal="center"/>
    </xf>
    <xf numFmtId="301" fontId="94" fillId="0" borderId="363" applyFont="0" applyFill="0" applyBorder="0" applyAlignment="0" applyProtection="0">
      <alignment horizontal="center"/>
    </xf>
    <xf numFmtId="185" fontId="54" fillId="0" borderId="388" applyFont="0" applyFill="0" applyBorder="0" applyAlignment="0" applyProtection="0">
      <alignment horizontal="center"/>
    </xf>
    <xf numFmtId="0" fontId="49" fillId="0" borderId="256" applyNumberFormat="0" applyFill="0" applyAlignment="0" applyProtection="0"/>
    <xf numFmtId="0" fontId="147" fillId="0" borderId="328"/>
    <xf numFmtId="0" fontId="101" fillId="61" borderId="344"/>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01" fillId="61" borderId="279"/>
    <xf numFmtId="1" fontId="54" fillId="0" borderId="292" applyNumberFormat="0" applyFont="0" applyFill="0" applyProtection="0">
      <alignment horizontal="center"/>
    </xf>
    <xf numFmtId="0" fontId="48" fillId="65" borderId="249">
      <alignment horizontal="left" vertical="center" wrapText="1"/>
    </xf>
    <xf numFmtId="0" fontId="112" fillId="0" borderId="279"/>
    <xf numFmtId="0" fontId="101" fillId="61" borderId="404"/>
    <xf numFmtId="338" fontId="24" fillId="0" borderId="289" applyBorder="0">
      <alignment horizontal="right"/>
    </xf>
    <xf numFmtId="0" fontId="148" fillId="1" borderId="324" applyNumberFormat="0" applyFont="0" applyAlignment="0">
      <alignment horizontal="center"/>
    </xf>
    <xf numFmtId="0" fontId="55" fillId="0" borderId="391" applyNumberFormat="0" applyFill="0" applyBorder="0" applyAlignment="0" applyProtection="0"/>
    <xf numFmtId="0" fontId="88" fillId="0" borderId="342" applyNumberFormat="0" applyFill="0" applyBorder="0" applyAlignment="0" applyProtection="0"/>
    <xf numFmtId="0" fontId="126" fillId="64" borderId="249">
      <alignment horizontal="left" vertical="center"/>
    </xf>
    <xf numFmtId="0" fontId="126" fillId="64" borderId="250" applyBorder="0">
      <alignment horizontal="center" vertical="center" wrapText="1"/>
    </xf>
    <xf numFmtId="0" fontId="126" fillId="64" borderId="250" applyBorder="0">
      <alignment horizontal="center" vertical="center" wrapText="1"/>
    </xf>
    <xf numFmtId="0" fontId="126" fillId="64" borderId="249">
      <alignment horizontal="left" vertical="center"/>
    </xf>
    <xf numFmtId="5" fontId="64" fillId="0" borderId="388" applyAlignment="0" applyProtection="0"/>
    <xf numFmtId="8" fontId="131" fillId="0" borderId="308" applyNumberFormat="0" applyFill="0" applyBorder="0" applyAlignment="0" applyProtection="0"/>
    <xf numFmtId="2" fontId="24" fillId="36" borderId="244" applyFill="0" applyBorder="0" applyProtection="0">
      <alignment horizontal="center"/>
    </xf>
    <xf numFmtId="2" fontId="24" fillId="36" borderId="244" applyFill="0" applyBorder="0" applyProtection="0">
      <alignment horizontal="center"/>
    </xf>
    <xf numFmtId="5" fontId="64" fillId="0" borderId="329" applyAlignment="0" applyProtection="0"/>
    <xf numFmtId="5" fontId="64" fillId="0" borderId="363" applyAlignment="0" applyProtection="0"/>
    <xf numFmtId="0" fontId="87" fillId="0" borderId="295" applyNumberFormat="0" applyFill="0" applyBorder="0" applyAlignment="0" applyProtection="0"/>
    <xf numFmtId="4" fontId="54" fillId="0" borderId="279"/>
    <xf numFmtId="0" fontId="112" fillId="0" borderId="286"/>
    <xf numFmtId="37" fontId="85" fillId="58" borderId="291" applyBorder="0" applyProtection="0">
      <alignment vertical="center"/>
    </xf>
    <xf numFmtId="37" fontId="85" fillId="58" borderId="291" applyBorder="0" applyProtection="0">
      <alignment vertical="center"/>
    </xf>
    <xf numFmtId="0" fontId="54" fillId="0" borderId="284" applyNumberFormat="0" applyFill="0" applyAlignment="0" applyProtection="0"/>
    <xf numFmtId="0" fontId="55" fillId="0" borderId="284" applyNumberFormat="0" applyFill="0" applyBorder="0" applyAlignment="0" applyProtection="0"/>
    <xf numFmtId="5" fontId="64" fillId="0" borderId="292" applyAlignment="0" applyProtection="0"/>
    <xf numFmtId="5" fontId="64" fillId="0" borderId="292" applyAlignment="0" applyProtection="0"/>
    <xf numFmtId="0" fontId="101" fillId="61" borderId="286"/>
    <xf numFmtId="37" fontId="85" fillId="58" borderId="301" applyBorder="0" applyProtection="0">
      <alignment vertical="center"/>
    </xf>
    <xf numFmtId="0" fontId="147" fillId="0" borderId="290"/>
    <xf numFmtId="5" fontId="64" fillId="0" borderId="388" applyAlignment="0" applyProtection="0"/>
    <xf numFmtId="0" fontId="126" fillId="64" borderId="288" applyBorder="0">
      <alignment horizontal="center" vertical="center" wrapText="1"/>
    </xf>
    <xf numFmtId="5" fontId="64" fillId="0" borderId="316" applyAlignment="0" applyProtection="0"/>
    <xf numFmtId="0" fontId="53" fillId="35" borderId="286">
      <alignment horizontal="center" vertical="center"/>
    </xf>
    <xf numFmtId="301" fontId="94" fillId="0" borderId="388" applyFont="0" applyFill="0" applyBorder="0" applyAlignment="0" applyProtection="0">
      <alignment horizontal="center"/>
    </xf>
    <xf numFmtId="0" fontId="101" fillId="61" borderId="404"/>
    <xf numFmtId="8" fontId="131" fillId="0" borderId="322" applyNumberFormat="0" applyFill="0" applyBorder="0" applyAlignment="0" applyProtection="0"/>
    <xf numFmtId="0" fontId="87" fillId="0" borderId="295" applyNumberFormat="0" applyFill="0" applyBorder="0" applyAlignment="0" applyProtection="0"/>
    <xf numFmtId="0" fontId="147" fillId="0" borderId="351"/>
    <xf numFmtId="262" fontId="69" fillId="0" borderId="317" applyFill="0" applyAlignment="0" applyProtection="0">
      <alignment horizontal="center"/>
    </xf>
    <xf numFmtId="0" fontId="101" fillId="61" borderId="379"/>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177" fontId="33" fillId="0" borderId="316"/>
    <xf numFmtId="5" fontId="64" fillId="0" borderId="316" applyAlignment="0" applyProtection="0"/>
    <xf numFmtId="0" fontId="55" fillId="0" borderId="319" applyNumberFormat="0" applyFill="0" applyBorder="0" applyAlignment="0" applyProtection="0"/>
    <xf numFmtId="37" fontId="85" fillId="58" borderId="335" applyBorder="0" applyProtection="0">
      <alignment vertical="center"/>
    </xf>
    <xf numFmtId="37" fontId="85" fillId="58" borderId="282" applyBorder="0" applyProtection="0">
      <alignment vertical="center"/>
    </xf>
    <xf numFmtId="5" fontId="64" fillId="0" borderId="329" applyAlignment="0" applyProtection="0"/>
    <xf numFmtId="0" fontId="55" fillId="0" borderId="331" applyNumberFormat="0" applyFill="0" applyBorder="0" applyAlignment="0" applyProtection="0"/>
    <xf numFmtId="37" fontId="85" fillId="58" borderId="323" applyBorder="0" applyProtection="0">
      <alignment vertical="center"/>
    </xf>
    <xf numFmtId="0" fontId="55" fillId="0" borderId="342" applyNumberFormat="0" applyFill="0" applyBorder="0" applyAlignment="0" applyProtection="0"/>
    <xf numFmtId="37" fontId="85" fillId="58" borderId="301" applyBorder="0" applyProtection="0">
      <alignment vertical="center"/>
    </xf>
    <xf numFmtId="5" fontId="64" fillId="0" borderId="329" applyAlignment="0" applyProtection="0"/>
    <xf numFmtId="5" fontId="64" fillId="0" borderId="316" applyAlignment="0" applyProtection="0"/>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37" fontId="85" fillId="58" borderId="301" applyBorder="0" applyProtection="0">
      <alignment vertical="center"/>
    </xf>
    <xf numFmtId="0" fontId="100" fillId="43" borderId="247" applyNumberFormat="0" applyAlignment="0" applyProtection="0"/>
    <xf numFmtId="3" fontId="54" fillId="0" borderId="279"/>
    <xf numFmtId="0" fontId="100" fillId="43" borderId="247" applyNumberFormat="0" applyAlignment="0" applyProtection="0"/>
    <xf numFmtId="0" fontId="100" fillId="43" borderId="285" applyNumberFormat="0" applyAlignment="0" applyProtection="0"/>
    <xf numFmtId="5" fontId="64" fillId="0" borderId="388" applyAlignment="0" applyProtection="0"/>
    <xf numFmtId="0" fontId="112" fillId="0" borderId="286"/>
    <xf numFmtId="37" fontId="85" fillId="58" borderId="282" applyBorder="0" applyProtection="0">
      <alignment vertical="center"/>
    </xf>
    <xf numFmtId="5" fontId="64" fillId="0" borderId="292" applyAlignment="0" applyProtection="0"/>
    <xf numFmtId="0" fontId="112" fillId="0" borderId="303"/>
    <xf numFmtId="37" fontId="85" fillId="58" borderId="389" applyBorder="0" applyProtection="0">
      <alignment vertical="center"/>
    </xf>
    <xf numFmtId="2" fontId="24" fillId="36" borderId="406" applyFill="0" applyBorder="0" applyProtection="0">
      <alignment horizontal="center"/>
    </xf>
    <xf numFmtId="5" fontId="64" fillId="0" borderId="363" applyAlignment="0" applyProtection="0"/>
    <xf numFmtId="37" fontId="53" fillId="1" borderId="316">
      <alignment horizontal="centerContinuous" vertical="center"/>
    </xf>
    <xf numFmtId="5" fontId="64" fillId="0" borderId="388" applyAlignment="0" applyProtection="0"/>
    <xf numFmtId="0" fontId="55" fillId="0" borderId="402" applyNumberFormat="0" applyFill="0" applyBorder="0" applyAlignment="0" applyProtection="0"/>
    <xf numFmtId="0" fontId="147" fillId="0" borderId="314"/>
    <xf numFmtId="5" fontId="64" fillId="0" borderId="363" applyAlignment="0" applyProtection="0"/>
    <xf numFmtId="5" fontId="64" fillId="0" borderId="316" applyAlignment="0" applyProtection="0"/>
    <xf numFmtId="0" fontId="101" fillId="61" borderId="286"/>
    <xf numFmtId="37" fontId="85" fillId="58" borderId="301" applyBorder="0" applyProtection="0">
      <alignment vertical="center"/>
    </xf>
    <xf numFmtId="0" fontId="122" fillId="0" borderId="380">
      <alignment horizontal="left" vertical="center"/>
    </xf>
    <xf numFmtId="0" fontId="112" fillId="0" borderId="286"/>
    <xf numFmtId="0" fontId="112" fillId="0" borderId="303"/>
    <xf numFmtId="0" fontId="101" fillId="61" borderId="297"/>
    <xf numFmtId="37" fontId="85" fillId="58" borderId="312" applyBorder="0" applyProtection="0">
      <alignment vertical="center"/>
    </xf>
    <xf numFmtId="5" fontId="64" fillId="0" borderId="329" applyAlignment="0" applyProtection="0"/>
    <xf numFmtId="5" fontId="64" fillId="0" borderId="292" applyAlignment="0" applyProtection="0"/>
    <xf numFmtId="0" fontId="122" fillId="62" borderId="344">
      <alignment horizontal="center" vertical="center" wrapText="1"/>
      <protection hidden="1"/>
    </xf>
    <xf numFmtId="5" fontId="64" fillId="0" borderId="316" applyAlignment="0" applyProtection="0"/>
    <xf numFmtId="5" fontId="64" fillId="0" borderId="329" applyAlignment="0" applyProtection="0"/>
    <xf numFmtId="0" fontId="112" fillId="0" borderId="286"/>
    <xf numFmtId="0" fontId="49" fillId="0" borderId="214" applyNumberFormat="0" applyFill="0" applyAlignment="0" applyProtection="0"/>
    <xf numFmtId="37" fontId="85" fillId="58" borderId="301" applyBorder="0" applyProtection="0">
      <alignment vertical="center"/>
    </xf>
    <xf numFmtId="0" fontId="112" fillId="0" borderId="379"/>
    <xf numFmtId="5" fontId="64" fillId="0" borderId="271" applyAlignment="0" applyProtection="0"/>
    <xf numFmtId="338" fontId="24" fillId="0" borderId="267" applyBorder="0">
      <alignment horizontal="right"/>
    </xf>
    <xf numFmtId="0" fontId="112" fillId="0" borderId="344"/>
    <xf numFmtId="5" fontId="64" fillId="0" borderId="363" applyAlignment="0" applyProtection="0"/>
    <xf numFmtId="37" fontId="24" fillId="0" borderId="270" applyBorder="0">
      <alignment horizontal="right"/>
      <protection locked="0"/>
    </xf>
    <xf numFmtId="0" fontId="122" fillId="62" borderId="270">
      <alignment horizontal="center" vertical="center" wrapText="1"/>
      <protection hidden="1"/>
    </xf>
    <xf numFmtId="0" fontId="112" fillId="0" borderId="270"/>
    <xf numFmtId="1" fontId="54" fillId="0" borderId="271" applyNumberFormat="0" applyFont="0" applyFill="0" applyProtection="0">
      <alignment horizontal="center"/>
    </xf>
    <xf numFmtId="2" fontId="24" fillId="36" borderId="269" applyFill="0" applyBorder="0" applyProtection="0">
      <alignment horizontal="center"/>
    </xf>
    <xf numFmtId="301" fontId="94" fillId="0" borderId="271" applyFont="0" applyFill="0" applyBorder="0" applyAlignment="0" applyProtection="0">
      <alignment horizontal="center"/>
    </xf>
    <xf numFmtId="0" fontId="112" fillId="0" borderId="270"/>
    <xf numFmtId="0" fontId="112" fillId="0" borderId="270"/>
    <xf numFmtId="0" fontId="101" fillId="61" borderId="270"/>
    <xf numFmtId="0" fontId="101" fillId="61" borderId="270"/>
    <xf numFmtId="5" fontId="64" fillId="0" borderId="271" applyAlignment="0" applyProtection="0"/>
    <xf numFmtId="0" fontId="101" fillId="61"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7" fontId="85" fillId="58" borderId="282" applyBorder="0" applyProtection="0">
      <alignment vertical="center"/>
    </xf>
    <xf numFmtId="177" fontId="33" fillId="0" borderId="271"/>
    <xf numFmtId="5" fontId="64" fillId="0" borderId="271" applyAlignment="0" applyProtection="0"/>
    <xf numFmtId="5" fontId="64" fillId="0" borderId="271" applyAlignment="0" applyProtection="0"/>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5" fontId="64" fillId="0" borderId="329" applyAlignment="0" applyProtection="0"/>
    <xf numFmtId="5" fontId="64" fillId="0" borderId="388" applyAlignment="0" applyProtection="0"/>
    <xf numFmtId="37" fontId="85" fillId="58" borderId="282" applyBorder="0" applyProtection="0">
      <alignment vertical="center"/>
    </xf>
    <xf numFmtId="0" fontId="56" fillId="36" borderId="303">
      <alignment horizontal="center"/>
    </xf>
    <xf numFmtId="0" fontId="54" fillId="0" borderId="413" applyNumberFormat="0" applyFill="0" applyAlignment="0" applyProtection="0"/>
    <xf numFmtId="0" fontId="112" fillId="0" borderId="344"/>
    <xf numFmtId="0" fontId="55" fillId="0" borderId="275" applyNumberFormat="0" applyFill="0" applyBorder="0" applyAlignment="0" applyProtection="0"/>
    <xf numFmtId="0" fontId="88" fillId="0" borderId="275" applyNumberFormat="0" applyFill="0" applyBorder="0" applyAlignment="0" applyProtection="0"/>
    <xf numFmtId="5" fontId="64" fillId="0" borderId="329" applyAlignment="0" applyProtection="0"/>
    <xf numFmtId="0" fontId="112" fillId="0" borderId="286"/>
    <xf numFmtId="5" fontId="64" fillId="0" borderId="316" applyAlignment="0" applyProtection="0"/>
    <xf numFmtId="0" fontId="101" fillId="61" borderId="286"/>
    <xf numFmtId="5" fontId="64" fillId="0" borderId="400" applyAlignment="0" applyProtection="0"/>
    <xf numFmtId="0" fontId="148" fillId="1" borderId="407" applyNumberFormat="0" applyFont="0" applyAlignment="0">
      <alignment horizontal="center"/>
    </xf>
    <xf numFmtId="0" fontId="49" fillId="0" borderId="390" applyNumberFormat="0" applyFill="0" applyAlignment="0" applyProtection="0"/>
    <xf numFmtId="0" fontId="101" fillId="61" borderId="303"/>
    <xf numFmtId="0" fontId="112" fillId="0" borderId="303"/>
    <xf numFmtId="315" fontId="28" fillId="0" borderId="317" applyFont="0" applyFill="0" applyBorder="0" applyAlignment="0" applyProtection="0"/>
    <xf numFmtId="0" fontId="101" fillId="61" borderId="297"/>
    <xf numFmtId="0" fontId="87" fillId="0" borderId="331" applyNumberFormat="0" applyFill="0" applyBorder="0" applyAlignment="0" applyProtection="0"/>
    <xf numFmtId="37" fontId="85" fillId="58" borderId="323" applyBorder="0" applyProtection="0">
      <alignment vertical="center"/>
    </xf>
    <xf numFmtId="0" fontId="101" fillId="61" borderId="297"/>
    <xf numFmtId="0" fontId="112" fillId="0" borderId="279"/>
    <xf numFmtId="5" fontId="64" fillId="0" borderId="316" applyAlignment="0" applyProtection="0"/>
    <xf numFmtId="177" fontId="33" fillId="0" borderId="292"/>
    <xf numFmtId="37" fontId="85" fillId="58" borderId="291" applyBorder="0" applyProtection="0">
      <alignment vertical="center"/>
    </xf>
    <xf numFmtId="0" fontId="112" fillId="0" borderId="279"/>
    <xf numFmtId="185" fontId="54" fillId="0" borderId="292" applyFont="0" applyFill="0" applyBorder="0" applyAlignment="0" applyProtection="0">
      <alignment horizontal="center"/>
    </xf>
    <xf numFmtId="0" fontId="112" fillId="0" borderId="344"/>
    <xf numFmtId="37" fontId="24" fillId="0" borderId="404" applyBorder="0">
      <alignment horizontal="right"/>
      <protection locked="0"/>
    </xf>
    <xf numFmtId="0" fontId="101" fillId="61" borderId="286"/>
    <xf numFmtId="5" fontId="64" fillId="0" borderId="292" applyAlignment="0" applyProtection="0"/>
    <xf numFmtId="37" fontId="85" fillId="58" borderId="291" applyBorder="0" applyProtection="0">
      <alignment vertical="center"/>
    </xf>
    <xf numFmtId="177" fontId="33" fillId="0" borderId="292"/>
    <xf numFmtId="5" fontId="64" fillId="0" borderId="292" applyAlignment="0" applyProtection="0"/>
    <xf numFmtId="5" fontId="64" fillId="0" borderId="292" applyAlignment="0" applyProtection="0"/>
    <xf numFmtId="338" fontId="24" fillId="0" borderId="289" applyBorder="0">
      <alignment horizontal="right"/>
    </xf>
    <xf numFmtId="0" fontId="112" fillId="0" borderId="286"/>
    <xf numFmtId="301" fontId="94" fillId="0" borderId="388" applyFont="0" applyFill="0" applyBorder="0" applyAlignment="0" applyProtection="0">
      <alignment horizontal="center"/>
    </xf>
    <xf numFmtId="0" fontId="87" fillId="0" borderId="402" applyNumberFormat="0" applyFill="0" applyBorder="0" applyAlignment="0" applyProtection="0"/>
    <xf numFmtId="0" fontId="88" fillId="0" borderId="306" applyNumberFormat="0" applyFill="0" applyBorder="0" applyAlignment="0" applyProtection="0"/>
    <xf numFmtId="0" fontId="101" fillId="61" borderId="286"/>
    <xf numFmtId="2" fontId="24" fillId="36" borderId="406" applyFill="0" applyBorder="0" applyProtection="0">
      <alignment horizontal="center"/>
    </xf>
    <xf numFmtId="0" fontId="112" fillId="0" borderId="297"/>
    <xf numFmtId="0" fontId="101" fillId="61" borderId="303"/>
    <xf numFmtId="0" fontId="112" fillId="0" borderId="404"/>
    <xf numFmtId="0" fontId="88" fillId="0" borderId="295" applyNumberFormat="0" applyFill="0" applyBorder="0" applyAlignment="0" applyProtection="0"/>
    <xf numFmtId="177" fontId="33" fillId="0" borderId="388"/>
    <xf numFmtId="1" fontId="54" fillId="0" borderId="292" applyNumberFormat="0" applyFont="0" applyFill="0" applyProtection="0">
      <alignment horizontal="center"/>
    </xf>
    <xf numFmtId="0" fontId="112" fillId="0" borderId="321"/>
    <xf numFmtId="0" fontId="49" fillId="0" borderId="294" applyNumberFormat="0" applyFill="0" applyAlignment="0" applyProtection="0"/>
    <xf numFmtId="5" fontId="64" fillId="0" borderId="388" applyAlignment="0" applyProtection="0"/>
    <xf numFmtId="5" fontId="64" fillId="0" borderId="400" applyAlignment="0" applyProtection="0"/>
    <xf numFmtId="0" fontId="101" fillId="61" borderId="303"/>
    <xf numFmtId="37" fontId="85" fillId="58" borderId="301" applyBorder="0" applyProtection="0">
      <alignment vertical="center"/>
    </xf>
    <xf numFmtId="0" fontId="48" fillId="65" borderId="408">
      <alignment horizontal="left" vertical="center" wrapText="1"/>
    </xf>
    <xf numFmtId="0" fontId="55" fillId="0" borderId="306" applyNumberFormat="0" applyFill="0" applyBorder="0" applyAlignment="0" applyProtection="0"/>
    <xf numFmtId="0" fontId="112" fillId="0" borderId="321"/>
    <xf numFmtId="5" fontId="64" fillId="0" borderId="316" applyAlignment="0" applyProtection="0"/>
    <xf numFmtId="5" fontId="64" fillId="0" borderId="400" applyAlignment="0" applyProtection="0"/>
    <xf numFmtId="5" fontId="64" fillId="0" borderId="388" applyAlignment="0" applyProtection="0"/>
    <xf numFmtId="5" fontId="64" fillId="0" borderId="329" applyAlignment="0" applyProtection="0"/>
    <xf numFmtId="0" fontId="101" fillId="61" borderId="379"/>
    <xf numFmtId="177" fontId="33" fillId="0" borderId="329"/>
    <xf numFmtId="37" fontId="85" fillId="58" borderId="323" applyBorder="0" applyProtection="0">
      <alignment vertical="center"/>
    </xf>
    <xf numFmtId="5" fontId="64" fillId="0" borderId="316" applyAlignment="0" applyProtection="0"/>
    <xf numFmtId="0" fontId="101" fillId="61" borderId="344"/>
    <xf numFmtId="5" fontId="64" fillId="0" borderId="316" applyAlignment="0" applyProtection="0"/>
    <xf numFmtId="5" fontId="64" fillId="0" borderId="388" applyAlignment="0" applyProtection="0"/>
    <xf numFmtId="2" fontId="24" fillId="36" borderId="357" applyFill="0" applyBorder="0" applyProtection="0">
      <alignment horizontal="center"/>
    </xf>
    <xf numFmtId="37" fontId="85" fillId="58" borderId="389" applyBorder="0" applyProtection="0">
      <alignment vertical="center"/>
    </xf>
    <xf numFmtId="5" fontId="64" fillId="0" borderId="388" applyAlignment="0" applyProtection="0"/>
    <xf numFmtId="0" fontId="101" fillId="61" borderId="344"/>
    <xf numFmtId="5" fontId="64" fillId="0" borderId="316" applyAlignment="0" applyProtection="0"/>
    <xf numFmtId="0" fontId="112" fillId="0" borderId="286"/>
    <xf numFmtId="1" fontId="54" fillId="0" borderId="329" applyNumberFormat="0" applyFont="0" applyFill="0" applyProtection="0">
      <alignment horizontal="center"/>
    </xf>
    <xf numFmtId="0" fontId="49" fillId="0" borderId="274" applyNumberFormat="0" applyFill="0" applyAlignment="0" applyProtection="0"/>
    <xf numFmtId="0" fontId="88" fillId="0" borderId="402" applyNumberFormat="0" applyFill="0" applyBorder="0" applyAlignment="0" applyProtection="0"/>
    <xf numFmtId="0" fontId="147" fillId="0" borderId="290"/>
    <xf numFmtId="177" fontId="33" fillId="0" borderId="316"/>
    <xf numFmtId="5" fontId="64" fillId="0" borderId="292" applyAlignment="0" applyProtection="0"/>
    <xf numFmtId="5" fontId="64" fillId="0" borderId="388" applyAlignment="0" applyProtection="0"/>
    <xf numFmtId="0" fontId="48" fillId="65" borderId="375">
      <alignment horizontal="left" vertical="center" wrapText="1"/>
    </xf>
    <xf numFmtId="37" fontId="24" fillId="0" borderId="404" applyBorder="0">
      <alignment horizontal="right"/>
      <protection locked="0"/>
    </xf>
    <xf numFmtId="338" fontId="24" fillId="0" borderId="410" applyBorder="0">
      <alignment horizontal="right"/>
    </xf>
    <xf numFmtId="338" fontId="24" fillId="0" borderId="410" applyBorder="0">
      <alignment horizontal="right"/>
    </xf>
    <xf numFmtId="37" fontId="85" fillId="58" borderId="282" applyBorder="0" applyProtection="0">
      <alignment vertical="center"/>
    </xf>
    <xf numFmtId="5" fontId="64" fillId="0" borderId="363" applyAlignment="0" applyProtection="0"/>
    <xf numFmtId="2" fontId="24" fillId="36" borderId="301" applyFill="0" applyBorder="0" applyProtection="0">
      <alignment horizontal="center"/>
    </xf>
    <xf numFmtId="0" fontId="87" fillId="0" borderId="402" applyNumberFormat="0" applyFill="0" applyBorder="0" applyAlignment="0" applyProtection="0"/>
    <xf numFmtId="0" fontId="49" fillId="0" borderId="294" applyNumberFormat="0" applyFill="0" applyAlignment="0" applyProtection="0"/>
    <xf numFmtId="0" fontId="54" fillId="0" borderId="306" applyNumberFormat="0" applyFill="0" applyAlignment="0" applyProtection="0"/>
    <xf numFmtId="37" fontId="85" fillId="58" borderId="282" applyBorder="0" applyProtection="0">
      <alignment vertical="center"/>
    </xf>
    <xf numFmtId="5" fontId="64" fillId="0" borderId="329" applyAlignment="0" applyProtection="0"/>
    <xf numFmtId="0" fontId="101" fillId="61" borderId="297"/>
    <xf numFmtId="301" fontId="94" fillId="0" borderId="292" applyFont="0" applyFill="0" applyBorder="0" applyAlignment="0" applyProtection="0">
      <alignment horizontal="center"/>
    </xf>
    <xf numFmtId="37" fontId="85" fillId="58" borderId="312" applyBorder="0" applyProtection="0">
      <alignment vertical="center"/>
    </xf>
    <xf numFmtId="4" fontId="54" fillId="0" borderId="270"/>
    <xf numFmtId="5" fontId="64" fillId="0" borderId="329" applyAlignment="0" applyProtection="0"/>
    <xf numFmtId="5" fontId="64" fillId="0" borderId="316" applyAlignment="0" applyProtection="0"/>
    <xf numFmtId="0" fontId="88" fillId="0" borderId="402" applyNumberFormat="0" applyFill="0" applyBorder="0" applyAlignment="0" applyProtection="0"/>
    <xf numFmtId="0" fontId="101" fillId="61" borderId="297"/>
    <xf numFmtId="185" fontId="54" fillId="0" borderId="388" applyFont="0" applyFill="0" applyBorder="0" applyAlignment="0" applyProtection="0">
      <alignment horizontal="center"/>
    </xf>
    <xf numFmtId="0" fontId="88" fillId="0" borderId="284" applyNumberFormat="0" applyFill="0" applyBorder="0" applyAlignment="0" applyProtection="0"/>
    <xf numFmtId="0" fontId="87" fillId="0" borderId="284" applyNumberFormat="0" applyFill="0" applyBorder="0" applyAlignment="0" applyProtection="0"/>
    <xf numFmtId="0" fontId="101" fillId="61" borderId="344"/>
    <xf numFmtId="0" fontId="112" fillId="0" borderId="286"/>
    <xf numFmtId="338" fontId="24" fillId="0" borderId="280" applyBorder="0">
      <alignment horizontal="right"/>
    </xf>
    <xf numFmtId="338" fontId="24" fillId="0" borderId="378" applyBorder="0">
      <alignment horizontal="right"/>
    </xf>
    <xf numFmtId="0" fontId="147" fillId="0" borderId="314"/>
    <xf numFmtId="0" fontId="49" fillId="0" borderId="294" applyNumberFormat="0" applyFill="0" applyAlignment="0" applyProtection="0"/>
    <xf numFmtId="0" fontId="28" fillId="0" borderId="317" applyBorder="0">
      <alignment horizontal="centerContinuous"/>
    </xf>
    <xf numFmtId="5" fontId="64" fillId="0" borderId="316" applyAlignment="0" applyProtection="0"/>
    <xf numFmtId="5" fontId="64" fillId="0" borderId="316" applyAlignment="0" applyProtection="0"/>
    <xf numFmtId="37" fontId="85" fillId="58" borderId="406" applyBorder="0" applyProtection="0">
      <alignment vertical="center"/>
    </xf>
    <xf numFmtId="0" fontId="54" fillId="0" borderId="402" applyNumberFormat="0" applyFill="0" applyAlignment="0" applyProtection="0"/>
    <xf numFmtId="0" fontId="101" fillId="61" borderId="286"/>
    <xf numFmtId="5" fontId="64" fillId="0" borderId="316" applyAlignment="0" applyProtection="0"/>
    <xf numFmtId="5" fontId="64" fillId="0" borderId="329" applyAlignment="0" applyProtection="0"/>
    <xf numFmtId="5" fontId="64" fillId="0" borderId="363" applyAlignment="0" applyProtection="0"/>
    <xf numFmtId="0" fontId="101" fillId="61" borderId="286"/>
    <xf numFmtId="0" fontId="56" fillId="36" borderId="344">
      <alignment horizontal="center"/>
    </xf>
    <xf numFmtId="5" fontId="64" fillId="0" borderId="316" applyAlignment="0" applyProtection="0"/>
    <xf numFmtId="2" fontId="24" fillId="36" borderId="301" applyFill="0" applyBorder="0" applyProtection="0">
      <alignment horizontal="center"/>
    </xf>
    <xf numFmtId="2" fontId="24" fillId="36" borderId="312" applyFill="0" applyBorder="0" applyProtection="0">
      <alignment horizontal="center"/>
    </xf>
    <xf numFmtId="0" fontId="101" fillId="61" borderId="303"/>
    <xf numFmtId="0" fontId="112" fillId="0" borderId="297"/>
    <xf numFmtId="0" fontId="122" fillId="62" borderId="404">
      <alignment horizontal="center" vertical="center" wrapText="1"/>
      <protection hidden="1"/>
    </xf>
    <xf numFmtId="5" fontId="64" fillId="0" borderId="292" applyAlignment="0" applyProtection="0"/>
    <xf numFmtId="301" fontId="94" fillId="0" borderId="292" applyFont="0" applyFill="0" applyBorder="0" applyAlignment="0" applyProtection="0">
      <alignment horizontal="center"/>
    </xf>
    <xf numFmtId="5" fontId="64" fillId="0" borderId="388" applyAlignment="0" applyProtection="0"/>
    <xf numFmtId="5" fontId="64" fillId="0" borderId="388" applyAlignment="0" applyProtection="0"/>
    <xf numFmtId="0" fontId="101" fillId="61" borderId="404"/>
    <xf numFmtId="5" fontId="64" fillId="0" borderId="363" applyAlignment="0" applyProtection="0"/>
    <xf numFmtId="37" fontId="85" fillId="58" borderId="406" applyBorder="0" applyProtection="0">
      <alignment vertical="center"/>
    </xf>
    <xf numFmtId="0" fontId="112" fillId="0" borderId="286"/>
    <xf numFmtId="185" fontId="54" fillId="0" borderId="363" applyFont="0" applyFill="0" applyBorder="0" applyAlignment="0" applyProtection="0">
      <alignment horizontal="center"/>
    </xf>
    <xf numFmtId="37" fontId="24" fillId="0" borderId="286" applyBorder="0">
      <alignment horizontal="right"/>
      <protection locked="0"/>
    </xf>
    <xf numFmtId="0" fontId="55" fillId="0" borderId="284" applyNumberFormat="0" applyFill="0" applyBorder="0" applyAlignment="0" applyProtection="0"/>
    <xf numFmtId="5" fontId="64" fillId="0" borderId="363" applyAlignment="0" applyProtection="0"/>
    <xf numFmtId="301" fontId="94" fillId="0" borderId="363" applyFont="0" applyFill="0" applyBorder="0" applyAlignment="0" applyProtection="0">
      <alignment horizontal="center"/>
    </xf>
    <xf numFmtId="0" fontId="87" fillId="0" borderId="246" applyNumberFormat="0" applyFill="0" applyBorder="0" applyAlignment="0" applyProtection="0"/>
    <xf numFmtId="5" fontId="64" fillId="0" borderId="388" applyAlignment="0" applyProtection="0"/>
    <xf numFmtId="0" fontId="101" fillId="61" borderId="286"/>
    <xf numFmtId="0" fontId="112" fillId="0" borderId="286"/>
    <xf numFmtId="5" fontId="64" fillId="0" borderId="388" applyAlignment="0" applyProtection="0"/>
    <xf numFmtId="249" fontId="28" fillId="0" borderId="317"/>
    <xf numFmtId="0" fontId="54" fillId="0" borderId="246" applyNumberFormat="0" applyFill="0" applyAlignment="0" applyProtection="0"/>
    <xf numFmtId="5" fontId="64" fillId="0" borderId="400" applyAlignment="0" applyProtection="0"/>
    <xf numFmtId="0" fontId="126" fillId="64" borderId="326" applyBorder="0">
      <alignment horizontal="center" vertical="center" wrapText="1"/>
    </xf>
    <xf numFmtId="5" fontId="64" fillId="0" borderId="388" applyAlignment="0" applyProtection="0"/>
    <xf numFmtId="0" fontId="54" fillId="0" borderId="246" applyNumberFormat="0" applyFill="0" applyAlignment="0" applyProtection="0"/>
    <xf numFmtId="0" fontId="55" fillId="0" borderId="246" applyNumberFormat="0" applyFill="0" applyBorder="0" applyAlignment="0" applyProtection="0"/>
    <xf numFmtId="0" fontId="54" fillId="0" borderId="246" applyNumberFormat="0" applyFill="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7" fillId="0" borderId="246" applyNumberFormat="0" applyFill="0" applyBorder="0" applyAlignment="0" applyProtection="0"/>
    <xf numFmtId="5" fontId="64" fillId="0" borderId="316" applyAlignment="0" applyProtection="0"/>
    <xf numFmtId="0" fontId="87" fillId="0" borderId="246" applyNumberFormat="0" applyFill="0" applyBorder="0" applyAlignment="0" applyProtection="0"/>
    <xf numFmtId="0" fontId="55" fillId="0" borderId="306" applyNumberFormat="0" applyFill="0" applyBorder="0" applyAlignment="0" applyProtection="0"/>
    <xf numFmtId="0" fontId="52" fillId="32" borderId="279"/>
    <xf numFmtId="5" fontId="64" fillId="0" borderId="388" applyAlignment="0" applyProtection="0"/>
    <xf numFmtId="0" fontId="101" fillId="61" borderId="404"/>
    <xf numFmtId="0" fontId="122" fillId="62" borderId="297">
      <alignment horizontal="center" vertical="center" wrapText="1"/>
      <protection hidden="1"/>
    </xf>
    <xf numFmtId="0" fontId="100" fillId="43" borderId="343" applyNumberFormat="0" applyAlignment="0" applyProtection="0"/>
    <xf numFmtId="5" fontId="64" fillId="0" borderId="363" applyAlignment="0" applyProtection="0"/>
    <xf numFmtId="0" fontId="112" fillId="0" borderId="297"/>
    <xf numFmtId="0" fontId="101" fillId="61" borderId="379"/>
    <xf numFmtId="0" fontId="55" fillId="0" borderId="319" applyNumberFormat="0" applyFill="0" applyBorder="0" applyAlignment="0" applyProtection="0"/>
    <xf numFmtId="0" fontId="101" fillId="61" borderId="279"/>
    <xf numFmtId="2" fontId="24" fillId="36" borderId="291" applyFill="0" applyBorder="0" applyProtection="0">
      <alignment horizontal="center"/>
    </xf>
    <xf numFmtId="5" fontId="64" fillId="0" borderId="400" applyAlignment="0" applyProtection="0"/>
    <xf numFmtId="5" fontId="64" fillId="0" borderId="400" applyAlignment="0" applyProtection="0"/>
    <xf numFmtId="37" fontId="85" fillId="58" borderId="323" applyBorder="0" applyProtection="0">
      <alignment vertical="center"/>
    </xf>
    <xf numFmtId="5" fontId="64" fillId="0" borderId="316" applyAlignment="0" applyProtection="0"/>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2" fontId="24" fillId="36" borderId="312" applyFill="0" applyBorder="0" applyProtection="0">
      <alignment horizontal="center"/>
    </xf>
    <xf numFmtId="0" fontId="101" fillId="61" borderId="379"/>
    <xf numFmtId="0" fontId="112" fillId="0" borderId="297"/>
    <xf numFmtId="37" fontId="85" fillId="58" borderId="282" applyBorder="0" applyProtection="0">
      <alignment vertical="center"/>
    </xf>
    <xf numFmtId="5" fontId="64" fillId="0" borderId="316" applyAlignment="0" applyProtection="0"/>
    <xf numFmtId="37" fontId="85" fillId="58" borderId="323" applyBorder="0" applyProtection="0">
      <alignment vertical="center"/>
    </xf>
    <xf numFmtId="5" fontId="64" fillId="0" borderId="363" applyAlignment="0" applyProtection="0"/>
    <xf numFmtId="37" fontId="85" fillId="58" borderId="282" applyBorder="0" applyProtection="0">
      <alignment vertical="center"/>
    </xf>
    <xf numFmtId="0" fontId="122" fillId="62" borderId="286">
      <alignment horizontal="center" vertical="center" wrapText="1"/>
      <protection hidden="1"/>
    </xf>
    <xf numFmtId="37" fontId="85" fillId="58" borderId="301" applyBorder="0" applyProtection="0">
      <alignment vertical="center"/>
    </xf>
    <xf numFmtId="0" fontId="112" fillId="0" borderId="303"/>
    <xf numFmtId="0" fontId="122" fillId="62" borderId="297">
      <alignment horizontal="center" vertical="center" wrapText="1"/>
      <protection hidden="1"/>
    </xf>
    <xf numFmtId="0" fontId="112" fillId="0" borderId="297"/>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5" fontId="64" fillId="0" borderId="388" applyAlignment="0" applyProtection="0"/>
    <xf numFmtId="338" fontId="24" fillId="0" borderId="410" applyBorder="0">
      <alignment horizontal="right"/>
    </xf>
    <xf numFmtId="0" fontId="88" fillId="0" borderId="331" applyNumberFormat="0" applyFill="0" applyBorder="0" applyAlignment="0" applyProtection="0"/>
    <xf numFmtId="0" fontId="101" fillId="61" borderId="286"/>
    <xf numFmtId="0" fontId="122" fillId="0" borderId="407">
      <alignment horizontal="left" vertical="center"/>
    </xf>
    <xf numFmtId="5" fontId="64" fillId="0" borderId="316" applyAlignment="0" applyProtection="0"/>
    <xf numFmtId="0" fontId="101" fillId="61" borderId="303"/>
    <xf numFmtId="0" fontId="138" fillId="0" borderId="317" applyNumberFormat="0" applyFill="0" applyBorder="0" applyAlignment="0">
      <protection locked="0"/>
    </xf>
    <xf numFmtId="0" fontId="122" fillId="0" borderId="380">
      <alignment horizontal="left" vertical="center"/>
    </xf>
    <xf numFmtId="5" fontId="64" fillId="0" borderId="363" applyAlignment="0" applyProtection="0"/>
    <xf numFmtId="0" fontId="112" fillId="0" borderId="279"/>
    <xf numFmtId="5" fontId="64" fillId="0" borderId="388" applyAlignment="0" applyProtection="0"/>
    <xf numFmtId="5" fontId="64" fillId="0" borderId="316" applyAlignment="0" applyProtection="0"/>
    <xf numFmtId="2" fontId="24" fillId="36" borderId="346" applyFill="0" applyBorder="0" applyProtection="0">
      <alignment horizontal="center"/>
    </xf>
    <xf numFmtId="37" fontId="85" fillId="58" borderId="282" applyBorder="0" applyProtection="0">
      <alignment vertical="center"/>
    </xf>
    <xf numFmtId="0" fontId="48" fillId="65" borderId="375">
      <alignment horizontal="left" vertical="center" wrapText="1"/>
    </xf>
    <xf numFmtId="0" fontId="112" fillId="0" borderId="303"/>
    <xf numFmtId="185" fontId="54" fillId="0" borderId="363" applyFont="0" applyFill="0" applyBorder="0" applyAlignment="0" applyProtection="0">
      <alignment horizontal="center"/>
    </xf>
    <xf numFmtId="0" fontId="48" fillId="65" borderId="299">
      <alignment horizontal="left" vertical="center" wrapText="1"/>
    </xf>
    <xf numFmtId="0" fontId="54" fillId="0" borderId="295" applyNumberFormat="0" applyFill="0" applyAlignment="0" applyProtection="0"/>
    <xf numFmtId="0" fontId="87" fillId="0" borderId="413" applyNumberFormat="0" applyFill="0" applyBorder="0" applyAlignment="0" applyProtection="0"/>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2" fontId="24" fillId="36" borderId="269" applyFill="0" applyBorder="0" applyProtection="0">
      <alignment horizontal="center"/>
    </xf>
    <xf numFmtId="5" fontId="64" fillId="0" borderId="271" applyAlignment="0" applyProtection="0"/>
    <xf numFmtId="37" fontId="85" fillId="58" borderId="282" applyBorder="0" applyProtection="0">
      <alignment vertical="center"/>
    </xf>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00" fillId="43" borderId="276" applyNumberFormat="0" applyAlignment="0" applyProtection="0"/>
    <xf numFmtId="5" fontId="64" fillId="0" borderId="388" applyAlignment="0" applyProtection="0"/>
    <xf numFmtId="301" fontId="94" fillId="0" borderId="316" applyFont="0" applyFill="0" applyBorder="0" applyAlignment="0" applyProtection="0">
      <alignment horizontal="center"/>
    </xf>
    <xf numFmtId="37" fontId="85" fillId="58" borderId="282" applyBorder="0" applyProtection="0">
      <alignment vertical="center"/>
    </xf>
    <xf numFmtId="338" fontId="24" fillId="0" borderId="289" applyBorder="0">
      <alignment horizontal="right"/>
    </xf>
    <xf numFmtId="0" fontId="122" fillId="62" borderId="321">
      <alignment horizontal="center" vertical="center" wrapText="1"/>
      <protection hidden="1"/>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37" fontId="85" fillId="58" borderId="323" applyBorder="0" applyProtection="0">
      <alignment vertical="center"/>
    </xf>
    <xf numFmtId="0" fontId="101" fillId="61" borderId="286"/>
    <xf numFmtId="37" fontId="53" fillId="1" borderId="292">
      <alignment horizontal="centerContinuous" vertical="center"/>
    </xf>
    <xf numFmtId="0" fontId="101" fillId="61" borderId="279"/>
    <xf numFmtId="37" fontId="24" fillId="0" borderId="279" applyBorder="0">
      <alignment horizontal="right"/>
      <protection locked="0"/>
    </xf>
    <xf numFmtId="0" fontId="101" fillId="61" borderId="344"/>
    <xf numFmtId="5" fontId="64" fillId="0" borderId="400" applyAlignment="0" applyProtection="0"/>
    <xf numFmtId="0" fontId="147" fillId="0" borderId="290"/>
    <xf numFmtId="0" fontId="101" fillId="61" borderId="344"/>
    <xf numFmtId="0" fontId="55" fillId="0" borderId="391" applyNumberFormat="0" applyFill="0" applyBorder="0" applyAlignment="0" applyProtection="0"/>
    <xf numFmtId="338" fontId="24" fillId="0" borderId="228" applyBorder="0">
      <alignment horizontal="right"/>
    </xf>
    <xf numFmtId="338" fontId="24" fillId="0" borderId="228" applyBorder="0">
      <alignment horizontal="right"/>
    </xf>
    <xf numFmtId="338" fontId="24" fillId="0" borderId="228" applyBorder="0">
      <alignment horizontal="right"/>
    </xf>
    <xf numFmtId="338" fontId="24" fillId="0" borderId="228" applyBorder="0">
      <alignment horizontal="right"/>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5" fontId="64" fillId="0" borderId="329" applyAlignment="0" applyProtection="0"/>
    <xf numFmtId="5" fontId="64" fillId="0" borderId="329" applyAlignment="0" applyProtection="0"/>
    <xf numFmtId="0" fontId="101" fillId="61" borderId="321"/>
    <xf numFmtId="0" fontId="55" fillId="0" borderId="402" applyNumberFormat="0" applyFill="0" applyBorder="0" applyAlignment="0" applyProtection="0"/>
    <xf numFmtId="0" fontId="112" fillId="0" borderId="379"/>
    <xf numFmtId="37" fontId="85" fillId="58" borderId="377" applyBorder="0" applyProtection="0">
      <alignment vertical="center"/>
    </xf>
    <xf numFmtId="0" fontId="112" fillId="0" borderId="344"/>
    <xf numFmtId="0" fontId="88" fillId="0" borderId="402" applyNumberFormat="0" applyFill="0" applyBorder="0" applyAlignment="0" applyProtection="0"/>
    <xf numFmtId="0" fontId="88" fillId="0" borderId="275" applyNumberFormat="0" applyFill="0" applyBorder="0" applyAlignment="0" applyProtection="0"/>
    <xf numFmtId="5" fontId="64" fillId="0" borderId="316" applyAlignment="0" applyProtection="0"/>
    <xf numFmtId="0" fontId="55" fillId="0" borderId="319" applyNumberFormat="0" applyFill="0" applyBorder="0" applyAlignment="0" applyProtection="0"/>
    <xf numFmtId="0" fontId="49" fillId="0" borderId="294" applyNumberFormat="0" applyFill="0" applyAlignment="0" applyProtection="0"/>
    <xf numFmtId="0" fontId="54" fillId="0" borderId="257" applyNumberFormat="0" applyFill="0" applyAlignment="0" applyProtection="0"/>
    <xf numFmtId="5" fontId="64" fillId="0" borderId="316" applyAlignment="0" applyProtection="0"/>
    <xf numFmtId="0" fontId="101" fillId="61" borderId="303"/>
    <xf numFmtId="5" fontId="64" fillId="0" borderId="388" applyAlignment="0" applyProtection="0"/>
    <xf numFmtId="0" fontId="87" fillId="0" borderId="284" applyNumberFormat="0" applyFill="0" applyBorder="0" applyAlignment="0" applyProtection="0"/>
    <xf numFmtId="0" fontId="54" fillId="0" borderId="284" applyNumberFormat="0" applyFill="0" applyAlignment="0" applyProtection="0"/>
    <xf numFmtId="0" fontId="88" fillId="0" borderId="284" applyNumberFormat="0" applyFill="0" applyBorder="0" applyAlignment="0" applyProtection="0"/>
    <xf numFmtId="5" fontId="64" fillId="0" borderId="292" applyAlignment="0" applyProtection="0"/>
    <xf numFmtId="0" fontId="126" fillId="64" borderId="287">
      <alignment horizontal="left" vertical="center"/>
    </xf>
    <xf numFmtId="0" fontId="88" fillId="0" borderId="306" applyNumberFormat="0" applyFill="0" applyBorder="0" applyAlignment="0" applyProtection="0"/>
    <xf numFmtId="0" fontId="88" fillId="0" borderId="306" applyNumberFormat="0" applyFill="0" applyBorder="0" applyAlignment="0" applyProtection="0"/>
    <xf numFmtId="5" fontId="64" fillId="0" borderId="292" applyAlignment="0" applyProtection="0"/>
    <xf numFmtId="37" fontId="24" fillId="0" borderId="279" applyBorder="0">
      <alignment horizontal="right"/>
      <protection locked="0"/>
    </xf>
    <xf numFmtId="0" fontId="112" fillId="0" borderId="279"/>
    <xf numFmtId="37" fontId="85" fillId="58" borderId="323" applyBorder="0" applyProtection="0">
      <alignment vertical="center"/>
    </xf>
    <xf numFmtId="0" fontId="112" fillId="0" borderId="344"/>
    <xf numFmtId="5" fontId="64" fillId="0" borderId="316" applyAlignment="0" applyProtection="0"/>
    <xf numFmtId="0" fontId="48" fillId="65" borderId="375">
      <alignment horizontal="left" vertical="center" wrapText="1"/>
    </xf>
    <xf numFmtId="0" fontId="88" fillId="0" borderId="342" applyNumberFormat="0" applyFill="0" applyBorder="0" applyAlignment="0" applyProtection="0"/>
    <xf numFmtId="0" fontId="101" fillId="61" borderId="379"/>
    <xf numFmtId="5" fontId="64" fillId="0" borderId="363" applyAlignment="0" applyProtection="0"/>
    <xf numFmtId="5" fontId="64" fillId="0" borderId="388" applyAlignment="0" applyProtection="0"/>
    <xf numFmtId="37" fontId="85" fillId="58" borderId="357" applyBorder="0" applyProtection="0">
      <alignment vertical="center"/>
    </xf>
    <xf numFmtId="0" fontId="101" fillId="61" borderId="286"/>
    <xf numFmtId="0" fontId="112" fillId="0" borderId="286"/>
    <xf numFmtId="5" fontId="64" fillId="0" borderId="329" applyAlignment="0" applyProtection="0"/>
    <xf numFmtId="0" fontId="49" fillId="0" borderId="235" applyNumberFormat="0" applyFill="0" applyAlignment="0" applyProtection="0"/>
    <xf numFmtId="0" fontId="49" fillId="0" borderId="235" applyNumberFormat="0" applyFill="0" applyAlignment="0" applyProtection="0"/>
    <xf numFmtId="0" fontId="49" fillId="0" borderId="235" applyNumberFormat="0" applyFill="0" applyAlignment="0" applyProtection="0"/>
    <xf numFmtId="0" fontId="49" fillId="0" borderId="235" applyNumberFormat="0" applyFill="0" applyAlignment="0" applyProtection="0"/>
    <xf numFmtId="0" fontId="55" fillId="0" borderId="295" applyNumberFormat="0" applyFill="0" applyBorder="0" applyAlignment="0" applyProtection="0"/>
    <xf numFmtId="0" fontId="112" fillId="0" borderId="259"/>
    <xf numFmtId="0" fontId="112" fillId="0" borderId="259"/>
    <xf numFmtId="0" fontId="112" fillId="0" borderId="259"/>
    <xf numFmtId="0" fontId="122" fillId="0" borderId="293">
      <alignment horizontal="left" vertical="center"/>
    </xf>
    <xf numFmtId="5" fontId="64" fillId="0" borderId="316" applyAlignment="0" applyProtection="0"/>
    <xf numFmtId="4" fontId="54" fillId="0" borderId="297"/>
    <xf numFmtId="0" fontId="126" fillId="64" borderId="261">
      <alignment horizontal="left" vertical="center"/>
    </xf>
    <xf numFmtId="0" fontId="126" fillId="64" borderId="262" applyBorder="0">
      <alignment horizontal="center" vertical="center" wrapText="1"/>
    </xf>
    <xf numFmtId="0" fontId="54" fillId="0" borderId="391" applyNumberFormat="0" applyFill="0" applyAlignment="0" applyProtection="0"/>
    <xf numFmtId="37" fontId="85" fillId="58" borderId="312" applyBorder="0" applyProtection="0">
      <alignment vertical="center"/>
    </xf>
    <xf numFmtId="0" fontId="101" fillId="61" borderId="379"/>
    <xf numFmtId="0" fontId="101" fillId="61" borderId="297"/>
    <xf numFmtId="0" fontId="101" fillId="61" borderId="286"/>
    <xf numFmtId="0" fontId="101" fillId="61" borderId="303"/>
    <xf numFmtId="37" fontId="85" fillId="58" borderId="312" applyBorder="0" applyProtection="0">
      <alignment vertical="center"/>
    </xf>
    <xf numFmtId="0" fontId="87" fillId="0" borderId="319" applyNumberFormat="0" applyFill="0" applyBorder="0" applyAlignment="0" applyProtection="0"/>
    <xf numFmtId="0" fontId="87" fillId="0" borderId="295" applyNumberFormat="0" applyFill="0" applyBorder="0" applyAlignment="0" applyProtection="0"/>
    <xf numFmtId="5" fontId="64" fillId="0" borderId="363" applyAlignment="0" applyProtection="0"/>
    <xf numFmtId="37" fontId="24" fillId="0" borderId="259" applyBorder="0">
      <alignment horizontal="right"/>
      <protection locked="0"/>
    </xf>
    <xf numFmtId="5" fontId="64" fillId="0" borderId="400" applyAlignment="0" applyProtection="0"/>
    <xf numFmtId="5" fontId="64" fillId="0" borderId="316" applyAlignment="0" applyProtection="0"/>
    <xf numFmtId="0" fontId="122" fillId="62" borderId="259">
      <alignment horizontal="center" vertical="center" wrapText="1"/>
      <protection hidden="1"/>
    </xf>
    <xf numFmtId="0" fontId="55" fillId="0" borderId="413" applyNumberFormat="0" applyFill="0" applyBorder="0" applyAlignment="0" applyProtection="0"/>
    <xf numFmtId="5" fontId="64" fillId="0" borderId="388" applyAlignment="0" applyProtection="0"/>
    <xf numFmtId="37" fontId="85" fillId="58" borderId="323" applyBorder="0" applyProtection="0">
      <alignment vertical="center"/>
    </xf>
    <xf numFmtId="5" fontId="64" fillId="0" borderId="316" applyAlignment="0" applyProtection="0"/>
    <xf numFmtId="0" fontId="88" fillId="0" borderId="295" applyNumberFormat="0" applyFill="0" applyBorder="0" applyAlignment="0" applyProtection="0"/>
    <xf numFmtId="0" fontId="126" fillId="64" borderId="325">
      <alignment horizontal="left" vertical="center"/>
    </xf>
    <xf numFmtId="2" fontId="24" fillId="36" borderId="282" applyFill="0" applyBorder="0" applyProtection="0">
      <alignment horizontal="center"/>
    </xf>
    <xf numFmtId="0" fontId="112" fillId="0" borderId="321"/>
    <xf numFmtId="0" fontId="112" fillId="0" borderId="404"/>
    <xf numFmtId="5" fontId="64" fillId="0" borderId="316" applyAlignment="0" applyProtection="0"/>
    <xf numFmtId="0" fontId="55" fillId="0" borderId="284" applyNumberFormat="0" applyFill="0" applyBorder="0" applyAlignment="0" applyProtection="0"/>
    <xf numFmtId="5" fontId="64" fillId="0" borderId="292" applyAlignment="0" applyProtection="0"/>
    <xf numFmtId="218" fontId="24" fillId="0" borderId="344">
      <alignment horizontal="center" vertical="center"/>
    </xf>
    <xf numFmtId="37" fontId="85" fillId="58" borderId="301" applyBorder="0" applyProtection="0">
      <alignment vertical="center"/>
    </xf>
    <xf numFmtId="0" fontId="112" fillId="0" borderId="297"/>
    <xf numFmtId="2" fontId="24" fillId="36" borderId="282" applyFill="0" applyBorder="0" applyProtection="0">
      <alignment horizontal="center"/>
    </xf>
    <xf numFmtId="5" fontId="64" fillId="0" borderId="400" applyAlignment="0" applyProtection="0"/>
    <xf numFmtId="2" fontId="24" fillId="36" borderId="406" applyFill="0" applyBorder="0" applyProtection="0">
      <alignment horizontal="center"/>
    </xf>
    <xf numFmtId="5" fontId="64" fillId="0" borderId="363" applyAlignment="0" applyProtection="0"/>
    <xf numFmtId="5" fontId="64" fillId="0" borderId="388" applyAlignment="0" applyProtection="0"/>
    <xf numFmtId="177" fontId="33" fillId="0" borderId="329"/>
    <xf numFmtId="0" fontId="101" fillId="61" borderId="297"/>
    <xf numFmtId="0" fontId="87" fillId="0" borderId="319" applyNumberFormat="0" applyFill="0" applyBorder="0" applyAlignment="0" applyProtection="0"/>
    <xf numFmtId="5" fontId="64" fillId="0" borderId="316" applyAlignment="0" applyProtection="0"/>
    <xf numFmtId="0" fontId="49" fillId="0" borderId="214" applyNumberFormat="0" applyFill="0" applyAlignment="0" applyProtection="0"/>
    <xf numFmtId="5" fontId="64" fillId="0" borderId="316" applyAlignment="0" applyProtection="0"/>
    <xf numFmtId="185" fontId="54" fillId="0" borderId="388" applyFont="0" applyFill="0" applyBorder="0" applyAlignment="0" applyProtection="0">
      <alignment horizontal="center"/>
    </xf>
    <xf numFmtId="1" fontId="54" fillId="0" borderId="271" applyNumberFormat="0" applyFont="0" applyFill="0" applyProtection="0">
      <alignment horizontal="center"/>
    </xf>
    <xf numFmtId="0" fontId="148" fillId="1" borderId="272" applyNumberFormat="0" applyFont="0" applyAlignment="0">
      <alignment horizontal="center"/>
    </xf>
    <xf numFmtId="5" fontId="64" fillId="0" borderId="271" applyAlignment="0" applyProtection="0"/>
    <xf numFmtId="0" fontId="101" fillId="61" borderId="379"/>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0" fontId="54" fillId="0" borderId="275" applyNumberFormat="0" applyFill="0" applyAlignment="0" applyProtection="0"/>
    <xf numFmtId="0" fontId="112" fillId="0" borderId="286"/>
    <xf numFmtId="0" fontId="54" fillId="0" borderId="342" applyNumberFormat="0" applyFill="0" applyAlignment="0" applyProtection="0"/>
    <xf numFmtId="1" fontId="54" fillId="0" borderId="316" applyNumberFormat="0" applyFont="0" applyFill="0" applyProtection="0">
      <alignment horizontal="center"/>
    </xf>
    <xf numFmtId="5" fontId="64" fillId="0" borderId="363" applyAlignment="0" applyProtection="0"/>
    <xf numFmtId="0" fontId="55" fillId="0" borderId="295" applyNumberFormat="0" applyFill="0" applyBorder="0" applyAlignment="0" applyProtection="0"/>
    <xf numFmtId="0" fontId="122" fillId="0" borderId="293">
      <alignment horizontal="left" vertical="center"/>
    </xf>
    <xf numFmtId="338" fontId="24" fillId="0" borderId="289" applyBorder="0">
      <alignment horizontal="right"/>
    </xf>
    <xf numFmtId="0" fontId="112" fillId="0" borderId="286"/>
    <xf numFmtId="0" fontId="101" fillId="61" borderId="297"/>
    <xf numFmtId="0" fontId="87" fillId="0" borderId="306" applyNumberFormat="0" applyFill="0" applyBorder="0" applyAlignment="0" applyProtection="0"/>
    <xf numFmtId="0" fontId="48" fillId="65" borderId="287">
      <alignment horizontal="left" vertical="center" wrapText="1"/>
    </xf>
    <xf numFmtId="0" fontId="101" fillId="61" borderId="404"/>
    <xf numFmtId="0" fontId="100" fillId="43" borderId="307" applyNumberFormat="0" applyAlignment="0" applyProtection="0"/>
    <xf numFmtId="5" fontId="64" fillId="0" borderId="363" applyAlignment="0" applyProtection="0"/>
    <xf numFmtId="37" fontId="24" fillId="0" borderId="344" applyBorder="0">
      <alignment horizontal="right"/>
      <protection locked="0"/>
    </xf>
    <xf numFmtId="0" fontId="53" fillId="35" borderId="344">
      <alignment horizontal="center" vertical="center"/>
    </xf>
    <xf numFmtId="5" fontId="64" fillId="0" borderId="363" applyAlignment="0" applyProtection="0"/>
    <xf numFmtId="5" fontId="64" fillId="0" borderId="400" applyAlignment="0" applyProtection="0"/>
    <xf numFmtId="2" fontId="24" fillId="36" borderId="301" applyFill="0" applyBorder="0" applyProtection="0">
      <alignment horizontal="center"/>
    </xf>
    <xf numFmtId="5" fontId="64" fillId="0" borderId="329" applyAlignment="0" applyProtection="0"/>
    <xf numFmtId="0" fontId="101" fillId="61" borderId="344"/>
    <xf numFmtId="0" fontId="112" fillId="0" borderId="286"/>
    <xf numFmtId="5" fontId="64" fillId="0" borderId="388" applyAlignment="0" applyProtection="0"/>
    <xf numFmtId="0" fontId="101" fillId="61" borderId="404"/>
    <xf numFmtId="5" fontId="64" fillId="0" borderId="316" applyAlignment="0" applyProtection="0"/>
    <xf numFmtId="0" fontId="88" fillId="0" borderId="284" applyNumberFormat="0" applyFill="0" applyBorder="0" applyAlignment="0" applyProtection="0"/>
    <xf numFmtId="0" fontId="147" fillId="0" borderId="268"/>
    <xf numFmtId="5" fontId="64" fillId="0" borderId="400" applyAlignment="0" applyProtection="0"/>
    <xf numFmtId="5" fontId="64" fillId="0" borderId="388" applyAlignment="0" applyProtection="0"/>
    <xf numFmtId="5" fontId="64" fillId="0" borderId="363" applyAlignment="0" applyProtection="0"/>
    <xf numFmtId="0" fontId="49" fillId="0" borderId="274" applyNumberFormat="0" applyFill="0" applyAlignment="0" applyProtection="0"/>
    <xf numFmtId="5" fontId="64" fillId="0" borderId="363" applyAlignment="0" applyProtection="0"/>
    <xf numFmtId="0" fontId="122" fillId="62" borderId="286">
      <alignment horizontal="center" vertical="center" wrapText="1"/>
      <protection hidden="1"/>
    </xf>
    <xf numFmtId="0" fontId="55" fillId="0" borderId="391" applyNumberFormat="0" applyFill="0" applyBorder="0" applyAlignment="0" applyProtection="0"/>
    <xf numFmtId="0" fontId="100" fillId="43" borderId="296" applyNumberFormat="0" applyAlignment="0" applyProtection="0"/>
    <xf numFmtId="0" fontId="112" fillId="0" borderId="279"/>
    <xf numFmtId="0" fontId="101" fillId="61" borderId="379"/>
    <xf numFmtId="301" fontId="94" fillId="0" borderId="363" applyFont="0" applyFill="0" applyBorder="0" applyAlignment="0" applyProtection="0">
      <alignment horizontal="center"/>
    </xf>
    <xf numFmtId="5" fontId="64" fillId="0" borderId="316" applyAlignment="0" applyProtection="0"/>
    <xf numFmtId="0" fontId="112" fillId="0" borderId="404"/>
    <xf numFmtId="37" fontId="85" fillId="58" borderId="312" applyBorder="0" applyProtection="0">
      <alignment vertical="center"/>
    </xf>
    <xf numFmtId="5" fontId="64" fillId="0" borderId="363" applyAlignment="0" applyProtection="0"/>
    <xf numFmtId="37" fontId="24" fillId="0" borderId="321" applyBorder="0">
      <alignment horizontal="right"/>
      <protection locked="0"/>
    </xf>
    <xf numFmtId="0" fontId="112" fillId="0" borderId="303"/>
    <xf numFmtId="5" fontId="64" fillId="0" borderId="329" applyAlignment="0" applyProtection="0"/>
    <xf numFmtId="0" fontId="101" fillId="61" borderId="321"/>
    <xf numFmtId="5" fontId="64" fillId="0" borderId="363" applyAlignment="0" applyProtection="0"/>
    <xf numFmtId="0" fontId="112" fillId="0" borderId="279"/>
    <xf numFmtId="5" fontId="64" fillId="0" borderId="316" applyAlignment="0" applyProtection="0"/>
    <xf numFmtId="1" fontId="54" fillId="0" borderId="292" applyNumberFormat="0" applyFont="0" applyFill="0" applyProtection="0">
      <alignment horizontal="center"/>
    </xf>
    <xf numFmtId="0" fontId="126" fillId="64" borderId="348">
      <alignment horizontal="left" vertical="center"/>
    </xf>
    <xf numFmtId="0" fontId="112" fillId="0" borderId="303"/>
    <xf numFmtId="0" fontId="122" fillId="62" borderId="379">
      <alignment horizontal="center" vertical="center" wrapText="1"/>
      <protection hidden="1"/>
    </xf>
    <xf numFmtId="37" fontId="85" fillId="58" borderId="406" applyBorder="0" applyProtection="0">
      <alignment vertical="center"/>
    </xf>
    <xf numFmtId="1" fontId="54" fillId="0" borderId="329" applyNumberFormat="0" applyFont="0" applyFill="0" applyProtection="0">
      <alignment horizontal="center"/>
    </xf>
    <xf numFmtId="0" fontId="54" fillId="0" borderId="413" applyNumberFormat="0" applyFill="0" applyAlignment="0" applyProtection="0"/>
    <xf numFmtId="5" fontId="64" fillId="0" borderId="316" applyAlignment="0" applyProtection="0"/>
    <xf numFmtId="5" fontId="64" fillId="0" borderId="263" applyAlignment="0" applyProtection="0"/>
    <xf numFmtId="5" fontId="64" fillId="0" borderId="263" applyAlignment="0" applyProtection="0"/>
    <xf numFmtId="177" fontId="33" fillId="0" borderId="263"/>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12" fillId="0" borderId="259"/>
    <xf numFmtId="0" fontId="101" fillId="61" borderId="259"/>
    <xf numFmtId="5" fontId="64" fillId="0" borderId="263" applyAlignment="0" applyProtection="0"/>
    <xf numFmtId="5" fontId="64" fillId="0" borderId="263" applyAlignment="0" applyProtection="0"/>
    <xf numFmtId="0" fontId="101" fillId="61" borderId="259"/>
    <xf numFmtId="0" fontId="101" fillId="61" borderId="259"/>
    <xf numFmtId="0" fontId="112" fillId="0" borderId="259"/>
    <xf numFmtId="0" fontId="112" fillId="0" borderId="259"/>
    <xf numFmtId="0" fontId="122" fillId="62" borderId="286">
      <alignment horizontal="center" vertical="center" wrapText="1"/>
      <protection hidden="1"/>
    </xf>
    <xf numFmtId="0" fontId="126" fillId="64" borderId="299">
      <alignment horizontal="left" vertical="center"/>
    </xf>
    <xf numFmtId="185" fontId="54" fillId="0" borderId="263" applyFont="0" applyFill="0" applyBorder="0" applyAlignment="0" applyProtection="0">
      <alignment horizontal="center"/>
    </xf>
    <xf numFmtId="37" fontId="24" fillId="0" borderId="259" applyBorder="0">
      <alignment horizontal="right"/>
      <protection locked="0"/>
    </xf>
    <xf numFmtId="0" fontId="122" fillId="62" borderId="259">
      <alignment horizontal="center" vertical="center" wrapText="1"/>
      <protection hidden="1"/>
    </xf>
    <xf numFmtId="0" fontId="87" fillId="0" borderId="217" applyNumberFormat="0" applyFill="0" applyBorder="0" applyAlignment="0" applyProtection="0"/>
    <xf numFmtId="37" fontId="85" fillId="58" borderId="269" applyBorder="0" applyProtection="0">
      <alignment vertical="center"/>
    </xf>
    <xf numFmtId="37" fontId="85" fillId="58" borderId="269" applyBorder="0" applyProtection="0">
      <alignment vertical="center"/>
    </xf>
    <xf numFmtId="42" fontId="83" fillId="0" borderId="273" applyFont="0"/>
    <xf numFmtId="0" fontId="112" fillId="0" borderId="404"/>
    <xf numFmtId="5" fontId="64" fillId="0" borderId="388" applyAlignment="0" applyProtection="0"/>
    <xf numFmtId="0" fontId="100" fillId="43" borderId="296" applyNumberFormat="0" applyAlignment="0" applyProtection="0"/>
    <xf numFmtId="0" fontId="55" fillId="0" borderId="295" applyNumberFormat="0" applyFill="0" applyBorder="0" applyAlignment="0" applyProtection="0"/>
    <xf numFmtId="0" fontId="33" fillId="0" borderId="263" applyFont="0" applyFill="0" applyBorder="0" applyAlignment="0" applyProtection="0">
      <alignment horizontal="right"/>
    </xf>
    <xf numFmtId="0" fontId="147" fillId="0" borderId="290"/>
    <xf numFmtId="0" fontId="112" fillId="0" borderId="379"/>
    <xf numFmtId="0" fontId="101" fillId="61" borderId="344"/>
    <xf numFmtId="0" fontId="112" fillId="0" borderId="286"/>
    <xf numFmtId="0" fontId="55" fillId="0" borderId="319" applyNumberFormat="0" applyFill="0" applyBorder="0" applyAlignment="0" applyProtection="0"/>
    <xf numFmtId="5" fontId="64" fillId="0" borderId="316" applyAlignment="0" applyProtection="0"/>
    <xf numFmtId="37" fontId="85" fillId="58" borderId="335" applyBorder="0" applyProtection="0">
      <alignment vertical="center"/>
    </xf>
    <xf numFmtId="5" fontId="64" fillId="0" borderId="316" applyAlignment="0" applyProtection="0"/>
    <xf numFmtId="37" fontId="85" fillId="58" borderId="357" applyBorder="0" applyProtection="0">
      <alignment vertical="center"/>
    </xf>
    <xf numFmtId="2" fontId="24" fillId="36" borderId="357" applyFill="0" applyBorder="0" applyProtection="0">
      <alignment horizontal="center"/>
    </xf>
    <xf numFmtId="5" fontId="64" fillId="0" borderId="329" applyAlignment="0" applyProtection="0"/>
    <xf numFmtId="0" fontId="112" fillId="0" borderId="404"/>
    <xf numFmtId="0" fontId="87" fillId="0" borderId="413" applyNumberFormat="0" applyFill="0" applyBorder="0" applyAlignment="0" applyProtection="0"/>
    <xf numFmtId="37" fontId="24" fillId="0" borderId="286" applyBorder="0">
      <alignment horizontal="right"/>
      <protection locked="0"/>
    </xf>
    <xf numFmtId="5" fontId="64" fillId="0" borderId="316" applyAlignment="0" applyProtection="0"/>
    <xf numFmtId="301" fontId="94" fillId="0" borderId="329" applyFont="0" applyFill="0" applyBorder="0" applyAlignment="0" applyProtection="0">
      <alignment horizontal="center"/>
    </xf>
    <xf numFmtId="0" fontId="126" fillId="64" borderId="287">
      <alignment horizontal="left" vertical="center"/>
    </xf>
    <xf numFmtId="37" fontId="85" fillId="58" borderId="291" applyBorder="0" applyProtection="0">
      <alignment vertical="center"/>
    </xf>
    <xf numFmtId="0" fontId="101" fillId="61" borderId="270"/>
    <xf numFmtId="0" fontId="122" fillId="0" borderId="324">
      <alignment horizontal="left" vertical="center"/>
    </xf>
    <xf numFmtId="0" fontId="147" fillId="0" borderId="328"/>
    <xf numFmtId="0" fontId="112" fillId="0" borderId="404"/>
    <xf numFmtId="0" fontId="122" fillId="62" borderId="270">
      <alignment horizontal="center" vertical="center" wrapText="1"/>
      <protection hidden="1"/>
    </xf>
    <xf numFmtId="0" fontId="101" fillId="61" borderId="270"/>
    <xf numFmtId="0" fontId="101" fillId="61" borderId="270"/>
    <xf numFmtId="37" fontId="85" fillId="58" borderId="269" applyBorder="0" applyProtection="0">
      <alignment vertical="center"/>
    </xf>
    <xf numFmtId="5" fontId="64" fillId="0" borderId="271" applyAlignment="0" applyProtection="0"/>
    <xf numFmtId="5" fontId="64" fillId="0" borderId="271" applyAlignment="0" applyProtection="0"/>
    <xf numFmtId="0" fontId="88" fillId="0" borderId="306" applyNumberFormat="0" applyFill="0" applyBorder="0" applyAlignment="0" applyProtection="0"/>
    <xf numFmtId="0" fontId="101" fillId="61" borderId="303"/>
    <xf numFmtId="5" fontId="64" fillId="0" borderId="292" applyAlignment="0" applyProtection="0"/>
    <xf numFmtId="0" fontId="101" fillId="61" borderId="297"/>
    <xf numFmtId="1" fontId="54" fillId="0" borderId="388" applyNumberFormat="0" applyFont="0" applyFill="0" applyProtection="0">
      <alignment horizontal="center"/>
    </xf>
    <xf numFmtId="0" fontId="48" fillId="65" borderId="287">
      <alignment horizontal="left" vertical="center" wrapText="1"/>
    </xf>
    <xf numFmtId="0" fontId="88" fillId="0" borderId="284" applyNumberFormat="0" applyFill="0" applyBorder="0" applyAlignment="0" applyProtection="0"/>
    <xf numFmtId="5" fontId="64" fillId="0" borderId="292" applyAlignment="0" applyProtection="0"/>
    <xf numFmtId="37" fontId="85" fillId="58" borderId="301" applyBorder="0" applyProtection="0">
      <alignment vertical="center"/>
    </xf>
    <xf numFmtId="0" fontId="122" fillId="0" borderId="304">
      <alignment horizontal="left" vertical="center"/>
    </xf>
    <xf numFmtId="5" fontId="64" fillId="0" borderId="388" applyAlignment="0" applyProtection="0"/>
    <xf numFmtId="0" fontId="54" fillId="0" borderId="413" applyNumberFormat="0" applyFill="0" applyAlignment="0" applyProtection="0"/>
    <xf numFmtId="37" fontId="24" fillId="0" borderId="286" applyBorder="0">
      <alignment horizontal="right"/>
      <protection locked="0"/>
    </xf>
    <xf numFmtId="5" fontId="64" fillId="0" borderId="363" applyAlignment="0" applyProtection="0"/>
    <xf numFmtId="0" fontId="54" fillId="0" borderId="295" applyNumberFormat="0" applyFill="0" applyAlignment="0" applyProtection="0"/>
    <xf numFmtId="0" fontId="101" fillId="61" borderId="303"/>
    <xf numFmtId="0" fontId="112" fillId="0" borderId="286"/>
    <xf numFmtId="37" fontId="85" fillId="58" borderId="282" applyBorder="0" applyProtection="0">
      <alignment vertical="center"/>
    </xf>
    <xf numFmtId="0" fontId="101" fillId="61" borderId="303"/>
    <xf numFmtId="185" fontId="54" fillId="0" borderId="363" applyFont="0" applyFill="0" applyBorder="0" applyAlignment="0" applyProtection="0">
      <alignment horizontal="center"/>
    </xf>
    <xf numFmtId="0" fontId="101" fillId="61" borderId="286"/>
    <xf numFmtId="5" fontId="64" fillId="0" borderId="316" applyAlignment="0" applyProtection="0"/>
    <xf numFmtId="0" fontId="112" fillId="0" borderId="297"/>
    <xf numFmtId="0" fontId="112" fillId="0" borderId="286"/>
    <xf numFmtId="0" fontId="126" fillId="64" borderId="349" applyBorder="0">
      <alignment horizontal="center" vertical="center" wrapText="1"/>
    </xf>
    <xf numFmtId="0" fontId="88" fillId="0" borderId="284" applyNumberFormat="0" applyFill="0" applyBorder="0" applyAlignment="0" applyProtection="0"/>
    <xf numFmtId="0" fontId="49" fillId="0" borderId="245" applyNumberFormat="0" applyFill="0" applyAlignment="0" applyProtection="0"/>
    <xf numFmtId="0" fontId="49" fillId="0" borderId="245" applyNumberFormat="0" applyFill="0" applyAlignment="0" applyProtection="0"/>
    <xf numFmtId="37" fontId="85" fillId="58" borderId="301" applyBorder="0" applyProtection="0">
      <alignment vertical="center"/>
    </xf>
    <xf numFmtId="0" fontId="33" fillId="0" borderId="254" applyFont="0" applyFill="0" applyBorder="0" applyAlignment="0" applyProtection="0">
      <alignment horizontal="right"/>
    </xf>
    <xf numFmtId="0" fontId="101" fillId="61" borderId="303"/>
    <xf numFmtId="0" fontId="88" fillId="0" borderId="342" applyNumberFormat="0" applyFill="0" applyBorder="0" applyAlignment="0" applyProtection="0"/>
    <xf numFmtId="37" fontId="85" fillId="58" borderId="282" applyBorder="0" applyProtection="0">
      <alignment vertical="center"/>
    </xf>
    <xf numFmtId="37" fontId="24" fillId="0" borderId="379" applyBorder="0">
      <alignment horizontal="right"/>
      <protection locked="0"/>
    </xf>
    <xf numFmtId="37" fontId="85" fillId="58" borderId="282" applyBorder="0" applyProtection="0">
      <alignment vertical="center"/>
    </xf>
    <xf numFmtId="37" fontId="85" fillId="58" borderId="406" applyBorder="0" applyProtection="0">
      <alignment vertical="center"/>
    </xf>
    <xf numFmtId="5" fontId="64" fillId="0" borderId="400" applyAlignment="0" applyProtection="0"/>
    <xf numFmtId="0" fontId="148" fillId="1" borderId="255" applyNumberFormat="0" applyFont="0" applyAlignment="0">
      <alignment horizontal="center"/>
    </xf>
    <xf numFmtId="37" fontId="24" fillId="0" borderId="233" applyBorder="0">
      <alignment horizontal="right"/>
      <protection locked="0"/>
    </xf>
    <xf numFmtId="0" fontId="148" fillId="1" borderId="255" applyNumberFormat="0" applyFont="0" applyAlignment="0">
      <alignment horizontal="center"/>
    </xf>
    <xf numFmtId="338" fontId="24" fillId="0" borderId="251" applyBorder="0">
      <alignment horizontal="right"/>
    </xf>
    <xf numFmtId="0" fontId="122" fillId="62" borderId="233">
      <alignment horizontal="center" vertical="center" wrapText="1"/>
      <protection hidden="1"/>
    </xf>
    <xf numFmtId="0" fontId="122" fillId="62" borderId="233">
      <alignment horizontal="center" vertical="center" wrapText="1"/>
      <protection hidden="1"/>
    </xf>
    <xf numFmtId="0" fontId="112" fillId="0" borderId="303"/>
    <xf numFmtId="2" fontId="24" fillId="36" borderId="253" applyFill="0" applyBorder="0" applyProtection="0">
      <alignment horizontal="center"/>
    </xf>
    <xf numFmtId="0" fontId="122" fillId="0" borderId="255">
      <alignment horizontal="left" vertical="center"/>
    </xf>
    <xf numFmtId="1" fontId="54" fillId="0" borderId="254" applyNumberFormat="0" applyFont="0" applyFill="0" applyProtection="0">
      <alignment horizontal="center"/>
    </xf>
    <xf numFmtId="1" fontId="54" fillId="0" borderId="254" applyNumberFormat="0" applyFont="0" applyFill="0" applyProtection="0">
      <alignment horizontal="center"/>
    </xf>
    <xf numFmtId="0" fontId="122" fillId="0" borderId="255">
      <alignment horizontal="left" vertical="center"/>
    </xf>
    <xf numFmtId="2" fontId="24" fillId="36" borderId="253" applyFill="0" applyBorder="0" applyProtection="0">
      <alignment horizontal="center"/>
    </xf>
    <xf numFmtId="301" fontId="94" fillId="0" borderId="254" applyFont="0" applyFill="0" applyBorder="0" applyAlignment="0" applyProtection="0">
      <alignment horizontal="center"/>
    </xf>
    <xf numFmtId="185" fontId="54" fillId="0" borderId="254" applyFont="0" applyFill="0" applyBorder="0" applyAlignment="0" applyProtection="0">
      <alignment horizontal="center"/>
    </xf>
    <xf numFmtId="301" fontId="94" fillId="0" borderId="254" applyFont="0" applyFill="0" applyBorder="0" applyAlignment="0" applyProtection="0">
      <alignment horizontal="center"/>
    </xf>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01" fillId="61" borderId="233"/>
    <xf numFmtId="0" fontId="112" fillId="0" borderId="233"/>
    <xf numFmtId="0" fontId="112" fillId="0" borderId="233"/>
    <xf numFmtId="0" fontId="112" fillId="0"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5" fontId="64" fillId="0" borderId="254" applyAlignment="0" applyProtection="0"/>
    <xf numFmtId="5" fontId="64" fillId="0" borderId="254" applyAlignment="0" applyProtection="0"/>
    <xf numFmtId="0" fontId="101" fillId="61" borderId="233"/>
    <xf numFmtId="0" fontId="101" fillId="61" borderId="233"/>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177" fontId="33" fillId="0" borderId="254"/>
    <xf numFmtId="37" fontId="53" fillId="1" borderId="254">
      <alignment horizontal="centerContinuous"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0" fontId="54" fillId="0" borderId="391" applyNumberFormat="0" applyFill="0" applyAlignment="0" applyProtection="0"/>
    <xf numFmtId="0" fontId="126" fillId="64" borderId="349" applyBorder="0">
      <alignment horizontal="center" vertical="center" wrapText="1"/>
    </xf>
    <xf numFmtId="338" fontId="24" fillId="0" borderId="350" applyBorder="0">
      <alignment horizontal="right"/>
    </xf>
    <xf numFmtId="5" fontId="64" fillId="0" borderId="400" applyAlignment="0" applyProtection="0"/>
    <xf numFmtId="37" fontId="85" fillId="58" borderId="323" applyBorder="0" applyProtection="0">
      <alignment vertical="center"/>
    </xf>
    <xf numFmtId="5" fontId="64" fillId="0" borderId="329" applyAlignment="0" applyProtection="0"/>
    <xf numFmtId="5" fontId="64" fillId="0" borderId="316" applyAlignment="0" applyProtection="0"/>
    <xf numFmtId="0" fontId="87" fillId="0" borderId="391" applyNumberFormat="0" applyFill="0" applyBorder="0" applyAlignment="0" applyProtection="0"/>
    <xf numFmtId="0" fontId="87" fillId="0" borderId="284" applyNumberFormat="0" applyFill="0" applyBorder="0" applyAlignment="0" applyProtection="0"/>
    <xf numFmtId="37" fontId="85" fillId="58" borderId="346" applyBorder="0" applyProtection="0">
      <alignment vertical="center"/>
    </xf>
    <xf numFmtId="37" fontId="85" fillId="58" borderId="282" applyBorder="0" applyProtection="0">
      <alignment vertical="center"/>
    </xf>
    <xf numFmtId="5" fontId="64" fillId="0" borderId="316" applyAlignment="0" applyProtection="0"/>
    <xf numFmtId="0" fontId="101" fillId="61" borderId="379"/>
    <xf numFmtId="0" fontId="112" fillId="0" borderId="404"/>
    <xf numFmtId="0" fontId="112" fillId="0" borderId="321"/>
    <xf numFmtId="0" fontId="101" fillId="61" borderId="286"/>
    <xf numFmtId="185" fontId="54" fillId="0" borderId="316" applyFont="0" applyFill="0" applyBorder="0" applyAlignment="0" applyProtection="0">
      <alignment horizontal="center"/>
    </xf>
    <xf numFmtId="0" fontId="55" fillId="0" borderId="342" applyNumberFormat="0" applyFill="0" applyBorder="0" applyAlignment="0" applyProtection="0"/>
    <xf numFmtId="37" fontId="85" fillId="58" borderId="323" applyBorder="0" applyProtection="0">
      <alignment vertical="center"/>
    </xf>
    <xf numFmtId="0" fontId="87" fillId="0" borderId="257" applyNumberFormat="0" applyFill="0" applyBorder="0" applyAlignment="0" applyProtection="0"/>
    <xf numFmtId="0" fontId="87" fillId="0" borderId="257" applyNumberFormat="0" applyFill="0" applyBorder="0" applyAlignment="0" applyProtection="0"/>
    <xf numFmtId="0" fontId="55" fillId="0" borderId="257" applyNumberFormat="0" applyFill="0" applyBorder="0" applyAlignment="0" applyProtection="0"/>
    <xf numFmtId="0" fontId="54" fillId="0" borderId="257" applyNumberFormat="0" applyFill="0" applyAlignment="0" applyProtection="0"/>
    <xf numFmtId="5" fontId="64" fillId="0" borderId="363" applyAlignment="0" applyProtection="0"/>
    <xf numFmtId="0" fontId="55" fillId="0" borderId="413" applyNumberFormat="0" applyFill="0" applyBorder="0" applyAlignment="0" applyProtection="0"/>
    <xf numFmtId="0" fontId="100" fillId="43" borderId="403" applyNumberFormat="0" applyAlignment="0" applyProtection="0"/>
    <xf numFmtId="185" fontId="54" fillId="0" borderId="316" applyFont="0" applyFill="0" applyBorder="0" applyAlignment="0" applyProtection="0">
      <alignment horizontal="center"/>
    </xf>
    <xf numFmtId="2" fontId="24" fillId="36" borderId="406" applyFill="0" applyBorder="0" applyProtection="0">
      <alignment horizontal="center"/>
    </xf>
    <xf numFmtId="0" fontId="112" fillId="0" borderId="404"/>
    <xf numFmtId="0" fontId="148" fillId="1" borderId="293" applyNumberFormat="0" applyFont="0" applyAlignment="0">
      <alignment horizontal="center"/>
    </xf>
    <xf numFmtId="5" fontId="64" fillId="0" borderId="292" applyAlignment="0" applyProtection="0"/>
    <xf numFmtId="5" fontId="64" fillId="0" borderId="292" applyAlignment="0" applyProtection="0"/>
    <xf numFmtId="0" fontId="112" fillId="0" borderId="279"/>
    <xf numFmtId="5" fontId="64" fillId="0" borderId="329" applyAlignment="0" applyProtection="0"/>
    <xf numFmtId="0" fontId="112" fillId="0" borderId="297"/>
    <xf numFmtId="0" fontId="54" fillId="0" borderId="342" applyNumberFormat="0" applyFill="0" applyAlignment="0" applyProtection="0"/>
    <xf numFmtId="0" fontId="112" fillId="0" borderId="344"/>
    <xf numFmtId="5" fontId="64" fillId="0" borderId="329" applyAlignment="0" applyProtection="0"/>
    <xf numFmtId="0" fontId="87" fillId="0" borderId="331" applyNumberFormat="0" applyFill="0" applyBorder="0" applyAlignment="0" applyProtection="0"/>
    <xf numFmtId="0" fontId="112" fillId="0" borderId="297"/>
    <xf numFmtId="0" fontId="55" fillId="0" borderId="284" applyNumberFormat="0" applyFill="0" applyBorder="0" applyAlignment="0" applyProtection="0"/>
    <xf numFmtId="37" fontId="85" fillId="58" borderId="291" applyBorder="0" applyProtection="0">
      <alignment vertical="center"/>
    </xf>
    <xf numFmtId="0" fontId="87" fillId="0" borderId="284" applyNumberFormat="0" applyFill="0" applyBorder="0" applyAlignment="0" applyProtection="0"/>
    <xf numFmtId="5" fontId="64" fillId="0" borderId="292" applyAlignment="0" applyProtection="0"/>
    <xf numFmtId="5" fontId="64" fillId="0" borderId="292" applyAlignment="0" applyProtection="0"/>
    <xf numFmtId="37" fontId="85" fillId="58" borderId="346" applyBorder="0" applyProtection="0">
      <alignment vertical="center"/>
    </xf>
    <xf numFmtId="0" fontId="48" fillId="65" borderId="287">
      <alignment horizontal="left" vertical="center" wrapText="1"/>
    </xf>
    <xf numFmtId="0" fontId="101" fillId="61" borderId="286"/>
    <xf numFmtId="2" fontId="24" fillId="36" borderId="406" applyFill="0" applyBorder="0" applyProtection="0">
      <alignment horizontal="center"/>
    </xf>
    <xf numFmtId="0" fontId="88" fillId="0" borderId="306" applyNumberFormat="0" applyFill="0" applyBorder="0" applyAlignment="0" applyProtection="0"/>
    <xf numFmtId="37" fontId="85" fillId="58" borderId="282" applyBorder="0" applyProtection="0">
      <alignment vertical="center"/>
    </xf>
    <xf numFmtId="0" fontId="101" fillId="61" borderId="303"/>
    <xf numFmtId="0" fontId="87" fillId="0" borderId="295" applyNumberFormat="0" applyFill="0" applyBorder="0" applyAlignment="0" applyProtection="0"/>
    <xf numFmtId="37" fontId="85" fillId="58" borderId="291" applyBorder="0" applyProtection="0">
      <alignment vertical="center"/>
    </xf>
    <xf numFmtId="37" fontId="85" fillId="58" borderId="291" applyBorder="0" applyProtection="0">
      <alignment vertical="center"/>
    </xf>
    <xf numFmtId="2" fontId="24" fillId="36" borderId="406" applyFill="0" applyBorder="0" applyProtection="0">
      <alignment horizontal="center"/>
    </xf>
    <xf numFmtId="0" fontId="87" fillId="0" borderId="342" applyNumberFormat="0" applyFill="0" applyBorder="0" applyAlignment="0" applyProtection="0"/>
    <xf numFmtId="0" fontId="55" fillId="0" borderId="331" applyNumberFormat="0" applyFill="0" applyBorder="0" applyAlignment="0" applyProtection="0"/>
    <xf numFmtId="37" fontId="85" fillId="58" borderId="323" applyBorder="0" applyProtection="0">
      <alignment vertical="center"/>
    </xf>
    <xf numFmtId="0" fontId="126" fillId="64" borderId="288" applyBorder="0">
      <alignment horizontal="center" vertical="center" wrapText="1"/>
    </xf>
    <xf numFmtId="5" fontId="64" fillId="0" borderId="329" applyAlignment="0" applyProtection="0"/>
    <xf numFmtId="0" fontId="88" fillId="0" borderId="295" applyNumberFormat="0" applyFill="0" applyBorder="0" applyAlignment="0" applyProtection="0"/>
    <xf numFmtId="177" fontId="33" fillId="0" borderId="363"/>
    <xf numFmtId="0" fontId="87" fillId="0" borderId="295" applyNumberFormat="0" applyFill="0" applyBorder="0" applyAlignment="0" applyProtection="0"/>
    <xf numFmtId="0" fontId="101" fillId="61" borderId="297"/>
    <xf numFmtId="0" fontId="87" fillId="0" borderId="391" applyNumberFormat="0" applyFill="0" applyBorder="0" applyAlignment="0" applyProtection="0"/>
    <xf numFmtId="0" fontId="148" fillId="1" borderId="358" applyNumberFormat="0" applyFont="0" applyAlignment="0">
      <alignment horizontal="center"/>
    </xf>
    <xf numFmtId="185" fontId="54" fillId="0" borderId="363" applyFont="0" applyFill="0" applyBorder="0" applyAlignment="0" applyProtection="0">
      <alignment horizontal="center"/>
    </xf>
    <xf numFmtId="0" fontId="122" fillId="0" borderId="347">
      <alignment horizontal="left" vertical="center"/>
    </xf>
    <xf numFmtId="37" fontId="85" fillId="58" borderId="312" applyBorder="0" applyProtection="0">
      <alignment vertical="center"/>
    </xf>
    <xf numFmtId="0" fontId="101" fillId="61" borderId="404"/>
    <xf numFmtId="5" fontId="64" fillId="0" borderId="316" applyAlignment="0" applyProtection="0"/>
    <xf numFmtId="0" fontId="112" fillId="0" borderId="297"/>
    <xf numFmtId="5" fontId="64" fillId="0" borderId="316" applyAlignment="0" applyProtection="0"/>
    <xf numFmtId="0" fontId="49" fillId="0" borderId="330" applyNumberFormat="0" applyFill="0" applyAlignment="0" applyProtection="0"/>
    <xf numFmtId="5" fontId="64" fillId="0" borderId="388" applyAlignment="0" applyProtection="0"/>
    <xf numFmtId="5" fontId="64" fillId="0" borderId="388" applyAlignment="0" applyProtection="0"/>
    <xf numFmtId="0" fontId="100" fillId="43" borderId="258" applyNumberFormat="0" applyAlignment="0" applyProtection="0"/>
    <xf numFmtId="0" fontId="101" fillId="61" borderId="259"/>
    <xf numFmtId="0" fontId="101" fillId="61" borderId="259"/>
    <xf numFmtId="0" fontId="101" fillId="61" borderId="259"/>
    <xf numFmtId="5" fontId="64" fillId="0" borderId="292" applyAlignment="0" applyProtection="0"/>
    <xf numFmtId="177" fontId="33" fillId="0" borderId="316"/>
    <xf numFmtId="0" fontId="54" fillId="0" borderId="284" applyNumberFormat="0" applyFill="0" applyAlignment="0" applyProtection="0"/>
    <xf numFmtId="1" fontId="54" fillId="0" borderId="317" applyNumberFormat="0" applyFont="0" applyFill="0" applyAlignment="0" applyProtection="0">
      <alignment horizontal="center"/>
    </xf>
    <xf numFmtId="0" fontId="112" fillId="0" borderId="259"/>
    <xf numFmtId="0" fontId="112" fillId="0" borderId="259"/>
    <xf numFmtId="0" fontId="112" fillId="0" borderId="259"/>
    <xf numFmtId="5" fontId="64" fillId="0" borderId="316" applyAlignment="0" applyProtection="0"/>
    <xf numFmtId="0" fontId="54" fillId="0" borderId="306" applyNumberFormat="0" applyFill="0" applyAlignment="0" applyProtection="0"/>
    <xf numFmtId="0" fontId="101" fillId="61" borderId="404"/>
    <xf numFmtId="177" fontId="33" fillId="0" borderId="400"/>
    <xf numFmtId="5" fontId="64" fillId="0" borderId="292" applyAlignment="0" applyProtection="0"/>
    <xf numFmtId="0" fontId="112" fillId="0" borderId="404"/>
    <xf numFmtId="37" fontId="85" fillId="58" borderId="312" applyBorder="0" applyProtection="0">
      <alignment vertical="center"/>
    </xf>
    <xf numFmtId="5" fontId="64" fillId="0" borderId="388" applyAlignment="0" applyProtection="0"/>
    <xf numFmtId="0" fontId="126" fillId="64" borderId="261">
      <alignment horizontal="left" vertical="center"/>
    </xf>
    <xf numFmtId="8" fontId="131" fillId="0" borderId="260" applyNumberFormat="0" applyFill="0" applyBorder="0" applyAlignment="0" applyProtection="0"/>
    <xf numFmtId="0" fontId="112" fillId="0" borderId="286"/>
    <xf numFmtId="1" fontId="54" fillId="0" borderId="363" applyNumberFormat="0" applyFont="0" applyFill="0" applyProtection="0">
      <alignment horizontal="center"/>
    </xf>
    <xf numFmtId="0" fontId="87" fillId="0" borderId="295" applyNumberFormat="0" applyFill="0" applyBorder="0" applyAlignment="0" applyProtection="0"/>
    <xf numFmtId="5" fontId="64" fillId="0" borderId="363" applyAlignment="0" applyProtection="0"/>
    <xf numFmtId="0" fontId="101" fillId="61" borderId="344"/>
    <xf numFmtId="2" fontId="24" fillId="36" borderId="282" applyFill="0" applyBorder="0" applyProtection="0">
      <alignment horizontal="center"/>
    </xf>
    <xf numFmtId="37" fontId="53" fillId="1" borderId="400">
      <alignment horizontal="centerContinuous" vertical="center"/>
    </xf>
    <xf numFmtId="0" fontId="148" fillId="1" borderId="304" applyNumberFormat="0" applyFont="0" applyAlignment="0">
      <alignment horizontal="center"/>
    </xf>
    <xf numFmtId="37" fontId="85" fillId="58" borderId="312" applyBorder="0" applyProtection="0">
      <alignment vertical="center"/>
    </xf>
    <xf numFmtId="5" fontId="64" fillId="0" borderId="363" applyAlignment="0" applyProtection="0"/>
    <xf numFmtId="5" fontId="64" fillId="0" borderId="388" applyAlignment="0" applyProtection="0"/>
    <xf numFmtId="0" fontId="126" fillId="64" borderId="325">
      <alignment horizontal="left" vertical="center"/>
    </xf>
    <xf numFmtId="0" fontId="112" fillId="0" borderId="297"/>
    <xf numFmtId="37" fontId="24" fillId="0" borderId="259" applyBorder="0">
      <alignment horizontal="right"/>
      <protection locked="0"/>
    </xf>
    <xf numFmtId="0" fontId="55" fillId="0" borderId="391" applyNumberFormat="0" applyFill="0" applyBorder="0" applyAlignment="0" applyProtection="0"/>
    <xf numFmtId="0" fontId="55" fillId="0" borderId="295" applyNumberFormat="0" applyFill="0" applyBorder="0" applyAlignment="0" applyProtection="0"/>
    <xf numFmtId="5" fontId="64" fillId="0" borderId="363" applyAlignment="0" applyProtection="0"/>
    <xf numFmtId="0" fontId="55" fillId="0" borderId="295" applyNumberFormat="0" applyFill="0" applyBorder="0" applyAlignment="0" applyProtection="0"/>
    <xf numFmtId="0" fontId="126" fillId="64" borderId="349" applyBorder="0">
      <alignment horizontal="center" vertical="center" wrapText="1"/>
    </xf>
    <xf numFmtId="0" fontId="52" fillId="32" borderId="259"/>
    <xf numFmtId="2" fontId="24" fillId="36" borderId="406" applyFill="0" applyBorder="0" applyProtection="0">
      <alignment horizontal="center"/>
    </xf>
    <xf numFmtId="0" fontId="126" fillId="64" borderId="278" applyBorder="0">
      <alignment horizontal="center" vertical="center" wrapText="1"/>
    </xf>
    <xf numFmtId="0" fontId="87" fillId="0" borderId="391" applyNumberFormat="0" applyFill="0" applyBorder="0" applyAlignment="0" applyProtection="0"/>
    <xf numFmtId="5" fontId="64" fillId="0" borderId="292" applyAlignment="0" applyProtection="0"/>
    <xf numFmtId="2" fontId="24" fillId="36" borderId="282" applyFill="0" applyBorder="0" applyProtection="0">
      <alignment horizontal="center"/>
    </xf>
    <xf numFmtId="0" fontId="88" fillId="0" borderId="342" applyNumberFormat="0" applyFill="0" applyBorder="0" applyAlignment="0" applyProtection="0"/>
    <xf numFmtId="5" fontId="64" fillId="0" borderId="292" applyAlignment="0" applyProtection="0"/>
    <xf numFmtId="37" fontId="85" fillId="58" borderId="301" applyBorder="0" applyProtection="0">
      <alignment vertical="center"/>
    </xf>
    <xf numFmtId="5" fontId="64" fillId="0" borderId="329" applyAlignment="0" applyProtection="0"/>
    <xf numFmtId="0" fontId="101" fillId="61" borderId="286"/>
    <xf numFmtId="0" fontId="101" fillId="61" borderId="321"/>
    <xf numFmtId="0" fontId="100" fillId="43" borderId="392" applyNumberFormat="0" applyAlignment="0" applyProtection="0"/>
    <xf numFmtId="0" fontId="101" fillId="61" borderId="286"/>
    <xf numFmtId="37" fontId="85" fillId="58" borderId="312" applyBorder="0" applyProtection="0">
      <alignment vertical="center"/>
    </xf>
    <xf numFmtId="0" fontId="87" fillId="0" borderId="331" applyNumberFormat="0" applyFill="0" applyBorder="0" applyAlignment="0" applyProtection="0"/>
    <xf numFmtId="5" fontId="64" fillId="0" borderId="329" applyAlignment="0" applyProtection="0"/>
    <xf numFmtId="37" fontId="24" fillId="0" borderId="286" applyBorder="0">
      <alignment horizontal="right"/>
      <protection locked="0"/>
    </xf>
    <xf numFmtId="0" fontId="49" fillId="0" borderId="352" applyNumberFormat="0" applyFill="0" applyAlignment="0" applyProtection="0"/>
    <xf numFmtId="5" fontId="64" fillId="0" borderId="363" applyAlignment="0" applyProtection="0"/>
    <xf numFmtId="0" fontId="112" fillId="0" borderId="286"/>
    <xf numFmtId="5" fontId="64" fillId="0" borderId="316" applyAlignment="0" applyProtection="0"/>
    <xf numFmtId="0" fontId="33" fillId="0" borderId="271" applyFont="0" applyFill="0" applyBorder="0" applyAlignment="0" applyProtection="0">
      <alignment horizontal="right"/>
    </xf>
    <xf numFmtId="5" fontId="64" fillId="0" borderId="271" applyAlignment="0" applyProtection="0"/>
    <xf numFmtId="5" fontId="64" fillId="0" borderId="388" applyAlignment="0" applyProtection="0"/>
    <xf numFmtId="338" fontId="24" fillId="0" borderId="267" applyBorder="0">
      <alignment horizontal="right"/>
    </xf>
    <xf numFmtId="185" fontId="54" fillId="0" borderId="388" applyFont="0" applyFill="0" applyBorder="0" applyAlignment="0" applyProtection="0">
      <alignment horizontal="center"/>
    </xf>
    <xf numFmtId="5" fontId="64" fillId="0" borderId="271" applyAlignment="0" applyProtection="0"/>
    <xf numFmtId="0" fontId="122" fillId="0" borderId="272">
      <alignment horizontal="left" vertical="center"/>
    </xf>
    <xf numFmtId="0" fontId="112" fillId="0" borderId="270"/>
    <xf numFmtId="0" fontId="101" fillId="61" borderId="270"/>
    <xf numFmtId="5" fontId="64" fillId="0" borderId="271" applyAlignment="0" applyProtection="0"/>
    <xf numFmtId="177" fontId="33" fillId="0" borderId="271"/>
    <xf numFmtId="0" fontId="55" fillId="0" borderId="284" applyNumberFormat="0" applyFill="0" applyBorder="0" applyAlignment="0" applyProtection="0"/>
    <xf numFmtId="0" fontId="112" fillId="0" borderId="270"/>
    <xf numFmtId="5" fontId="64" fillId="0" borderId="329" applyAlignment="0" applyProtection="0"/>
    <xf numFmtId="0" fontId="112" fillId="0" borderId="286"/>
    <xf numFmtId="0" fontId="88" fillId="0" borderId="295" applyNumberFormat="0" applyFill="0" applyBorder="0" applyAlignment="0" applyProtection="0"/>
    <xf numFmtId="0" fontId="101" fillId="61" borderId="344"/>
    <xf numFmtId="0" fontId="100" fillId="43" borderId="343" applyNumberFormat="0" applyAlignment="0" applyProtection="0"/>
    <xf numFmtId="0" fontId="126" fillId="64" borderId="299">
      <alignment horizontal="left" vertical="center"/>
    </xf>
    <xf numFmtId="0" fontId="122" fillId="62" borderId="286">
      <alignment horizontal="center" vertical="center" wrapText="1"/>
      <protection hidden="1"/>
    </xf>
    <xf numFmtId="0" fontId="101" fillId="61" borderId="279"/>
    <xf numFmtId="0" fontId="112" fillId="0" borderId="297"/>
    <xf numFmtId="0" fontId="112" fillId="0" borderId="279"/>
    <xf numFmtId="0" fontId="49" fillId="0" borderId="401" applyNumberFormat="0" applyFill="0" applyAlignment="0" applyProtection="0"/>
    <xf numFmtId="5" fontId="64" fillId="0" borderId="292" applyAlignment="0" applyProtection="0"/>
    <xf numFmtId="0" fontId="112" fillId="0" borderId="286"/>
    <xf numFmtId="5" fontId="64" fillId="0" borderId="400" applyAlignment="0" applyProtection="0"/>
    <xf numFmtId="5" fontId="64" fillId="0" borderId="316" applyAlignment="0" applyProtection="0"/>
    <xf numFmtId="0" fontId="87" fillId="0" borderId="342" applyNumberFormat="0" applyFill="0" applyBorder="0" applyAlignment="0" applyProtection="0"/>
    <xf numFmtId="37" fontId="85" fillId="58" borderId="312" applyBorder="0" applyProtection="0">
      <alignment vertical="center"/>
    </xf>
    <xf numFmtId="0" fontId="148" fillId="1" borderId="380" applyNumberFormat="0" applyFont="0" applyAlignment="0">
      <alignment horizontal="center"/>
    </xf>
    <xf numFmtId="0" fontId="112" fillId="0" borderId="279"/>
    <xf numFmtId="5" fontId="64" fillId="0" borderId="316" applyAlignment="0" applyProtection="0"/>
    <xf numFmtId="5" fontId="64" fillId="0" borderId="316" applyAlignment="0" applyProtection="0"/>
    <xf numFmtId="0" fontId="88" fillId="0" borderId="295" applyNumberFormat="0" applyFill="0" applyBorder="0" applyAlignment="0" applyProtection="0"/>
    <xf numFmtId="0" fontId="101" fillId="61" borderId="286"/>
    <xf numFmtId="5" fontId="64" fillId="0" borderId="316" applyAlignment="0" applyProtection="0"/>
    <xf numFmtId="0" fontId="112" fillId="0" borderId="286"/>
    <xf numFmtId="0" fontId="147" fillId="0" borderId="290"/>
    <xf numFmtId="2" fontId="24" fillId="36" borderId="301" applyFill="0" applyBorder="0" applyProtection="0">
      <alignment horizontal="center"/>
    </xf>
    <xf numFmtId="0" fontId="101" fillId="61" borderId="321"/>
    <xf numFmtId="0" fontId="55" fillId="0" borderId="270">
      <alignment horizontal="center"/>
    </xf>
    <xf numFmtId="0" fontId="88" fillId="0" borderId="284" applyNumberFormat="0" applyFill="0" applyBorder="0" applyAlignment="0" applyProtection="0"/>
    <xf numFmtId="2" fontId="24" fillId="36" borderId="406" applyFill="0" applyBorder="0" applyProtection="0">
      <alignment horizontal="center"/>
    </xf>
    <xf numFmtId="0" fontId="101" fillId="61" borderId="404"/>
    <xf numFmtId="0" fontId="112" fillId="0" borderId="344"/>
    <xf numFmtId="37" fontId="85" fillId="58" borderId="323" applyBorder="0" applyProtection="0">
      <alignment vertical="center"/>
    </xf>
    <xf numFmtId="5" fontId="64" fillId="0" borderId="316" applyAlignment="0" applyProtection="0"/>
    <xf numFmtId="5" fontId="64" fillId="0" borderId="316" applyAlignment="0" applyProtection="0"/>
    <xf numFmtId="0" fontId="55" fillId="0" borderId="306" applyNumberFormat="0" applyFill="0" applyBorder="0" applyAlignment="0" applyProtection="0"/>
    <xf numFmtId="177" fontId="33" fillId="0" borderId="316"/>
    <xf numFmtId="2" fontId="24" fillId="36" borderId="323" applyFill="0" applyBorder="0" applyProtection="0">
      <alignment horizontal="center"/>
    </xf>
    <xf numFmtId="0" fontId="101" fillId="61" borderId="279"/>
    <xf numFmtId="0" fontId="112" fillId="0" borderId="286"/>
    <xf numFmtId="0" fontId="112" fillId="0" borderId="286"/>
    <xf numFmtId="0" fontId="49" fillId="0" borderId="283" applyNumberFormat="0" applyFill="0" applyAlignment="0" applyProtection="0"/>
    <xf numFmtId="37" fontId="85" fillId="58" borderId="282" applyBorder="0" applyProtection="0">
      <alignment vertical="center"/>
    </xf>
    <xf numFmtId="5" fontId="64" fillId="0" borderId="363" applyAlignment="0" applyProtection="0"/>
    <xf numFmtId="0" fontId="87" fillId="0" borderId="306" applyNumberFormat="0" applyFill="0" applyBorder="0" applyAlignment="0" applyProtection="0"/>
    <xf numFmtId="0" fontId="101" fillId="61" borderId="303"/>
    <xf numFmtId="5" fontId="64" fillId="0" borderId="388" applyAlignment="0" applyProtection="0"/>
    <xf numFmtId="0" fontId="88" fillId="0" borderId="331" applyNumberFormat="0" applyFill="0" applyBorder="0" applyAlignment="0" applyProtection="0"/>
    <xf numFmtId="5" fontId="64" fillId="0" borderId="292" applyAlignment="0" applyProtection="0"/>
    <xf numFmtId="0" fontId="112" fillId="0" borderId="279"/>
    <xf numFmtId="2" fontId="24" fillId="36" borderId="406" applyFill="0" applyBorder="0" applyProtection="0">
      <alignment horizontal="center"/>
    </xf>
    <xf numFmtId="301" fontId="94" fillId="0" borderId="388" applyFont="0" applyFill="0" applyBorder="0" applyAlignment="0" applyProtection="0">
      <alignment horizontal="center"/>
    </xf>
    <xf numFmtId="37" fontId="85" fillId="58" borderId="357" applyBorder="0" applyProtection="0">
      <alignment vertical="center"/>
    </xf>
    <xf numFmtId="0" fontId="48" fillId="65" borderId="348">
      <alignment horizontal="left" vertical="center" wrapText="1"/>
    </xf>
    <xf numFmtId="0" fontId="48" fillId="65" borderId="325">
      <alignment horizontal="left" vertical="center" wrapText="1"/>
    </xf>
    <xf numFmtId="5" fontId="64" fillId="0" borderId="388" applyAlignment="0" applyProtection="0"/>
    <xf numFmtId="0" fontId="126" fillId="64" borderId="376" applyBorder="0">
      <alignment horizontal="center" vertical="center" wrapText="1"/>
    </xf>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01" fillId="61" borderId="259"/>
    <xf numFmtId="0" fontId="101" fillId="61" borderId="259"/>
    <xf numFmtId="0" fontId="101" fillId="61" borderId="259"/>
    <xf numFmtId="0" fontId="112" fillId="0" borderId="259"/>
    <xf numFmtId="0" fontId="112" fillId="0" borderId="259"/>
    <xf numFmtId="37" fontId="85" fillId="58" borderId="269" applyBorder="0" applyProtection="0">
      <alignment vertical="center"/>
    </xf>
    <xf numFmtId="301" fontId="94" fillId="0" borderId="263" applyFont="0" applyFill="0" applyBorder="0" applyAlignment="0" applyProtection="0">
      <alignment horizontal="center"/>
    </xf>
    <xf numFmtId="0" fontId="122" fillId="62" borderId="344">
      <alignment horizontal="center" vertical="center" wrapText="1"/>
      <protection hidden="1"/>
    </xf>
    <xf numFmtId="1" fontId="54" fillId="0" borderId="263" applyNumberFormat="0" applyFont="0" applyFill="0" applyProtection="0">
      <alignment horizontal="center"/>
    </xf>
    <xf numFmtId="0" fontId="112" fillId="0" borderId="259"/>
    <xf numFmtId="0" fontId="122" fillId="62" borderId="259">
      <alignment horizontal="center" vertical="center" wrapText="1"/>
      <protection hidden="1"/>
    </xf>
    <xf numFmtId="0" fontId="87" fillId="0" borderId="217" applyNumberFormat="0" applyFill="0" applyBorder="0" applyAlignment="0" applyProtection="0"/>
    <xf numFmtId="37" fontId="85" fillId="58" borderId="269" applyBorder="0" applyProtection="0">
      <alignment vertical="center"/>
    </xf>
    <xf numFmtId="0" fontId="126" fillId="64" borderId="326" applyBorder="0">
      <alignment horizontal="center" vertical="center" wrapText="1"/>
    </xf>
    <xf numFmtId="8" fontId="131" fillId="0" borderId="405" applyNumberFormat="0" applyFill="0" applyBorder="0" applyAlignment="0" applyProtection="0"/>
    <xf numFmtId="5" fontId="64" fillId="0" borderId="329" applyAlignment="0" applyProtection="0"/>
    <xf numFmtId="0" fontId="147" fillId="0" borderId="290"/>
    <xf numFmtId="0" fontId="87" fillId="0" borderId="284" applyNumberFormat="0" applyFill="0" applyBorder="0" applyAlignment="0" applyProtection="0"/>
    <xf numFmtId="0" fontId="112" fillId="0" borderId="404"/>
    <xf numFmtId="0" fontId="88" fillId="0" borderId="284" applyNumberFormat="0" applyFill="0" applyBorder="0" applyAlignment="0" applyProtection="0"/>
    <xf numFmtId="0" fontId="112" fillId="0" borderId="286"/>
    <xf numFmtId="0" fontId="55" fillId="0" borderId="306" applyNumberFormat="0" applyFill="0" applyBorder="0" applyAlignment="0" applyProtection="0"/>
    <xf numFmtId="0" fontId="122" fillId="62" borderId="303">
      <alignment horizontal="center" vertical="center" wrapText="1"/>
      <protection hidden="1"/>
    </xf>
    <xf numFmtId="37" fontId="85" fillId="58" borderId="312" applyBorder="0" applyProtection="0">
      <alignment vertical="center"/>
    </xf>
    <xf numFmtId="37" fontId="85" fillId="58" borderId="335" applyBorder="0" applyProtection="0">
      <alignment vertical="center"/>
    </xf>
    <xf numFmtId="37" fontId="85" fillId="58" borderId="282" applyBorder="0" applyProtection="0">
      <alignment vertical="center"/>
    </xf>
    <xf numFmtId="0" fontId="55" fillId="0" borderId="306" applyNumberFormat="0" applyFill="0" applyBorder="0" applyAlignment="0" applyProtection="0"/>
    <xf numFmtId="0" fontId="112" fillId="0" borderId="286"/>
    <xf numFmtId="37" fontId="85" fillId="58" borderId="335" applyBorder="0" applyProtection="0">
      <alignment vertical="center"/>
    </xf>
    <xf numFmtId="0" fontId="55" fillId="0" borderId="391" applyNumberFormat="0" applyFill="0" applyBorder="0" applyAlignment="0" applyProtection="0"/>
    <xf numFmtId="37" fontId="85" fillId="58" borderId="335" applyBorder="0" applyProtection="0">
      <alignment vertical="center"/>
    </xf>
    <xf numFmtId="37" fontId="85" fillId="58" borderId="312" applyBorder="0" applyProtection="0">
      <alignment vertical="center"/>
    </xf>
    <xf numFmtId="37" fontId="24" fillId="0" borderId="404" applyBorder="0">
      <alignment horizontal="right"/>
      <protection locked="0"/>
    </xf>
    <xf numFmtId="0" fontId="148" fillId="1" borderId="324" applyNumberFormat="0" applyFont="0" applyAlignment="0">
      <alignment horizontal="center"/>
    </xf>
    <xf numFmtId="0" fontId="87" fillId="0" borderId="402" applyNumberFormat="0" applyFill="0" applyBorder="0" applyAlignment="0" applyProtection="0"/>
    <xf numFmtId="5" fontId="64" fillId="0" borderId="388" applyAlignment="0" applyProtection="0"/>
    <xf numFmtId="0" fontId="148" fillId="1" borderId="272" applyNumberFormat="0" applyFont="0" applyAlignment="0">
      <alignment horizontal="center"/>
    </xf>
    <xf numFmtId="37" fontId="85" fillId="58" borderId="346" applyBorder="0" applyProtection="0">
      <alignment vertical="center"/>
    </xf>
    <xf numFmtId="37" fontId="85" fillId="58" borderId="335" applyBorder="0" applyProtection="0">
      <alignment vertical="center"/>
    </xf>
    <xf numFmtId="0" fontId="101" fillId="61" borderId="270"/>
    <xf numFmtId="0" fontId="112" fillId="0" borderId="270"/>
    <xf numFmtId="0" fontId="112" fillId="0" borderId="270"/>
    <xf numFmtId="5" fontId="64" fillId="0" borderId="271" applyAlignment="0" applyProtection="0"/>
    <xf numFmtId="5" fontId="64" fillId="0" borderId="271" applyAlignment="0" applyProtection="0"/>
    <xf numFmtId="5" fontId="64" fillId="0" borderId="271" applyAlignment="0" applyProtection="0"/>
    <xf numFmtId="37" fontId="85" fillId="58" borderId="282" applyBorder="0" applyProtection="0">
      <alignment vertical="center"/>
    </xf>
    <xf numFmtId="37" fontId="85" fillId="58" borderId="269" applyBorder="0" applyProtection="0">
      <alignment vertical="center"/>
    </xf>
    <xf numFmtId="37" fontId="85" fillId="58" borderId="346" applyBorder="0" applyProtection="0">
      <alignment vertical="center"/>
    </xf>
    <xf numFmtId="0" fontId="54" fillId="0" borderId="275" applyNumberFormat="0" applyFill="0" applyAlignment="0" applyProtection="0"/>
    <xf numFmtId="5" fontId="64" fillId="0" borderId="316" applyAlignment="0" applyProtection="0"/>
    <xf numFmtId="0" fontId="112" fillId="0" borderId="286"/>
    <xf numFmtId="0" fontId="48" fillId="65" borderId="287">
      <alignment horizontal="left" vertical="center" wrapText="1"/>
    </xf>
    <xf numFmtId="0" fontId="87" fillId="0" borderId="306" applyNumberFormat="0" applyFill="0" applyBorder="0" applyAlignment="0" applyProtection="0"/>
    <xf numFmtId="0" fontId="49" fillId="0" borderId="364" applyNumberFormat="0" applyFill="0" applyAlignment="0" applyProtection="0"/>
    <xf numFmtId="37" fontId="85" fillId="58" borderId="323" applyBorder="0" applyProtection="0">
      <alignment vertical="center"/>
    </xf>
    <xf numFmtId="37" fontId="85" fillId="58" borderId="323" applyBorder="0" applyProtection="0">
      <alignment vertical="center"/>
    </xf>
    <xf numFmtId="5" fontId="64" fillId="0" borderId="292" applyAlignment="0" applyProtection="0"/>
    <xf numFmtId="0" fontId="126" fillId="64" borderId="408">
      <alignment horizontal="left" vertical="center"/>
    </xf>
    <xf numFmtId="37" fontId="85" fillId="58" borderId="312" applyBorder="0" applyProtection="0">
      <alignment vertical="center"/>
    </xf>
    <xf numFmtId="0" fontId="101" fillId="61" borderId="297"/>
    <xf numFmtId="37" fontId="85" fillId="58" borderId="406" applyBorder="0" applyProtection="0">
      <alignment vertical="center"/>
    </xf>
    <xf numFmtId="37" fontId="85" fillId="58" borderId="291" applyBorder="0" applyProtection="0">
      <alignment vertical="center"/>
    </xf>
    <xf numFmtId="0" fontId="55" fillId="0" borderId="284" applyNumberFormat="0" applyFill="0" applyBorder="0" applyAlignment="0" applyProtection="0"/>
    <xf numFmtId="5" fontId="64" fillId="0" borderId="316" applyAlignment="0" applyProtection="0"/>
    <xf numFmtId="0" fontId="101" fillId="61" borderId="344"/>
    <xf numFmtId="8" fontId="131" fillId="0" borderId="322" applyNumberFormat="0" applyFill="0" applyBorder="0" applyAlignment="0" applyProtection="0"/>
    <xf numFmtId="0" fontId="101" fillId="61" borderId="344"/>
    <xf numFmtId="5" fontId="64" fillId="0" borderId="292" applyAlignment="0" applyProtection="0"/>
    <xf numFmtId="5" fontId="64" fillId="0" borderId="363" applyAlignment="0" applyProtection="0"/>
    <xf numFmtId="0" fontId="49" fillId="0" borderId="274" applyNumberFormat="0" applyFill="0" applyAlignment="0" applyProtection="0"/>
    <xf numFmtId="0" fontId="122" fillId="62" borderId="379">
      <alignment horizontal="center" vertical="center" wrapText="1"/>
      <protection hidden="1"/>
    </xf>
    <xf numFmtId="301" fontId="94" fillId="0" borderId="329" applyFont="0" applyFill="0" applyBorder="0" applyAlignment="0" applyProtection="0">
      <alignment horizontal="center"/>
    </xf>
    <xf numFmtId="0" fontId="54" fillId="0" borderId="319" applyNumberFormat="0" applyFill="0" applyAlignment="0" applyProtection="0"/>
    <xf numFmtId="177" fontId="33" fillId="0" borderId="292"/>
    <xf numFmtId="5" fontId="64" fillId="0" borderId="388" applyAlignment="0" applyProtection="0"/>
    <xf numFmtId="5" fontId="64" fillId="0" borderId="363" applyAlignment="0" applyProtection="0"/>
    <xf numFmtId="0" fontId="112" fillId="0" borderId="321"/>
    <xf numFmtId="5" fontId="64" fillId="0" borderId="292" applyAlignment="0" applyProtection="0"/>
    <xf numFmtId="0" fontId="148" fillId="1" borderId="347" applyNumberFormat="0" applyFont="0" applyAlignment="0">
      <alignment horizontal="center"/>
    </xf>
    <xf numFmtId="0" fontId="147" fillId="0" borderId="268"/>
    <xf numFmtId="0" fontId="52" fillId="32" borderId="233"/>
    <xf numFmtId="0" fontId="101" fillId="61" borderId="286"/>
    <xf numFmtId="4" fontId="54" fillId="0" borderId="233"/>
    <xf numFmtId="0" fontId="52" fillId="32" borderId="233">
      <alignment horizontal="center"/>
    </xf>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88" fillId="0" borderId="217" applyNumberFormat="0" applyFill="0" applyBorder="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88"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37" fontId="85" fillId="58" borderId="269" applyBorder="0" applyProtection="0">
      <alignment vertical="center"/>
    </xf>
    <xf numFmtId="0" fontId="87" fillId="0" borderId="217" applyNumberFormat="0" applyFill="0" applyBorder="0" applyAlignment="0" applyProtection="0"/>
    <xf numFmtId="37" fontId="85" fillId="58" borderId="269" applyBorder="0" applyProtection="0">
      <alignment vertical="center"/>
    </xf>
    <xf numFmtId="37" fontId="53" fillId="1" borderId="271">
      <alignment horizontal="centerContinuous" vertical="center"/>
    </xf>
    <xf numFmtId="37" fontId="85" fillId="58" borderId="269" applyBorder="0" applyProtection="0">
      <alignment vertical="center"/>
    </xf>
    <xf numFmtId="37" fontId="85" fillId="58" borderId="269" applyBorder="0" applyProtection="0">
      <alignment vertical="center"/>
    </xf>
    <xf numFmtId="37" fontId="85" fillId="58" borderId="282" applyBorder="0" applyProtection="0">
      <alignment vertical="center"/>
    </xf>
    <xf numFmtId="37" fontId="85" fillId="58" borderId="312" applyBorder="0" applyProtection="0">
      <alignment vertical="center"/>
    </xf>
    <xf numFmtId="0" fontId="87" fillId="0" borderId="284" applyNumberFormat="0" applyFill="0" applyBorder="0" applyAlignment="0" applyProtection="0"/>
    <xf numFmtId="5" fontId="64" fillId="0" borderId="388" applyAlignment="0" applyProtection="0"/>
    <xf numFmtId="37" fontId="24" fillId="0" borderId="248" applyBorder="0">
      <alignment horizontal="right"/>
      <protection locked="0"/>
    </xf>
    <xf numFmtId="37" fontId="24" fillId="0" borderId="248" applyBorder="0">
      <alignment horizontal="right"/>
      <protection locked="0"/>
    </xf>
    <xf numFmtId="0" fontId="147" fillId="0" borderId="314"/>
    <xf numFmtId="37" fontId="24" fillId="0" borderId="344" applyBorder="0">
      <alignment horizontal="right"/>
      <protection locked="0"/>
    </xf>
    <xf numFmtId="5" fontId="64" fillId="0" borderId="316" applyAlignment="0" applyProtection="0"/>
    <xf numFmtId="0" fontId="122" fillId="62" borderId="248">
      <alignment horizontal="center" vertical="center" wrapText="1"/>
      <protection hidden="1"/>
    </xf>
    <xf numFmtId="0" fontId="147" fillId="0" borderId="252"/>
    <xf numFmtId="0" fontId="52" fillId="32" borderId="379"/>
    <xf numFmtId="0" fontId="87" fillId="0" borderId="275" applyNumberFormat="0" applyFill="0" applyBorder="0" applyAlignment="0" applyProtection="0"/>
    <xf numFmtId="0" fontId="55" fillId="0" borderId="275" applyNumberFormat="0" applyFill="0" applyBorder="0" applyAlignment="0" applyProtection="0"/>
    <xf numFmtId="0" fontId="87" fillId="0" borderId="275" applyNumberFormat="0" applyFill="0" applyBorder="0" applyAlignment="0" applyProtection="0"/>
    <xf numFmtId="0" fontId="88" fillId="0" borderId="275" applyNumberFormat="0" applyFill="0" applyBorder="0" applyAlignment="0" applyProtection="0"/>
    <xf numFmtId="0" fontId="54" fillId="0" borderId="275" applyNumberFormat="0" applyFill="0" applyAlignment="0" applyProtection="0"/>
    <xf numFmtId="37" fontId="24" fillId="0" borderId="286" applyBorder="0">
      <alignment horizontal="right"/>
      <protection locked="0"/>
    </xf>
    <xf numFmtId="338" fontId="24" fillId="0" borderId="251" applyBorder="0">
      <alignment horizontal="right"/>
    </xf>
    <xf numFmtId="0" fontId="112" fillId="0" borderId="404"/>
    <xf numFmtId="338" fontId="24" fillId="0" borderId="251" applyBorder="0">
      <alignment horizontal="right"/>
    </xf>
    <xf numFmtId="0" fontId="33" fillId="0" borderId="363" applyFont="0" applyFill="0" applyBorder="0" applyAlignment="0" applyProtection="0">
      <alignment horizontal="right"/>
    </xf>
    <xf numFmtId="5" fontId="64" fillId="0" borderId="363" applyAlignment="0" applyProtection="0"/>
    <xf numFmtId="5" fontId="64" fillId="0" borderId="316" applyAlignment="0" applyProtection="0"/>
    <xf numFmtId="0" fontId="87" fillId="0" borderId="413" applyNumberFormat="0" applyFill="0" applyBorder="0" applyAlignment="0" applyProtection="0"/>
    <xf numFmtId="0" fontId="54" fillId="0" borderId="331" applyNumberFormat="0" applyFill="0" applyAlignment="0" applyProtection="0"/>
    <xf numFmtId="5" fontId="64" fillId="0" borderId="316" applyAlignment="0" applyProtection="0"/>
    <xf numFmtId="0" fontId="101" fillId="61" borderId="286"/>
    <xf numFmtId="2" fontId="24" fillId="36" borderId="357" applyFill="0" applyBorder="0" applyProtection="0">
      <alignment horizontal="center"/>
    </xf>
    <xf numFmtId="0" fontId="112" fillId="0" borderId="286"/>
    <xf numFmtId="0" fontId="112" fillId="0" borderId="286"/>
    <xf numFmtId="5" fontId="64" fillId="0" borderId="388" applyAlignment="0" applyProtection="0"/>
    <xf numFmtId="0" fontId="126" fillId="64" borderId="287">
      <alignment horizontal="left" vertical="center"/>
    </xf>
    <xf numFmtId="0" fontId="55" fillId="0" borderId="402" applyNumberFormat="0" applyFill="0" applyBorder="0" applyAlignment="0" applyProtection="0"/>
    <xf numFmtId="0" fontId="101" fillId="61" borderId="303"/>
    <xf numFmtId="4" fontId="54" fillId="0" borderId="279"/>
    <xf numFmtId="0" fontId="48" fillId="65" borderId="309">
      <alignment horizontal="left" vertical="center" wrapText="1"/>
    </xf>
    <xf numFmtId="0" fontId="49" fillId="0" borderId="305" applyNumberFormat="0" applyFill="0" applyAlignment="0" applyProtection="0"/>
    <xf numFmtId="37" fontId="24" fillId="0" borderId="303" applyBorder="0">
      <alignment horizontal="right"/>
      <protection locked="0"/>
    </xf>
    <xf numFmtId="37" fontId="85" fillId="58" borderId="323" applyBorder="0" applyProtection="0">
      <alignment vertical="center"/>
    </xf>
    <xf numFmtId="0" fontId="101" fillId="61" borderId="297"/>
    <xf numFmtId="0" fontId="49" fillId="0" borderId="330" applyNumberFormat="0" applyFill="0" applyAlignment="0" applyProtection="0"/>
    <xf numFmtId="5" fontId="64" fillId="0" borderId="316" applyAlignment="0" applyProtection="0"/>
    <xf numFmtId="37" fontId="85" fillId="58" borderId="377" applyBorder="0" applyProtection="0">
      <alignment vertical="center"/>
    </xf>
    <xf numFmtId="37" fontId="85" fillId="58" borderId="282" applyBorder="0" applyProtection="0">
      <alignment vertical="center"/>
    </xf>
    <xf numFmtId="5" fontId="64" fillId="0" borderId="388" applyAlignment="0" applyProtection="0"/>
    <xf numFmtId="37" fontId="85" fillId="58" borderId="377" applyBorder="0" applyProtection="0">
      <alignment vertical="center"/>
    </xf>
    <xf numFmtId="5" fontId="64" fillId="0" borderId="329" applyAlignment="0" applyProtection="0"/>
    <xf numFmtId="5" fontId="64" fillId="0" borderId="316" applyAlignment="0" applyProtection="0"/>
    <xf numFmtId="0" fontId="88" fillId="0" borderId="342" applyNumberFormat="0" applyFill="0" applyBorder="0" applyAlignment="0" applyProtection="0"/>
    <xf numFmtId="0" fontId="49" fillId="0" borderId="256" applyNumberFormat="0" applyFill="0" applyAlignment="0" applyProtection="0"/>
    <xf numFmtId="5" fontId="64" fillId="0" borderId="329" applyAlignment="0" applyProtection="0"/>
    <xf numFmtId="0" fontId="112" fillId="0" borderId="279"/>
    <xf numFmtId="0" fontId="112" fillId="0" borderId="344"/>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01" fillId="61" borderId="279"/>
    <xf numFmtId="37" fontId="85" fillId="58" borderId="357" applyBorder="0" applyProtection="0">
      <alignment vertical="center"/>
    </xf>
    <xf numFmtId="0" fontId="48" fillId="65" borderId="249">
      <alignment horizontal="left" vertical="center" wrapText="1"/>
    </xf>
    <xf numFmtId="0" fontId="112" fillId="0" borderId="279"/>
    <xf numFmtId="0" fontId="53" fillId="35" borderId="379">
      <alignment horizontal="center" vertical="center"/>
    </xf>
    <xf numFmtId="0" fontId="112" fillId="0" borderId="279"/>
    <xf numFmtId="37" fontId="85" fillId="58" borderId="406" applyBorder="0" applyProtection="0">
      <alignment vertical="center"/>
    </xf>
    <xf numFmtId="5" fontId="64" fillId="0" borderId="388" applyAlignment="0" applyProtection="0"/>
    <xf numFmtId="5" fontId="64" fillId="0" borderId="316" applyAlignment="0" applyProtection="0"/>
    <xf numFmtId="0" fontId="126" fillId="64" borderId="249">
      <alignment horizontal="left" vertical="center"/>
    </xf>
    <xf numFmtId="0" fontId="126" fillId="64" borderId="250" applyBorder="0">
      <alignment horizontal="center" vertical="center" wrapText="1"/>
    </xf>
    <xf numFmtId="0" fontId="126" fillId="64" borderId="249">
      <alignment horizontal="left" vertical="center"/>
    </xf>
    <xf numFmtId="0" fontId="87" fillId="0" borderId="295" applyNumberFormat="0" applyFill="0" applyBorder="0" applyAlignment="0" applyProtection="0"/>
    <xf numFmtId="0" fontId="122" fillId="0" borderId="407">
      <alignment horizontal="left" vertical="center"/>
    </xf>
    <xf numFmtId="0" fontId="122" fillId="62" borderId="286">
      <alignment horizontal="center" vertical="center" wrapText="1"/>
      <protection hidden="1"/>
    </xf>
    <xf numFmtId="0" fontId="88" fillId="0" borderId="319" applyNumberFormat="0" applyFill="0" applyBorder="0" applyAlignment="0" applyProtection="0"/>
    <xf numFmtId="0" fontId="122" fillId="62" borderId="297">
      <alignment horizontal="center" vertical="center" wrapText="1"/>
      <protection hidden="1"/>
    </xf>
    <xf numFmtId="0" fontId="48" fillId="65" borderId="277">
      <alignment horizontal="left" vertical="center" wrapText="1"/>
    </xf>
    <xf numFmtId="2" fontId="24" fillId="36" borderId="244" applyFill="0" applyBorder="0" applyProtection="0">
      <alignment horizontal="center"/>
    </xf>
    <xf numFmtId="2" fontId="24" fillId="36" borderId="244" applyFill="0" applyBorder="0" applyProtection="0">
      <alignment horizontal="center"/>
    </xf>
    <xf numFmtId="37" fontId="85" fillId="58" borderId="291" applyBorder="0" applyProtection="0">
      <alignment vertical="center"/>
    </xf>
    <xf numFmtId="37" fontId="85" fillId="58" borderId="291" applyBorder="0" applyProtection="0">
      <alignment vertical="center"/>
    </xf>
    <xf numFmtId="5" fontId="64" fillId="0" borderId="292" applyAlignment="0" applyProtection="0"/>
    <xf numFmtId="177" fontId="33" fillId="0" borderId="292"/>
    <xf numFmtId="5" fontId="64" fillId="0" borderId="292" applyAlignment="0" applyProtection="0"/>
    <xf numFmtId="5" fontId="64" fillId="0" borderId="292" applyAlignment="0" applyProtection="0"/>
    <xf numFmtId="5" fontId="64" fillId="0" borderId="292" applyAlignment="0" applyProtection="0"/>
    <xf numFmtId="0" fontId="87" fillId="0" borderId="306" applyNumberFormat="0" applyFill="0" applyBorder="0" applyAlignment="0" applyProtection="0"/>
    <xf numFmtId="0" fontId="48" fillId="65" borderId="287">
      <alignment horizontal="left" vertical="center" wrapText="1"/>
    </xf>
    <xf numFmtId="0" fontId="122" fillId="62" borderId="286">
      <alignment horizontal="center" vertical="center" wrapText="1"/>
      <protection hidden="1"/>
    </xf>
    <xf numFmtId="0" fontId="87" fillId="0" borderId="306" applyNumberFormat="0" applyFill="0" applyBorder="0" applyAlignment="0" applyProtection="0"/>
    <xf numFmtId="0" fontId="122" fillId="62" borderId="404">
      <alignment horizontal="center" vertical="center" wrapText="1"/>
      <protection hidden="1"/>
    </xf>
    <xf numFmtId="5" fontId="64" fillId="0" borderId="363" applyAlignment="0" applyProtection="0"/>
    <xf numFmtId="37" fontId="85" fillId="58" borderId="346" applyBorder="0" applyProtection="0">
      <alignment vertical="center"/>
    </xf>
    <xf numFmtId="5" fontId="64" fillId="0" borderId="363" applyAlignment="0" applyProtection="0"/>
    <xf numFmtId="0" fontId="49" fillId="0" borderId="381" applyNumberFormat="0" applyFill="0" applyAlignment="0" applyProtection="0"/>
    <xf numFmtId="37" fontId="85" fillId="58" borderId="377" applyBorder="0" applyProtection="0">
      <alignment vertical="center"/>
    </xf>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5" fontId="64" fillId="0" borderId="316" applyAlignment="0" applyProtection="0"/>
    <xf numFmtId="0" fontId="101" fillId="61" borderId="303"/>
    <xf numFmtId="5" fontId="64" fillId="0" borderId="316" applyAlignment="0" applyProtection="0"/>
    <xf numFmtId="37" fontId="24" fillId="0" borderId="303" applyBorder="0">
      <alignment horizontal="right"/>
      <protection locked="0"/>
    </xf>
    <xf numFmtId="5" fontId="64" fillId="0" borderId="316" applyAlignment="0" applyProtection="0"/>
    <xf numFmtId="0" fontId="87" fillId="0" borderId="413" applyNumberFormat="0" applyFill="0" applyBorder="0" applyAlignment="0" applyProtection="0"/>
    <xf numFmtId="0" fontId="122" fillId="0" borderId="304">
      <alignment horizontal="left" vertical="center"/>
    </xf>
    <xf numFmtId="0" fontId="112" fillId="0" borderId="297"/>
    <xf numFmtId="5" fontId="64" fillId="0" borderId="363" applyAlignment="0" applyProtection="0"/>
    <xf numFmtId="37" fontId="85" fillId="58" borderId="389" applyBorder="0" applyProtection="0">
      <alignment vertical="center"/>
    </xf>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0" fillId="43" borderId="247" applyNumberFormat="0" applyAlignment="0" applyProtection="0"/>
    <xf numFmtId="0" fontId="100" fillId="43" borderId="247" applyNumberFormat="0" applyAlignment="0" applyProtection="0"/>
    <xf numFmtId="5" fontId="64" fillId="0" borderId="316" applyAlignment="0" applyProtection="0"/>
    <xf numFmtId="0" fontId="87" fillId="0" borderId="306" applyNumberFormat="0" applyFill="0" applyBorder="0" applyAlignment="0" applyProtection="0"/>
    <xf numFmtId="5" fontId="64" fillId="0" borderId="329" applyAlignment="0" applyProtection="0"/>
    <xf numFmtId="0" fontId="112" fillId="0" borderId="279"/>
    <xf numFmtId="0" fontId="147" fillId="0" borderId="290"/>
    <xf numFmtId="5" fontId="64" fillId="0" borderId="329" applyAlignment="0" applyProtection="0"/>
    <xf numFmtId="0" fontId="148" fillId="1" borderId="304" applyNumberFormat="0" applyFont="0" applyAlignment="0">
      <alignment horizontal="center"/>
    </xf>
    <xf numFmtId="0" fontId="100" fillId="43" borderId="285" applyNumberFormat="0" applyAlignment="0" applyProtection="0"/>
    <xf numFmtId="0" fontId="101" fillId="61" borderId="303"/>
    <xf numFmtId="5" fontId="64" fillId="0" borderId="316" applyAlignment="0" applyProtection="0"/>
    <xf numFmtId="0" fontId="55" fillId="0" borderId="295" applyNumberFormat="0" applyFill="0" applyBorder="0" applyAlignment="0" applyProtection="0"/>
    <xf numFmtId="0" fontId="112" fillId="0" borderId="286"/>
    <xf numFmtId="0" fontId="49" fillId="0" borderId="214" applyNumberFormat="0" applyFill="0" applyAlignment="0" applyProtection="0"/>
    <xf numFmtId="5" fontId="64" fillId="0" borderId="329" applyAlignment="0" applyProtection="0"/>
    <xf numFmtId="0" fontId="112" fillId="0" borderId="286"/>
    <xf numFmtId="0" fontId="112" fillId="0" borderId="344"/>
    <xf numFmtId="0" fontId="148" fillId="1" borderId="272" applyNumberFormat="0" applyFont="0" applyAlignment="0">
      <alignment horizontal="center"/>
    </xf>
    <xf numFmtId="0" fontId="122" fillId="62" borderId="270">
      <alignment horizontal="center" vertical="center" wrapText="1"/>
      <protection hidden="1"/>
    </xf>
    <xf numFmtId="0" fontId="112" fillId="0" borderId="270"/>
    <xf numFmtId="0" fontId="122" fillId="0" borderId="272">
      <alignment horizontal="left" vertical="center"/>
    </xf>
    <xf numFmtId="37" fontId="85" fillId="58" borderId="389" applyBorder="0" applyProtection="0">
      <alignment vertical="center"/>
    </xf>
    <xf numFmtId="185" fontId="54" fillId="0" borderId="271" applyFont="0" applyFill="0" applyBorder="0" applyAlignment="0" applyProtection="0">
      <alignment horizontal="center"/>
    </xf>
    <xf numFmtId="301" fontId="94" fillId="0" borderId="271" applyFont="0" applyFill="0" applyBorder="0" applyAlignment="0" applyProtection="0">
      <alignment horizontal="center"/>
    </xf>
    <xf numFmtId="0" fontId="112" fillId="0" borderId="270"/>
    <xf numFmtId="0" fontId="112" fillId="0" borderId="270"/>
    <xf numFmtId="0" fontId="101" fillId="61" borderId="270"/>
    <xf numFmtId="0" fontId="101" fillId="61" borderId="270"/>
    <xf numFmtId="0" fontId="101" fillId="61" borderId="270"/>
    <xf numFmtId="5" fontId="64" fillId="0" borderId="271" applyAlignment="0" applyProtection="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177" fontId="33" fillId="0" borderId="271"/>
    <xf numFmtId="5" fontId="64" fillId="0" borderId="271" applyAlignment="0" applyProtection="0"/>
    <xf numFmtId="177" fontId="33" fillId="0" borderId="271"/>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82" applyBorder="0" applyProtection="0">
      <alignment vertical="center"/>
    </xf>
    <xf numFmtId="37" fontId="85" fillId="58" borderId="282" applyBorder="0" applyProtection="0">
      <alignment vertical="center"/>
    </xf>
    <xf numFmtId="0" fontId="88" fillId="0" borderId="402" applyNumberFormat="0" applyFill="0" applyBorder="0" applyAlignment="0" applyProtection="0"/>
    <xf numFmtId="0" fontId="112" fillId="0" borderId="344"/>
    <xf numFmtId="5" fontId="64" fillId="0" borderId="388" applyAlignment="0" applyProtection="0"/>
    <xf numFmtId="0" fontId="55" fillId="0" borderId="275" applyNumberFormat="0" applyFill="0" applyBorder="0" applyAlignment="0" applyProtection="0"/>
    <xf numFmtId="0" fontId="87" fillId="0" borderId="275" applyNumberFormat="0" applyFill="0" applyBorder="0" applyAlignment="0" applyProtection="0"/>
    <xf numFmtId="2" fontId="24" fillId="36" borderId="323" applyFill="0" applyBorder="0" applyProtection="0">
      <alignment horizontal="center"/>
    </xf>
    <xf numFmtId="301" fontId="94" fillId="0" borderId="363" applyFont="0" applyFill="0" applyBorder="0" applyAlignment="0" applyProtection="0">
      <alignment horizontal="center"/>
    </xf>
    <xf numFmtId="5" fontId="64" fillId="0" borderId="363" applyAlignment="0" applyProtection="0"/>
    <xf numFmtId="0" fontId="88" fillId="0" borderId="402" applyNumberFormat="0" applyFill="0" applyBorder="0" applyAlignment="0" applyProtection="0"/>
    <xf numFmtId="5" fontId="64" fillId="0" borderId="316" applyAlignment="0" applyProtection="0"/>
    <xf numFmtId="0" fontId="101" fillId="61" borderId="286"/>
    <xf numFmtId="0" fontId="112" fillId="0" borderId="379"/>
    <xf numFmtId="2" fontId="24" fillId="36" borderId="282" applyFill="0" applyBorder="0" applyProtection="0">
      <alignment horizontal="center"/>
    </xf>
    <xf numFmtId="37" fontId="85" fillId="58" borderId="301" applyBorder="0" applyProtection="0">
      <alignment vertical="center"/>
    </xf>
    <xf numFmtId="0" fontId="101" fillId="61" borderId="303"/>
    <xf numFmtId="2" fontId="24" fillId="36" borderId="301" applyFill="0" applyBorder="0" applyProtection="0">
      <alignment horizontal="center"/>
    </xf>
    <xf numFmtId="0" fontId="101" fillId="61" borderId="404"/>
    <xf numFmtId="5" fontId="64" fillId="0" borderId="363" applyAlignment="0" applyProtection="0"/>
    <xf numFmtId="5" fontId="64" fillId="0" borderId="316" applyAlignment="0" applyProtection="0"/>
    <xf numFmtId="301" fontId="94" fillId="0" borderId="316" applyFont="0" applyFill="0" applyBorder="0" applyAlignment="0" applyProtection="0">
      <alignment horizontal="center"/>
    </xf>
    <xf numFmtId="0" fontId="54" fillId="0" borderId="295" applyNumberFormat="0" applyFill="0" applyAlignment="0" applyProtection="0"/>
    <xf numFmtId="5" fontId="64" fillId="0" borderId="292" applyAlignment="0" applyProtection="0"/>
    <xf numFmtId="37" fontId="85" fillId="58" borderId="291" applyBorder="0" applyProtection="0">
      <alignment vertical="center"/>
    </xf>
    <xf numFmtId="0" fontId="112" fillId="0" borderId="279"/>
    <xf numFmtId="5" fontId="64" fillId="0" borderId="388" applyAlignment="0" applyProtection="0"/>
    <xf numFmtId="0" fontId="69" fillId="0" borderId="317" applyNumberFormat="0" applyFill="0" applyAlignment="0" applyProtection="0"/>
    <xf numFmtId="0" fontId="88" fillId="0" borderId="295" applyNumberFormat="0" applyFill="0" applyBorder="0" applyAlignment="0" applyProtection="0"/>
    <xf numFmtId="37" fontId="85" fillId="58" borderId="377" applyBorder="0" applyProtection="0">
      <alignment vertical="center"/>
    </xf>
    <xf numFmtId="0" fontId="100" fillId="43" borderId="285" applyNumberFormat="0" applyAlignment="0" applyProtection="0"/>
    <xf numFmtId="37" fontId="53" fillId="1" borderId="292">
      <alignment horizontal="centerContinuous" vertical="center"/>
    </xf>
    <xf numFmtId="5" fontId="64" fillId="0" borderId="292" applyAlignment="0" applyProtection="0"/>
    <xf numFmtId="0" fontId="88" fillId="0" borderId="284" applyNumberFormat="0" applyFill="0" applyBorder="0"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37" fontId="85" fillId="58" borderId="406" applyBorder="0" applyProtection="0">
      <alignment vertical="center"/>
    </xf>
    <xf numFmtId="0" fontId="112" fillId="0" borderId="297"/>
    <xf numFmtId="0" fontId="48" fillId="65" borderId="309">
      <alignment horizontal="left" vertical="center" wrapText="1"/>
    </xf>
    <xf numFmtId="5" fontId="64" fillId="0" borderId="292" applyAlignment="0" applyProtection="0"/>
    <xf numFmtId="0" fontId="56" fillId="36" borderId="286">
      <alignment horizontal="center"/>
    </xf>
    <xf numFmtId="0" fontId="54" fillId="0" borderId="402" applyNumberFormat="0" applyFill="0" applyAlignment="0" applyProtection="0"/>
    <xf numFmtId="37" fontId="85" fillId="58" borderId="323" applyBorder="0" applyProtection="0">
      <alignment vertical="center"/>
    </xf>
    <xf numFmtId="0" fontId="55" fillId="0" borderId="413" applyNumberFormat="0" applyFill="0" applyBorder="0" applyAlignment="0" applyProtection="0"/>
    <xf numFmtId="37" fontId="85" fillId="58" borderId="377" applyBorder="0" applyProtection="0">
      <alignment vertical="center"/>
    </xf>
    <xf numFmtId="37" fontId="85" fillId="58" borderId="301" applyBorder="0" applyProtection="0">
      <alignment vertical="center"/>
    </xf>
    <xf numFmtId="185" fontId="54" fillId="0" borderId="363" applyFont="0" applyFill="0" applyBorder="0" applyAlignment="0" applyProtection="0">
      <alignment horizontal="center"/>
    </xf>
    <xf numFmtId="5" fontId="64" fillId="0" borderId="363" applyAlignment="0" applyProtection="0"/>
    <xf numFmtId="0" fontId="101" fillId="61" borderId="404"/>
    <xf numFmtId="5" fontId="64" fillId="0" borderId="292" applyAlignment="0" applyProtection="0"/>
    <xf numFmtId="0" fontId="101" fillId="61" borderId="404"/>
    <xf numFmtId="5" fontId="64" fillId="0" borderId="329" applyAlignment="0" applyProtection="0"/>
    <xf numFmtId="5" fontId="64" fillId="0" borderId="329" applyAlignment="0" applyProtection="0"/>
    <xf numFmtId="338" fontId="24" fillId="0" borderId="313" applyBorder="0">
      <alignment horizontal="right"/>
    </xf>
    <xf numFmtId="5" fontId="64" fillId="0" borderId="329" applyAlignment="0" applyProtection="0"/>
    <xf numFmtId="177" fontId="33" fillId="0" borderId="316"/>
    <xf numFmtId="5" fontId="64" fillId="0" borderId="329" applyAlignment="0" applyProtection="0"/>
    <xf numFmtId="0" fontId="87" fillId="0" borderId="391" applyNumberFormat="0" applyFill="0" applyBorder="0" applyAlignment="0" applyProtection="0"/>
    <xf numFmtId="0" fontId="88" fillId="0" borderId="331" applyNumberFormat="0" applyFill="0" applyBorder="0" applyAlignment="0" applyProtection="0"/>
    <xf numFmtId="37" fontId="85" fillId="58" borderId="282" applyBorder="0" applyProtection="0">
      <alignment vertical="center"/>
    </xf>
    <xf numFmtId="0" fontId="87" fillId="0" borderId="295" applyNumberFormat="0" applyFill="0" applyBorder="0" applyAlignment="0" applyProtection="0"/>
    <xf numFmtId="2" fontId="24" fillId="36" borderId="282" applyFill="0" applyBorder="0" applyProtection="0">
      <alignment horizontal="center"/>
    </xf>
    <xf numFmtId="0" fontId="49" fillId="0" borderId="381" applyNumberFormat="0" applyFill="0" applyAlignment="0" applyProtection="0"/>
    <xf numFmtId="0" fontId="100" fillId="43" borderId="285" applyNumberFormat="0" applyAlignment="0" applyProtection="0"/>
    <xf numFmtId="5" fontId="64" fillId="0" borderId="316" applyAlignment="0" applyProtection="0"/>
    <xf numFmtId="0" fontId="101" fillId="61" borderId="286"/>
    <xf numFmtId="0" fontId="49" fillId="0" borderId="330" applyNumberFormat="0" applyFill="0" applyAlignment="0" applyProtection="0"/>
    <xf numFmtId="0" fontId="48" fillId="65" borderId="325">
      <alignment horizontal="left" vertical="center" wrapText="1"/>
    </xf>
    <xf numFmtId="5" fontId="64" fillId="0" borderId="388" applyAlignment="0" applyProtection="0"/>
    <xf numFmtId="0" fontId="87" fillId="0" borderId="331" applyNumberFormat="0" applyFill="0" applyBorder="0" applyAlignment="0" applyProtection="0"/>
    <xf numFmtId="0" fontId="101" fillId="61" borderId="279"/>
    <xf numFmtId="5" fontId="64" fillId="0" borderId="292" applyAlignment="0" applyProtection="0"/>
    <xf numFmtId="5" fontId="64" fillId="0" borderId="316" applyAlignment="0" applyProtection="0"/>
    <xf numFmtId="0" fontId="88" fillId="0" borderId="391" applyNumberFormat="0" applyFill="0" applyBorder="0" applyAlignment="0" applyProtection="0"/>
    <xf numFmtId="2" fontId="24" fillId="36" borderId="346" applyFill="0" applyBorder="0" applyProtection="0">
      <alignment horizontal="center"/>
    </xf>
    <xf numFmtId="0" fontId="101" fillId="61" borderId="286"/>
    <xf numFmtId="0" fontId="112" fillId="0" borderId="344"/>
    <xf numFmtId="8" fontId="131" fillId="0" borderId="405" applyNumberFormat="0" applyFill="0" applyBorder="0" applyAlignment="0" applyProtection="0"/>
    <xf numFmtId="0" fontId="87" fillId="0" borderId="319" applyNumberFormat="0" applyFill="0" applyBorder="0" applyAlignment="0" applyProtection="0"/>
    <xf numFmtId="0" fontId="55" fillId="0" borderId="306" applyNumberFormat="0" applyFill="0" applyBorder="0" applyAlignment="0" applyProtection="0"/>
    <xf numFmtId="0" fontId="52" fillId="32" borderId="303"/>
    <xf numFmtId="37" fontId="24" fillId="0" borderId="279" applyBorder="0">
      <alignment horizontal="right"/>
      <protection locked="0"/>
    </xf>
    <xf numFmtId="0" fontId="101" fillId="61" borderId="279"/>
    <xf numFmtId="0" fontId="101" fillId="61" borderId="297"/>
    <xf numFmtId="5" fontId="64" fillId="0" borderId="400" applyAlignment="0" applyProtection="0"/>
    <xf numFmtId="0" fontId="88" fillId="0" borderId="319" applyNumberFormat="0" applyFill="0" applyBorder="0" applyAlignment="0" applyProtection="0"/>
    <xf numFmtId="177" fontId="33" fillId="0" borderId="400"/>
    <xf numFmtId="0" fontId="101" fillId="61" borderId="404"/>
    <xf numFmtId="0" fontId="101" fillId="61" borderId="303"/>
    <xf numFmtId="5" fontId="64" fillId="0" borderId="363" applyAlignment="0" applyProtection="0"/>
    <xf numFmtId="0" fontId="55" fillId="0" borderId="284" applyNumberFormat="0" applyFill="0" applyBorder="0" applyAlignment="0" applyProtection="0"/>
    <xf numFmtId="1" fontId="54" fillId="0" borderId="363" applyNumberFormat="0" applyFont="0" applyFill="0" applyProtection="0">
      <alignment horizontal="center"/>
    </xf>
    <xf numFmtId="0" fontId="87" fillId="0" borderId="284" applyNumberFormat="0" applyFill="0" applyBorder="0" applyAlignment="0" applyProtection="0"/>
    <xf numFmtId="5" fontId="64" fillId="0" borderId="363" applyAlignment="0" applyProtection="0"/>
    <xf numFmtId="338" fontId="24" fillId="0" borderId="267" applyBorder="0">
      <alignment horizontal="right"/>
    </xf>
    <xf numFmtId="5" fontId="64" fillId="0" borderId="329" applyAlignment="0" applyProtection="0"/>
    <xf numFmtId="37" fontId="24" fillId="0" borderId="404" applyBorder="0">
      <alignment horizontal="right"/>
      <protection locked="0"/>
    </xf>
    <xf numFmtId="0" fontId="49" fillId="0" borderId="381" applyNumberFormat="0" applyFill="0" applyAlignment="0" applyProtection="0"/>
    <xf numFmtId="37" fontId="85" fillId="58" borderId="335" applyBorder="0" applyProtection="0">
      <alignment vertical="center"/>
    </xf>
    <xf numFmtId="37" fontId="85" fillId="58" borderId="282" applyBorder="0" applyProtection="0">
      <alignment vertical="center"/>
    </xf>
    <xf numFmtId="5" fontId="64" fillId="0" borderId="363" applyAlignment="0" applyProtection="0"/>
    <xf numFmtId="0" fontId="101" fillId="61" borderId="286"/>
    <xf numFmtId="0" fontId="112" fillId="0" borderId="344"/>
    <xf numFmtId="0" fontId="122" fillId="62" borderId="344">
      <alignment horizontal="center" vertical="center" wrapText="1"/>
      <protection hidden="1"/>
    </xf>
    <xf numFmtId="37" fontId="85" fillId="58" borderId="323" applyBorder="0" applyProtection="0">
      <alignment vertical="center"/>
    </xf>
    <xf numFmtId="5" fontId="64" fillId="0" borderId="329" applyAlignment="0" applyProtection="0"/>
    <xf numFmtId="0" fontId="122" fillId="0" borderId="304">
      <alignment horizontal="left" vertical="center"/>
    </xf>
    <xf numFmtId="0" fontId="101" fillId="61" borderId="303"/>
    <xf numFmtId="5" fontId="64" fillId="0" borderId="388" applyAlignment="0" applyProtection="0"/>
    <xf numFmtId="37" fontId="85" fillId="58" borderId="301" applyBorder="0" applyProtection="0">
      <alignment vertical="center"/>
    </xf>
    <xf numFmtId="0" fontId="101" fillId="61" borderId="321"/>
    <xf numFmtId="5" fontId="64" fillId="0" borderId="292" applyAlignment="0" applyProtection="0"/>
    <xf numFmtId="177" fontId="33" fillId="0" borderId="292"/>
    <xf numFmtId="301" fontId="94" fillId="0" borderId="292" applyFont="0" applyFill="0" applyBorder="0" applyAlignment="0" applyProtection="0">
      <alignment horizontal="center"/>
    </xf>
    <xf numFmtId="0" fontId="147" fillId="0" borderId="314"/>
    <xf numFmtId="185" fontId="54" fillId="0" borderId="388" applyFont="0" applyFill="0" applyBorder="0" applyAlignment="0" applyProtection="0">
      <alignment horizontal="center"/>
    </xf>
    <xf numFmtId="0" fontId="101" fillId="61" borderId="344"/>
    <xf numFmtId="5" fontId="64" fillId="0" borderId="316" applyAlignment="0" applyProtection="0"/>
    <xf numFmtId="37" fontId="85" fillId="58" borderId="406" applyBorder="0" applyProtection="0">
      <alignment vertical="center"/>
    </xf>
    <xf numFmtId="0" fontId="112" fillId="0" borderId="404"/>
    <xf numFmtId="0" fontId="126" fillId="64" borderId="288" applyBorder="0">
      <alignment horizontal="center" vertical="center" wrapText="1"/>
    </xf>
    <xf numFmtId="0" fontId="112" fillId="0" borderId="286"/>
    <xf numFmtId="5" fontId="64" fillId="0" borderId="400" applyAlignment="0" applyProtection="0"/>
    <xf numFmtId="0" fontId="88" fillId="0" borderId="284" applyNumberFormat="0" applyFill="0" applyBorder="0" applyAlignment="0" applyProtection="0"/>
    <xf numFmtId="0" fontId="112" fillId="0" borderId="286"/>
    <xf numFmtId="0" fontId="112" fillId="0" borderId="404"/>
    <xf numFmtId="5" fontId="64" fillId="0" borderId="316" applyAlignment="0" applyProtection="0"/>
    <xf numFmtId="5" fontId="64" fillId="0" borderId="329" applyAlignment="0" applyProtection="0"/>
    <xf numFmtId="0" fontId="55" fillId="0" borderId="402" applyNumberFormat="0" applyFill="0" applyBorder="0" applyAlignment="0" applyProtection="0"/>
    <xf numFmtId="177" fontId="33" fillId="0" borderId="329"/>
    <xf numFmtId="5" fontId="64" fillId="0" borderId="388" applyAlignment="0" applyProtection="0"/>
    <xf numFmtId="37" fontId="85" fillId="58" borderId="301" applyBorder="0" applyProtection="0">
      <alignment vertical="center"/>
    </xf>
    <xf numFmtId="0" fontId="112" fillId="0" borderId="286"/>
    <xf numFmtId="0" fontId="54" fillId="0" borderId="246" applyNumberFormat="0" applyFill="0" applyAlignment="0" applyProtection="0"/>
    <xf numFmtId="338" fontId="24" fillId="0" borderId="327" applyBorder="0">
      <alignment horizontal="right"/>
    </xf>
    <xf numFmtId="0" fontId="54" fillId="0" borderId="246" applyNumberFormat="0" applyFill="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88"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5" fontId="64" fillId="0" borderId="388" applyAlignment="0" applyProtection="0"/>
    <xf numFmtId="0" fontId="112" fillId="0" borderId="303"/>
    <xf numFmtId="0" fontId="147" fillId="0" borderId="290"/>
    <xf numFmtId="37" fontId="24" fillId="0" borderId="404" applyBorder="0">
      <alignment horizontal="right"/>
      <protection locked="0"/>
    </xf>
    <xf numFmtId="5" fontId="64" fillId="0" borderId="388" applyAlignment="0" applyProtection="0"/>
    <xf numFmtId="0" fontId="101" fillId="61" borderId="297"/>
    <xf numFmtId="0" fontId="101" fillId="61" borderId="303"/>
    <xf numFmtId="37" fontId="24" fillId="0" borderId="379" applyBorder="0">
      <alignment horizontal="right"/>
      <protection locked="0"/>
    </xf>
    <xf numFmtId="0" fontId="101" fillId="61" borderId="379"/>
    <xf numFmtId="5" fontId="64" fillId="0" borderId="316" applyAlignment="0" applyProtection="0"/>
    <xf numFmtId="0" fontId="101" fillId="61" borderId="404"/>
    <xf numFmtId="5" fontId="64" fillId="0" borderId="292" applyAlignment="0" applyProtection="0"/>
    <xf numFmtId="37" fontId="85" fillId="58" borderId="406" applyBorder="0" applyProtection="0">
      <alignment vertical="center"/>
    </xf>
    <xf numFmtId="0" fontId="148" fillId="1" borderId="380" applyNumberFormat="0" applyFont="0" applyAlignment="0">
      <alignment horizontal="center"/>
    </xf>
    <xf numFmtId="0" fontId="101" fillId="61" borderId="279"/>
    <xf numFmtId="1" fontId="54" fillId="0" borderId="292" applyNumberFormat="0" applyFont="0" applyFill="0" applyProtection="0">
      <alignment horizontal="center"/>
    </xf>
    <xf numFmtId="5" fontId="64" fillId="0" borderId="388" applyAlignment="0" applyProtection="0"/>
    <xf numFmtId="0" fontId="87" fillId="0" borderId="413" applyNumberFormat="0" applyFill="0" applyBorder="0" applyAlignment="0" applyProtection="0"/>
    <xf numFmtId="0" fontId="112" fillId="0" borderId="321"/>
    <xf numFmtId="5" fontId="64" fillId="0" borderId="329" applyAlignment="0" applyProtection="0"/>
    <xf numFmtId="37" fontId="85" fillId="58" borderId="357" applyBorder="0" applyProtection="0">
      <alignment vertical="center"/>
    </xf>
    <xf numFmtId="37" fontId="85" fillId="58" borderId="406"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2" fontId="24" fillId="36" borderId="346" applyFill="0" applyBorder="0" applyProtection="0">
      <alignment horizontal="center"/>
    </xf>
    <xf numFmtId="5" fontId="64" fillId="0" borderId="329" applyAlignment="0" applyProtection="0"/>
    <xf numFmtId="5" fontId="64" fillId="0" borderId="316" applyAlignment="0" applyProtection="0"/>
    <xf numFmtId="0" fontId="122" fillId="0" borderId="324">
      <alignment horizontal="left" vertical="center"/>
    </xf>
    <xf numFmtId="0" fontId="122" fillId="62" borderId="286">
      <alignment horizontal="center" vertical="center" wrapText="1"/>
      <protection hidden="1"/>
    </xf>
    <xf numFmtId="0" fontId="48" fillId="65" borderId="299">
      <alignment horizontal="left" vertical="center" wrapText="1"/>
    </xf>
    <xf numFmtId="4" fontId="54" fillId="0" borderId="303"/>
    <xf numFmtId="5" fontId="64" fillId="0" borderId="363" applyAlignment="0" applyProtection="0"/>
    <xf numFmtId="37" fontId="85" fillId="58" borderId="301" applyBorder="0" applyProtection="0">
      <alignment vertical="center"/>
    </xf>
    <xf numFmtId="0" fontId="49" fillId="0" borderId="318" applyNumberFormat="0" applyFill="0" applyAlignment="0" applyProtection="0"/>
    <xf numFmtId="0" fontId="101" fillId="61" borderId="297"/>
    <xf numFmtId="5" fontId="64" fillId="0" borderId="329" applyAlignment="0" applyProtection="0"/>
    <xf numFmtId="37" fontId="85" fillId="58" borderId="357" applyBorder="0" applyProtection="0">
      <alignment vertical="center"/>
    </xf>
    <xf numFmtId="2" fontId="24" fillId="36" borderId="282" applyFill="0" applyBorder="0" applyProtection="0">
      <alignment horizont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37" fontId="85" fillId="58" borderId="406" applyBorder="0" applyProtection="0">
      <alignment vertical="center"/>
    </xf>
    <xf numFmtId="301" fontId="94" fillId="0" borderId="388" applyFont="0" applyFill="0" applyBorder="0" applyAlignment="0" applyProtection="0">
      <alignment horizontal="center"/>
    </xf>
    <xf numFmtId="1" fontId="54" fillId="0" borderId="388" applyNumberFormat="0" applyFont="0" applyFill="0" applyProtection="0">
      <alignment horizontal="center"/>
    </xf>
    <xf numFmtId="37" fontId="85" fillId="58" borderId="357" applyBorder="0" applyProtection="0">
      <alignment vertical="center"/>
    </xf>
    <xf numFmtId="0" fontId="112" fillId="0" borderId="286"/>
    <xf numFmtId="5" fontId="64" fillId="0" borderId="363" applyAlignment="0" applyProtection="0"/>
    <xf numFmtId="5" fontId="64" fillId="0" borderId="363" applyAlignment="0" applyProtection="0"/>
    <xf numFmtId="37" fontId="24" fillId="0" borderId="321" applyBorder="0">
      <alignment horizontal="right"/>
      <protection locked="0"/>
    </xf>
    <xf numFmtId="5" fontId="64" fillId="0" borderId="316" applyAlignment="0" applyProtection="0"/>
    <xf numFmtId="0" fontId="122" fillId="0" borderId="347">
      <alignment horizontal="left" vertical="center"/>
    </xf>
    <xf numFmtId="5" fontId="64" fillId="0" borderId="363" applyAlignment="0" applyProtection="0"/>
    <xf numFmtId="0" fontId="52" fillId="32" borderId="344"/>
    <xf numFmtId="5" fontId="64" fillId="0" borderId="388" applyAlignment="0" applyProtection="0"/>
    <xf numFmtId="0" fontId="126" fillId="64" borderId="375">
      <alignment horizontal="left" vertical="center"/>
    </xf>
    <xf numFmtId="0" fontId="112" fillId="0" borderId="321"/>
    <xf numFmtId="0" fontId="112" fillId="0" borderId="404"/>
    <xf numFmtId="0" fontId="112" fillId="0" borderId="321"/>
    <xf numFmtId="37" fontId="53" fillId="1" borderId="363">
      <alignment horizontal="centerContinuous" vertical="center"/>
    </xf>
    <xf numFmtId="37" fontId="85" fillId="58" borderId="406" applyBorder="0" applyProtection="0">
      <alignment vertical="center"/>
    </xf>
    <xf numFmtId="37" fontId="85" fillId="58" borderId="346" applyBorder="0" applyProtection="0">
      <alignment vertical="center"/>
    </xf>
    <xf numFmtId="0" fontId="100" fillId="43" borderId="237" applyNumberFormat="0" applyAlignment="0" applyProtection="0"/>
    <xf numFmtId="0" fontId="100" fillId="43" borderId="237" applyNumberFormat="0" applyAlignment="0" applyProtection="0"/>
    <xf numFmtId="0" fontId="100" fillId="43" borderId="237" applyNumberFormat="0" applyAlignment="0" applyProtection="0"/>
    <xf numFmtId="0" fontId="100" fillId="43" borderId="237" applyNumberFormat="0" applyAlignment="0" applyProtection="0"/>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5" fontId="64" fillId="0" borderId="271" applyAlignment="0" applyProtection="0"/>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87" fillId="0" borderId="331" applyNumberFormat="0" applyFill="0" applyBorder="0" applyAlignment="0" applyProtection="0"/>
    <xf numFmtId="0" fontId="101" fillId="61" borderId="286"/>
    <xf numFmtId="0" fontId="49" fillId="0" borderId="341" applyNumberFormat="0" applyFill="0" applyAlignment="0" applyProtection="0"/>
    <xf numFmtId="185" fontId="54" fillId="0" borderId="292" applyFont="0" applyFill="0" applyBorder="0" applyAlignment="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37" fontId="85" fillId="58" borderId="301" applyBorder="0" applyProtection="0">
      <alignment vertical="center"/>
    </xf>
    <xf numFmtId="0" fontId="101" fillId="61" borderId="404"/>
    <xf numFmtId="0" fontId="101" fillId="61" borderId="279"/>
    <xf numFmtId="0" fontId="112" fillId="0" borderId="279"/>
    <xf numFmtId="0" fontId="101" fillId="61" borderId="344"/>
    <xf numFmtId="0" fontId="126" fillId="64" borderId="287">
      <alignment horizontal="left" vertical="center"/>
    </xf>
    <xf numFmtId="0" fontId="101" fillId="61" borderId="321"/>
    <xf numFmtId="37" fontId="85" fillId="58" borderId="282" applyBorder="0" applyProtection="0">
      <alignment vertical="center"/>
    </xf>
    <xf numFmtId="301" fontId="94" fillId="0" borderId="329" applyFont="0" applyFill="0" applyBorder="0" applyAlignment="0" applyProtection="0">
      <alignment horizontal="center"/>
    </xf>
    <xf numFmtId="0" fontId="126" fillId="64" borderId="376" applyBorder="0">
      <alignment horizontal="center" vertical="center" wrapText="1"/>
    </xf>
    <xf numFmtId="0" fontId="101" fillId="61" borderId="344"/>
    <xf numFmtId="338" fontId="24" fillId="0" borderId="242" applyBorder="0">
      <alignment horizontal="right"/>
    </xf>
    <xf numFmtId="338" fontId="24" fillId="0" borderId="242" applyBorder="0">
      <alignment horizontal="right"/>
    </xf>
    <xf numFmtId="338" fontId="24" fillId="0" borderId="242" applyBorder="0">
      <alignment horizontal="right"/>
    </xf>
    <xf numFmtId="338" fontId="24" fillId="0" borderId="242" applyBorder="0">
      <alignment horizontal="right"/>
    </xf>
    <xf numFmtId="0" fontId="147" fillId="0" borderId="243"/>
    <xf numFmtId="0" fontId="147" fillId="0" borderId="243"/>
    <xf numFmtId="0" fontId="147" fillId="0" borderId="243"/>
    <xf numFmtId="0" fontId="147" fillId="0" borderId="243"/>
    <xf numFmtId="0" fontId="147" fillId="0" borderId="243"/>
    <xf numFmtId="0" fontId="147" fillId="0" borderId="243"/>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5" fontId="64" fillId="0" borderId="388" applyAlignment="0" applyProtection="0"/>
    <xf numFmtId="0" fontId="55" fillId="0" borderId="257" applyNumberFormat="0" applyFill="0" applyBorder="0" applyAlignment="0" applyProtection="0"/>
    <xf numFmtId="0" fontId="54" fillId="0" borderId="257" applyNumberFormat="0" applyFill="0" applyAlignment="0" applyProtection="0"/>
    <xf numFmtId="338" fontId="24" fillId="0" borderId="313" applyBorder="0">
      <alignment horizontal="right"/>
    </xf>
    <xf numFmtId="0" fontId="148" fillId="1" borderId="324" applyNumberFormat="0" applyFont="0" applyAlignment="0">
      <alignment horizontal="center"/>
    </xf>
    <xf numFmtId="0" fontId="126" fillId="64" borderId="348">
      <alignment horizontal="left" vertical="center"/>
    </xf>
    <xf numFmtId="5" fontId="64" fillId="0" borderId="388" applyAlignment="0" applyProtection="0"/>
    <xf numFmtId="0" fontId="101" fillId="61" borderId="270"/>
    <xf numFmtId="0" fontId="101" fillId="61" borderId="270"/>
    <xf numFmtId="5" fontId="64" fillId="0" borderId="271" applyAlignment="0" applyProtection="0"/>
    <xf numFmtId="0" fontId="49" fillId="0" borderId="245" applyNumberFormat="0" applyFill="0" applyAlignment="0" applyProtection="0"/>
    <xf numFmtId="0" fontId="122" fillId="62" borderId="404">
      <alignment horizontal="center" vertical="center" wrapText="1"/>
      <protection hidden="1"/>
    </xf>
    <xf numFmtId="0" fontId="101" fillId="61" borderId="297"/>
    <xf numFmtId="0" fontId="101" fillId="61" borderId="303"/>
    <xf numFmtId="8" fontId="131" fillId="0" borderId="405" applyNumberFormat="0" applyFill="0" applyBorder="0" applyAlignment="0" applyProtection="0"/>
    <xf numFmtId="0" fontId="112" fillId="0" borderId="344"/>
    <xf numFmtId="5" fontId="64" fillId="0" borderId="388" applyAlignment="0" applyProtection="0"/>
    <xf numFmtId="5" fontId="64" fillId="0" borderId="316" applyAlignment="0" applyProtection="0"/>
    <xf numFmtId="5" fontId="64" fillId="0" borderId="388" applyAlignment="0" applyProtection="0"/>
    <xf numFmtId="37" fontId="85" fillId="58" borderId="389" applyBorder="0" applyProtection="0">
      <alignment vertical="center"/>
    </xf>
    <xf numFmtId="37" fontId="24" fillId="0" borderId="297" applyBorder="0">
      <alignment horizontal="right"/>
      <protection locked="0"/>
    </xf>
    <xf numFmtId="2" fontId="24" fillId="36" borderId="282" applyFill="0" applyBorder="0" applyProtection="0">
      <alignment horizontal="center"/>
    </xf>
    <xf numFmtId="0" fontId="88" fillId="0" borderId="306" applyNumberFormat="0" applyFill="0" applyBorder="0" applyAlignment="0" applyProtection="0"/>
    <xf numFmtId="0" fontId="101" fillId="61" borderId="303"/>
    <xf numFmtId="5" fontId="64" fillId="0" borderId="363" applyAlignment="0" applyProtection="0"/>
    <xf numFmtId="0" fontId="112" fillId="0" borderId="297"/>
    <xf numFmtId="37" fontId="85" fillId="58" borderId="377" applyBorder="0" applyProtection="0">
      <alignment vertical="center"/>
    </xf>
    <xf numFmtId="0" fontId="64" fillId="0" borderId="234">
      <alignment horizontal="center"/>
    </xf>
    <xf numFmtId="185" fontId="54" fillId="0" borderId="316" applyFont="0" applyFill="0" applyBorder="0" applyAlignment="0" applyProtection="0">
      <alignment horizontal="center"/>
    </xf>
    <xf numFmtId="37" fontId="85" fillId="58" borderId="312" applyBorder="0" applyProtection="0">
      <alignment vertical="center"/>
    </xf>
    <xf numFmtId="0" fontId="112" fillId="0" borderId="297"/>
    <xf numFmtId="37" fontId="85" fillId="58" borderId="389" applyBorder="0" applyProtection="0">
      <alignment vertical="center"/>
    </xf>
    <xf numFmtId="0" fontId="52" fillId="32" borderId="279">
      <alignment horizontal="center"/>
    </xf>
    <xf numFmtId="5" fontId="64" fillId="0" borderId="363" applyAlignment="0" applyProtection="0"/>
    <xf numFmtId="37" fontId="85" fillId="58" borderId="312" applyBorder="0" applyProtection="0">
      <alignment vertical="center"/>
    </xf>
    <xf numFmtId="5" fontId="64" fillId="0" borderId="316" applyAlignment="0" applyProtection="0"/>
    <xf numFmtId="37" fontId="85" fillId="58" borderId="406"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177" fontId="33" fillId="0" borderId="254"/>
    <xf numFmtId="177" fontId="33" fillId="0" borderId="254"/>
    <xf numFmtId="177" fontId="33" fillId="0" borderId="254"/>
    <xf numFmtId="177" fontId="33" fillId="0" borderId="254"/>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0" fontId="100" fillId="43" borderId="247" applyNumberFormat="0" applyAlignment="0" applyProtection="0"/>
    <xf numFmtId="0" fontId="100" fillId="43" borderId="247" applyNumberFormat="0" applyAlignment="0" applyProtection="0"/>
    <xf numFmtId="0" fontId="100" fillId="43" borderId="247" applyNumberFormat="0" applyAlignment="0" applyProtection="0"/>
    <xf numFmtId="0" fontId="100" fillId="43" borderId="247" applyNumberFormat="0" applyAlignment="0" applyProtection="0"/>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5" fontId="64" fillId="0" borderId="388" applyAlignment="0" applyProtection="0"/>
    <xf numFmtId="0" fontId="112" fillId="0" borderId="404"/>
    <xf numFmtId="0" fontId="52" fillId="32" borderId="286">
      <alignment horizontal="center"/>
    </xf>
    <xf numFmtId="0" fontId="101" fillId="61" borderId="286"/>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48" fillId="1" borderId="293" applyNumberFormat="0" applyFont="0" applyAlignment="0">
      <alignment horizontal="center"/>
    </xf>
    <xf numFmtId="0" fontId="87" fillId="0" borderId="342" applyNumberFormat="0" applyFill="0" applyBorder="0" applyAlignment="0" applyProtection="0"/>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112" fillId="0" borderId="286"/>
    <xf numFmtId="5" fontId="64" fillId="0" borderId="316" applyAlignment="0" applyProtection="0"/>
    <xf numFmtId="2" fontId="24" fillId="36" borderId="301" applyFill="0" applyBorder="0" applyProtection="0">
      <alignment horizontal="center"/>
    </xf>
    <xf numFmtId="0" fontId="101" fillId="61" borderId="303"/>
    <xf numFmtId="0" fontId="87" fillId="0" borderId="306" applyNumberFormat="0" applyFill="0" applyBorder="0" applyAlignment="0" applyProtection="0"/>
    <xf numFmtId="5" fontId="64" fillId="0" borderId="316" applyAlignment="0" applyProtection="0"/>
    <xf numFmtId="0" fontId="101" fillId="61" borderId="344"/>
    <xf numFmtId="338" fontId="24" fillId="0" borderId="251" applyBorder="0">
      <alignment horizontal="right"/>
    </xf>
    <xf numFmtId="338" fontId="24" fillId="0" borderId="251" applyBorder="0">
      <alignment horizontal="right"/>
    </xf>
    <xf numFmtId="338" fontId="24" fillId="0" borderId="251" applyBorder="0">
      <alignment horizontal="right"/>
    </xf>
    <xf numFmtId="338" fontId="24" fillId="0" borderId="251" applyBorder="0">
      <alignment horizontal="right"/>
    </xf>
    <xf numFmtId="0" fontId="147" fillId="0" borderId="252"/>
    <xf numFmtId="0" fontId="147" fillId="0" borderId="252"/>
    <xf numFmtId="0" fontId="147" fillId="0" borderId="252"/>
    <xf numFmtId="0" fontId="147" fillId="0" borderId="252"/>
    <xf numFmtId="0" fontId="147" fillId="0" borderId="252"/>
    <xf numFmtId="0" fontId="147" fillId="0" borderId="252"/>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177" fontId="33" fillId="0" borderId="316"/>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0" fontId="126" fillId="64" borderId="375">
      <alignment horizontal="left" vertical="center"/>
    </xf>
    <xf numFmtId="0" fontId="88" fillId="0" borderId="284" applyNumberFormat="0" applyFill="0" applyBorder="0" applyAlignment="0" applyProtection="0"/>
    <xf numFmtId="5" fontId="64" fillId="0" borderId="316" applyAlignment="0" applyProtection="0"/>
    <xf numFmtId="0" fontId="101" fillId="61" borderId="286"/>
    <xf numFmtId="5" fontId="64" fillId="0" borderId="363" applyAlignment="0" applyProtection="0"/>
    <xf numFmtId="0" fontId="101" fillId="61" borderId="344"/>
    <xf numFmtId="0" fontId="49" fillId="0" borderId="256" applyNumberFormat="0" applyFill="0" applyAlignment="0" applyProtection="0"/>
    <xf numFmtId="37" fontId="85" fillId="58" borderId="282" applyBorder="0" applyProtection="0">
      <alignment vertical="center"/>
    </xf>
    <xf numFmtId="0" fontId="112" fillId="0" borderId="297"/>
    <xf numFmtId="2" fontId="24" fillId="36" borderId="282" applyFill="0" applyBorder="0" applyProtection="0">
      <alignment horizontal="center"/>
    </xf>
    <xf numFmtId="0" fontId="112" fillId="0" borderId="404"/>
    <xf numFmtId="5" fontId="64" fillId="0" borderId="271" applyAlignment="0" applyProtection="0"/>
    <xf numFmtId="5" fontId="64" fillId="0" borderId="271" applyAlignment="0" applyProtection="0"/>
    <xf numFmtId="0" fontId="101" fillId="61" borderId="404"/>
    <xf numFmtId="0" fontId="101" fillId="61" borderId="279"/>
    <xf numFmtId="0" fontId="126" fillId="64" borderId="277">
      <alignment horizontal="left" vertical="center"/>
    </xf>
    <xf numFmtId="5" fontId="64" fillId="0" borderId="292" applyAlignment="0" applyProtection="0"/>
    <xf numFmtId="5" fontId="64" fillId="0" borderId="316" applyAlignment="0" applyProtection="0"/>
    <xf numFmtId="0" fontId="112" fillId="0" borderId="321"/>
    <xf numFmtId="0" fontId="101" fillId="61" borderId="344"/>
    <xf numFmtId="0" fontId="126" fillId="64" borderId="310" applyBorder="0">
      <alignment horizontal="center" vertical="center" wrapText="1"/>
    </xf>
    <xf numFmtId="0" fontId="101" fillId="61" borderId="286"/>
    <xf numFmtId="3" fontId="54" fillId="0" borderId="303"/>
    <xf numFmtId="301" fontId="94" fillId="0" borderId="363" applyFont="0" applyFill="0" applyBorder="0" applyAlignment="0" applyProtection="0">
      <alignment horizontal="center"/>
    </xf>
    <xf numFmtId="0" fontId="112" fillId="0" borderId="379"/>
    <xf numFmtId="0" fontId="100" fillId="43" borderId="285" applyNumberFormat="0" applyAlignment="0" applyProtection="0"/>
    <xf numFmtId="5" fontId="64" fillId="0" borderId="316" applyAlignment="0" applyProtection="0"/>
    <xf numFmtId="0" fontId="55" fillId="0" borderId="391" applyNumberFormat="0" applyFill="0" applyBorder="0" applyAlignment="0" applyProtection="0"/>
    <xf numFmtId="5" fontId="64" fillId="0" borderId="329" applyAlignment="0" applyProtection="0"/>
    <xf numFmtId="2" fontId="24" fillId="36" borderId="323" applyFill="0" applyBorder="0" applyProtection="0">
      <alignment horizontal="center"/>
    </xf>
    <xf numFmtId="0" fontId="54" fillId="0" borderId="295" applyNumberFormat="0" applyFill="0" applyAlignment="0" applyProtection="0"/>
    <xf numFmtId="185" fontId="54" fillId="0" borderId="292" applyFont="0" applyFill="0" applyBorder="0" applyAlignment="0" applyProtection="0">
      <alignment horizontal="center"/>
    </xf>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54" fillId="0" borderId="413" applyNumberFormat="0" applyFill="0" applyAlignment="0" applyProtection="0"/>
    <xf numFmtId="5" fontId="64" fillId="0" borderId="316" applyAlignment="0" applyProtection="0"/>
    <xf numFmtId="0" fontId="101" fillId="61" borderId="303"/>
    <xf numFmtId="5" fontId="64" fillId="0" borderId="400" applyAlignment="0" applyProtection="0"/>
    <xf numFmtId="5" fontId="64" fillId="0" borderId="363" applyAlignment="0" applyProtection="0"/>
    <xf numFmtId="37" fontId="85" fillId="58" borderId="312" applyBorder="0" applyProtection="0">
      <alignment vertical="center"/>
    </xf>
    <xf numFmtId="5" fontId="64" fillId="0" borderId="400" applyAlignment="0" applyProtection="0"/>
    <xf numFmtId="5" fontId="64" fillId="0" borderId="316" applyAlignment="0" applyProtection="0"/>
    <xf numFmtId="262" fontId="69" fillId="0" borderId="317" applyFill="0" applyAlignment="0" applyProtection="0">
      <alignment horizontal="center"/>
    </xf>
    <xf numFmtId="185" fontId="54" fillId="0" borderId="363" applyFont="0" applyFill="0" applyBorder="0" applyAlignment="0" applyProtection="0">
      <alignment horizontal="center"/>
    </xf>
    <xf numFmtId="0" fontId="52" fillId="32" borderId="297">
      <alignment horizontal="center"/>
    </xf>
    <xf numFmtId="0" fontId="55" fillId="0" borderId="295" applyNumberFormat="0" applyFill="0" applyBorder="0" applyAlignment="0" applyProtection="0"/>
    <xf numFmtId="5" fontId="64" fillId="0" borderId="400" applyAlignment="0" applyProtection="0"/>
    <xf numFmtId="0" fontId="112" fillId="0" borderId="379"/>
    <xf numFmtId="338" fontId="24" fillId="0" borderId="361" applyBorder="0">
      <alignment horizontal="right"/>
    </xf>
    <xf numFmtId="37" fontId="85" fillId="58" borderId="406" applyBorder="0" applyProtection="0">
      <alignment vertical="center"/>
    </xf>
    <xf numFmtId="5" fontId="64" fillId="0" borderId="329" applyAlignment="0" applyProtection="0"/>
    <xf numFmtId="0" fontId="112" fillId="0" borderId="297"/>
    <xf numFmtId="37" fontId="85" fillId="58" borderId="282" applyBorder="0" applyProtection="0">
      <alignment vertical="center"/>
    </xf>
    <xf numFmtId="0" fontId="101" fillId="61" borderId="344"/>
    <xf numFmtId="0" fontId="101" fillId="61" borderId="297"/>
    <xf numFmtId="0" fontId="101" fillId="61" borderId="344"/>
    <xf numFmtId="2" fontId="24" fillId="36" borderId="346" applyFill="0" applyBorder="0" applyProtection="0">
      <alignment horizontal="center"/>
    </xf>
    <xf numFmtId="5" fontId="64" fillId="0" borderId="400" applyAlignment="0" applyProtection="0"/>
    <xf numFmtId="37" fontId="85" fillId="58" borderId="323" applyBorder="0" applyProtection="0">
      <alignment vertical="center"/>
    </xf>
    <xf numFmtId="0" fontId="126" fillId="64" borderId="376" applyBorder="0">
      <alignment horizontal="center" vertical="center" wrapText="1"/>
    </xf>
    <xf numFmtId="0" fontId="112" fillId="0" borderId="404"/>
    <xf numFmtId="37" fontId="85" fillId="58" borderId="346" applyBorder="0" applyProtection="0">
      <alignment vertical="center"/>
    </xf>
    <xf numFmtId="5" fontId="64" fillId="0" borderId="363" applyAlignment="0" applyProtection="0"/>
    <xf numFmtId="0" fontId="87" fillId="0" borderId="331" applyNumberFormat="0" applyFill="0" applyBorder="0" applyAlignment="0" applyProtection="0"/>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0" fontId="147" fillId="0" borderId="290"/>
    <xf numFmtId="37" fontId="24" fillId="0" borderId="286" applyBorder="0">
      <alignment horizontal="right"/>
      <protection locked="0"/>
    </xf>
    <xf numFmtId="37" fontId="85" fillId="58" borderId="301" applyBorder="0" applyProtection="0">
      <alignment vertical="center"/>
    </xf>
    <xf numFmtId="0" fontId="55" fillId="0" borderId="306" applyNumberFormat="0" applyFill="0" applyBorder="0" applyAlignment="0" applyProtection="0"/>
    <xf numFmtId="0" fontId="88" fillId="0" borderId="306" applyNumberFormat="0" applyFill="0" applyBorder="0" applyAlignment="0" applyProtection="0"/>
    <xf numFmtId="0" fontId="55" fillId="0" borderId="306" applyNumberFormat="0" applyFill="0" applyBorder="0" applyAlignment="0" applyProtection="0"/>
    <xf numFmtId="0" fontId="48" fillId="65" borderId="375">
      <alignment horizontal="left" vertical="center" wrapText="1"/>
    </xf>
    <xf numFmtId="0" fontId="88" fillId="0" borderId="413" applyNumberFormat="0" applyFill="0" applyBorder="0" applyAlignment="0" applyProtection="0"/>
    <xf numFmtId="0" fontId="101" fillId="61" borderId="303"/>
    <xf numFmtId="0" fontId="112" fillId="0" borderId="303"/>
    <xf numFmtId="0" fontId="101" fillId="61" borderId="303"/>
    <xf numFmtId="0" fontId="112" fillId="0" borderId="303"/>
    <xf numFmtId="0" fontId="126" fillId="64" borderId="309">
      <alignment horizontal="left" vertical="center"/>
    </xf>
    <xf numFmtId="0" fontId="122" fillId="0" borderId="304">
      <alignment horizontal="left" vertical="center"/>
    </xf>
    <xf numFmtId="0" fontId="48" fillId="65" borderId="309">
      <alignment horizontal="left" vertical="center" wrapText="1"/>
    </xf>
    <xf numFmtId="0" fontId="52" fillId="32" borderId="279">
      <alignment horizontal="center"/>
    </xf>
    <xf numFmtId="0" fontId="101" fillId="61" borderId="321"/>
    <xf numFmtId="5" fontId="64" fillId="0" borderId="400" applyAlignment="0" applyProtection="0"/>
    <xf numFmtId="2" fontId="24" fillId="36" borderId="323" applyFill="0" applyBorder="0" applyProtection="0">
      <alignment horizontal="center"/>
    </xf>
    <xf numFmtId="37" fontId="85" fillId="58" borderId="377" applyBorder="0" applyProtection="0">
      <alignment vertical="center"/>
    </xf>
    <xf numFmtId="0" fontId="87" fillId="0" borderId="342" applyNumberFormat="0" applyFill="0" applyBorder="0" applyAlignment="0" applyProtection="0"/>
    <xf numFmtId="0" fontId="147" fillId="0" borderId="351"/>
    <xf numFmtId="0" fontId="148" fillId="1" borderId="347" applyNumberFormat="0" applyFont="0" applyAlignment="0">
      <alignment horizontal="center"/>
    </xf>
    <xf numFmtId="5" fontId="64" fillId="0" borderId="388" applyAlignment="0" applyProtection="0"/>
    <xf numFmtId="37" fontId="85" fillId="58" borderId="357" applyBorder="0" applyProtection="0">
      <alignment vertical="center"/>
    </xf>
    <xf numFmtId="0" fontId="54" fillId="0" borderId="295" applyNumberFormat="0" applyFill="0" applyAlignment="0" applyProtection="0"/>
    <xf numFmtId="0" fontId="88" fillId="0" borderId="295" applyNumberFormat="0" applyFill="0" applyBorder="0" applyAlignment="0" applyProtection="0"/>
    <xf numFmtId="0" fontId="122" fillId="62" borderId="297">
      <alignment horizontal="center" vertical="center" wrapText="1"/>
      <protection hidden="1"/>
    </xf>
    <xf numFmtId="0" fontId="126" fillId="64" borderId="326" applyBorder="0">
      <alignment horizontal="center" vertical="center" wrapText="1"/>
    </xf>
    <xf numFmtId="37" fontId="53" fillId="1" borderId="329">
      <alignment horizontal="centerContinuous" vertical="center"/>
    </xf>
    <xf numFmtId="5" fontId="64" fillId="0" borderId="316" applyAlignment="0" applyProtection="0"/>
    <xf numFmtId="0" fontId="101" fillId="61" borderId="286"/>
    <xf numFmtId="0" fontId="101" fillId="61" borderId="297"/>
    <xf numFmtId="0" fontId="122" fillId="0" borderId="347">
      <alignment horizontal="left" vertical="center"/>
    </xf>
    <xf numFmtId="0" fontId="49" fillId="0" borderId="294" applyNumberFormat="0" applyFill="0" applyAlignment="0" applyProtection="0"/>
    <xf numFmtId="37" fontId="85" fillId="58" borderId="346" applyBorder="0" applyProtection="0">
      <alignment vertical="center"/>
    </xf>
    <xf numFmtId="1" fontId="54" fillId="0" borderId="329" applyNumberFormat="0" applyFont="0" applyFill="0" applyProtection="0">
      <alignment horizontal="center"/>
    </xf>
    <xf numFmtId="0" fontId="101" fillId="61" borderId="344"/>
    <xf numFmtId="37" fontId="85" fillId="58" borderId="377" applyBorder="0" applyProtection="0">
      <alignment vertical="center"/>
    </xf>
    <xf numFmtId="0" fontId="126" fillId="64" borderId="408">
      <alignment horizontal="left" vertical="center"/>
    </xf>
    <xf numFmtId="5" fontId="64" fillId="0" borderId="316" applyAlignment="0" applyProtection="0"/>
    <xf numFmtId="0" fontId="101" fillId="61" borderId="297"/>
    <xf numFmtId="0" fontId="87" fillId="0" borderId="331" applyNumberFormat="0" applyFill="0" applyBorder="0" applyAlignment="0" applyProtection="0"/>
    <xf numFmtId="301" fontId="94" fillId="0" borderId="388" applyFont="0" applyFill="0" applyBorder="0" applyAlignment="0" applyProtection="0">
      <alignment horizontal="center"/>
    </xf>
    <xf numFmtId="0" fontId="88" fillId="0" borderId="319" applyNumberFormat="0" applyFill="0" applyBorder="0" applyAlignment="0" applyProtection="0"/>
    <xf numFmtId="0" fontId="49" fillId="0" borderId="305" applyNumberFormat="0" applyFill="0" applyAlignment="0" applyProtection="0"/>
    <xf numFmtId="0" fontId="112" fillId="0" borderId="303"/>
    <xf numFmtId="5" fontId="64" fillId="0" borderId="316" applyAlignment="0" applyProtection="0"/>
    <xf numFmtId="5" fontId="64" fillId="0" borderId="329" applyAlignment="0" applyProtection="0"/>
    <xf numFmtId="37" fontId="85" fillId="58" borderId="346" applyBorder="0" applyProtection="0">
      <alignment vertical="center"/>
    </xf>
    <xf numFmtId="0" fontId="101" fillId="61" borderId="303"/>
    <xf numFmtId="37" fontId="85" fillId="58" borderId="323" applyBorder="0" applyProtection="0">
      <alignment vertical="center"/>
    </xf>
    <xf numFmtId="37" fontId="85" fillId="58" borderId="301" applyBorder="0" applyProtection="0">
      <alignment vertical="center"/>
    </xf>
    <xf numFmtId="3" fontId="54" fillId="0" borderId="279"/>
    <xf numFmtId="0" fontId="55" fillId="0" borderId="319" applyNumberFormat="0" applyFill="0" applyBorder="0" applyAlignment="0" applyProtection="0"/>
    <xf numFmtId="0" fontId="126" fillId="64" borderId="326" applyBorder="0">
      <alignment horizontal="center" vertical="center" wrapText="1"/>
    </xf>
    <xf numFmtId="5" fontId="64" fillId="0" borderId="363" applyAlignment="0" applyProtection="0"/>
    <xf numFmtId="0" fontId="112" fillId="0" borderId="404"/>
    <xf numFmtId="185" fontId="54" fillId="0" borderId="329" applyFont="0" applyFill="0" applyBorder="0" applyAlignment="0" applyProtection="0">
      <alignment horizontal="center"/>
    </xf>
    <xf numFmtId="5" fontId="64" fillId="0" borderId="329" applyAlignment="0" applyProtection="0"/>
    <xf numFmtId="37" fontId="85" fillId="58" borderId="357" applyBorder="0" applyProtection="0">
      <alignment vertical="center"/>
    </xf>
    <xf numFmtId="314" fontId="28" fillId="0" borderId="317" applyFont="0" applyFill="0" applyBorder="0" applyProtection="0"/>
    <xf numFmtId="5" fontId="64" fillId="0" borderId="363" applyAlignment="0" applyProtection="0"/>
    <xf numFmtId="0" fontId="112" fillId="0" borderId="404"/>
    <xf numFmtId="0" fontId="88" fillId="0" borderId="331" applyNumberFormat="0" applyFill="0" applyBorder="0" applyAlignment="0" applyProtection="0"/>
    <xf numFmtId="301" fontId="94" fillId="0" borderId="329" applyFont="0" applyFill="0" applyBorder="0" applyAlignment="0" applyProtection="0">
      <alignment horizontal="center"/>
    </xf>
    <xf numFmtId="0" fontId="112" fillId="0" borderId="303"/>
    <xf numFmtId="338" fontId="24" fillId="0" borderId="265" applyBorder="0">
      <alignment horizontal="right"/>
    </xf>
    <xf numFmtId="338" fontId="24" fillId="0" borderId="265" applyBorder="0">
      <alignment horizontal="right"/>
    </xf>
    <xf numFmtId="338" fontId="24" fillId="0" borderId="265" applyBorder="0">
      <alignment horizontal="right"/>
    </xf>
    <xf numFmtId="338" fontId="24" fillId="0" borderId="265" applyBorder="0">
      <alignment horizontal="right"/>
    </xf>
    <xf numFmtId="0" fontId="147" fillId="0" borderId="266"/>
    <xf numFmtId="0" fontId="147" fillId="0" borderId="266"/>
    <xf numFmtId="0" fontId="147" fillId="0" borderId="266"/>
    <xf numFmtId="0" fontId="147" fillId="0" borderId="266"/>
    <xf numFmtId="0" fontId="147" fillId="0" borderId="266"/>
    <xf numFmtId="0" fontId="147" fillId="0" borderId="266"/>
    <xf numFmtId="0" fontId="101" fillId="61" borderId="297"/>
    <xf numFmtId="0" fontId="101" fillId="61" borderId="297"/>
    <xf numFmtId="0" fontId="101" fillId="61" borderId="297"/>
    <xf numFmtId="5" fontId="64" fillId="0" borderId="400" applyAlignment="0" applyProtection="0"/>
    <xf numFmtId="37" fontId="85" fillId="58" borderId="406" applyBorder="0" applyProtection="0">
      <alignment vertical="center"/>
    </xf>
    <xf numFmtId="0" fontId="54" fillId="0" borderId="319" applyNumberFormat="0" applyFill="0" applyAlignment="0" applyProtection="0"/>
    <xf numFmtId="3" fontId="54" fillId="0" borderId="379"/>
    <xf numFmtId="37" fontId="85" fillId="58" borderId="282" applyBorder="0" applyProtection="0">
      <alignment vertical="center"/>
    </xf>
    <xf numFmtId="0" fontId="54" fillId="0" borderId="319" applyNumberFormat="0" applyFill="0" applyAlignment="0" applyProtection="0"/>
    <xf numFmtId="338" fontId="24" fillId="0" borderId="313" applyBorder="0">
      <alignment horizontal="right"/>
    </xf>
    <xf numFmtId="37" fontId="85" fillId="58" borderId="312" applyBorder="0" applyProtection="0">
      <alignment vertical="center"/>
    </xf>
    <xf numFmtId="0" fontId="112" fillId="0" borderId="297"/>
    <xf numFmtId="5" fontId="64" fillId="0" borderId="400" applyAlignment="0" applyProtection="0"/>
    <xf numFmtId="0" fontId="88" fillId="0" borderId="391" applyNumberFormat="0" applyFill="0" applyBorder="0" applyAlignment="0" applyProtection="0"/>
    <xf numFmtId="5" fontId="64" fillId="0" borderId="363" applyAlignment="0" applyProtection="0"/>
    <xf numFmtId="1" fontId="54" fillId="0" borderId="388" applyNumberFormat="0" applyFont="0" applyFill="0" applyProtection="0">
      <alignment horizontal="center"/>
    </xf>
    <xf numFmtId="37" fontId="85" fillId="58" borderId="312" applyBorder="0" applyProtection="0">
      <alignment vertical="center"/>
    </xf>
    <xf numFmtId="37" fontId="85" fillId="58" borderId="357" applyBorder="0" applyProtection="0">
      <alignment vertical="center"/>
    </xf>
    <xf numFmtId="5" fontId="64" fillId="0" borderId="363" applyAlignment="0" applyProtection="0"/>
    <xf numFmtId="0" fontId="112" fillId="0" borderId="321"/>
    <xf numFmtId="37" fontId="85" fillId="58" borderId="282" applyBorder="0" applyProtection="0">
      <alignment vertical="center"/>
    </xf>
    <xf numFmtId="0" fontId="101" fillId="61" borderId="344"/>
    <xf numFmtId="0" fontId="126" fillId="64" borderId="326" applyBorder="0">
      <alignment horizontal="center" vertical="center" wrapText="1"/>
    </xf>
    <xf numFmtId="185" fontId="54" fillId="0" borderId="316" applyFont="0" applyFill="0" applyBorder="0" applyAlignment="0" applyProtection="0">
      <alignment horizontal="center"/>
    </xf>
    <xf numFmtId="0" fontId="101" fillId="61" borderId="303"/>
    <xf numFmtId="0" fontId="48" fillId="65" borderId="299">
      <alignment horizontal="left" vertical="center" wrapText="1"/>
    </xf>
    <xf numFmtId="37" fontId="85" fillId="58" borderId="282" applyBorder="0" applyProtection="0">
      <alignment vertical="center"/>
    </xf>
    <xf numFmtId="0" fontId="87" fillId="0" borderId="402" applyNumberFormat="0" applyFill="0" applyBorder="0" applyAlignment="0" applyProtection="0"/>
    <xf numFmtId="37" fontId="85" fillId="58" borderId="406" applyBorder="0" applyProtection="0">
      <alignment vertical="center"/>
    </xf>
    <xf numFmtId="5" fontId="64" fillId="0" borderId="363" applyAlignment="0" applyProtection="0"/>
    <xf numFmtId="0" fontId="112" fillId="0" borderId="303"/>
    <xf numFmtId="0" fontId="101" fillId="61" borderId="344"/>
    <xf numFmtId="0" fontId="122" fillId="62" borderId="297">
      <alignment horizontal="center" vertical="center" wrapText="1"/>
      <protection hidden="1"/>
    </xf>
    <xf numFmtId="37" fontId="85" fillId="58" borderId="282" applyBorder="0" applyProtection="0">
      <alignment vertical="center"/>
    </xf>
    <xf numFmtId="5" fontId="64" fillId="0" borderId="316" applyAlignment="0" applyProtection="0"/>
    <xf numFmtId="5" fontId="64" fillId="0" borderId="316" applyAlignment="0" applyProtection="0"/>
    <xf numFmtId="37" fontId="85" fillId="58" borderId="357" applyBorder="0" applyProtection="0">
      <alignment vertical="center"/>
    </xf>
    <xf numFmtId="5" fontId="64" fillId="0" borderId="292"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22" fillId="62" borderId="321">
      <alignment horizontal="center" vertical="center" wrapText="1"/>
      <protection hidden="1"/>
    </xf>
    <xf numFmtId="0" fontId="48" fillId="65" borderId="325">
      <alignment horizontal="left" vertical="center" wrapText="1"/>
    </xf>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55" fillId="0" borderId="331" applyNumberFormat="0" applyFill="0" applyBorder="0" applyAlignment="0" applyProtection="0"/>
    <xf numFmtId="5" fontId="64" fillId="0" borderId="363" applyAlignment="0" applyProtection="0"/>
    <xf numFmtId="0" fontId="101" fillId="61" borderId="404"/>
    <xf numFmtId="0" fontId="54" fillId="0" borderId="331" applyNumberFormat="0" applyFill="0" applyAlignment="0" applyProtection="0"/>
    <xf numFmtId="5" fontId="64" fillId="0" borderId="316" applyAlignment="0" applyProtection="0"/>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0" fontId="101" fillId="61" borderId="321"/>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12" fillId="0" borderId="404"/>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112" fillId="0" borderId="303"/>
    <xf numFmtId="0" fontId="101" fillId="61" borderId="303"/>
    <xf numFmtId="0" fontId="101" fillId="61" borderId="303"/>
    <xf numFmtId="0" fontId="112" fillId="0" borderId="344"/>
    <xf numFmtId="177" fontId="33" fillId="0" borderId="363"/>
    <xf numFmtId="5" fontId="64" fillId="0" borderId="329" applyAlignment="0" applyProtection="0"/>
    <xf numFmtId="0" fontId="148" fillId="1" borderId="347" applyNumberFormat="0" applyFont="0" applyAlignment="0">
      <alignment horizontal="center"/>
    </xf>
    <xf numFmtId="5" fontId="64" fillId="0" borderId="363" applyAlignment="0" applyProtection="0"/>
    <xf numFmtId="338" fontId="24" fillId="0" borderId="267" applyBorder="0">
      <alignment horizontal="right"/>
    </xf>
    <xf numFmtId="338" fontId="24" fillId="0" borderId="267" applyBorder="0">
      <alignment horizontal="right"/>
    </xf>
    <xf numFmtId="338" fontId="24" fillId="0" borderId="267" applyBorder="0">
      <alignment horizontal="right"/>
    </xf>
    <xf numFmtId="338" fontId="24" fillId="0" borderId="267" applyBorder="0">
      <alignment horizontal="right"/>
    </xf>
    <xf numFmtId="0" fontId="147" fillId="0" borderId="268"/>
    <xf numFmtId="0" fontId="147" fillId="0" borderId="268"/>
    <xf numFmtId="0" fontId="147" fillId="0" borderId="268"/>
    <xf numFmtId="0" fontId="147" fillId="0" borderId="268"/>
    <xf numFmtId="0" fontId="147" fillId="0" borderId="268"/>
    <xf numFmtId="0" fontId="147" fillId="0" borderId="268"/>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0" fontId="101" fillId="61" borderId="321"/>
    <xf numFmtId="5" fontId="64" fillId="0" borderId="400" applyAlignment="0" applyProtection="0"/>
    <xf numFmtId="5" fontId="64" fillId="0" borderId="292" applyAlignment="0" applyProtection="0"/>
    <xf numFmtId="5" fontId="64" fillId="0" borderId="292" applyAlignment="0" applyProtection="0"/>
    <xf numFmtId="5" fontId="64" fillId="0" borderId="329" applyAlignment="0" applyProtection="0"/>
    <xf numFmtId="0" fontId="55" fillId="0" borderId="295" applyNumberFormat="0" applyFill="0" applyBorder="0" applyAlignment="0" applyProtection="0"/>
    <xf numFmtId="0" fontId="122" fillId="62" borderId="303">
      <alignment horizontal="center" vertical="center" wrapText="1"/>
      <protection hidden="1"/>
    </xf>
    <xf numFmtId="0" fontId="87" fillId="0" borderId="391" applyNumberFormat="0" applyFill="0" applyBorder="0" applyAlignment="0" applyProtection="0"/>
    <xf numFmtId="2" fontId="24" fillId="36" borderId="323" applyFill="0" applyBorder="0" applyProtection="0">
      <alignment horizontal="center"/>
    </xf>
    <xf numFmtId="0" fontId="49" fillId="0" borderId="274" applyNumberFormat="0" applyFill="0" applyAlignment="0" applyProtection="0"/>
    <xf numFmtId="0" fontId="49" fillId="0" borderId="274" applyNumberFormat="0" applyFill="0" applyAlignment="0" applyProtection="0"/>
    <xf numFmtId="5" fontId="64" fillId="0" borderId="316" applyAlignment="0" applyProtection="0"/>
    <xf numFmtId="5" fontId="64" fillId="0" borderId="316" applyAlignment="0" applyProtection="0"/>
    <xf numFmtId="247" fontId="28" fillId="0" borderId="317"/>
    <xf numFmtId="5" fontId="64" fillId="0" borderId="388" applyAlignment="0" applyProtection="0"/>
    <xf numFmtId="0" fontId="112" fillId="0" borderId="297"/>
    <xf numFmtId="37" fontId="85" fillId="58" borderId="406" applyBorder="0" applyProtection="0">
      <alignment vertical="center"/>
    </xf>
    <xf numFmtId="338" fontId="24" fillId="0" borderId="289" applyBorder="0">
      <alignment horizontal="right"/>
    </xf>
    <xf numFmtId="0" fontId="101" fillId="61" borderId="379"/>
    <xf numFmtId="2" fontId="24" fillId="36" borderId="377" applyFill="0" applyBorder="0" applyProtection="0">
      <alignment horizontal="center"/>
    </xf>
    <xf numFmtId="5" fontId="64" fillId="0" borderId="316" applyAlignment="0" applyProtection="0"/>
    <xf numFmtId="0" fontId="87" fillId="0" borderId="402" applyNumberFormat="0" applyFill="0" applyBorder="0" applyAlignment="0" applyProtection="0"/>
    <xf numFmtId="5" fontId="64" fillId="0" borderId="316" applyAlignment="0" applyProtection="0"/>
    <xf numFmtId="37" fontId="85" fillId="58" borderId="312" applyBorder="0" applyProtection="0">
      <alignment vertical="center"/>
    </xf>
    <xf numFmtId="5" fontId="64" fillId="0" borderId="316" applyAlignment="0" applyProtection="0"/>
    <xf numFmtId="0" fontId="56" fillId="36" borderId="404">
      <alignment horizontal="center"/>
    </xf>
    <xf numFmtId="185" fontId="54" fillId="0" borderId="388" applyFont="0" applyFill="0" applyBorder="0" applyAlignment="0" applyProtection="0">
      <alignment horizontal="center"/>
    </xf>
    <xf numFmtId="0" fontId="88" fillId="0" borderId="391" applyNumberFormat="0" applyFill="0" applyBorder="0" applyAlignment="0" applyProtection="0"/>
    <xf numFmtId="5" fontId="64" fillId="0" borderId="363" applyAlignment="0" applyProtection="0"/>
    <xf numFmtId="5" fontId="64" fillId="0" borderId="388" applyAlignment="0" applyProtection="0"/>
    <xf numFmtId="0" fontId="101" fillId="61" borderId="344"/>
    <xf numFmtId="5" fontId="64" fillId="0" borderId="363" applyAlignment="0" applyProtection="0"/>
    <xf numFmtId="37" fontId="85" fillId="58" borderId="291" applyBorder="0" applyProtection="0">
      <alignment vertical="center"/>
    </xf>
    <xf numFmtId="0" fontId="112" fillId="0" borderId="321"/>
    <xf numFmtId="0" fontId="87" fillId="0" borderId="284" applyNumberFormat="0" applyFill="0" applyBorder="0" applyAlignment="0" applyProtection="0"/>
    <xf numFmtId="0" fontId="55" fillId="0" borderId="284" applyNumberFormat="0" applyFill="0" applyBorder="0" applyAlignment="0" applyProtection="0"/>
    <xf numFmtId="0" fontId="88" fillId="0" borderId="284" applyNumberFormat="0" applyFill="0" applyBorder="0" applyAlignment="0" applyProtection="0"/>
    <xf numFmtId="0" fontId="54" fillId="0" borderId="284" applyNumberFormat="0" applyFill="0" applyAlignment="0" applyProtection="0"/>
    <xf numFmtId="5" fontId="64" fillId="0" borderId="316" applyAlignment="0" applyProtection="0"/>
    <xf numFmtId="0" fontId="101" fillId="61" borderId="286"/>
    <xf numFmtId="0" fontId="112" fillId="0" borderId="379"/>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5" fontId="64" fillId="0" borderId="316" applyAlignment="0" applyProtection="0"/>
    <xf numFmtId="0" fontId="147" fillId="0" borderId="411"/>
    <xf numFmtId="0" fontId="101" fillId="61" borderId="404"/>
    <xf numFmtId="37" fontId="85" fillId="58" borderId="335" applyBorder="0" applyProtection="0">
      <alignment vertical="center"/>
    </xf>
    <xf numFmtId="5" fontId="64" fillId="0" borderId="400" applyAlignment="0" applyProtection="0"/>
    <xf numFmtId="0" fontId="101" fillId="61" borderId="344"/>
    <xf numFmtId="0" fontId="101" fillId="61" borderId="303"/>
    <xf numFmtId="0" fontId="101" fillId="61" borderId="303"/>
    <xf numFmtId="0" fontId="112" fillId="0" borderId="303"/>
    <xf numFmtId="2" fontId="24" fillId="36" borderId="301" applyFill="0" applyBorder="0" applyProtection="0">
      <alignment horizontal="center"/>
    </xf>
    <xf numFmtId="0" fontId="88" fillId="0" borderId="295" applyNumberFormat="0" applyFill="0" applyBorder="0" applyAlignment="0" applyProtection="0"/>
    <xf numFmtId="37" fontId="24" fillId="0" borderId="303" applyBorder="0">
      <alignment horizontal="right"/>
      <protection locked="0"/>
    </xf>
    <xf numFmtId="0" fontId="54" fillId="0" borderId="295" applyNumberFormat="0" applyFill="0" applyAlignment="0" applyProtection="0"/>
    <xf numFmtId="0" fontId="87" fillId="0" borderId="342" applyNumberFormat="0" applyFill="0" applyBorder="0" applyAlignment="0" applyProtection="0"/>
    <xf numFmtId="0" fontId="87" fillId="0" borderId="319" applyNumberFormat="0" applyFill="0" applyBorder="0" applyAlignment="0" applyProtection="0"/>
    <xf numFmtId="37" fontId="85" fillId="58" borderId="323" applyBorder="0" applyProtection="0">
      <alignment vertical="center"/>
    </xf>
    <xf numFmtId="0" fontId="100" fillId="43" borderId="276" applyNumberFormat="0" applyAlignment="0" applyProtection="0"/>
    <xf numFmtId="0" fontId="100" fillId="43" borderId="276" applyNumberFormat="0" applyAlignment="0" applyProtection="0"/>
    <xf numFmtId="0" fontId="100" fillId="43" borderId="276" applyNumberFormat="0" applyAlignment="0" applyProtection="0"/>
    <xf numFmtId="0" fontId="100" fillId="43" borderId="276" applyNumberFormat="0" applyAlignment="0" applyProtection="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87" fillId="0" borderId="391" applyNumberFormat="0" applyFill="0" applyBorder="0" applyAlignment="0" applyProtection="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37" fontId="24" fillId="0" borderId="297" applyBorder="0">
      <alignment horizontal="right"/>
      <protection locked="0"/>
    </xf>
    <xf numFmtId="0" fontId="88" fillId="0" borderId="295" applyNumberFormat="0" applyFill="0" applyBorder="0" applyAlignment="0" applyProtection="0"/>
    <xf numFmtId="5" fontId="64" fillId="0" borderId="363" applyAlignment="0" applyProtection="0"/>
    <xf numFmtId="0" fontId="112" fillId="0" borderId="321"/>
    <xf numFmtId="0" fontId="101" fillId="61" borderId="321"/>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0" fontId="122" fillId="0" borderId="272">
      <alignment horizontal="left" vertical="center"/>
    </xf>
    <xf numFmtId="0" fontId="122" fillId="0" borderId="272">
      <alignment horizontal="left" vertical="center"/>
    </xf>
    <xf numFmtId="0" fontId="122" fillId="0" borderId="272">
      <alignment horizontal="left" vertical="center"/>
    </xf>
    <xf numFmtId="0" fontId="122" fillId="0" borderId="272">
      <alignment horizontal="left" vertical="center"/>
    </xf>
    <xf numFmtId="5" fontId="64" fillId="0" borderId="388" applyAlignment="0" applyProtection="0"/>
    <xf numFmtId="301" fontId="94" fillId="0" borderId="388" applyFont="0" applyFill="0" applyBorder="0" applyAlignment="0" applyProtection="0">
      <alignment horizontal="center"/>
    </xf>
    <xf numFmtId="5" fontId="64" fillId="0" borderId="316" applyAlignment="0" applyProtection="0"/>
    <xf numFmtId="5" fontId="64" fillId="0" borderId="316" applyAlignment="0" applyProtection="0"/>
    <xf numFmtId="0" fontId="126" fillId="64" borderId="408">
      <alignment horizontal="left" vertical="center"/>
    </xf>
    <xf numFmtId="0" fontId="55" fillId="0" borderId="391" applyNumberFormat="0" applyFill="0" applyBorder="0" applyAlignment="0" applyProtection="0"/>
    <xf numFmtId="5" fontId="64" fillId="0" borderId="316" applyAlignment="0" applyProtection="0"/>
    <xf numFmtId="0" fontId="55" fillId="0" borderId="279">
      <alignment horizontal="center"/>
    </xf>
    <xf numFmtId="0" fontId="53" fillId="35" borderId="279">
      <alignment horizontal="center" vertical="center"/>
    </xf>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48" fillId="1" borderId="272" applyNumberFormat="0" applyFont="0" applyAlignment="0">
      <alignment horizontal="center"/>
    </xf>
    <xf numFmtId="0" fontId="148" fillId="1" borderId="272" applyNumberFormat="0" applyFont="0" applyAlignment="0">
      <alignment horizontal="center"/>
    </xf>
    <xf numFmtId="0" fontId="148" fillId="1" borderId="272" applyNumberFormat="0" applyFont="0" applyAlignment="0">
      <alignment horizontal="center"/>
    </xf>
    <xf numFmtId="0" fontId="148" fillId="1" borderId="272" applyNumberFormat="0" applyFont="0" applyAlignment="0">
      <alignment horizontal="center"/>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0" fontId="87" fillId="0" borderId="342" applyNumberFormat="0" applyFill="0" applyBorder="0" applyAlignment="0" applyProtection="0"/>
    <xf numFmtId="5" fontId="64" fillId="0" borderId="329" applyAlignment="0" applyProtection="0"/>
    <xf numFmtId="0" fontId="55" fillId="0" borderId="342" applyNumberFormat="0" applyFill="0" applyBorder="0" applyAlignment="0" applyProtection="0"/>
    <xf numFmtId="0" fontId="147" fillId="0" borderId="351"/>
    <xf numFmtId="5" fontId="64" fillId="0" borderId="316" applyAlignment="0" applyProtection="0"/>
    <xf numFmtId="37" fontId="85" fillId="58" borderId="323" applyBorder="0" applyProtection="0">
      <alignment vertical="center"/>
    </xf>
    <xf numFmtId="3" fontId="54" fillId="0" borderId="344"/>
    <xf numFmtId="0" fontId="88" fillId="0" borderId="295" applyNumberFormat="0" applyFill="0" applyBorder="0" applyAlignment="0" applyProtection="0"/>
    <xf numFmtId="0" fontId="87" fillId="0" borderId="295" applyNumberFormat="0" applyFill="0" applyBorder="0" applyAlignment="0" applyProtection="0"/>
    <xf numFmtId="37" fontId="53" fillId="1" borderId="292">
      <alignment horizontal="centerContinuous" vertical="center"/>
    </xf>
    <xf numFmtId="0" fontId="112" fillId="0" borderId="286"/>
    <xf numFmtId="0" fontId="112" fillId="0" borderId="286"/>
    <xf numFmtId="0" fontId="112" fillId="0" borderId="286"/>
    <xf numFmtId="37" fontId="85" fillId="58" borderId="291" applyBorder="0" applyProtection="0">
      <alignment vertical="center"/>
    </xf>
    <xf numFmtId="5" fontId="64" fillId="0" borderId="316" applyAlignment="0" applyProtection="0"/>
    <xf numFmtId="5" fontId="64" fillId="0" borderId="363" applyAlignment="0" applyProtection="0"/>
    <xf numFmtId="185" fontId="54" fillId="0" borderId="388" applyFont="0" applyFill="0" applyBorder="0" applyAlignment="0" applyProtection="0">
      <alignment horizontal="center"/>
    </xf>
    <xf numFmtId="2" fontId="24" fillId="36" borderId="346" applyFill="0" applyBorder="0" applyProtection="0">
      <alignment horizontal="center"/>
    </xf>
    <xf numFmtId="37" fontId="85" fillId="58" borderId="323" applyBorder="0" applyProtection="0">
      <alignment vertical="center"/>
    </xf>
    <xf numFmtId="37" fontId="85" fillId="58" borderId="312" applyBorder="0" applyProtection="0">
      <alignment vertical="center"/>
    </xf>
    <xf numFmtId="37" fontId="85" fillId="58" borderId="291" applyBorder="0" applyProtection="0">
      <alignment vertical="center"/>
    </xf>
    <xf numFmtId="37" fontId="85" fillId="58" borderId="291" applyBorder="0" applyProtection="0">
      <alignment vertical="center"/>
    </xf>
    <xf numFmtId="0" fontId="87" fillId="0" borderId="284" applyNumberFormat="0" applyFill="0" applyBorder="0" applyAlignment="0" applyProtection="0"/>
    <xf numFmtId="0" fontId="88" fillId="0" borderId="284" applyNumberFormat="0" applyFill="0" applyBorder="0" applyAlignment="0" applyProtection="0"/>
    <xf numFmtId="0" fontId="55" fillId="0" borderId="284" applyNumberFormat="0" applyFill="0" applyBorder="0" applyAlignment="0" applyProtection="0"/>
    <xf numFmtId="0" fontId="101" fillId="61" borderId="286"/>
    <xf numFmtId="0" fontId="101" fillId="61" borderId="286"/>
    <xf numFmtId="0" fontId="112" fillId="0" borderId="286"/>
    <xf numFmtId="0" fontId="112" fillId="0" borderId="286"/>
    <xf numFmtId="0" fontId="126" fillId="64" borderId="287">
      <alignment horizontal="left" vertical="center"/>
    </xf>
    <xf numFmtId="0" fontId="126" fillId="64" borderId="287">
      <alignment horizontal="left" vertical="center"/>
    </xf>
    <xf numFmtId="185" fontId="54" fillId="0" borderId="329" applyFont="0" applyFill="0" applyBorder="0" applyAlignment="0" applyProtection="0">
      <alignment horizontal="center"/>
    </xf>
    <xf numFmtId="0" fontId="112" fillId="0" borderId="303"/>
    <xf numFmtId="0" fontId="55" fillId="0" borderId="295" applyNumberFormat="0" applyFill="0" applyBorder="0" applyAlignment="0" applyProtection="0"/>
    <xf numFmtId="0" fontId="55" fillId="0" borderId="295" applyNumberFormat="0" applyFill="0" applyBorder="0" applyAlignment="0" applyProtection="0"/>
    <xf numFmtId="0" fontId="88" fillId="0" borderId="295" applyNumberFormat="0" applyFill="0" applyBorder="0" applyAlignment="0" applyProtection="0"/>
    <xf numFmtId="5" fontId="64" fillId="0" borderId="292" applyAlignment="0" applyProtection="0"/>
    <xf numFmtId="0" fontId="49" fillId="0" borderId="352" applyNumberFormat="0" applyFill="0" applyAlignment="0" applyProtection="0"/>
    <xf numFmtId="0" fontId="101" fillId="61" borderId="303"/>
    <xf numFmtId="2" fontId="24" fillId="36" borderId="346" applyFill="0" applyBorder="0" applyProtection="0">
      <alignment horizontal="center"/>
    </xf>
    <xf numFmtId="37" fontId="85" fillId="58" borderId="357" applyBorder="0" applyProtection="0">
      <alignment vertical="center"/>
    </xf>
    <xf numFmtId="0" fontId="148" fillId="1" borderId="315" applyNumberFormat="0" applyFont="0" applyAlignment="0">
      <alignment horizontal="center"/>
    </xf>
    <xf numFmtId="338" fontId="24" fillId="0" borderId="280" applyBorder="0">
      <alignment horizontal="right"/>
    </xf>
    <xf numFmtId="338" fontId="24" fillId="0" borderId="280" applyBorder="0">
      <alignment horizontal="right"/>
    </xf>
    <xf numFmtId="338" fontId="24" fillId="0" borderId="280" applyBorder="0">
      <alignment horizontal="right"/>
    </xf>
    <xf numFmtId="338" fontId="24" fillId="0" borderId="280" applyBorder="0">
      <alignment horizontal="right"/>
    </xf>
    <xf numFmtId="0" fontId="147" fillId="0" borderId="281"/>
    <xf numFmtId="0" fontId="147" fillId="0" borderId="281"/>
    <xf numFmtId="0" fontId="147" fillId="0" borderId="281"/>
    <xf numFmtId="0" fontId="147" fillId="0" borderId="281"/>
    <xf numFmtId="0" fontId="147" fillId="0" borderId="281"/>
    <xf numFmtId="0" fontId="147" fillId="0" borderId="281"/>
    <xf numFmtId="0" fontId="101" fillId="61" borderId="321"/>
    <xf numFmtId="0" fontId="122" fillId="0" borderId="315">
      <alignment horizontal="left" vertical="center"/>
    </xf>
    <xf numFmtId="37" fontId="53" fillId="1" borderId="329">
      <alignment horizontal="centerContinuous" vertical="center"/>
    </xf>
    <xf numFmtId="249" fontId="28" fillId="0" borderId="317"/>
    <xf numFmtId="301" fontId="94" fillId="0" borderId="316" applyFont="0" applyFill="0" applyBorder="0" applyAlignment="0" applyProtection="0">
      <alignment horizontal="center"/>
    </xf>
    <xf numFmtId="0" fontId="148" fillId="1" borderId="315" applyNumberFormat="0" applyFont="0" applyAlignment="0">
      <alignment horizontal="center"/>
    </xf>
    <xf numFmtId="5" fontId="64" fillId="0" borderId="388" applyAlignment="0" applyProtection="0"/>
    <xf numFmtId="5" fontId="64" fillId="0" borderId="316" applyAlignment="0" applyProtection="0"/>
    <xf numFmtId="5" fontId="64" fillId="0" borderId="316" applyAlignment="0" applyProtection="0"/>
    <xf numFmtId="0" fontId="148" fillId="1" borderId="324" applyNumberFormat="0" applyFont="0" applyAlignment="0">
      <alignment horizontal="center"/>
    </xf>
    <xf numFmtId="5" fontId="64" fillId="0" borderId="388" applyAlignment="0" applyProtection="0"/>
    <xf numFmtId="177" fontId="33" fillId="0" borderId="363"/>
    <xf numFmtId="0" fontId="101" fillId="61" borderId="286"/>
    <xf numFmtId="0" fontId="101" fillId="61" borderId="286"/>
    <xf numFmtId="0" fontId="122" fillId="62" borderId="404">
      <alignment horizontal="center" vertical="center" wrapText="1"/>
      <protection hidden="1"/>
    </xf>
    <xf numFmtId="0" fontId="101" fillId="61" borderId="303"/>
    <xf numFmtId="0" fontId="55" fillId="0" borderId="319" applyNumberFormat="0" applyFill="0" applyBorder="0" applyAlignment="0" applyProtection="0"/>
    <xf numFmtId="0" fontId="55" fillId="0" borderId="331" applyNumberFormat="0" applyFill="0" applyBorder="0" applyAlignment="0" applyProtection="0"/>
    <xf numFmtId="5" fontId="64" fillId="0" borderId="400" applyAlignment="0" applyProtection="0"/>
    <xf numFmtId="0" fontId="52" fillId="32" borderId="303">
      <alignment horizontal="center"/>
    </xf>
    <xf numFmtId="37" fontId="85" fillId="58" borderId="357" applyBorder="0" applyProtection="0">
      <alignment vertical="center"/>
    </xf>
    <xf numFmtId="37" fontId="85" fillId="58" borderId="282" applyBorder="0" applyProtection="0">
      <alignment vertical="center"/>
    </xf>
    <xf numFmtId="0" fontId="52" fillId="32" borderId="404"/>
    <xf numFmtId="0" fontId="112" fillId="0" borderId="344"/>
    <xf numFmtId="0" fontId="48" fillId="65" borderId="299">
      <alignment horizontal="left" vertical="center" wrapText="1"/>
    </xf>
    <xf numFmtId="0" fontId="126" fillId="64" borderId="300" applyBorder="0">
      <alignment horizontal="center" vertical="center" wrapText="1"/>
    </xf>
    <xf numFmtId="0" fontId="126" fillId="64" borderId="300" applyBorder="0">
      <alignment horizontal="center" vertical="center" wrapText="1"/>
    </xf>
    <xf numFmtId="0" fontId="49" fillId="0" borderId="283" applyNumberFormat="0" applyFill="0" applyAlignment="0" applyProtection="0"/>
    <xf numFmtId="0" fontId="112" fillId="0" borderId="344"/>
    <xf numFmtId="5" fontId="64" fillId="0" borderId="363" applyAlignment="0" applyProtection="0"/>
    <xf numFmtId="37" fontId="85" fillId="58" borderId="282" applyBorder="0" applyProtection="0">
      <alignment vertical="center"/>
    </xf>
    <xf numFmtId="5" fontId="64" fillId="0" borderId="316" applyAlignment="0" applyProtection="0"/>
    <xf numFmtId="5" fontId="64" fillId="0" borderId="388" applyAlignment="0" applyProtection="0"/>
    <xf numFmtId="0" fontId="88" fillId="0" borderId="402" applyNumberFormat="0" applyFill="0" applyBorder="0" applyAlignment="0" applyProtection="0"/>
    <xf numFmtId="5" fontId="64" fillId="0" borderId="388" applyAlignment="0" applyProtection="0"/>
    <xf numFmtId="0" fontId="88" fillId="0" borderId="319" applyNumberFormat="0" applyFill="0" applyBorder="0" applyAlignment="0" applyProtection="0"/>
    <xf numFmtId="0" fontId="88" fillId="0" borderId="391" applyNumberFormat="0" applyFill="0" applyBorder="0" applyAlignment="0" applyProtection="0"/>
    <xf numFmtId="0" fontId="126" fillId="64" borderId="299">
      <alignment horizontal="left" vertical="center"/>
    </xf>
    <xf numFmtId="5" fontId="64" fillId="0" borderId="388" applyAlignment="0" applyProtection="0"/>
    <xf numFmtId="5" fontId="64" fillId="0" borderId="400" applyAlignment="0" applyProtection="0"/>
    <xf numFmtId="5" fontId="64" fillId="0" borderId="363" applyAlignment="0" applyProtection="0"/>
    <xf numFmtId="0" fontId="122" fillId="0" borderId="304">
      <alignment horizontal="left" vertical="center"/>
    </xf>
    <xf numFmtId="0" fontId="126" fillId="64" borderId="309">
      <alignment horizontal="left" vertical="center"/>
    </xf>
    <xf numFmtId="0" fontId="112" fillId="0" borderId="404"/>
    <xf numFmtId="37" fontId="85" fillId="58" borderId="389" applyBorder="0" applyProtection="0">
      <alignment vertical="center"/>
    </xf>
    <xf numFmtId="5" fontId="64" fillId="0" borderId="329" applyAlignment="0" applyProtection="0"/>
    <xf numFmtId="37" fontId="85" fillId="58" borderId="323" applyBorder="0" applyProtection="0">
      <alignment vertical="center"/>
    </xf>
    <xf numFmtId="0" fontId="122" fillId="62" borderId="344">
      <alignment horizontal="center" vertical="center" wrapText="1"/>
      <protection hidden="1"/>
    </xf>
    <xf numFmtId="0" fontId="122" fillId="0" borderId="358">
      <alignment horizontal="left" vertical="center"/>
    </xf>
    <xf numFmtId="37" fontId="85" fillId="58" borderId="357" applyBorder="0" applyProtection="0">
      <alignment vertical="center"/>
    </xf>
    <xf numFmtId="0" fontId="122" fillId="62" borderId="344">
      <alignment horizontal="center" vertical="center" wrapText="1"/>
      <protection hidden="1"/>
    </xf>
    <xf numFmtId="5" fontId="64" fillId="0" borderId="388" applyAlignment="0" applyProtection="0"/>
    <xf numFmtId="5" fontId="64" fillId="0" borderId="400" applyAlignment="0" applyProtection="0"/>
    <xf numFmtId="0" fontId="55" fillId="0" borderId="391" applyNumberFormat="0" applyFill="0" applyBorder="0" applyAlignment="0" applyProtection="0"/>
    <xf numFmtId="0" fontId="112" fillId="0" borderId="379"/>
    <xf numFmtId="37" fontId="24" fillId="0" borderId="321" applyBorder="0">
      <alignment horizontal="right"/>
      <protection locked="0"/>
    </xf>
    <xf numFmtId="0" fontId="122" fillId="62" borderId="321">
      <alignment horizontal="center" vertical="center" wrapText="1"/>
      <protection hidden="1"/>
    </xf>
    <xf numFmtId="0" fontId="138" fillId="0" borderId="317" applyNumberFormat="0" applyFill="0" applyBorder="0" applyAlignment="0">
      <protection locked="0"/>
    </xf>
    <xf numFmtId="315" fontId="28" fillId="0" borderId="317" applyFont="0" applyFill="0" applyBorder="0" applyAlignment="0" applyProtection="0"/>
    <xf numFmtId="37" fontId="85" fillId="58" borderId="406" applyBorder="0" applyProtection="0">
      <alignment vertical="center"/>
    </xf>
    <xf numFmtId="1" fontId="54" fillId="0" borderId="317" applyNumberFormat="0" applyFont="0" applyFill="0" applyAlignment="0" applyProtection="0">
      <alignment horizontal="center"/>
    </xf>
    <xf numFmtId="0" fontId="126" fillId="64" borderId="325">
      <alignment horizontal="left" vertical="center"/>
    </xf>
    <xf numFmtId="0" fontId="126" fillId="64" borderId="326" applyBorder="0">
      <alignment horizontal="center" vertical="center" wrapText="1"/>
    </xf>
    <xf numFmtId="2" fontId="24" fillId="36" borderId="323" applyFill="0" applyBorder="0" applyProtection="0">
      <alignment horizontal="center"/>
    </xf>
    <xf numFmtId="0" fontId="112" fillId="0" borderId="321"/>
    <xf numFmtId="0" fontId="101" fillId="61" borderId="321"/>
    <xf numFmtId="0" fontId="112" fillId="0" borderId="379"/>
    <xf numFmtId="37" fontId="85" fillId="58" borderId="406" applyBorder="0" applyProtection="0">
      <alignment vertical="center"/>
    </xf>
    <xf numFmtId="0" fontId="148" fillId="1" borderId="358" applyNumberFormat="0" applyFont="0" applyAlignment="0">
      <alignment horizontal="center"/>
    </xf>
    <xf numFmtId="185" fontId="54" fillId="0" borderId="363" applyFont="0" applyFill="0" applyBorder="0" applyAlignment="0" applyProtection="0">
      <alignment horizontal="center"/>
    </xf>
    <xf numFmtId="5" fontId="64" fillId="0" borderId="363" applyAlignment="0" applyProtection="0"/>
    <xf numFmtId="5" fontId="64" fillId="0" borderId="363" applyAlignment="0" applyProtection="0"/>
    <xf numFmtId="0" fontId="87" fillId="0" borderId="402" applyNumberFormat="0" applyFill="0" applyBorder="0" applyAlignment="0" applyProtection="0"/>
    <xf numFmtId="37" fontId="85" fillId="58" borderId="357" applyBorder="0" applyProtection="0">
      <alignment vertical="center"/>
    </xf>
    <xf numFmtId="37" fontId="85" fillId="58" borderId="335" applyBorder="0" applyProtection="0">
      <alignment vertical="center"/>
    </xf>
    <xf numFmtId="37" fontId="85" fillId="58" borderId="335" applyBorder="0" applyProtection="0">
      <alignment vertical="center"/>
    </xf>
    <xf numFmtId="0" fontId="101" fillId="61" borderId="404"/>
    <xf numFmtId="37" fontId="24" fillId="0" borderId="404" applyBorder="0">
      <alignment horizontal="right"/>
      <protection locked="0"/>
    </xf>
    <xf numFmtId="0" fontId="112" fillId="0" borderId="404"/>
    <xf numFmtId="5" fontId="64" fillId="0" borderId="400" applyAlignment="0" applyProtection="0"/>
    <xf numFmtId="0" fontId="101" fillId="61" borderId="404"/>
    <xf numFmtId="5" fontId="64" fillId="0" borderId="363" applyAlignment="0" applyProtection="0"/>
    <xf numFmtId="5" fontId="64" fillId="0" borderId="329" applyAlignment="0" applyProtection="0"/>
    <xf numFmtId="5" fontId="64" fillId="0" borderId="329" applyAlignment="0" applyProtection="0"/>
    <xf numFmtId="5" fontId="64" fillId="0" borderId="363" applyAlignment="0" applyProtection="0"/>
    <xf numFmtId="0" fontId="101" fillId="61" borderId="379"/>
    <xf numFmtId="0" fontId="87" fillId="0" borderId="402" applyNumberFormat="0" applyFill="0" applyBorder="0" applyAlignment="0" applyProtection="0"/>
    <xf numFmtId="0" fontId="126" fillId="64" borderId="325">
      <alignment horizontal="left" vertical="center"/>
    </xf>
    <xf numFmtId="315" fontId="28" fillId="0" borderId="317" applyFont="0" applyFill="0" applyBorder="0" applyAlignment="0" applyProtection="0"/>
    <xf numFmtId="37" fontId="85" fillId="58" borderId="406" applyBorder="0" applyProtection="0">
      <alignment vertical="center"/>
    </xf>
    <xf numFmtId="0" fontId="101" fillId="61" borderId="321"/>
    <xf numFmtId="5" fontId="64" fillId="0" borderId="363" applyAlignment="0" applyProtection="0"/>
    <xf numFmtId="5" fontId="64" fillId="0" borderId="400" applyAlignment="0" applyProtection="0"/>
    <xf numFmtId="0" fontId="122" fillId="62" borderId="321">
      <alignment horizontal="center" vertical="center" wrapText="1"/>
      <protection hidden="1"/>
    </xf>
    <xf numFmtId="37" fontId="85" fillId="58" borderId="357" applyBorder="0" applyProtection="0">
      <alignment vertical="center"/>
    </xf>
    <xf numFmtId="5" fontId="64" fillId="0" borderId="363" applyAlignment="0" applyProtection="0"/>
    <xf numFmtId="0" fontId="88" fillId="0" borderId="413" applyNumberFormat="0" applyFill="0" applyBorder="0" applyAlignment="0" applyProtection="0"/>
    <xf numFmtId="0" fontId="101" fillId="61" borderId="286"/>
    <xf numFmtId="5" fontId="64" fillId="0" borderId="363" applyAlignment="0" applyProtection="0"/>
    <xf numFmtId="5" fontId="64" fillId="0" borderId="388" applyAlignment="0" applyProtection="0"/>
    <xf numFmtId="5" fontId="64" fillId="0" borderId="363" applyAlignment="0" applyProtection="0"/>
    <xf numFmtId="37" fontId="85" fillId="58" borderId="357" applyBorder="0" applyProtection="0">
      <alignment vertical="center"/>
    </xf>
    <xf numFmtId="5" fontId="64" fillId="0" borderId="329" applyAlignment="0" applyProtection="0"/>
    <xf numFmtId="0" fontId="112" fillId="0" borderId="379"/>
    <xf numFmtId="0" fontId="122" fillId="62" borderId="379">
      <alignment horizontal="center" vertical="center" wrapText="1"/>
      <protection hidden="1"/>
    </xf>
    <xf numFmtId="5" fontId="64" fillId="0" borderId="363" applyAlignment="0" applyProtection="0"/>
    <xf numFmtId="0" fontId="126" fillId="64" borderId="409" applyBorder="0">
      <alignment horizontal="center" vertical="center" wrapText="1"/>
    </xf>
    <xf numFmtId="5" fontId="64" fillId="0" borderId="363" applyAlignment="0" applyProtection="0"/>
    <xf numFmtId="5" fontId="64" fillId="0" borderId="363" applyAlignment="0" applyProtection="0"/>
    <xf numFmtId="0" fontId="112" fillId="0" borderId="404"/>
    <xf numFmtId="0" fontId="87" fillId="0" borderId="413" applyNumberFormat="0" applyFill="0" applyBorder="0" applyAlignment="0" applyProtection="0"/>
    <xf numFmtId="37" fontId="85" fillId="58" borderId="389" applyBorder="0" applyProtection="0">
      <alignment vertical="center"/>
    </xf>
    <xf numFmtId="5" fontId="64" fillId="0" borderId="316" applyAlignment="0" applyProtection="0"/>
    <xf numFmtId="0" fontId="87" fillId="0" borderId="402" applyNumberFormat="0" applyFill="0" applyBorder="0" applyAlignment="0" applyProtection="0"/>
    <xf numFmtId="5" fontId="64" fillId="0" borderId="329" applyAlignment="0" applyProtection="0"/>
    <xf numFmtId="5" fontId="64" fillId="0" borderId="329" applyAlignment="0" applyProtection="0"/>
    <xf numFmtId="37" fontId="85" fillId="58" borderId="323" applyBorder="0" applyProtection="0">
      <alignment vertical="center"/>
    </xf>
    <xf numFmtId="177" fontId="33" fillId="0" borderId="388"/>
    <xf numFmtId="0" fontId="100" fillId="43" borderId="296" applyNumberFormat="0" applyAlignment="0" applyProtection="0"/>
    <xf numFmtId="0" fontId="112" fillId="0" borderId="344"/>
    <xf numFmtId="0" fontId="112" fillId="0" borderId="404"/>
    <xf numFmtId="37" fontId="85" fillId="58" borderId="346" applyBorder="0" applyProtection="0">
      <alignment vertical="center"/>
    </xf>
    <xf numFmtId="37" fontId="85" fillId="58" borderId="346" applyBorder="0" applyProtection="0">
      <alignment vertical="center"/>
    </xf>
    <xf numFmtId="0" fontId="112" fillId="0" borderId="344"/>
    <xf numFmtId="0" fontId="55" fillId="0" borderId="391" applyNumberFormat="0" applyFill="0" applyBorder="0" applyAlignment="0" applyProtection="0"/>
    <xf numFmtId="311" fontId="24" fillId="0" borderId="317" applyFont="0" applyFill="0" applyBorder="0" applyAlignment="0" applyProtection="0">
      <protection locked="0"/>
    </xf>
    <xf numFmtId="37" fontId="24" fillId="0" borderId="344" applyBorder="0">
      <alignment horizontal="right"/>
      <protection locked="0"/>
    </xf>
    <xf numFmtId="0" fontId="101" fillId="61" borderId="321"/>
    <xf numFmtId="37" fontId="85" fillId="58" borderId="312" applyBorder="0" applyProtection="0">
      <alignment vertical="center"/>
    </xf>
    <xf numFmtId="0" fontId="122" fillId="62" borderId="344">
      <alignment horizontal="center" vertical="center" wrapText="1"/>
      <protection hidden="1"/>
    </xf>
    <xf numFmtId="0" fontId="101" fillId="61" borderId="404"/>
    <xf numFmtId="185" fontId="54" fillId="0" borderId="388" applyFont="0" applyFill="0" applyBorder="0" applyAlignment="0" applyProtection="0">
      <alignment horizontal="center"/>
    </xf>
    <xf numFmtId="338" fontId="24" fillId="0" borderId="302" applyBorder="0">
      <alignment horizontal="right"/>
    </xf>
    <xf numFmtId="338" fontId="24" fillId="0" borderId="302" applyBorder="0">
      <alignment horizontal="right"/>
    </xf>
    <xf numFmtId="338" fontId="24" fillId="0" borderId="302" applyBorder="0">
      <alignment horizontal="right"/>
    </xf>
    <xf numFmtId="338" fontId="24" fillId="0" borderId="302" applyBorder="0">
      <alignment horizontal="right"/>
    </xf>
    <xf numFmtId="0" fontId="147" fillId="0" borderId="311"/>
    <xf numFmtId="0" fontId="147" fillId="0" borderId="311"/>
    <xf numFmtId="0" fontId="147" fillId="0" borderId="311"/>
    <xf numFmtId="0" fontId="147" fillId="0" borderId="311"/>
    <xf numFmtId="0" fontId="147" fillId="0" borderId="311"/>
    <xf numFmtId="0" fontId="147" fillId="0" borderId="311"/>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48" fillId="1" borderId="304" applyNumberFormat="0" applyFont="0" applyAlignment="0">
      <alignment horizontal="center"/>
    </xf>
    <xf numFmtId="0" fontId="148" fillId="1" borderId="304" applyNumberFormat="0" applyFont="0" applyAlignment="0">
      <alignment horizontal="center"/>
    </xf>
    <xf numFmtId="0" fontId="148" fillId="1" borderId="304" applyNumberFormat="0" applyFont="0" applyAlignment="0">
      <alignment horizontal="center"/>
    </xf>
    <xf numFmtId="0" fontId="148" fillId="1" borderId="304" applyNumberFormat="0" applyFont="0" applyAlignment="0">
      <alignment horizontal="center"/>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0" fontId="88" fillId="0" borderId="319" applyNumberFormat="0" applyFill="0" applyBorder="0" applyAlignment="0" applyProtection="0"/>
    <xf numFmtId="0" fontId="101" fillId="61" borderId="379"/>
    <xf numFmtId="0" fontId="112" fillId="0" borderId="379"/>
    <xf numFmtId="5" fontId="64" fillId="0" borderId="316" applyAlignment="0" applyProtection="0"/>
    <xf numFmtId="5" fontId="64" fillId="0" borderId="316" applyAlignment="0" applyProtection="0"/>
    <xf numFmtId="5" fontId="64" fillId="0" borderId="316" applyAlignment="0" applyProtection="0"/>
    <xf numFmtId="5" fontId="64" fillId="0" borderId="400" applyAlignment="0" applyProtection="0"/>
    <xf numFmtId="0" fontId="101" fillId="61" borderId="321"/>
    <xf numFmtId="1" fontId="54" fillId="0" borderId="388" applyNumberFormat="0" applyFont="0" applyFill="0" applyProtection="0">
      <alignment horizontal="center"/>
    </xf>
    <xf numFmtId="5" fontId="64" fillId="0" borderId="363" applyAlignment="0" applyProtection="0"/>
    <xf numFmtId="5" fontId="64" fillId="0" borderId="363" applyAlignment="0" applyProtection="0"/>
    <xf numFmtId="37" fontId="85" fillId="58" borderId="377" applyBorder="0" applyProtection="0">
      <alignment vertical="center"/>
    </xf>
    <xf numFmtId="5" fontId="64" fillId="0" borderId="388" applyAlignment="0" applyProtection="0"/>
    <xf numFmtId="5" fontId="64" fillId="0" borderId="316" applyAlignment="0" applyProtection="0"/>
    <xf numFmtId="5" fontId="64" fillId="0" borderId="316" applyAlignment="0" applyProtection="0"/>
    <xf numFmtId="5" fontId="64" fillId="0" borderId="316" applyAlignment="0" applyProtection="0"/>
    <xf numFmtId="37" fontId="85" fillId="58" borderId="377" applyBorder="0" applyProtection="0">
      <alignment vertical="center"/>
    </xf>
    <xf numFmtId="0" fontId="122" fillId="62" borderId="344">
      <alignment horizontal="center" vertical="center" wrapText="1"/>
      <protection hidden="1"/>
    </xf>
    <xf numFmtId="37" fontId="53" fillId="1" borderId="388">
      <alignment horizontal="centerContinuous" vertical="center"/>
    </xf>
    <xf numFmtId="37" fontId="85" fillId="58" borderId="389" applyBorder="0" applyProtection="0">
      <alignment vertical="center"/>
    </xf>
    <xf numFmtId="0" fontId="48" fillId="65" borderId="375">
      <alignment horizontal="left" vertical="center" wrapText="1"/>
    </xf>
    <xf numFmtId="0" fontId="112" fillId="0" borderId="379"/>
    <xf numFmtId="4" fontId="54" fillId="0" borderId="379"/>
    <xf numFmtId="0" fontId="112" fillId="0" borderId="344"/>
    <xf numFmtId="0" fontId="112" fillId="0" borderId="344"/>
    <xf numFmtId="177" fontId="33" fillId="0" borderId="400"/>
    <xf numFmtId="0" fontId="55" fillId="0" borderId="413" applyNumberFormat="0" applyFill="0" applyBorder="0" applyAlignment="0" applyProtection="0"/>
    <xf numFmtId="5" fontId="64" fillId="0" borderId="329" applyAlignment="0" applyProtection="0"/>
    <xf numFmtId="0" fontId="100" fillId="43" borderId="296" applyNumberFormat="0" applyAlignment="0" applyProtection="0"/>
    <xf numFmtId="0" fontId="100" fillId="43" borderId="296" applyNumberFormat="0" applyAlignment="0" applyProtection="0"/>
    <xf numFmtId="0" fontId="100" fillId="43" borderId="296" applyNumberFormat="0" applyAlignment="0" applyProtection="0"/>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22" fillId="62" borderId="404">
      <alignment horizontal="center" vertical="center" wrapText="1"/>
      <protection hidden="1"/>
    </xf>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1" fontId="54" fillId="0" borderId="363" applyNumberFormat="0" applyFont="0" applyFill="0" applyProtection="0">
      <alignment horizontal="center"/>
    </xf>
    <xf numFmtId="37" fontId="85" fillId="58" borderId="357" applyBorder="0" applyProtection="0">
      <alignment vertical="center"/>
    </xf>
    <xf numFmtId="0" fontId="101" fillId="61" borderId="344"/>
    <xf numFmtId="37" fontId="85" fillId="58" borderId="406" applyBorder="0" applyProtection="0">
      <alignment vertic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5" fontId="64" fillId="0" borderId="388" applyAlignment="0" applyProtection="0"/>
    <xf numFmtId="2" fontId="24" fillId="36" borderId="377" applyFill="0" applyBorder="0" applyProtection="0">
      <alignment horizontal="center"/>
    </xf>
    <xf numFmtId="0" fontId="101" fillId="61" borderId="321"/>
    <xf numFmtId="0" fontId="54" fillId="0" borderId="391" applyNumberFormat="0" applyFill="0" applyAlignment="0" applyProtection="0"/>
    <xf numFmtId="0" fontId="101" fillId="61" borderId="404"/>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0" fontId="122" fillId="62" borderId="344">
      <alignment horizontal="center" vertical="center" wrapText="1"/>
      <protection hidden="1"/>
    </xf>
    <xf numFmtId="0" fontId="148" fillId="1" borderId="347" applyNumberFormat="0" applyFont="0" applyAlignment="0">
      <alignment horizontal="center"/>
    </xf>
    <xf numFmtId="5" fontId="64" fillId="0" borderId="329" applyAlignment="0" applyProtection="0"/>
    <xf numFmtId="0" fontId="112" fillId="0" borderId="321"/>
    <xf numFmtId="0" fontId="101" fillId="61" borderId="404"/>
    <xf numFmtId="5" fontId="64" fillId="0" borderId="388" applyAlignment="0" applyProtection="0"/>
    <xf numFmtId="0" fontId="54" fillId="0" borderId="319" applyNumberFormat="0" applyFill="0" applyAlignment="0" applyProtection="0"/>
    <xf numFmtId="0" fontId="87" fillId="0" borderId="319" applyNumberFormat="0" applyFill="0" applyBorder="0" applyAlignment="0" applyProtection="0"/>
    <xf numFmtId="338" fontId="24" fillId="0" borderId="378" applyBorder="0">
      <alignment horizontal="right"/>
    </xf>
    <xf numFmtId="5" fontId="64" fillId="0" borderId="388" applyAlignment="0" applyProtection="0"/>
    <xf numFmtId="5" fontId="64" fillId="0" borderId="400" applyAlignment="0" applyProtection="0"/>
    <xf numFmtId="0" fontId="122" fillId="0" borderId="358">
      <alignment horizontal="left" vertical="center"/>
    </xf>
    <xf numFmtId="5" fontId="64" fillId="0" borderId="363" applyAlignment="0" applyProtection="0"/>
    <xf numFmtId="3" fontId="54" fillId="0" borderId="404"/>
    <xf numFmtId="0" fontId="88" fillId="0" borderId="413" applyNumberFormat="0" applyFill="0" applyBorder="0" applyAlignment="0" applyProtection="0"/>
    <xf numFmtId="37" fontId="85" fillId="58" borderId="377" applyBorder="0" applyProtection="0">
      <alignment vertical="center"/>
    </xf>
    <xf numFmtId="37" fontId="85" fillId="58" borderId="312" applyBorder="0" applyProtection="0">
      <alignment vertical="center"/>
    </xf>
    <xf numFmtId="177" fontId="33" fillId="0" borderId="316"/>
    <xf numFmtId="177" fontId="33" fillId="0" borderId="316"/>
    <xf numFmtId="5" fontId="64" fillId="0" borderId="316" applyAlignment="0" applyProtection="0"/>
    <xf numFmtId="5" fontId="64" fillId="0" borderId="316" applyAlignment="0" applyProtection="0"/>
    <xf numFmtId="5" fontId="64" fillId="0" borderId="316" applyAlignment="0" applyProtection="0"/>
    <xf numFmtId="5" fontId="64" fillId="0" borderId="400" applyAlignment="0" applyProtection="0"/>
    <xf numFmtId="5" fontId="64" fillId="0" borderId="329" applyAlignment="0" applyProtection="0"/>
    <xf numFmtId="5" fontId="64" fillId="0" borderId="400" applyAlignment="0" applyProtection="0"/>
    <xf numFmtId="5" fontId="64" fillId="0" borderId="329" applyAlignment="0" applyProtection="0"/>
    <xf numFmtId="5" fontId="64" fillId="0" borderId="400" applyAlignment="0" applyProtection="0"/>
    <xf numFmtId="0" fontId="55" fillId="0" borderId="402" applyNumberFormat="0" applyFill="0" applyBorder="0" applyAlignment="0" applyProtection="0"/>
    <xf numFmtId="0" fontId="101" fillId="61" borderId="379"/>
    <xf numFmtId="0" fontId="49" fillId="0" borderId="412" applyNumberFormat="0" applyFill="0" applyAlignment="0" applyProtection="0"/>
    <xf numFmtId="5" fontId="64" fillId="0" borderId="329" applyAlignment="0" applyProtection="0"/>
    <xf numFmtId="5" fontId="64" fillId="0" borderId="329" applyAlignment="0" applyProtection="0"/>
    <xf numFmtId="0" fontId="101" fillId="61" borderId="404"/>
    <xf numFmtId="0" fontId="126" fillId="64" borderId="409" applyBorder="0">
      <alignment horizontal="center" vertical="center" wrapText="1"/>
    </xf>
    <xf numFmtId="0" fontId="148" fillId="1" borderId="347" applyNumberFormat="0" applyFont="0" applyAlignment="0">
      <alignment horizontal="center"/>
    </xf>
    <xf numFmtId="5" fontId="64" fillId="0" borderId="388" applyAlignment="0" applyProtection="0"/>
    <xf numFmtId="0" fontId="112" fillId="0" borderId="404"/>
    <xf numFmtId="0" fontId="112" fillId="0" borderId="404"/>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400" applyAlignment="0" applyProtection="0"/>
    <xf numFmtId="0" fontId="54" fillId="0" borderId="402" applyNumberFormat="0" applyFill="0" applyAlignment="0" applyProtection="0"/>
    <xf numFmtId="5" fontId="64" fillId="0" borderId="388" applyAlignment="0" applyProtection="0"/>
    <xf numFmtId="37" fontId="24" fillId="0" borderId="404" applyBorder="0">
      <alignment horizontal="right"/>
      <protection locked="0"/>
    </xf>
    <xf numFmtId="37" fontId="85" fillId="58" borderId="406" applyBorder="0" applyProtection="0">
      <alignment vertical="center"/>
    </xf>
    <xf numFmtId="0" fontId="55" fillId="0" borderId="391" applyNumberFormat="0" applyFill="0" applyBorder="0" applyAlignment="0" applyProtection="0"/>
    <xf numFmtId="0" fontId="49" fillId="0" borderId="318" applyNumberFormat="0" applyFill="0" applyAlignment="0" applyProtection="0"/>
    <xf numFmtId="0" fontId="54" fillId="0" borderId="402" applyNumberFormat="0" applyFill="0" applyAlignment="0" applyProtection="0"/>
    <xf numFmtId="0" fontId="112" fillId="0" borderId="404"/>
    <xf numFmtId="301" fontId="94" fillId="0" borderId="388" applyFont="0" applyFill="0" applyBorder="0" applyAlignment="0" applyProtection="0">
      <alignment horizontal="center"/>
    </xf>
    <xf numFmtId="5" fontId="64" fillId="0" borderId="388"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0" fontId="100" fillId="43" borderId="332" applyNumberFormat="0" applyAlignment="0" applyProtection="0"/>
    <xf numFmtId="0" fontId="100" fillId="43" borderId="332" applyNumberFormat="0" applyAlignment="0" applyProtection="0"/>
    <xf numFmtId="0" fontId="100" fillId="43" borderId="332" applyNumberFormat="0" applyAlignment="0" applyProtection="0"/>
    <xf numFmtId="0" fontId="100" fillId="43" borderId="332" applyNumberFormat="0" applyAlignment="0" applyProtection="0"/>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5" fontId="64" fillId="0" borderId="388" applyAlignment="0" applyProtection="0"/>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0" fontId="122" fillId="0" borderId="336">
      <alignment horizontal="left" vertical="center"/>
    </xf>
    <xf numFmtId="0" fontId="122" fillId="0" borderId="336">
      <alignment horizontal="left" vertical="center"/>
    </xf>
    <xf numFmtId="0" fontId="122" fillId="0" borderId="336">
      <alignment horizontal="left" vertical="center"/>
    </xf>
    <xf numFmtId="0" fontId="122" fillId="0" borderId="336">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338" fontId="24" fillId="0" borderId="339" applyBorder="0">
      <alignment horizontal="right"/>
    </xf>
    <xf numFmtId="338" fontId="24" fillId="0" borderId="339" applyBorder="0">
      <alignment horizontal="right"/>
    </xf>
    <xf numFmtId="338" fontId="24" fillId="0" borderId="339" applyBorder="0">
      <alignment horizontal="right"/>
    </xf>
    <xf numFmtId="338" fontId="24" fillId="0" borderId="339" applyBorder="0">
      <alignment horizontal="right"/>
    </xf>
    <xf numFmtId="0" fontId="147" fillId="0" borderId="340"/>
    <xf numFmtId="0" fontId="147" fillId="0" borderId="340"/>
    <xf numFmtId="0" fontId="147" fillId="0" borderId="340"/>
    <xf numFmtId="0" fontId="147" fillId="0" borderId="340"/>
    <xf numFmtId="0" fontId="147" fillId="0" borderId="340"/>
    <xf numFmtId="0" fontId="147" fillId="0" borderId="340"/>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48" fillId="1" borderId="336" applyNumberFormat="0" applyFont="0" applyAlignment="0">
      <alignment horizontal="center"/>
    </xf>
    <xf numFmtId="0" fontId="148" fillId="1" borderId="336" applyNumberFormat="0" applyFont="0" applyAlignment="0">
      <alignment horizontal="center"/>
    </xf>
    <xf numFmtId="0" fontId="148" fillId="1" borderId="336" applyNumberFormat="0" applyFont="0" applyAlignment="0">
      <alignment horizontal="center"/>
    </xf>
    <xf numFmtId="0" fontId="148" fillId="1" borderId="336" applyNumberFormat="0" applyFont="0" applyAlignment="0">
      <alignment horizontal="center"/>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0" fontId="33" fillId="0" borderId="388" applyFont="0" applyFill="0" applyBorder="0" applyAlignment="0" applyProtection="0">
      <alignment horizontal="right"/>
    </xf>
    <xf numFmtId="0" fontId="54" fillId="0" borderId="391" applyNumberFormat="0" applyFill="0" applyAlignment="0" applyProtection="0"/>
    <xf numFmtId="37" fontId="24" fillId="0" borderId="379" applyBorder="0">
      <alignment horizontal="right"/>
      <protection locked="0"/>
    </xf>
    <xf numFmtId="5" fontId="64" fillId="0" borderId="388" applyAlignment="0" applyProtection="0"/>
    <xf numFmtId="0" fontId="101" fillId="61" borderId="404"/>
    <xf numFmtId="0" fontId="88" fillId="0" borderId="413" applyNumberFormat="0" applyFill="0" applyBorder="0" applyAlignment="0" applyProtection="0"/>
    <xf numFmtId="0" fontId="112" fillId="0" borderId="404"/>
    <xf numFmtId="0" fontId="112" fillId="0" borderId="404"/>
    <xf numFmtId="1" fontId="54" fillId="0" borderId="388" applyNumberFormat="0" applyFont="0" applyFill="0" applyProtection="0">
      <alignment horizontal="center"/>
    </xf>
    <xf numFmtId="0" fontId="112" fillId="0" borderId="379"/>
    <xf numFmtId="5" fontId="64" fillId="0" borderId="400" applyAlignment="0" applyProtection="0"/>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53" fillId="1" borderId="363">
      <alignment horizontal="centerContinuous" vertical="center"/>
    </xf>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37" fontId="85" fillId="58" borderId="406" applyBorder="0" applyProtection="0">
      <alignment vertical="center"/>
    </xf>
    <xf numFmtId="0" fontId="101" fillId="61" borderId="404"/>
    <xf numFmtId="2" fontId="24" fillId="36" borderId="406" applyFill="0" applyBorder="0" applyProtection="0">
      <alignment horizontal="center"/>
    </xf>
    <xf numFmtId="0" fontId="112" fillId="0" borderId="404"/>
    <xf numFmtId="0" fontId="112" fillId="0" borderId="404"/>
    <xf numFmtId="0" fontId="100" fillId="43" borderId="354" applyNumberFormat="0" applyAlignment="0" applyProtection="0"/>
    <xf numFmtId="0" fontId="100" fillId="43" borderId="354" applyNumberFormat="0" applyAlignment="0" applyProtection="0"/>
    <xf numFmtId="0" fontId="100" fillId="43" borderId="354" applyNumberFormat="0" applyAlignment="0" applyProtection="0"/>
    <xf numFmtId="0" fontId="100" fillId="43" borderId="354" applyNumberFormat="0" applyAlignment="0" applyProtection="0"/>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37" fontId="85" fillId="58" borderId="406" applyBorder="0" applyProtection="0">
      <alignment vertical="center"/>
    </xf>
    <xf numFmtId="0" fontId="112" fillId="0" borderId="404"/>
    <xf numFmtId="0" fontId="101" fillId="61" borderId="404"/>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0" fontId="122" fillId="0" borderId="358">
      <alignment horizontal="left" vertical="center"/>
    </xf>
    <xf numFmtId="0" fontId="122" fillId="0" borderId="358">
      <alignment horizontal="left" vertical="center"/>
    </xf>
    <xf numFmtId="0" fontId="122" fillId="0" borderId="358">
      <alignment horizontal="left" vertical="center"/>
    </xf>
    <xf numFmtId="0" fontId="122" fillId="0" borderId="358">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338" fontId="24" fillId="0" borderId="361" applyBorder="0">
      <alignment horizontal="right"/>
    </xf>
    <xf numFmtId="338" fontId="24" fillId="0" borderId="361" applyBorder="0">
      <alignment horizontal="right"/>
    </xf>
    <xf numFmtId="338" fontId="24" fillId="0" borderId="361" applyBorder="0">
      <alignment horizontal="right"/>
    </xf>
    <xf numFmtId="338" fontId="24" fillId="0" borderId="361" applyBorder="0">
      <alignment horizontal="right"/>
    </xf>
    <xf numFmtId="0" fontId="147" fillId="0" borderId="362"/>
    <xf numFmtId="0" fontId="147" fillId="0" borderId="362"/>
    <xf numFmtId="0" fontId="147" fillId="0" borderId="362"/>
    <xf numFmtId="0" fontId="147" fillId="0" borderId="362"/>
    <xf numFmtId="0" fontId="147" fillId="0" borderId="362"/>
    <xf numFmtId="0" fontId="147" fillId="0" borderId="362"/>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48" fillId="1" borderId="358" applyNumberFormat="0" applyFont="0" applyAlignment="0">
      <alignment horizontal="center"/>
    </xf>
    <xf numFmtId="0" fontId="148" fillId="1" borderId="358" applyNumberFormat="0" applyFont="0" applyAlignment="0">
      <alignment horizontal="center"/>
    </xf>
    <xf numFmtId="0" fontId="148" fillId="1" borderId="358" applyNumberFormat="0" applyFont="0" applyAlignment="0">
      <alignment horizontal="center"/>
    </xf>
    <xf numFmtId="0" fontId="148" fillId="1" borderId="358" applyNumberFormat="0" applyFont="0" applyAlignment="0">
      <alignment horizontal="center"/>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5" fontId="64" fillId="0" borderId="400" applyAlignment="0" applyProtection="0"/>
    <xf numFmtId="5" fontId="64" fillId="0" borderId="388" applyAlignment="0" applyProtection="0"/>
    <xf numFmtId="5" fontId="64" fillId="0" borderId="388" applyAlignment="0" applyProtection="0"/>
    <xf numFmtId="37" fontId="53" fillId="1" borderId="363">
      <alignment horizontal="centerContinuous" vertical="center"/>
    </xf>
    <xf numFmtId="37" fontId="53" fillId="1" borderId="363">
      <alignment horizontal="centerContinuous"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177" fontId="33" fillId="0" borderId="363"/>
    <xf numFmtId="177" fontId="33" fillId="0" borderId="363"/>
    <xf numFmtId="177" fontId="33" fillId="0" borderId="363"/>
    <xf numFmtId="177" fontId="33" fillId="0" borderId="363"/>
    <xf numFmtId="177" fontId="33" fillId="0" borderId="363"/>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0" fontId="100" fillId="43" borderId="366" applyNumberFormat="0" applyAlignment="0" applyProtection="0"/>
    <xf numFmtId="0" fontId="100" fillId="43" borderId="366" applyNumberFormat="0" applyAlignment="0" applyProtection="0"/>
    <xf numFmtId="0" fontId="100" fillId="43" borderId="366" applyNumberFormat="0" applyAlignment="0" applyProtection="0"/>
    <xf numFmtId="0" fontId="100" fillId="43" borderId="366" applyNumberFormat="0" applyAlignment="0" applyProtection="0"/>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0" fontId="122" fillId="0" borderId="370">
      <alignment horizontal="left" vertical="center"/>
    </xf>
    <xf numFmtId="0" fontId="122" fillId="0" borderId="370">
      <alignment horizontal="left" vertical="center"/>
    </xf>
    <xf numFmtId="0" fontId="122" fillId="0" borderId="370">
      <alignment horizontal="left" vertical="center"/>
    </xf>
    <xf numFmtId="0" fontId="122" fillId="0" borderId="370">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338" fontId="24" fillId="0" borderId="373" applyBorder="0">
      <alignment horizontal="right"/>
    </xf>
    <xf numFmtId="338" fontId="24" fillId="0" borderId="373" applyBorder="0">
      <alignment horizontal="right"/>
    </xf>
    <xf numFmtId="338" fontId="24" fillId="0" borderId="373" applyBorder="0">
      <alignment horizontal="right"/>
    </xf>
    <xf numFmtId="338" fontId="24" fillId="0" borderId="373" applyBorder="0">
      <alignment horizontal="right"/>
    </xf>
    <xf numFmtId="0" fontId="147" fillId="0" borderId="374"/>
    <xf numFmtId="0" fontId="147" fillId="0" borderId="374"/>
    <xf numFmtId="0" fontId="147" fillId="0" borderId="374"/>
    <xf numFmtId="0" fontId="147" fillId="0" borderId="374"/>
    <xf numFmtId="0" fontId="147" fillId="0" borderId="374"/>
    <xf numFmtId="0" fontId="147" fillId="0" borderId="374"/>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48" fillId="1" borderId="370" applyNumberFormat="0" applyFont="0" applyAlignment="0">
      <alignment horizontal="center"/>
    </xf>
    <xf numFmtId="0" fontId="148" fillId="1" borderId="370" applyNumberFormat="0" applyFont="0" applyAlignment="0">
      <alignment horizontal="center"/>
    </xf>
    <xf numFmtId="0" fontId="148" fillId="1" borderId="370" applyNumberFormat="0" applyFont="0" applyAlignment="0">
      <alignment horizontal="center"/>
    </xf>
    <xf numFmtId="0" fontId="148" fillId="1" borderId="370" applyNumberFormat="0" applyFont="0" applyAlignment="0">
      <alignment horizontal="center"/>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0" fontId="101" fillId="61" borderId="393"/>
    <xf numFmtId="0" fontId="101" fillId="61" borderId="393"/>
    <xf numFmtId="5" fontId="64" fillId="0" borderId="400" applyAlignment="0" applyProtection="0"/>
    <xf numFmtId="5" fontId="64" fillId="0" borderId="400" applyAlignment="0" applyProtection="0"/>
    <xf numFmtId="0" fontId="112" fillId="0" borderId="404"/>
    <xf numFmtId="0" fontId="100" fillId="43" borderId="392" applyNumberFormat="0" applyAlignment="0" applyProtection="0"/>
    <xf numFmtId="0" fontId="101" fillId="61" borderId="393"/>
    <xf numFmtId="37" fontId="53" fillId="1" borderId="388">
      <alignment horizontal="centerContinuous"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100" fillId="43" borderId="383" applyNumberFormat="0" applyAlignment="0" applyProtection="0"/>
    <xf numFmtId="0" fontId="100" fillId="43" borderId="383" applyNumberFormat="0" applyAlignment="0" applyProtection="0"/>
    <xf numFmtId="0" fontId="100" fillId="43" borderId="383" applyNumberFormat="0" applyAlignment="0" applyProtection="0"/>
    <xf numFmtId="0" fontId="100" fillId="43" borderId="383" applyNumberFormat="0" applyAlignment="0" applyProtection="0"/>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0" fontId="122" fillId="0" borderId="380">
      <alignment horizontal="left" vertical="center"/>
    </xf>
    <xf numFmtId="0" fontId="122" fillId="0" borderId="380">
      <alignment horizontal="left" vertical="center"/>
    </xf>
    <xf numFmtId="0" fontId="122" fillId="0" borderId="380">
      <alignment horizontal="left" vertical="center"/>
    </xf>
    <xf numFmtId="0" fontId="122" fillId="0" borderId="380">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338" fontId="24" fillId="0" borderId="378" applyBorder="0">
      <alignment horizontal="right"/>
    </xf>
    <xf numFmtId="338" fontId="24" fillId="0" borderId="378" applyBorder="0">
      <alignment horizontal="right"/>
    </xf>
    <xf numFmtId="338" fontId="24" fillId="0" borderId="378" applyBorder="0">
      <alignment horizontal="right"/>
    </xf>
    <xf numFmtId="338" fontId="24" fillId="0" borderId="378" applyBorder="0">
      <alignment horizontal="right"/>
    </xf>
    <xf numFmtId="0" fontId="147" fillId="0" borderId="387"/>
    <xf numFmtId="0" fontId="147" fillId="0" borderId="387"/>
    <xf numFmtId="0" fontId="147" fillId="0" borderId="387"/>
    <xf numFmtId="0" fontId="147" fillId="0" borderId="387"/>
    <xf numFmtId="0" fontId="147" fillId="0" borderId="387"/>
    <xf numFmtId="0" fontId="147" fillId="0" borderId="387"/>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48" fillId="1" borderId="380" applyNumberFormat="0" applyFont="0" applyAlignment="0">
      <alignment horizontal="center"/>
    </xf>
    <xf numFmtId="0" fontId="148" fillId="1" borderId="380" applyNumberFormat="0" applyFont="0" applyAlignment="0">
      <alignment horizontal="center"/>
    </xf>
    <xf numFmtId="0" fontId="148" fillId="1" borderId="380" applyNumberFormat="0" applyFont="0" applyAlignment="0">
      <alignment horizontal="center"/>
    </xf>
    <xf numFmtId="0" fontId="148" fillId="1" borderId="380" applyNumberFormat="0" applyFont="0" applyAlignment="0">
      <alignment horizontal="center"/>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0" fontId="87" fillId="0" borderId="413" applyNumberFormat="0" applyFill="0" applyBorder="0" applyAlignment="0" applyProtection="0"/>
    <xf numFmtId="0" fontId="88" fillId="0" borderId="413" applyNumberFormat="0" applyFill="0" applyBorder="0" applyAlignment="0" applyProtection="0"/>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0" fontId="122" fillId="0" borderId="395">
      <alignment horizontal="left" vertical="center"/>
    </xf>
    <xf numFmtId="0" fontId="122" fillId="0" borderId="395">
      <alignment horizontal="left" vertical="center"/>
    </xf>
    <xf numFmtId="0" fontId="122" fillId="0" borderId="395">
      <alignment horizontal="left" vertical="center"/>
    </xf>
    <xf numFmtId="0" fontId="122" fillId="0" borderId="395">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338" fontId="24" fillId="0" borderId="398" applyBorder="0">
      <alignment horizontal="right"/>
    </xf>
    <xf numFmtId="338" fontId="24" fillId="0" borderId="398" applyBorder="0">
      <alignment horizontal="right"/>
    </xf>
    <xf numFmtId="338" fontId="24" fillId="0" borderId="398" applyBorder="0">
      <alignment horizontal="right"/>
    </xf>
    <xf numFmtId="338" fontId="24" fillId="0" borderId="398" applyBorder="0">
      <alignment horizontal="right"/>
    </xf>
    <xf numFmtId="0" fontId="147" fillId="0" borderId="399"/>
    <xf numFmtId="0" fontId="147" fillId="0" borderId="399"/>
    <xf numFmtId="0" fontId="147" fillId="0" borderId="399"/>
    <xf numFmtId="0" fontId="147" fillId="0" borderId="399"/>
    <xf numFmtId="0" fontId="147" fillId="0" borderId="399"/>
    <xf numFmtId="0" fontId="147" fillId="0" borderId="399"/>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48" fillId="1" borderId="395" applyNumberFormat="0" applyFont="0" applyAlignment="0">
      <alignment horizontal="center"/>
    </xf>
    <xf numFmtId="0" fontId="148" fillId="1" borderId="395" applyNumberFormat="0" applyFont="0" applyAlignment="0">
      <alignment horizontal="center"/>
    </xf>
    <xf numFmtId="0" fontId="148" fillId="1" borderId="395" applyNumberFormat="0" applyFont="0" applyAlignment="0">
      <alignment horizontal="center"/>
    </xf>
    <xf numFmtId="0" fontId="148" fillId="1" borderId="395" applyNumberFormat="0" applyFont="0" applyAlignment="0">
      <alignment horizontal="center"/>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0" fontId="100" fillId="43" borderId="414" applyNumberFormat="0" applyAlignment="0" applyProtection="0"/>
    <xf numFmtId="0" fontId="100" fillId="43" borderId="414" applyNumberFormat="0" applyAlignment="0" applyProtection="0"/>
    <xf numFmtId="0" fontId="100" fillId="43" borderId="414" applyNumberFormat="0" applyAlignment="0" applyProtection="0"/>
    <xf numFmtId="0" fontId="100" fillId="43" borderId="414" applyNumberFormat="0" applyAlignment="0" applyProtection="0"/>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0" fontId="122" fillId="0" borderId="418">
      <alignment horizontal="left" vertical="center"/>
    </xf>
    <xf numFmtId="0" fontId="122" fillId="0" borderId="418">
      <alignment horizontal="left" vertical="center"/>
    </xf>
    <xf numFmtId="0" fontId="122" fillId="0" borderId="418">
      <alignment horizontal="left" vertical="center"/>
    </xf>
    <xf numFmtId="0" fontId="122" fillId="0" borderId="418">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338" fontId="24" fillId="0" borderId="421" applyBorder="0">
      <alignment horizontal="right"/>
    </xf>
    <xf numFmtId="338" fontId="24" fillId="0" borderId="421" applyBorder="0">
      <alignment horizontal="right"/>
    </xf>
    <xf numFmtId="338" fontId="24" fillId="0" borderId="421" applyBorder="0">
      <alignment horizontal="right"/>
    </xf>
    <xf numFmtId="338" fontId="24" fillId="0" borderId="421" applyBorder="0">
      <alignment horizontal="right"/>
    </xf>
    <xf numFmtId="0" fontId="147" fillId="0" borderId="422"/>
    <xf numFmtId="0" fontId="147" fillId="0" borderId="422"/>
    <xf numFmtId="0" fontId="147" fillId="0" borderId="422"/>
    <xf numFmtId="0" fontId="147" fillId="0" borderId="422"/>
    <xf numFmtId="0" fontId="147" fillId="0" borderId="422"/>
    <xf numFmtId="0" fontId="147" fillId="0" borderId="422"/>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48" fillId="1" borderId="418" applyNumberFormat="0" applyFont="0" applyAlignment="0">
      <alignment horizontal="center"/>
    </xf>
    <xf numFmtId="0" fontId="148" fillId="1" borderId="418" applyNumberFormat="0" applyFont="0" applyAlignment="0">
      <alignment horizontal="center"/>
    </xf>
    <xf numFmtId="0" fontId="148" fillId="1" borderId="418" applyNumberFormat="0" applyFont="0" applyAlignment="0">
      <alignment horizontal="center"/>
    </xf>
    <xf numFmtId="0" fontId="148" fillId="1" borderId="418" applyNumberFormat="0" applyFont="0" applyAlignment="0">
      <alignment horizontal="center"/>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cellStyleXfs>
  <cellXfs count="2329">
    <xf numFmtId="0" fontId="0" fillId="0" borderId="0" xfId="0"/>
    <xf numFmtId="0" fontId="158" fillId="0" borderId="0" xfId="0" applyFont="1"/>
    <xf numFmtId="0" fontId="156" fillId="0" borderId="0" xfId="0" applyFont="1" applyAlignment="1">
      <alignment horizontal="left" indent="1"/>
    </xf>
    <xf numFmtId="0" fontId="156" fillId="0" borderId="0" xfId="0" quotePrefix="1" applyFont="1" applyAlignment="1">
      <alignment horizontal="center"/>
    </xf>
    <xf numFmtId="169" fontId="160" fillId="0" borderId="0" xfId="0" applyNumberFormat="1" applyFont="1"/>
    <xf numFmtId="0" fontId="156" fillId="0" borderId="44" xfId="0" applyFont="1" applyBorder="1"/>
    <xf numFmtId="0" fontId="156" fillId="0" borderId="0" xfId="0" applyFont="1" applyAlignment="1">
      <alignment wrapText="1"/>
    </xf>
    <xf numFmtId="8" fontId="156" fillId="0" borderId="0" xfId="0" applyNumberFormat="1" applyFont="1"/>
    <xf numFmtId="0" fontId="161" fillId="0" borderId="0" xfId="0" applyFont="1"/>
    <xf numFmtId="0" fontId="156" fillId="65" borderId="0" xfId="0" quotePrefix="1" applyFont="1" applyFill="1" applyAlignment="1">
      <alignment horizontal="left" indent="1"/>
    </xf>
    <xf numFmtId="43" fontId="162" fillId="68" borderId="55" xfId="11155" applyFont="1" applyFill="1" applyBorder="1" applyAlignment="1"/>
    <xf numFmtId="43" fontId="162" fillId="68" borderId="0" xfId="11155" applyFont="1" applyFill="1" applyBorder="1" applyAlignment="1"/>
    <xf numFmtId="43" fontId="162" fillId="68" borderId="56" xfId="11155" applyFont="1" applyFill="1" applyBorder="1" applyAlignment="1"/>
    <xf numFmtId="43" fontId="162" fillId="68" borderId="56" xfId="11155" applyFont="1" applyFill="1" applyBorder="1" applyAlignment="1">
      <alignment horizontal="right"/>
    </xf>
    <xf numFmtId="0" fontId="164" fillId="69" borderId="55" xfId="12421" applyFont="1" applyFill="1" applyBorder="1"/>
    <xf numFmtId="0" fontId="165" fillId="0" borderId="0" xfId="0" applyFont="1"/>
    <xf numFmtId="0" fontId="156" fillId="0" borderId="0" xfId="0" applyFont="1" applyBorder="1"/>
    <xf numFmtId="0" fontId="156" fillId="0" borderId="0" xfId="0" applyFont="1" applyAlignment="1">
      <alignment horizontal="left"/>
    </xf>
    <xf numFmtId="10" fontId="156" fillId="0" borderId="0" xfId="0" applyNumberFormat="1" applyFont="1"/>
    <xf numFmtId="0" fontId="158" fillId="0" borderId="34" xfId="0" applyFont="1" applyBorder="1"/>
    <xf numFmtId="0" fontId="28" fillId="0" borderId="0" xfId="0" applyFont="1" applyFill="1"/>
    <xf numFmtId="0" fontId="28" fillId="0" borderId="0" xfId="0" quotePrefix="1" applyFont="1" applyFill="1" applyAlignment="1">
      <alignment horizontal="center"/>
    </xf>
    <xf numFmtId="0" fontId="28" fillId="0" borderId="0" xfId="0" applyFont="1" applyFill="1" applyAlignment="1">
      <alignment horizontal="center"/>
    </xf>
    <xf numFmtId="0" fontId="28" fillId="65" borderId="0" xfId="0" quotePrefix="1" applyFont="1" applyFill="1" applyAlignment="1">
      <alignment horizontal="left" indent="1"/>
    </xf>
    <xf numFmtId="0" fontId="158" fillId="0" borderId="0" xfId="0" applyFont="1" applyBorder="1"/>
    <xf numFmtId="165" fontId="166" fillId="0" borderId="0" xfId="0" applyNumberFormat="1" applyFont="1" applyBorder="1"/>
    <xf numFmtId="0" fontId="158" fillId="71" borderId="33" xfId="0" applyFont="1" applyFill="1" applyBorder="1"/>
    <xf numFmtId="0" fontId="158" fillId="71" borderId="34" xfId="0" applyFont="1" applyFill="1" applyBorder="1"/>
    <xf numFmtId="0" fontId="158" fillId="71" borderId="41" xfId="0" applyFont="1" applyFill="1" applyBorder="1"/>
    <xf numFmtId="0" fontId="28" fillId="71" borderId="34" xfId="0" applyFont="1" applyFill="1" applyBorder="1"/>
    <xf numFmtId="0" fontId="168" fillId="72" borderId="28" xfId="0" applyFont="1" applyFill="1" applyBorder="1" applyAlignment="1">
      <alignment horizontal="center"/>
    </xf>
    <xf numFmtId="0" fontId="168" fillId="72" borderId="28" xfId="0" applyFont="1" applyFill="1" applyBorder="1" applyAlignment="1">
      <alignment horizontal="left"/>
    </xf>
    <xf numFmtId="0" fontId="169" fillId="0" borderId="0" xfId="0" applyFont="1"/>
    <xf numFmtId="0" fontId="168" fillId="72" borderId="33" xfId="0" applyFont="1" applyFill="1" applyBorder="1" applyAlignment="1">
      <alignment horizontal="centerContinuous"/>
    </xf>
    <xf numFmtId="0" fontId="168" fillId="72" borderId="34" xfId="0" applyFont="1" applyFill="1" applyBorder="1" applyAlignment="1">
      <alignment horizontal="centerContinuous"/>
    </xf>
    <xf numFmtId="0" fontId="168" fillId="72" borderId="41" xfId="0" applyFont="1" applyFill="1" applyBorder="1" applyAlignment="1">
      <alignment horizontal="centerContinuous"/>
    </xf>
    <xf numFmtId="169" fontId="158" fillId="0" borderId="0" xfId="0" applyNumberFormat="1" applyFont="1"/>
    <xf numFmtId="0" fontId="161" fillId="0" borderId="0" xfId="0" applyFont="1" applyAlignment="1">
      <alignment horizontal="left" indent="1"/>
    </xf>
    <xf numFmtId="165" fontId="161" fillId="0" borderId="0" xfId="0" applyNumberFormat="1" applyFont="1" applyAlignment="1">
      <alignment horizontal="right"/>
    </xf>
    <xf numFmtId="0" fontId="158" fillId="0" borderId="0" xfId="0" applyFont="1" applyAlignment="1">
      <alignment horizontal="left"/>
    </xf>
    <xf numFmtId="169" fontId="28" fillId="0" borderId="0" xfId="0" applyNumberFormat="1" applyFont="1" applyFill="1"/>
    <xf numFmtId="169" fontId="130" fillId="0" borderId="0" xfId="0" applyNumberFormat="1" applyFont="1"/>
    <xf numFmtId="165" fontId="130" fillId="0" borderId="0" xfId="0" applyNumberFormat="1" applyFont="1"/>
    <xf numFmtId="168" fontId="156" fillId="0" borderId="0" xfId="0" applyNumberFormat="1" applyFont="1"/>
    <xf numFmtId="165" fontId="28" fillId="0" borderId="0" xfId="0" applyNumberFormat="1" applyFont="1" applyFill="1"/>
    <xf numFmtId="0" fontId="158" fillId="0" borderId="0" xfId="0" applyFont="1" applyBorder="1" applyAlignment="1">
      <alignment horizontal="centerContinuous"/>
    </xf>
    <xf numFmtId="169" fontId="156" fillId="0" borderId="13" xfId="0" applyNumberFormat="1" applyFont="1" applyBorder="1"/>
    <xf numFmtId="169" fontId="156" fillId="0" borderId="0" xfId="0" applyNumberFormat="1" applyFont="1" applyBorder="1"/>
    <xf numFmtId="0" fontId="159" fillId="0" borderId="0" xfId="0" applyFont="1" applyFill="1" applyBorder="1"/>
    <xf numFmtId="0" fontId="156" fillId="65" borderId="0" xfId="0" applyFont="1" applyFill="1"/>
    <xf numFmtId="0" fontId="172" fillId="0" borderId="0" xfId="0" applyFont="1"/>
    <xf numFmtId="0" fontId="156" fillId="0" borderId="0" xfId="0" applyFont="1" applyFill="1" applyBorder="1" applyAlignment="1">
      <alignment horizontal="left" indent="1"/>
    </xf>
    <xf numFmtId="164" fontId="156" fillId="0" borderId="0" xfId="0" applyNumberFormat="1" applyFont="1" applyAlignment="1">
      <alignment horizontal="center"/>
    </xf>
    <xf numFmtId="0" fontId="130" fillId="0" borderId="0" xfId="0" applyFont="1" applyAlignment="1">
      <alignment horizontal="center"/>
    </xf>
    <xf numFmtId="165" fontId="156" fillId="0" borderId="0" xfId="0" applyNumberFormat="1" applyFont="1" applyAlignment="1">
      <alignment horizontal="right"/>
    </xf>
    <xf numFmtId="0" fontId="156" fillId="0" borderId="44" xfId="0" applyFont="1" applyBorder="1" applyAlignment="1">
      <alignment horizontal="left" indent="1"/>
    </xf>
    <xf numFmtId="0" fontId="28" fillId="0" borderId="0" xfId="0" applyFont="1" applyFill="1" applyBorder="1"/>
    <xf numFmtId="0" fontId="156" fillId="0" borderId="0" xfId="0" applyFont="1" applyBorder="1" applyAlignment="1">
      <alignment horizontal="left" indent="1"/>
    </xf>
    <xf numFmtId="0" fontId="28" fillId="0" borderId="44" xfId="0" applyFont="1" applyFill="1" applyBorder="1" applyAlignment="1">
      <alignment horizontal="left" indent="1"/>
    </xf>
    <xf numFmtId="0" fontId="28" fillId="0" borderId="44" xfId="0" applyFont="1" applyFill="1" applyBorder="1"/>
    <xf numFmtId="169" fontId="28" fillId="0" borderId="44" xfId="0" applyNumberFormat="1" applyFont="1" applyFill="1" applyBorder="1"/>
    <xf numFmtId="0" fontId="158" fillId="0" borderId="33" xfId="0" applyFont="1" applyFill="1" applyBorder="1"/>
    <xf numFmtId="0" fontId="156" fillId="71" borderId="0" xfId="0" applyFont="1" applyFill="1" applyBorder="1"/>
    <xf numFmtId="169" fontId="156" fillId="71" borderId="0" xfId="0" applyNumberFormat="1" applyFont="1" applyFill="1" applyBorder="1"/>
    <xf numFmtId="0" fontId="156" fillId="71" borderId="53" xfId="0" applyFont="1" applyFill="1" applyBorder="1"/>
    <xf numFmtId="0" fontId="156" fillId="71" borderId="12" xfId="0" applyFont="1" applyFill="1" applyBorder="1" applyAlignment="1">
      <alignment horizontal="left" indent="1"/>
    </xf>
    <xf numFmtId="0" fontId="156" fillId="71" borderId="12" xfId="0" applyFont="1" applyFill="1" applyBorder="1"/>
    <xf numFmtId="0" fontId="156" fillId="71" borderId="13" xfId="0" applyFont="1" applyFill="1" applyBorder="1"/>
    <xf numFmtId="0" fontId="158" fillId="71" borderId="44" xfId="0" applyFont="1" applyFill="1" applyBorder="1"/>
    <xf numFmtId="0" fontId="158" fillId="71" borderId="48" xfId="0" applyFont="1" applyFill="1" applyBorder="1"/>
    <xf numFmtId="0" fontId="158" fillId="71" borderId="32" xfId="0" applyFont="1" applyFill="1" applyBorder="1"/>
    <xf numFmtId="169" fontId="158" fillId="71" borderId="44" xfId="0" applyNumberFormat="1" applyFont="1" applyFill="1" applyBorder="1"/>
    <xf numFmtId="0" fontId="28" fillId="0" borderId="0" xfId="0" applyFont="1" applyFill="1" applyAlignment="1">
      <alignment wrapText="1"/>
    </xf>
    <xf numFmtId="0" fontId="168" fillId="72" borderId="33" xfId="0" applyFont="1" applyFill="1" applyBorder="1"/>
    <xf numFmtId="0" fontId="156" fillId="0" borderId="0" xfId="0" applyFont="1" applyFill="1"/>
    <xf numFmtId="0" fontId="158" fillId="71" borderId="0" xfId="0" applyFont="1" applyFill="1" applyBorder="1"/>
    <xf numFmtId="0" fontId="159" fillId="0" borderId="33" xfId="0" applyFont="1" applyFill="1" applyBorder="1"/>
    <xf numFmtId="0" fontId="158" fillId="0" borderId="0" xfId="0" applyFont="1" applyFill="1"/>
    <xf numFmtId="0" fontId="156" fillId="0" borderId="10" xfId="0" applyFont="1" applyBorder="1"/>
    <xf numFmtId="165" fontId="160" fillId="0" borderId="0" xfId="0" applyNumberFormat="1" applyFont="1"/>
    <xf numFmtId="0" fontId="157" fillId="28" borderId="4" xfId="0" applyFont="1" applyFill="1" applyBorder="1" applyAlignment="1">
      <alignment horizontal="center" wrapText="1"/>
    </xf>
    <xf numFmtId="0" fontId="157" fillId="28" borderId="5" xfId="0" applyFont="1" applyFill="1" applyBorder="1" applyAlignment="1">
      <alignment horizontal="center" wrapText="1"/>
    </xf>
    <xf numFmtId="0" fontId="157" fillId="28" borderId="6" xfId="0" applyFont="1" applyFill="1" applyBorder="1" applyAlignment="1">
      <alignment horizontal="center" wrapText="1"/>
    </xf>
    <xf numFmtId="0" fontId="157" fillId="28" borderId="33" xfId="0" applyFont="1" applyFill="1" applyBorder="1" applyAlignment="1">
      <alignment horizontal="center" wrapText="1"/>
    </xf>
    <xf numFmtId="0" fontId="157" fillId="28" borderId="34" xfId="0" applyFont="1" applyFill="1" applyBorder="1" applyAlignment="1">
      <alignment horizontal="center" wrapText="1"/>
    </xf>
    <xf numFmtId="0" fontId="157" fillId="28" borderId="41" xfId="0" applyFont="1" applyFill="1" applyBorder="1" applyAlignment="1">
      <alignment horizontal="center" wrapText="1"/>
    </xf>
    <xf numFmtId="0" fontId="159" fillId="0" borderId="0" xfId="0" applyFont="1" applyFill="1" applyAlignment="1">
      <alignment horizontal="center" wrapText="1"/>
    </xf>
    <xf numFmtId="0" fontId="158" fillId="0" borderId="0" xfId="0" applyFont="1" applyAlignment="1">
      <alignment horizontal="center" wrapText="1"/>
    </xf>
    <xf numFmtId="0" fontId="158" fillId="0" borderId="0" xfId="0" applyFont="1" applyAlignment="1">
      <alignment wrapText="1"/>
    </xf>
    <xf numFmtId="233" fontId="156" fillId="0" borderId="0" xfId="0" applyNumberFormat="1" applyFont="1" applyAlignment="1">
      <alignment horizontal="right"/>
    </xf>
    <xf numFmtId="233" fontId="156" fillId="0" borderId="0" xfId="0" quotePrefix="1" applyNumberFormat="1" applyFont="1" applyAlignment="1">
      <alignment horizontal="right"/>
    </xf>
    <xf numFmtId="169" fontId="156" fillId="0" borderId="0" xfId="0" applyNumberFormat="1" applyFont="1" applyAlignment="1">
      <alignment horizontal="right"/>
    </xf>
    <xf numFmtId="0" fontId="160" fillId="0" borderId="0" xfId="0" applyFont="1"/>
    <xf numFmtId="169" fontId="170" fillId="0" borderId="0" xfId="0" applyNumberFormat="1" applyFont="1"/>
    <xf numFmtId="0" fontId="130" fillId="0" borderId="0" xfId="0" applyFont="1"/>
    <xf numFmtId="0" fontId="158" fillId="71" borderId="7" xfId="0" applyFont="1" applyFill="1" applyBorder="1"/>
    <xf numFmtId="233" fontId="158" fillId="71" borderId="32" xfId="0" applyNumberFormat="1" applyFont="1" applyFill="1" applyBorder="1"/>
    <xf numFmtId="0" fontId="158" fillId="71" borderId="12" xfId="0" applyFont="1" applyFill="1" applyBorder="1"/>
    <xf numFmtId="233" fontId="158" fillId="71" borderId="0" xfId="0" applyNumberFormat="1" applyFont="1" applyFill="1" applyBorder="1"/>
    <xf numFmtId="169" fontId="158" fillId="71" borderId="0" xfId="0" applyNumberFormat="1" applyFont="1" applyFill="1" applyBorder="1"/>
    <xf numFmtId="169" fontId="158" fillId="71" borderId="13" xfId="0" applyNumberFormat="1" applyFont="1" applyFill="1" applyBorder="1"/>
    <xf numFmtId="0" fontId="158" fillId="71" borderId="10" xfId="0" applyFont="1" applyFill="1" applyBorder="1"/>
    <xf numFmtId="0" fontId="158" fillId="71" borderId="3" xfId="0" applyFont="1" applyFill="1" applyBorder="1"/>
    <xf numFmtId="233" fontId="158" fillId="71" borderId="44" xfId="0" applyNumberFormat="1" applyFont="1" applyFill="1" applyBorder="1"/>
    <xf numFmtId="0" fontId="156" fillId="30" borderId="0" xfId="0" applyFont="1" applyFill="1"/>
    <xf numFmtId="0" fontId="159" fillId="0" borderId="34" xfId="0" applyFont="1" applyFill="1" applyBorder="1"/>
    <xf numFmtId="0" fontId="159" fillId="0" borderId="10" xfId="0" applyFont="1" applyFill="1" applyBorder="1" applyAlignment="1">
      <alignment horizontal="center" wrapText="1"/>
    </xf>
    <xf numFmtId="0" fontId="159" fillId="0" borderId="44" xfId="0" applyFont="1" applyFill="1" applyBorder="1"/>
    <xf numFmtId="0" fontId="159" fillId="71" borderId="33" xfId="0" applyFont="1" applyFill="1" applyBorder="1"/>
    <xf numFmtId="0" fontId="159" fillId="0" borderId="31" xfId="0" applyFont="1" applyFill="1" applyBorder="1" applyAlignment="1">
      <alignment horizontal="center" wrapText="1"/>
    </xf>
    <xf numFmtId="0" fontId="159" fillId="0" borderId="28" xfId="0" applyFont="1" applyFill="1" applyBorder="1" applyAlignment="1">
      <alignment horizontal="center" wrapText="1"/>
    </xf>
    <xf numFmtId="0" fontId="156" fillId="0" borderId="34" xfId="0" applyFont="1" applyFill="1" applyBorder="1"/>
    <xf numFmtId="0" fontId="168" fillId="72" borderId="52" xfId="0" applyFont="1" applyFill="1" applyBorder="1" applyAlignment="1">
      <alignment horizontal="centerContinuous"/>
    </xf>
    <xf numFmtId="0" fontId="168" fillId="72" borderId="53" xfId="0" applyFont="1" applyFill="1" applyBorder="1" applyAlignment="1">
      <alignment horizontal="centerContinuous"/>
    </xf>
    <xf numFmtId="0" fontId="159" fillId="0" borderId="0" xfId="0" applyFont="1" applyFill="1" applyBorder="1" applyAlignment="1">
      <alignment horizontal="center" wrapText="1"/>
    </xf>
    <xf numFmtId="0" fontId="159" fillId="0" borderId="51" xfId="0" applyFont="1" applyFill="1" applyBorder="1" applyAlignment="1">
      <alignment horizontal="center" wrapText="1"/>
    </xf>
    <xf numFmtId="0" fontId="168" fillId="72" borderId="30" xfId="0" applyFont="1" applyFill="1" applyBorder="1" applyAlignment="1">
      <alignment horizontal="centerContinuous"/>
    </xf>
    <xf numFmtId="0" fontId="157" fillId="72" borderId="52" xfId="0" applyFont="1" applyFill="1" applyBorder="1" applyAlignment="1">
      <alignment horizontal="centerContinuous"/>
    </xf>
    <xf numFmtId="0" fontId="157" fillId="72" borderId="53" xfId="0" applyFont="1" applyFill="1" applyBorder="1" applyAlignment="1">
      <alignment horizontal="centerContinuous"/>
    </xf>
    <xf numFmtId="0" fontId="157" fillId="72" borderId="54" xfId="0" applyFont="1" applyFill="1" applyBorder="1" applyAlignment="1">
      <alignment horizontal="centerContinuous"/>
    </xf>
    <xf numFmtId="0" fontId="159" fillId="72" borderId="53" xfId="0" applyFont="1" applyFill="1" applyBorder="1" applyAlignment="1">
      <alignment horizontal="centerContinuous"/>
    </xf>
    <xf numFmtId="0" fontId="159" fillId="72" borderId="54" xfId="0" applyFont="1" applyFill="1" applyBorder="1" applyAlignment="1">
      <alignment horizontal="centerContinuous"/>
    </xf>
    <xf numFmtId="0" fontId="159" fillId="0" borderId="34" xfId="0" applyFont="1" applyFill="1" applyBorder="1" applyAlignment="1">
      <alignment horizontal="center" wrapText="1"/>
    </xf>
    <xf numFmtId="0" fontId="159" fillId="0" borderId="41" xfId="0" applyFont="1" applyFill="1" applyBorder="1" applyAlignment="1">
      <alignment horizontal="center" wrapText="1"/>
    </xf>
    <xf numFmtId="0" fontId="159" fillId="0" borderId="33" xfId="0" applyFont="1" applyFill="1" applyBorder="1" applyAlignment="1">
      <alignment horizontal="center" wrapText="1"/>
    </xf>
    <xf numFmtId="169" fontId="158" fillId="71" borderId="32" xfId="0" applyNumberFormat="1" applyFont="1" applyFill="1" applyBorder="1"/>
    <xf numFmtId="41" fontId="158" fillId="71" borderId="32" xfId="0" applyNumberFormat="1" applyFont="1" applyFill="1" applyBorder="1"/>
    <xf numFmtId="233" fontId="158" fillId="71" borderId="49" xfId="0" applyNumberFormat="1" applyFont="1" applyFill="1" applyBorder="1"/>
    <xf numFmtId="41" fontId="158" fillId="71" borderId="0" xfId="0" applyNumberFormat="1" applyFont="1" applyFill="1" applyBorder="1"/>
    <xf numFmtId="233" fontId="158" fillId="71" borderId="13" xfId="0" applyNumberFormat="1" applyFont="1" applyFill="1" applyBorder="1"/>
    <xf numFmtId="41" fontId="158" fillId="71" borderId="44" xfId="0" applyNumberFormat="1" applyFont="1" applyFill="1" applyBorder="1"/>
    <xf numFmtId="233" fontId="158" fillId="71" borderId="11" xfId="0" applyNumberFormat="1" applyFont="1" applyFill="1" applyBorder="1"/>
    <xf numFmtId="169" fontId="159" fillId="0" borderId="0" xfId="0" applyNumberFormat="1" applyFont="1" applyFill="1" applyBorder="1"/>
    <xf numFmtId="41" fontId="28" fillId="0" borderId="0" xfId="0" applyNumberFormat="1" applyFont="1" applyFill="1" applyAlignment="1">
      <alignment horizontal="right"/>
    </xf>
    <xf numFmtId="0" fontId="158" fillId="0" borderId="33" xfId="0" applyFont="1" applyBorder="1" applyAlignment="1">
      <alignment horizontal="centerContinuous"/>
    </xf>
    <xf numFmtId="0" fontId="156" fillId="0" borderId="34" xfId="0" applyFont="1" applyBorder="1" applyAlignment="1">
      <alignment horizontal="centerContinuous"/>
    </xf>
    <xf numFmtId="0" fontId="156" fillId="0" borderId="41" xfId="0" applyFont="1" applyBorder="1" applyAlignment="1">
      <alignment horizontal="centerContinuous"/>
    </xf>
    <xf numFmtId="165" fontId="158" fillId="71" borderId="32" xfId="0" applyNumberFormat="1" applyFont="1" applyFill="1" applyBorder="1"/>
    <xf numFmtId="165" fontId="158" fillId="71" borderId="49" xfId="0" applyNumberFormat="1" applyFont="1" applyFill="1" applyBorder="1"/>
    <xf numFmtId="165" fontId="158" fillId="71" borderId="0" xfId="0" applyNumberFormat="1" applyFont="1" applyFill="1" applyBorder="1"/>
    <xf numFmtId="165" fontId="158" fillId="71" borderId="13" xfId="0" applyNumberFormat="1" applyFont="1" applyFill="1" applyBorder="1"/>
    <xf numFmtId="165" fontId="158" fillId="71" borderId="44" xfId="0" applyNumberFormat="1" applyFont="1" applyFill="1" applyBorder="1"/>
    <xf numFmtId="165" fontId="158" fillId="71" borderId="11" xfId="0" applyNumberFormat="1" applyFont="1" applyFill="1" applyBorder="1"/>
    <xf numFmtId="0" fontId="156" fillId="0" borderId="0" xfId="0" applyFont="1" applyAlignment="1">
      <alignment horizontal="justify" vertical="top" wrapText="1"/>
    </xf>
    <xf numFmtId="164" fontId="156" fillId="0" borderId="0" xfId="0" applyNumberFormat="1" applyFont="1" applyAlignment="1">
      <alignment horizontal="center" vertical="top" wrapText="1"/>
    </xf>
    <xf numFmtId="0" fontId="156" fillId="0" borderId="0" xfId="0" applyFont="1" applyAlignment="1">
      <alignment vertical="top" wrapText="1"/>
    </xf>
    <xf numFmtId="165" fontId="156" fillId="0" borderId="0" xfId="0" applyNumberFormat="1" applyFont="1" applyAlignment="1">
      <alignment horizontal="center" vertical="top" wrapText="1"/>
    </xf>
    <xf numFmtId="0" fontId="156" fillId="0" borderId="0" xfId="0" applyFont="1" applyAlignment="1">
      <alignment horizontal="center" vertical="top" wrapText="1"/>
    </xf>
    <xf numFmtId="169" fontId="156" fillId="0" borderId="0" xfId="0" applyNumberFormat="1" applyFont="1" applyAlignment="1">
      <alignment horizontal="right" vertical="top"/>
    </xf>
    <xf numFmtId="0" fontId="156" fillId="0" borderId="0" xfId="0" applyFont="1" applyAlignment="1">
      <alignment horizontal="right" vertical="top"/>
    </xf>
    <xf numFmtId="233" fontId="156" fillId="0" borderId="0" xfId="0" applyNumberFormat="1" applyFont="1" applyAlignment="1">
      <alignment horizontal="right" vertical="top"/>
    </xf>
    <xf numFmtId="165" fontId="156" fillId="0" borderId="0" xfId="0" applyNumberFormat="1" applyFont="1" applyAlignment="1">
      <alignment vertical="top" wrapText="1"/>
    </xf>
    <xf numFmtId="0" fontId="156" fillId="71" borderId="32" xfId="0" applyFont="1" applyFill="1" applyBorder="1"/>
    <xf numFmtId="0" fontId="156" fillId="71" borderId="44" xfId="0" applyFont="1" applyFill="1" applyBorder="1"/>
    <xf numFmtId="0" fontId="168" fillId="72" borderId="34" xfId="0" applyFont="1" applyFill="1" applyBorder="1"/>
    <xf numFmtId="169" fontId="160" fillId="0" borderId="0" xfId="0" applyNumberFormat="1" applyFont="1" applyAlignment="1">
      <alignment horizontal="right"/>
    </xf>
    <xf numFmtId="169" fontId="130" fillId="0" borderId="0" xfId="0" applyNumberFormat="1" applyFont="1" applyAlignment="1">
      <alignment horizontal="right"/>
    </xf>
    <xf numFmtId="10" fontId="160" fillId="0" borderId="0" xfId="0" applyNumberFormat="1" applyFont="1" applyAlignment="1">
      <alignment horizontal="right"/>
    </xf>
    <xf numFmtId="10" fontId="130" fillId="0" borderId="0" xfId="0" applyNumberFormat="1" applyFont="1" applyAlignment="1">
      <alignment horizontal="right"/>
    </xf>
    <xf numFmtId="0" fontId="168" fillId="72" borderId="28" xfId="0" applyFont="1" applyFill="1" applyBorder="1"/>
    <xf numFmtId="0" fontId="28" fillId="0" borderId="0" xfId="0" applyFont="1" applyFill="1" applyAlignment="1">
      <alignment horizontal="left" indent="1"/>
    </xf>
    <xf numFmtId="0" fontId="156" fillId="0" borderId="0" xfId="0" applyFont="1" applyFill="1" applyAlignment="1">
      <alignment horizontal="left" indent="1"/>
    </xf>
    <xf numFmtId="0" fontId="168" fillId="72" borderId="34" xfId="0" applyFont="1" applyFill="1" applyBorder="1" applyAlignment="1">
      <alignment horizontal="center"/>
    </xf>
    <xf numFmtId="8" fontId="156" fillId="0" borderId="0" xfId="0" applyNumberFormat="1" applyFont="1" applyAlignment="1">
      <alignment horizontal="right"/>
    </xf>
    <xf numFmtId="0" fontId="156" fillId="29" borderId="0" xfId="0" applyFont="1" applyFill="1" applyAlignment="1">
      <alignment horizontal="right"/>
    </xf>
    <xf numFmtId="0" fontId="28" fillId="0" borderId="0" xfId="0" applyFont="1" applyFill="1" applyAlignment="1">
      <alignment horizontal="right"/>
    </xf>
    <xf numFmtId="169" fontId="156" fillId="0" borderId="44" xfId="0" applyNumberFormat="1" applyFont="1" applyBorder="1" applyAlignment="1">
      <alignment horizontal="right"/>
    </xf>
    <xf numFmtId="0" fontId="156" fillId="0" borderId="44" xfId="0" applyFont="1" applyBorder="1" applyAlignment="1">
      <alignment horizontal="right"/>
    </xf>
    <xf numFmtId="169" fontId="158" fillId="0" borderId="0" xfId="0" applyNumberFormat="1" applyFont="1" applyAlignment="1">
      <alignment horizontal="right"/>
    </xf>
    <xf numFmtId="0" fontId="156" fillId="0" borderId="0" xfId="0" applyFont="1" applyAlignment="1">
      <alignment horizontal="right"/>
    </xf>
    <xf numFmtId="0" fontId="159" fillId="0" borderId="41" xfId="0" applyFont="1" applyFill="1" applyBorder="1"/>
    <xf numFmtId="0" fontId="158" fillId="30" borderId="0" xfId="0" applyFont="1" applyFill="1"/>
    <xf numFmtId="0" fontId="156" fillId="0" borderId="47" xfId="0" applyFont="1" applyBorder="1"/>
    <xf numFmtId="169" fontId="158" fillId="0" borderId="47" xfId="0" applyNumberFormat="1" applyFont="1" applyBorder="1"/>
    <xf numFmtId="169" fontId="156" fillId="65" borderId="0" xfId="0" applyNumberFormat="1" applyFont="1" applyFill="1"/>
    <xf numFmtId="0" fontId="159" fillId="0" borderId="0" xfId="0" applyFont="1" applyFill="1" applyAlignment="1">
      <alignment horizontal="left"/>
    </xf>
    <xf numFmtId="8" fontId="158" fillId="0" borderId="0" xfId="0" applyNumberFormat="1" applyFont="1" applyAlignment="1">
      <alignment horizontal="right"/>
    </xf>
    <xf numFmtId="165" fontId="156" fillId="0" borderId="0" xfId="0" applyNumberFormat="1" applyFont="1"/>
    <xf numFmtId="0" fontId="158" fillId="0" borderId="30" xfId="0" applyFont="1" applyBorder="1"/>
    <xf numFmtId="8" fontId="158" fillId="0" borderId="31" xfId="0" applyNumberFormat="1" applyFont="1" applyBorder="1"/>
    <xf numFmtId="41" fontId="156" fillId="0" borderId="0" xfId="0" applyNumberFormat="1" applyFont="1"/>
    <xf numFmtId="0" fontId="172" fillId="0" borderId="0" xfId="0" applyFont="1" applyFill="1"/>
    <xf numFmtId="0" fontId="159" fillId="0" borderId="0" xfId="0" applyFont="1" applyFill="1"/>
    <xf numFmtId="233" fontId="175" fillId="0" borderId="0" xfId="0" applyNumberFormat="1" applyFont="1" applyAlignment="1">
      <alignment horizontal="right" vertical="top"/>
    </xf>
    <xf numFmtId="0" fontId="176" fillId="0" borderId="0" xfId="0" applyFont="1" applyBorder="1" applyAlignment="1">
      <alignment horizontal="right"/>
    </xf>
    <xf numFmtId="164" fontId="130" fillId="0" borderId="0" xfId="0" applyNumberFormat="1" applyFont="1" applyAlignment="1">
      <alignment horizontal="right"/>
    </xf>
    <xf numFmtId="8" fontId="130" fillId="0" borderId="0" xfId="0" applyNumberFormat="1" applyFont="1" applyAlignment="1">
      <alignment horizontal="right"/>
    </xf>
    <xf numFmtId="233" fontId="130" fillId="0" borderId="0" xfId="0" applyNumberFormat="1" applyFont="1" applyAlignment="1">
      <alignment horizontal="right" vertical="top"/>
    </xf>
    <xf numFmtId="0" fontId="130" fillId="0" borderId="0" xfId="0" applyNumberFormat="1" applyFont="1" applyAlignment="1">
      <alignment horizontal="right"/>
    </xf>
    <xf numFmtId="0" fontId="130" fillId="0" borderId="0" xfId="0" applyFont="1" applyAlignment="1">
      <alignment horizontal="right"/>
    </xf>
    <xf numFmtId="0" fontId="168" fillId="72" borderId="4" xfId="0" applyFont="1" applyFill="1" applyBorder="1" applyAlignment="1">
      <alignment horizontal="centerContinuous"/>
    </xf>
    <xf numFmtId="0" fontId="168" fillId="72" borderId="5" xfId="0" applyFont="1" applyFill="1" applyBorder="1" applyAlignment="1">
      <alignment horizontal="centerContinuous"/>
    </xf>
    <xf numFmtId="0" fontId="168" fillId="72" borderId="6" xfId="0" applyFont="1" applyFill="1" applyBorder="1" applyAlignment="1">
      <alignment horizontal="centerContinuous"/>
    </xf>
    <xf numFmtId="0" fontId="168" fillId="72" borderId="15" xfId="0" applyFont="1" applyFill="1" applyBorder="1" applyAlignment="1">
      <alignment horizontal="center"/>
    </xf>
    <xf numFmtId="0" fontId="156" fillId="0" borderId="12" xfId="0" applyFont="1" applyBorder="1"/>
    <xf numFmtId="10" fontId="130" fillId="0" borderId="13" xfId="0" applyNumberFormat="1" applyFont="1" applyBorder="1"/>
    <xf numFmtId="0" fontId="156" fillId="0" borderId="0" xfId="0" applyFont="1" applyFill="1" applyBorder="1"/>
    <xf numFmtId="0" fontId="156" fillId="0" borderId="13" xfId="0" applyFont="1" applyBorder="1"/>
    <xf numFmtId="168" fontId="156" fillId="0" borderId="13" xfId="0" applyNumberFormat="1" applyFont="1" applyBorder="1"/>
    <xf numFmtId="170" fontId="156" fillId="0" borderId="13" xfId="0" applyNumberFormat="1" applyFont="1" applyBorder="1"/>
    <xf numFmtId="8" fontId="156" fillId="0" borderId="13" xfId="0" applyNumberFormat="1" applyFont="1" applyBorder="1"/>
    <xf numFmtId="10" fontId="156" fillId="0" borderId="13" xfId="0" applyNumberFormat="1" applyFont="1" applyBorder="1"/>
    <xf numFmtId="169" fontId="160" fillId="0" borderId="0" xfId="0" applyNumberFormat="1" applyFont="1" applyFill="1" applyAlignment="1">
      <alignment horizontal="right"/>
    </xf>
    <xf numFmtId="10" fontId="160" fillId="0" borderId="0" xfId="0" applyNumberFormat="1" applyFont="1" applyFill="1" applyAlignment="1">
      <alignment horizontal="right"/>
    </xf>
    <xf numFmtId="169" fontId="160" fillId="0" borderId="0" xfId="0" applyNumberFormat="1" applyFont="1" applyFill="1"/>
    <xf numFmtId="10" fontId="168" fillId="72" borderId="5" xfId="0" applyNumberFormat="1" applyFont="1" applyFill="1" applyBorder="1" applyAlignment="1">
      <alignment horizontal="centerContinuous"/>
    </xf>
    <xf numFmtId="10" fontId="156" fillId="0" borderId="0" xfId="0" applyNumberFormat="1" applyFont="1" applyAlignment="1">
      <alignment horizontal="right"/>
    </xf>
    <xf numFmtId="10" fontId="28" fillId="0" borderId="0" xfId="0" applyNumberFormat="1" applyFont="1" applyFill="1"/>
    <xf numFmtId="165" fontId="28" fillId="0" borderId="0" xfId="0" applyNumberFormat="1" applyFont="1" applyFill="1" applyAlignment="1">
      <alignment horizontal="right"/>
    </xf>
    <xf numFmtId="168" fontId="156" fillId="0" borderId="0" xfId="0" applyNumberFormat="1" applyFont="1" applyAlignment="1">
      <alignment horizontal="right"/>
    </xf>
    <xf numFmtId="168" fontId="28" fillId="0" borderId="0" xfId="0" applyNumberFormat="1" applyFont="1" applyFill="1" applyAlignment="1">
      <alignment horizontal="right"/>
    </xf>
    <xf numFmtId="10" fontId="158" fillId="71" borderId="0" xfId="0" applyNumberFormat="1" applyFont="1" applyFill="1" applyBorder="1"/>
    <xf numFmtId="10" fontId="159" fillId="71" borderId="0" xfId="0" applyNumberFormat="1" applyFont="1" applyFill="1" applyBorder="1"/>
    <xf numFmtId="165" fontId="159" fillId="71" borderId="0" xfId="0" applyNumberFormat="1" applyFont="1" applyFill="1" applyBorder="1"/>
    <xf numFmtId="0" fontId="159" fillId="71" borderId="0" xfId="0" applyFont="1" applyFill="1" applyBorder="1"/>
    <xf numFmtId="168" fontId="158" fillId="71" borderId="0" xfId="0" applyNumberFormat="1" applyFont="1" applyFill="1" applyBorder="1" applyAlignment="1">
      <alignment horizontal="right"/>
    </xf>
    <xf numFmtId="168" fontId="159" fillId="71" borderId="0" xfId="0" applyNumberFormat="1" applyFont="1" applyFill="1" applyBorder="1" applyAlignment="1">
      <alignment horizontal="right"/>
    </xf>
    <xf numFmtId="165" fontId="159" fillId="71" borderId="13" xfId="0" applyNumberFormat="1" applyFont="1" applyFill="1" applyBorder="1" applyAlignment="1">
      <alignment horizontal="right"/>
    </xf>
    <xf numFmtId="0" fontId="158" fillId="71" borderId="4" xfId="0" applyFont="1" applyFill="1" applyBorder="1" applyAlignment="1">
      <alignment horizontal="left"/>
    </xf>
    <xf numFmtId="0" fontId="158" fillId="71" borderId="5" xfId="0" applyFont="1" applyFill="1" applyBorder="1"/>
    <xf numFmtId="169" fontId="166" fillId="71" borderId="5" xfId="0" applyNumberFormat="1" applyFont="1" applyFill="1" applyBorder="1"/>
    <xf numFmtId="165" fontId="166" fillId="71" borderId="5" xfId="0" applyNumberFormat="1" applyFont="1" applyFill="1" applyBorder="1"/>
    <xf numFmtId="169" fontId="158" fillId="71" borderId="5" xfId="0" applyNumberFormat="1" applyFont="1" applyFill="1" applyBorder="1"/>
    <xf numFmtId="10" fontId="158" fillId="71" borderId="5" xfId="0" applyNumberFormat="1" applyFont="1" applyFill="1" applyBorder="1"/>
    <xf numFmtId="0" fontId="159" fillId="71" borderId="5" xfId="0" applyFont="1" applyFill="1" applyBorder="1"/>
    <xf numFmtId="165" fontId="171" fillId="71" borderId="34" xfId="0" applyNumberFormat="1" applyFont="1" applyFill="1" applyBorder="1"/>
    <xf numFmtId="168" fontId="158" fillId="71" borderId="5" xfId="0" applyNumberFormat="1" applyFont="1" applyFill="1" applyBorder="1" applyAlignment="1">
      <alignment horizontal="right"/>
    </xf>
    <xf numFmtId="168" fontId="159" fillId="71" borderId="5" xfId="0" applyNumberFormat="1" applyFont="1" applyFill="1" applyBorder="1" applyAlignment="1">
      <alignment horizontal="right"/>
    </xf>
    <xf numFmtId="165" fontId="159" fillId="71" borderId="6" xfId="0" applyNumberFormat="1" applyFont="1" applyFill="1" applyBorder="1" applyAlignment="1">
      <alignment horizontal="right"/>
    </xf>
    <xf numFmtId="169" fontId="159" fillId="71" borderId="5" xfId="0" applyNumberFormat="1" applyFont="1" applyFill="1" applyBorder="1"/>
    <xf numFmtId="165" fontId="159" fillId="71" borderId="5" xfId="0" applyNumberFormat="1" applyFont="1" applyFill="1" applyBorder="1"/>
    <xf numFmtId="0" fontId="158" fillId="0" borderId="0" xfId="0" applyFont="1" applyAlignment="1">
      <alignment horizontal="centerContinuous"/>
    </xf>
    <xf numFmtId="0" fontId="156" fillId="0" borderId="4" xfId="0" applyFont="1" applyBorder="1"/>
    <xf numFmtId="164" fontId="160" fillId="0" borderId="6" xfId="0" applyNumberFormat="1" applyFont="1" applyFill="1" applyBorder="1" applyAlignment="1">
      <alignment horizontal="center"/>
    </xf>
    <xf numFmtId="0" fontId="160" fillId="0" borderId="0" xfId="0" applyFont="1" applyFill="1"/>
    <xf numFmtId="0" fontId="156" fillId="71" borderId="8" xfId="0" applyFont="1" applyFill="1" applyBorder="1"/>
    <xf numFmtId="0" fontId="156" fillId="0" borderId="5" xfId="0" applyFont="1" applyBorder="1"/>
    <xf numFmtId="168" fontId="28" fillId="0" borderId="0" xfId="0" applyNumberFormat="1" applyFont="1" applyFill="1"/>
    <xf numFmtId="168" fontId="156" fillId="29" borderId="0" xfId="0" applyNumberFormat="1" applyFont="1" applyFill="1"/>
    <xf numFmtId="0" fontId="168" fillId="72" borderId="15" xfId="0" applyFont="1" applyFill="1" applyBorder="1" applyAlignment="1">
      <alignment wrapText="1"/>
    </xf>
    <xf numFmtId="0" fontId="156" fillId="71" borderId="9" xfId="0" applyFont="1" applyFill="1" applyBorder="1"/>
    <xf numFmtId="10" fontId="156" fillId="71" borderId="13" xfId="0" applyNumberFormat="1" applyFont="1" applyFill="1" applyBorder="1" applyAlignment="1">
      <alignment horizontal="right"/>
    </xf>
    <xf numFmtId="10" fontId="156" fillId="71" borderId="13" xfId="0" applyNumberFormat="1" applyFont="1" applyFill="1" applyBorder="1"/>
    <xf numFmtId="10" fontId="158" fillId="71" borderId="11" xfId="0" applyNumberFormat="1" applyFont="1" applyFill="1" applyBorder="1" applyAlignment="1">
      <alignment horizontal="right"/>
    </xf>
    <xf numFmtId="43" fontId="162" fillId="0" borderId="0" xfId="11155" applyFont="1" applyFill="1" applyBorder="1" applyAlignment="1"/>
    <xf numFmtId="169" fontId="156" fillId="0" borderId="0" xfId="0" applyNumberFormat="1" applyFont="1" applyFill="1"/>
    <xf numFmtId="0" fontId="173" fillId="72" borderId="28" xfId="0" applyFont="1" applyFill="1" applyBorder="1"/>
    <xf numFmtId="0" fontId="173" fillId="72" borderId="33" xfId="0" applyFont="1" applyFill="1" applyBorder="1" applyAlignment="1">
      <alignment horizontal="center" wrapText="1"/>
    </xf>
    <xf numFmtId="0" fontId="173" fillId="72" borderId="34" xfId="0" applyFont="1" applyFill="1" applyBorder="1" applyAlignment="1">
      <alignment horizontal="center" wrapText="1"/>
    </xf>
    <xf numFmtId="0" fontId="164" fillId="0" borderId="0" xfId="12421" applyFont="1" applyBorder="1"/>
    <xf numFmtId="0" fontId="164" fillId="0" borderId="0" xfId="12421" applyFont="1" applyBorder="1" applyAlignment="1">
      <alignment horizontal="center"/>
    </xf>
    <xf numFmtId="0" fontId="164" fillId="69" borderId="0" xfId="12421" applyFont="1" applyFill="1" applyBorder="1"/>
    <xf numFmtId="0" fontId="178" fillId="69" borderId="0" xfId="12421" applyFont="1" applyFill="1" applyBorder="1" applyAlignment="1">
      <alignment horizontal="center"/>
    </xf>
    <xf numFmtId="0" fontId="164" fillId="69" borderId="56" xfId="12421" applyFont="1" applyFill="1" applyBorder="1"/>
    <xf numFmtId="0" fontId="179" fillId="0" borderId="0" xfId="12421" applyFont="1" applyBorder="1" applyAlignment="1">
      <alignment horizontal="center"/>
    </xf>
    <xf numFmtId="342" fontId="180" fillId="0" borderId="0" xfId="12421" applyNumberFormat="1" applyFont="1" applyAlignment="1">
      <alignment horizontal="center"/>
    </xf>
    <xf numFmtId="0" fontId="181" fillId="0" borderId="0" xfId="12421" applyFont="1" applyAlignment="1">
      <alignment horizontal="center"/>
    </xf>
    <xf numFmtId="0" fontId="182" fillId="0" borderId="0" xfId="12421" applyFont="1" applyAlignment="1">
      <alignment horizontal="center" wrapText="1"/>
    </xf>
    <xf numFmtId="0" fontId="183" fillId="0" borderId="0" xfId="12421" applyFont="1"/>
    <xf numFmtId="0" fontId="183" fillId="0" borderId="0" xfId="12421" applyFont="1" applyAlignment="1">
      <alignment horizontal="center"/>
    </xf>
    <xf numFmtId="0" fontId="183" fillId="0" borderId="0" xfId="12421" applyFont="1" applyBorder="1"/>
    <xf numFmtId="0" fontId="183" fillId="69" borderId="55" xfId="12421" applyFont="1" applyFill="1" applyBorder="1"/>
    <xf numFmtId="0" fontId="184" fillId="69" borderId="55" xfId="12421" applyFont="1" applyFill="1" applyBorder="1" applyAlignment="1">
      <alignment horizontal="center"/>
    </xf>
    <xf numFmtId="0" fontId="185" fillId="0" borderId="0" xfId="12421" applyFont="1"/>
    <xf numFmtId="0" fontId="186" fillId="69" borderId="0" xfId="12421" applyFont="1" applyFill="1" applyBorder="1"/>
    <xf numFmtId="0" fontId="185" fillId="69" borderId="0" xfId="12421" applyFont="1" applyFill="1" applyBorder="1"/>
    <xf numFmtId="0" fontId="187" fillId="69" borderId="0" xfId="12421" applyFont="1" applyFill="1" applyBorder="1" applyAlignment="1">
      <alignment horizontal="center"/>
    </xf>
    <xf numFmtId="0" fontId="183" fillId="69" borderId="0" xfId="12421" applyFont="1" applyFill="1" applyBorder="1"/>
    <xf numFmtId="0" fontId="183" fillId="69" borderId="56" xfId="12421" applyFont="1" applyFill="1" applyBorder="1"/>
    <xf numFmtId="0" fontId="184" fillId="69" borderId="56" xfId="12421" applyFont="1" applyFill="1" applyBorder="1" applyAlignment="1">
      <alignment horizontal="center"/>
    </xf>
    <xf numFmtId="0" fontId="156" fillId="0" borderId="52" xfId="0" applyFont="1" applyBorder="1"/>
    <xf numFmtId="14" fontId="156" fillId="0" borderId="54" xfId="0" applyNumberFormat="1" applyFont="1" applyBorder="1" applyAlignment="1">
      <alignment horizontal="right"/>
    </xf>
    <xf numFmtId="0" fontId="188" fillId="0" borderId="13" xfId="0" applyFont="1" applyBorder="1" applyAlignment="1">
      <alignment horizontal="right"/>
    </xf>
    <xf numFmtId="0" fontId="188" fillId="0" borderId="11" xfId="0" applyFont="1" applyBorder="1" applyAlignment="1">
      <alignment horizontal="right"/>
    </xf>
    <xf numFmtId="0" fontId="156" fillId="0" borderId="11" xfId="0" applyFont="1" applyBorder="1" applyAlignment="1">
      <alignment horizontal="right"/>
    </xf>
    <xf numFmtId="0" fontId="156" fillId="0" borderId="13" xfId="0" applyFont="1" applyBorder="1" applyAlignment="1">
      <alignment horizontal="right"/>
    </xf>
    <xf numFmtId="0" fontId="168" fillId="72" borderId="51" xfId="0" applyFont="1" applyFill="1" applyBorder="1" applyAlignment="1">
      <alignment horizontal="centerContinuous"/>
    </xf>
    <xf numFmtId="0" fontId="189" fillId="0" borderId="0" xfId="0" applyFont="1" applyFill="1" applyBorder="1"/>
    <xf numFmtId="169" fontId="158" fillId="0" borderId="0" xfId="0" applyNumberFormat="1" applyFont="1" applyFill="1" applyBorder="1"/>
    <xf numFmtId="0" fontId="158" fillId="0" borderId="0" xfId="0" applyFont="1" applyFill="1" applyBorder="1"/>
    <xf numFmtId="169" fontId="158" fillId="71" borderId="53" xfId="0" applyNumberFormat="1" applyFont="1" applyFill="1" applyBorder="1"/>
    <xf numFmtId="43" fontId="156" fillId="0" borderId="0" xfId="0" applyNumberFormat="1" applyFont="1" applyAlignment="1">
      <alignment horizontal="center"/>
    </xf>
    <xf numFmtId="14" fontId="183" fillId="0" borderId="0" xfId="12421" applyNumberFormat="1" applyFont="1"/>
    <xf numFmtId="0" fontId="190" fillId="69" borderId="0" xfId="12421" applyFont="1" applyFill="1" applyBorder="1" applyAlignment="1">
      <alignment horizontal="center"/>
    </xf>
    <xf numFmtId="0" fontId="191" fillId="69" borderId="0" xfId="12421" applyFont="1" applyFill="1" applyBorder="1" applyAlignment="1">
      <alignment horizontal="center"/>
    </xf>
    <xf numFmtId="0" fontId="192" fillId="69" borderId="0" xfId="12421" applyFont="1" applyFill="1" applyBorder="1" applyAlignment="1">
      <alignment horizontal="center"/>
    </xf>
    <xf numFmtId="269" fontId="130" fillId="0" borderId="0" xfId="0" applyNumberFormat="1" applyFont="1"/>
    <xf numFmtId="0" fontId="176" fillId="0" borderId="0" xfId="0" applyFont="1" applyBorder="1" applyAlignment="1">
      <alignment horizontal="left"/>
    </xf>
    <xf numFmtId="8" fontId="130" fillId="0" borderId="44" xfId="0" applyNumberFormat="1" applyFont="1" applyFill="1" applyBorder="1"/>
    <xf numFmtId="169" fontId="130" fillId="0" borderId="44" xfId="0" applyNumberFormat="1" applyFont="1" applyBorder="1" applyAlignment="1">
      <alignment horizontal="right"/>
    </xf>
    <xf numFmtId="0" fontId="176" fillId="0" borderId="0" xfId="0" applyFont="1" applyAlignment="1">
      <alignment horizontal="right"/>
    </xf>
    <xf numFmtId="0" fontId="156" fillId="0" borderId="0" xfId="0" quotePrefix="1" applyFont="1" applyBorder="1"/>
    <xf numFmtId="0" fontId="156" fillId="0" borderId="0" xfId="0" applyFont="1" applyBorder="1" applyAlignment="1">
      <alignment horizontal="right"/>
    </xf>
    <xf numFmtId="0" fontId="188" fillId="0" borderId="0" xfId="0" applyFont="1"/>
    <xf numFmtId="0" fontId="130" fillId="0" borderId="0" xfId="0" applyFont="1" applyAlignment="1">
      <alignment horizontal="right" wrapText="1"/>
    </xf>
    <xf numFmtId="341" fontId="156" fillId="0" borderId="0" xfId="0" applyNumberFormat="1" applyFont="1" applyAlignment="1">
      <alignment horizontal="right"/>
    </xf>
    <xf numFmtId="288" fontId="156" fillId="0" borderId="0" xfId="0" applyNumberFormat="1" applyFont="1" applyAlignment="1">
      <alignment horizontal="right"/>
    </xf>
    <xf numFmtId="8" fontId="156" fillId="0" borderId="0" xfId="0" applyNumberFormat="1" applyFont="1" applyFill="1" applyAlignment="1">
      <alignment horizontal="left" indent="1"/>
    </xf>
    <xf numFmtId="0" fontId="156" fillId="0" borderId="0" xfId="0" applyFont="1" applyAlignment="1">
      <alignment horizontal="right" wrapText="1"/>
    </xf>
    <xf numFmtId="168" fontId="170" fillId="0" borderId="0" xfId="0" applyNumberFormat="1" applyFont="1" applyAlignment="1">
      <alignment horizontal="right"/>
    </xf>
    <xf numFmtId="0" fontId="167" fillId="0" borderId="0" xfId="0" applyFont="1"/>
    <xf numFmtId="0" fontId="167" fillId="0" borderId="0" xfId="0" applyFont="1" applyAlignment="1">
      <alignment horizontal="right"/>
    </xf>
    <xf numFmtId="0" fontId="156" fillId="0" borderId="50" xfId="0" applyFont="1" applyBorder="1"/>
    <xf numFmtId="0" fontId="188" fillId="70" borderId="0" xfId="0" applyFont="1" applyFill="1" applyAlignment="1">
      <alignment horizontal="right"/>
    </xf>
    <xf numFmtId="165" fontId="188" fillId="70" borderId="0" xfId="12422" applyNumberFormat="1" applyFont="1" applyFill="1" applyAlignment="1">
      <alignment horizontal="right"/>
    </xf>
    <xf numFmtId="0" fontId="158" fillId="0" borderId="33" xfId="0" applyFont="1" applyBorder="1" applyAlignment="1">
      <alignment horizontal="center"/>
    </xf>
    <xf numFmtId="0" fontId="158" fillId="0" borderId="34" xfId="0" applyFont="1" applyBorder="1" applyAlignment="1">
      <alignment horizontal="left"/>
    </xf>
    <xf numFmtId="0" fontId="156" fillId="0" borderId="41" xfId="0" applyFont="1" applyBorder="1" applyAlignment="1">
      <alignment horizontal="right"/>
    </xf>
    <xf numFmtId="0" fontId="130" fillId="70" borderId="0" xfId="0" applyFont="1" applyFill="1" applyBorder="1"/>
    <xf numFmtId="0" fontId="156" fillId="73" borderId="0" xfId="0" applyFont="1" applyFill="1" applyBorder="1" applyAlignment="1">
      <alignment horizontal="center"/>
    </xf>
    <xf numFmtId="341" fontId="156" fillId="73" borderId="13" xfId="0" applyNumberFormat="1" applyFont="1" applyFill="1" applyBorder="1" applyAlignment="1">
      <alignment horizontal="right"/>
    </xf>
    <xf numFmtId="0" fontId="156" fillId="0" borderId="10" xfId="0" applyFont="1" applyBorder="1" applyAlignment="1">
      <alignment horizontal="center"/>
    </xf>
    <xf numFmtId="0" fontId="168" fillId="72" borderId="58" xfId="0" applyFont="1" applyFill="1" applyBorder="1" applyAlignment="1">
      <alignment horizontal="center" wrapText="1"/>
    </xf>
    <xf numFmtId="0" fontId="168" fillId="72" borderId="57" xfId="0" applyFont="1" applyFill="1" applyBorder="1" applyAlignment="1">
      <alignment horizontal="left"/>
    </xf>
    <xf numFmtId="0" fontId="159" fillId="0" borderId="0" xfId="0" applyFont="1" applyFill="1" applyBorder="1" applyAlignment="1">
      <alignment horizontal="center"/>
    </xf>
    <xf numFmtId="0" fontId="156" fillId="0" borderId="0" xfId="0" applyFont="1" applyFill="1" applyBorder="1" applyAlignment="1">
      <alignment horizontal="center"/>
    </xf>
    <xf numFmtId="0" fontId="156" fillId="0" borderId="0" xfId="0" applyFont="1" applyFill="1" applyAlignment="1"/>
    <xf numFmtId="0" fontId="156" fillId="0" borderId="0" xfId="0" quotePrefix="1" applyFont="1" applyFill="1" applyBorder="1" applyAlignment="1">
      <alignment horizontal="center"/>
    </xf>
    <xf numFmtId="165" fontId="156" fillId="0" borderId="0" xfId="0" applyNumberFormat="1" applyFont="1" applyFill="1" applyBorder="1" applyAlignment="1">
      <alignment horizontal="center"/>
    </xf>
    <xf numFmtId="0" fontId="158" fillId="0" borderId="0" xfId="0" applyFont="1" applyFill="1" applyBorder="1" applyAlignment="1">
      <alignment horizontal="center"/>
    </xf>
    <xf numFmtId="0" fontId="156" fillId="0" borderId="0" xfId="0" applyFont="1" applyFill="1" applyAlignment="1">
      <alignment horizontal="left"/>
    </xf>
    <xf numFmtId="165" fontId="156" fillId="0" borderId="0" xfId="0" applyNumberFormat="1" applyFont="1" applyFill="1" applyBorder="1" applyAlignment="1"/>
    <xf numFmtId="165" fontId="156" fillId="0" borderId="0" xfId="0" applyNumberFormat="1" applyFont="1" applyFill="1" applyBorder="1" applyAlignment="1">
      <alignment horizontal="right"/>
    </xf>
    <xf numFmtId="165" fontId="158" fillId="0" borderId="0" xfId="0" applyNumberFormat="1" applyFont="1" applyFill="1" applyBorder="1" applyAlignment="1"/>
    <xf numFmtId="0" fontId="158" fillId="0" borderId="0" xfId="0" applyFont="1" applyFill="1" applyBorder="1" applyAlignment="1"/>
    <xf numFmtId="0" fontId="156" fillId="0" borderId="0" xfId="0" quotePrefix="1" applyFont="1" applyFill="1" applyBorder="1" applyAlignment="1">
      <alignment horizontal="left" indent="1"/>
    </xf>
    <xf numFmtId="0" fontId="156" fillId="0" borderId="0" xfId="0" applyFont="1" applyFill="1" applyBorder="1" applyAlignment="1">
      <alignment horizontal="right"/>
    </xf>
    <xf numFmtId="165" fontId="156" fillId="0" borderId="0" xfId="0" applyNumberFormat="1" applyFont="1" applyFill="1" applyAlignment="1">
      <alignment horizontal="center"/>
    </xf>
    <xf numFmtId="165" fontId="156" fillId="0" borderId="44" xfId="0" applyNumberFormat="1" applyFont="1" applyFill="1" applyBorder="1" applyAlignment="1">
      <alignment horizontal="center"/>
    </xf>
    <xf numFmtId="165" fontId="188" fillId="0" borderId="0" xfId="0" applyNumberFormat="1" applyFont="1" applyFill="1" applyBorder="1" applyAlignment="1">
      <alignment horizontal="center"/>
    </xf>
    <xf numFmtId="0" fontId="168" fillId="72" borderId="57" xfId="0" applyFont="1" applyFill="1" applyBorder="1" applyAlignment="1">
      <alignment horizontal="centerContinuous"/>
    </xf>
    <xf numFmtId="0" fontId="168" fillId="72" borderId="57" xfId="0" applyFont="1" applyFill="1" applyBorder="1" applyAlignment="1">
      <alignment horizontal="center"/>
    </xf>
    <xf numFmtId="165" fontId="156" fillId="0" borderId="0" xfId="0" applyNumberFormat="1" applyFont="1" applyBorder="1" applyAlignment="1">
      <alignment horizontal="center"/>
    </xf>
    <xf numFmtId="165" fontId="188" fillId="0" borderId="0" xfId="0" applyNumberFormat="1" applyFont="1" applyFill="1" applyAlignment="1">
      <alignment horizontal="center"/>
    </xf>
    <xf numFmtId="165" fontId="188" fillId="0" borderId="0" xfId="0" applyNumberFormat="1" applyFont="1" applyBorder="1" applyAlignment="1">
      <alignment horizontal="center"/>
    </xf>
    <xf numFmtId="0" fontId="156" fillId="0" borderId="60" xfId="0" applyFont="1" applyBorder="1"/>
    <xf numFmtId="304" fontId="156" fillId="0" borderId="0" xfId="0" applyNumberFormat="1" applyFont="1" applyFill="1" applyAlignment="1">
      <alignment horizontal="right"/>
    </xf>
    <xf numFmtId="0" fontId="168" fillId="72" borderId="58" xfId="0" applyFont="1" applyFill="1" applyBorder="1" applyAlignment="1">
      <alignment horizontal="centerContinuous"/>
    </xf>
    <xf numFmtId="0" fontId="168" fillId="72" borderId="59" xfId="0" applyFont="1" applyFill="1" applyBorder="1" applyAlignment="1">
      <alignment horizontal="centerContinuous"/>
    </xf>
    <xf numFmtId="0" fontId="158" fillId="71" borderId="60" xfId="0" applyFont="1" applyFill="1" applyBorder="1"/>
    <xf numFmtId="0" fontId="28" fillId="0" borderId="0" xfId="0" applyFont="1" applyFill="1" applyBorder="1" applyAlignment="1">
      <alignment horizontal="right"/>
    </xf>
    <xf numFmtId="0" fontId="156" fillId="0" borderId="0" xfId="0" applyFont="1" applyAlignment="1">
      <alignment horizontal="centerContinuous"/>
    </xf>
    <xf numFmtId="0" fontId="158" fillId="0" borderId="0" xfId="0" applyFont="1" applyAlignment="1">
      <alignment horizontal="center"/>
    </xf>
    <xf numFmtId="165" fontId="188" fillId="0" borderId="0" xfId="12422" applyNumberFormat="1" applyFont="1" applyAlignment="1">
      <alignment horizontal="right"/>
    </xf>
    <xf numFmtId="0" fontId="156" fillId="0" borderId="0" xfId="0" applyFont="1" applyBorder="1" applyAlignment="1">
      <alignment horizontal="center"/>
    </xf>
    <xf numFmtId="43" fontId="162" fillId="68" borderId="55" xfId="11155" applyFont="1" applyFill="1" applyBorder="1" applyAlignment="1">
      <alignment horizontal="center"/>
    </xf>
    <xf numFmtId="43" fontId="162" fillId="68" borderId="56" xfId="11155" applyFont="1" applyFill="1" applyBorder="1" applyAlignment="1">
      <alignment horizontal="center"/>
    </xf>
    <xf numFmtId="0" fontId="168" fillId="72" borderId="58" xfId="0" applyFont="1" applyFill="1" applyBorder="1" applyAlignment="1">
      <alignment horizontal="center"/>
    </xf>
    <xf numFmtId="0" fontId="168" fillId="72" borderId="59" xfId="0" applyFont="1" applyFill="1" applyBorder="1" applyAlignment="1">
      <alignment horizontal="center"/>
    </xf>
    <xf numFmtId="0" fontId="158" fillId="0" borderId="4" xfId="0" applyFont="1" applyFill="1" applyBorder="1" applyAlignment="1">
      <alignment horizontal="center" wrapText="1"/>
    </xf>
    <xf numFmtId="0" fontId="158" fillId="0" borderId="5" xfId="0" applyFont="1" applyFill="1" applyBorder="1" applyAlignment="1">
      <alignment horizontal="center" wrapText="1"/>
    </xf>
    <xf numFmtId="0" fontId="158" fillId="0" borderId="6" xfId="0" applyFont="1" applyFill="1" applyBorder="1" applyAlignment="1">
      <alignment horizontal="center" wrapText="1"/>
    </xf>
    <xf numFmtId="0" fontId="188" fillId="0" borderId="0" xfId="0" applyFont="1" applyAlignment="1">
      <alignment horizontal="right" wrapText="1"/>
    </xf>
    <xf numFmtId="0" fontId="198" fillId="0" borderId="0" xfId="0" applyFont="1"/>
    <xf numFmtId="165" fontId="156" fillId="0" borderId="0" xfId="12422" applyNumberFormat="1" applyFont="1" applyAlignment="1">
      <alignment horizontal="right"/>
    </xf>
    <xf numFmtId="191" fontId="156" fillId="0" borderId="0" xfId="0" applyNumberFormat="1" applyFont="1" applyAlignment="1">
      <alignment horizontal="right"/>
    </xf>
    <xf numFmtId="165" fontId="193" fillId="0" borderId="51" xfId="12422" applyNumberFormat="1" applyFont="1" applyBorder="1"/>
    <xf numFmtId="0" fontId="156" fillId="0" borderId="61" xfId="0" applyFont="1" applyBorder="1"/>
    <xf numFmtId="0" fontId="158" fillId="0" borderId="0" xfId="0" applyFont="1" applyAlignment="1">
      <alignment horizontal="center" vertical="center"/>
    </xf>
    <xf numFmtId="43" fontId="156" fillId="0" borderId="0" xfId="0" applyNumberFormat="1" applyFont="1" applyAlignment="1">
      <alignment horizontal="center" vertical="center"/>
    </xf>
    <xf numFmtId="190" fontId="156" fillId="0" borderId="0" xfId="0" applyNumberFormat="1" applyFont="1" applyAlignment="1">
      <alignment horizontal="right"/>
    </xf>
    <xf numFmtId="0" fontId="168" fillId="72" borderId="51" xfId="0" applyFont="1" applyFill="1" applyBorder="1" applyAlignment="1">
      <alignment wrapText="1"/>
    </xf>
    <xf numFmtId="0" fontId="158" fillId="71" borderId="57" xfId="0" applyFont="1" applyFill="1" applyBorder="1"/>
    <xf numFmtId="0" fontId="158" fillId="71" borderId="58" xfId="0" applyFont="1" applyFill="1" applyBorder="1"/>
    <xf numFmtId="169" fontId="158" fillId="71" borderId="58" xfId="0" applyNumberFormat="1" applyFont="1" applyFill="1" applyBorder="1"/>
    <xf numFmtId="169" fontId="158" fillId="71" borderId="51" xfId="0" applyNumberFormat="1" applyFont="1" applyFill="1" applyBorder="1"/>
    <xf numFmtId="0" fontId="168" fillId="72" borderId="57" xfId="0" applyFont="1" applyFill="1" applyBorder="1" applyAlignment="1">
      <alignment wrapText="1"/>
    </xf>
    <xf numFmtId="0" fontId="168" fillId="72" borderId="58" xfId="0" applyFont="1" applyFill="1" applyBorder="1" applyAlignment="1">
      <alignment wrapText="1"/>
    </xf>
    <xf numFmtId="0" fontId="168" fillId="72" borderId="59" xfId="0" applyFont="1" applyFill="1" applyBorder="1" applyAlignment="1">
      <alignment wrapText="1"/>
    </xf>
    <xf numFmtId="0" fontId="156" fillId="0" borderId="66" xfId="0" applyFont="1" applyBorder="1"/>
    <xf numFmtId="9" fontId="188" fillId="0" borderId="66" xfId="12422" applyFont="1" applyBorder="1"/>
    <xf numFmtId="169" fontId="28" fillId="0" borderId="0" xfId="0" applyNumberFormat="1" applyFont="1"/>
    <xf numFmtId="165" fontId="28" fillId="0" borderId="0" xfId="0" applyNumberFormat="1" applyFont="1"/>
    <xf numFmtId="0" fontId="28" fillId="65" borderId="0" xfId="0" quotePrefix="1" applyFont="1" applyFill="1" applyAlignment="1"/>
    <xf numFmtId="8" fontId="158" fillId="71" borderId="41" xfId="0" applyNumberFormat="1" applyFont="1" applyFill="1" applyBorder="1"/>
    <xf numFmtId="43" fontId="156" fillId="0" borderId="0" xfId="0" applyNumberFormat="1" applyFont="1" applyFill="1" applyAlignment="1">
      <alignment horizontal="center"/>
    </xf>
    <xf numFmtId="0" fontId="196" fillId="0" borderId="64" xfId="0" applyFont="1" applyBorder="1"/>
    <xf numFmtId="0" fontId="183" fillId="0" borderId="65" xfId="0" applyFont="1" applyBorder="1"/>
    <xf numFmtId="0" fontId="183" fillId="0" borderId="66" xfId="0" applyFont="1" applyBorder="1"/>
    <xf numFmtId="164" fontId="195" fillId="0" borderId="66" xfId="0" applyNumberFormat="1" applyFont="1" applyBorder="1"/>
    <xf numFmtId="167" fontId="195" fillId="0" borderId="66" xfId="12426" applyNumberFormat="1" applyFont="1" applyBorder="1"/>
    <xf numFmtId="43" fontId="162" fillId="68" borderId="56" xfId="11155" quotePrefix="1" applyFont="1" applyFill="1" applyBorder="1" applyAlignment="1">
      <alignment horizontal="center"/>
    </xf>
    <xf numFmtId="167" fontId="159" fillId="0" borderId="44" xfId="12427" applyNumberFormat="1" applyFont="1" applyFill="1" applyBorder="1"/>
    <xf numFmtId="167" fontId="156" fillId="0" borderId="0" xfId="12427" applyNumberFormat="1" applyFont="1" applyAlignment="1">
      <alignment horizontal="right"/>
    </xf>
    <xf numFmtId="0" fontId="194" fillId="0" borderId="16" xfId="0" applyFont="1" applyBorder="1"/>
    <xf numFmtId="0" fontId="156" fillId="0" borderId="0" xfId="0" applyFont="1"/>
    <xf numFmtId="169" fontId="156" fillId="0" borderId="0" xfId="0" applyNumberFormat="1" applyFont="1"/>
    <xf numFmtId="167" fontId="156" fillId="0" borderId="0" xfId="12427" applyNumberFormat="1" applyFont="1"/>
    <xf numFmtId="0" fontId="168" fillId="72" borderId="75" xfId="0" applyFont="1" applyFill="1" applyBorder="1" applyAlignment="1">
      <alignment horizontal="centerContinuous"/>
    </xf>
    <xf numFmtId="0" fontId="168" fillId="72" borderId="77" xfId="0" applyFont="1" applyFill="1" applyBorder="1" applyAlignment="1">
      <alignment horizontal="centerContinuous"/>
    </xf>
    <xf numFmtId="0" fontId="158" fillId="0" borderId="0" xfId="0" applyFont="1" applyAlignment="1">
      <alignment horizontal="right"/>
    </xf>
    <xf numFmtId="0" fontId="156" fillId="0" borderId="0" xfId="0" applyFont="1" applyAlignment="1">
      <alignment horizontal="center"/>
    </xf>
    <xf numFmtId="165" fontId="156" fillId="0" borderId="0" xfId="12422" applyNumberFormat="1" applyFont="1"/>
    <xf numFmtId="0" fontId="168" fillId="72" borderId="76" xfId="0" applyFont="1" applyFill="1" applyBorder="1" applyAlignment="1">
      <alignment horizontal="centerContinuous"/>
    </xf>
    <xf numFmtId="0" fontId="168" fillId="72" borderId="63" xfId="0" applyFont="1" applyFill="1" applyBorder="1" applyAlignment="1">
      <alignment horizontal="centerContinuous"/>
    </xf>
    <xf numFmtId="0" fontId="159" fillId="0" borderId="63" xfId="0" applyFont="1" applyFill="1" applyBorder="1" applyAlignment="1">
      <alignment horizontal="center" wrapText="1"/>
    </xf>
    <xf numFmtId="169" fontId="158" fillId="71" borderId="93" xfId="0" applyNumberFormat="1" applyFont="1" applyFill="1" applyBorder="1"/>
    <xf numFmtId="165" fontId="158" fillId="71" borderId="93" xfId="0" applyNumberFormat="1" applyFont="1" applyFill="1" applyBorder="1"/>
    <xf numFmtId="0" fontId="156" fillId="71" borderId="92" xfId="0" applyFont="1" applyFill="1" applyBorder="1"/>
    <xf numFmtId="0" fontId="156" fillId="71" borderId="93" xfId="0" applyFont="1" applyFill="1" applyBorder="1"/>
    <xf numFmtId="165" fontId="156" fillId="0" borderId="13" xfId="0" applyNumberFormat="1" applyFont="1" applyBorder="1"/>
    <xf numFmtId="0" fontId="156" fillId="0" borderId="94" xfId="0" applyFont="1" applyBorder="1" applyAlignment="1">
      <alignment horizontal="justify" vertical="center" wrapText="1"/>
    </xf>
    <xf numFmtId="0" fontId="156" fillId="0" borderId="91" xfId="0" applyFont="1" applyBorder="1"/>
    <xf numFmtId="14" fontId="156" fillId="0" borderId="92" xfId="0" applyNumberFormat="1" applyFont="1" applyBorder="1" applyAlignment="1">
      <alignment horizontal="right"/>
    </xf>
    <xf numFmtId="0" fontId="188" fillId="0" borderId="93" xfId="0" applyFont="1" applyBorder="1" applyAlignment="1">
      <alignment horizontal="right"/>
    </xf>
    <xf numFmtId="0" fontId="168" fillId="72" borderId="95" xfId="0" applyFont="1" applyFill="1" applyBorder="1" applyAlignment="1">
      <alignment horizontal="centerContinuous"/>
    </xf>
    <xf numFmtId="0" fontId="168" fillId="72" borderId="96" xfId="0" applyFont="1" applyFill="1" applyBorder="1" applyAlignment="1">
      <alignment horizontal="centerContinuous"/>
    </xf>
    <xf numFmtId="0" fontId="168" fillId="72" borderId="97" xfId="0" applyFont="1" applyFill="1" applyBorder="1" applyAlignment="1">
      <alignment horizontal="centerContinuous"/>
    </xf>
    <xf numFmtId="0" fontId="158" fillId="71" borderId="95" xfId="0" applyFont="1" applyFill="1" applyBorder="1"/>
    <xf numFmtId="169" fontId="158" fillId="71" borderId="96" xfId="0" applyNumberFormat="1" applyFont="1" applyFill="1" applyBorder="1"/>
    <xf numFmtId="0" fontId="158" fillId="71" borderId="96" xfId="0" applyFont="1" applyFill="1" applyBorder="1"/>
    <xf numFmtId="165" fontId="158" fillId="71" borderId="96" xfId="12422" applyNumberFormat="1" applyFont="1" applyFill="1" applyBorder="1"/>
    <xf numFmtId="165" fontId="158" fillId="71" borderId="0" xfId="12422" applyNumberFormat="1" applyFont="1" applyFill="1" applyBorder="1"/>
    <xf numFmtId="43" fontId="156" fillId="0" borderId="0" xfId="0" applyNumberFormat="1" applyFont="1" applyFill="1"/>
    <xf numFmtId="0" fontId="156" fillId="74" borderId="0" xfId="0" applyFont="1" applyFill="1"/>
    <xf numFmtId="0" fontId="130" fillId="0" borderId="0" xfId="0" applyNumberFormat="1" applyFont="1" applyAlignment="1">
      <alignment horizontal="center" vertical="center" wrapText="1"/>
    </xf>
    <xf numFmtId="169" fontId="130" fillId="74" borderId="0" xfId="0" applyNumberFormat="1" applyFont="1" applyFill="1"/>
    <xf numFmtId="233" fontId="28" fillId="0" borderId="0" xfId="0" applyNumberFormat="1" applyFont="1" applyAlignment="1">
      <alignment horizontal="right"/>
    </xf>
    <xf numFmtId="0" fontId="158" fillId="0" borderId="47" xfId="0" applyFont="1" applyFill="1" applyBorder="1"/>
    <xf numFmtId="0" fontId="168" fillId="72" borderId="63" xfId="0" applyFont="1" applyFill="1" applyBorder="1" applyAlignment="1">
      <alignment horizontal="centerContinuous" wrapText="1"/>
    </xf>
    <xf numFmtId="0" fontId="156" fillId="74" borderId="0" xfId="0" quotePrefix="1" applyFont="1" applyFill="1" applyBorder="1" applyAlignment="1">
      <alignment horizontal="center"/>
    </xf>
    <xf numFmtId="0" fontId="194" fillId="0" borderId="0" xfId="0" applyFont="1"/>
    <xf numFmtId="165" fontId="158" fillId="0" borderId="0" xfId="0" applyNumberFormat="1" applyFont="1" applyAlignment="1">
      <alignment horizontal="right"/>
    </xf>
    <xf numFmtId="0" fontId="156" fillId="0" borderId="0" xfId="0" applyFont="1" applyBorder="1" applyAlignment="1">
      <alignment horizontal="centerContinuous"/>
    </xf>
    <xf numFmtId="0" fontId="168" fillId="0" borderId="60" xfId="0" applyFont="1" applyFill="1" applyBorder="1" applyAlignment="1"/>
    <xf numFmtId="0" fontId="168" fillId="0" borderId="0" xfId="0" applyFont="1" applyFill="1" applyBorder="1" applyAlignment="1"/>
    <xf numFmtId="0" fontId="168" fillId="72" borderId="0" xfId="0" applyFont="1" applyFill="1" applyBorder="1" applyAlignment="1">
      <alignment horizontal="centerContinuous"/>
    </xf>
    <xf numFmtId="0" fontId="156" fillId="0" borderId="93" xfId="0" applyFont="1" applyBorder="1"/>
    <xf numFmtId="169" fontId="236" fillId="0" borderId="0" xfId="0" applyNumberFormat="1" applyFont="1"/>
    <xf numFmtId="165" fontId="236" fillId="0" borderId="0" xfId="0" applyNumberFormat="1" applyFont="1" applyFill="1" applyAlignment="1">
      <alignment horizontal="center"/>
    </xf>
    <xf numFmtId="165" fontId="236" fillId="0" borderId="0" xfId="0" applyNumberFormat="1" applyFont="1" applyAlignment="1">
      <alignment horizontal="right"/>
    </xf>
    <xf numFmtId="169" fontId="236" fillId="0" borderId="0" xfId="0" applyNumberFormat="1" applyFont="1" applyAlignment="1">
      <alignment horizontal="right"/>
    </xf>
    <xf numFmtId="10" fontId="236" fillId="0" borderId="0" xfId="0" applyNumberFormat="1" applyFont="1" applyAlignment="1">
      <alignment horizontal="right"/>
    </xf>
    <xf numFmtId="167" fontId="236" fillId="0" borderId="0" xfId="12427" applyNumberFormat="1" applyFont="1"/>
    <xf numFmtId="0" fontId="157" fillId="72" borderId="76" xfId="0" applyFont="1" applyFill="1" applyBorder="1" applyAlignment="1">
      <alignment horizontal="left"/>
    </xf>
    <xf numFmtId="0" fontId="157" fillId="72" borderId="75" xfId="0" applyFont="1" applyFill="1" applyBorder="1" applyAlignment="1">
      <alignment horizontal="centerContinuous"/>
    </xf>
    <xf numFmtId="0" fontId="157" fillId="0" borderId="60" xfId="0" applyFont="1" applyFill="1" applyBorder="1" applyAlignment="1">
      <alignment horizontal="centerContinuous"/>
    </xf>
    <xf numFmtId="0" fontId="157" fillId="72" borderId="76" xfId="0" applyFont="1" applyFill="1" applyBorder="1" applyAlignment="1">
      <alignment horizontal="centerContinuous"/>
    </xf>
    <xf numFmtId="0" fontId="157" fillId="0" borderId="0" xfId="0" applyFont="1" applyFill="1" applyBorder="1" applyAlignment="1"/>
    <xf numFmtId="0" fontId="168" fillId="72" borderId="76" xfId="0" applyFont="1" applyFill="1" applyBorder="1" applyAlignment="1">
      <alignment horizontal="left"/>
    </xf>
    <xf numFmtId="43" fontId="237" fillId="68" borderId="56" xfId="11155" quotePrefix="1" applyFont="1" applyFill="1" applyBorder="1" applyAlignment="1">
      <alignment horizontal="center"/>
    </xf>
    <xf numFmtId="0" fontId="156" fillId="0" borderId="0" xfId="0" quotePrefix="1" applyFont="1"/>
    <xf numFmtId="0" fontId="158" fillId="0" borderId="64" xfId="0" applyFont="1" applyBorder="1" applyAlignment="1">
      <alignment horizontal="centerContinuous"/>
    </xf>
    <xf numFmtId="0" fontId="158" fillId="0" borderId="96" xfId="0" applyFont="1" applyBorder="1" applyAlignment="1">
      <alignment horizontal="centerContinuous"/>
    </xf>
    <xf numFmtId="0" fontId="158" fillId="0" borderId="76" xfId="0" applyFont="1" applyBorder="1" applyAlignment="1">
      <alignment horizontal="centerContinuous"/>
    </xf>
    <xf numFmtId="0" fontId="156" fillId="0" borderId="77" xfId="0" applyFont="1" applyBorder="1" applyAlignment="1">
      <alignment horizontal="centerContinuous"/>
    </xf>
    <xf numFmtId="0" fontId="158" fillId="0" borderId="77" xfId="0" applyFont="1" applyBorder="1" applyAlignment="1">
      <alignment horizontal="centerContinuous"/>
    </xf>
    <xf numFmtId="0" fontId="158" fillId="0" borderId="63" xfId="0" applyFont="1" applyBorder="1" applyAlignment="1">
      <alignment horizontal="centerContinuous"/>
    </xf>
    <xf numFmtId="0" fontId="168" fillId="72" borderId="60" xfId="0" applyFont="1" applyFill="1" applyBorder="1" applyAlignment="1">
      <alignment horizontal="centerContinuous"/>
    </xf>
    <xf numFmtId="0" fontId="168" fillId="72" borderId="13" xfId="0" applyFont="1" applyFill="1" applyBorder="1" applyAlignment="1">
      <alignment horizontal="centerContinuous"/>
    </xf>
    <xf numFmtId="0" fontId="156" fillId="0" borderId="0" xfId="0" applyFont="1" applyFill="1" applyBorder="1" applyAlignment="1"/>
    <xf numFmtId="0" fontId="156" fillId="0" borderId="96" xfId="0" applyFont="1" applyBorder="1" applyAlignment="1">
      <alignment horizontal="centerContinuous"/>
    </xf>
    <xf numFmtId="0" fontId="168" fillId="72" borderId="76" xfId="0" applyFont="1" applyFill="1" applyBorder="1" applyAlignment="1">
      <alignment horizontal="centerContinuous" wrapText="1"/>
    </xf>
    <xf numFmtId="14" fontId="168" fillId="72" borderId="95" xfId="0" applyNumberFormat="1" applyFont="1" applyFill="1" applyBorder="1" applyAlignment="1">
      <alignment horizontal="centerContinuous"/>
    </xf>
    <xf numFmtId="0" fontId="159" fillId="0" borderId="76" xfId="0" applyFont="1" applyFill="1" applyBorder="1" applyAlignment="1">
      <alignment horizontal="left" wrapText="1"/>
    </xf>
    <xf numFmtId="0" fontId="159" fillId="0" borderId="75" xfId="0" applyFont="1" applyFill="1" applyBorder="1" applyAlignment="1">
      <alignment horizontal="left" wrapText="1"/>
    </xf>
    <xf numFmtId="0" fontId="156" fillId="0" borderId="61" xfId="0" applyFont="1" applyBorder="1" applyAlignment="1">
      <alignment horizontal="justify" vertical="center" wrapText="1"/>
    </xf>
    <xf numFmtId="0" fontId="188" fillId="0" borderId="0" xfId="0" applyFont="1" applyAlignment="1">
      <alignment horizontal="center" vertical="top" wrapText="1"/>
    </xf>
    <xf numFmtId="167" fontId="156" fillId="0" borderId="0" xfId="0" applyNumberFormat="1" applyFont="1" applyAlignment="1">
      <alignment horizontal="right"/>
    </xf>
    <xf numFmtId="0" fontId="156" fillId="71" borderId="5" xfId="0" quotePrefix="1" applyFont="1" applyFill="1" applyBorder="1" applyAlignment="1">
      <alignment horizontal="center"/>
    </xf>
    <xf numFmtId="0" fontId="159" fillId="0" borderId="15" xfId="0" applyFont="1" applyFill="1" applyBorder="1" applyAlignment="1">
      <alignment horizontal="left" wrapText="1"/>
    </xf>
    <xf numFmtId="8" fontId="236" fillId="0" borderId="0" xfId="0" applyNumberFormat="1" applyFont="1"/>
    <xf numFmtId="0" fontId="33" fillId="75" borderId="0" xfId="11828" applyFont="1" applyFill="1"/>
    <xf numFmtId="0" fontId="33" fillId="75" borderId="0" xfId="11828" applyFont="1" applyFill="1" applyAlignment="1">
      <alignment horizontal="right"/>
    </xf>
    <xf numFmtId="0" fontId="238" fillId="75" borderId="0" xfId="11828" applyFont="1" applyFill="1" applyAlignment="1">
      <alignment horizontal="right"/>
    </xf>
    <xf numFmtId="0" fontId="33" fillId="0" borderId="0" xfId="11828" applyFont="1"/>
    <xf numFmtId="0" fontId="33" fillId="0" borderId="0" xfId="11828" applyFont="1" applyAlignment="1">
      <alignment horizontal="right"/>
    </xf>
    <xf numFmtId="0" fontId="33" fillId="0" borderId="0" xfId="11828" applyFont="1" applyFill="1" applyAlignment="1">
      <alignment horizontal="right"/>
    </xf>
    <xf numFmtId="14" fontId="33" fillId="0" borderId="0" xfId="11828" applyNumberFormat="1" applyFont="1" applyAlignment="1">
      <alignment horizontal="right"/>
    </xf>
    <xf numFmtId="0" fontId="33" fillId="0" borderId="0" xfId="11828" applyFont="1" applyFill="1"/>
    <xf numFmtId="165" fontId="33" fillId="0" borderId="0" xfId="12424" applyNumberFormat="1" applyFont="1" applyAlignment="1">
      <alignment horizontal="right"/>
    </xf>
    <xf numFmtId="362" fontId="33" fillId="0" borderId="0" xfId="11828" applyNumberFormat="1" applyFont="1" applyAlignment="1">
      <alignment horizontal="right"/>
    </xf>
    <xf numFmtId="10" fontId="28" fillId="0" borderId="10" xfId="20309" applyNumberFormat="1" applyFont="1" applyFill="1" applyBorder="1" applyAlignment="1">
      <alignment horizontal="right"/>
    </xf>
    <xf numFmtId="0" fontId="28" fillId="0" borderId="0" xfId="0" applyFont="1"/>
    <xf numFmtId="0" fontId="28" fillId="0" borderId="0" xfId="0" applyFont="1" applyAlignment="1">
      <alignment horizontal="right"/>
    </xf>
    <xf numFmtId="0" fontId="168" fillId="74" borderId="58" xfId="0" applyFont="1" applyFill="1" applyBorder="1" applyAlignment="1">
      <alignment horizontal="centerContinuous"/>
    </xf>
    <xf numFmtId="0" fontId="158" fillId="74" borderId="5" xfId="0" applyFont="1" applyFill="1" applyBorder="1" applyAlignment="1">
      <alignment horizontal="center" wrapText="1"/>
    </xf>
    <xf numFmtId="169" fontId="156" fillId="74" borderId="0" xfId="0" applyNumberFormat="1" applyFont="1" applyFill="1"/>
    <xf numFmtId="233" fontId="156" fillId="74" borderId="0" xfId="0" applyNumberFormat="1" applyFont="1" applyFill="1" applyAlignment="1">
      <alignment horizontal="right" vertical="top"/>
    </xf>
    <xf numFmtId="0" fontId="156" fillId="74" borderId="0" xfId="0" applyFont="1" applyFill="1" applyAlignment="1">
      <alignment vertical="top" wrapText="1"/>
    </xf>
    <xf numFmtId="165" fontId="156" fillId="74" borderId="0" xfId="0" applyNumberFormat="1" applyFont="1" applyFill="1" applyAlignment="1">
      <alignment vertical="top" wrapText="1"/>
    </xf>
    <xf numFmtId="169" fontId="156" fillId="74" borderId="0" xfId="0" applyNumberFormat="1" applyFont="1" applyFill="1" applyAlignment="1">
      <alignment horizontal="right" vertical="top"/>
    </xf>
    <xf numFmtId="0" fontId="156" fillId="74" borderId="0" xfId="0" applyFont="1" applyFill="1" applyAlignment="1">
      <alignment horizontal="center" vertical="top" wrapText="1"/>
    </xf>
    <xf numFmtId="165" fontId="156" fillId="74" borderId="0" xfId="0" applyNumberFormat="1" applyFont="1" applyFill="1" applyAlignment="1">
      <alignment horizontal="center" vertical="top" wrapText="1"/>
    </xf>
    <xf numFmtId="164" fontId="156" fillId="74" borderId="0" xfId="0" applyNumberFormat="1" applyFont="1" applyFill="1" applyAlignment="1">
      <alignment horizontal="center" vertical="top" wrapText="1"/>
    </xf>
    <xf numFmtId="43" fontId="162" fillId="0" borderId="55" xfId="11155" applyFont="1" applyFill="1" applyBorder="1" applyAlignment="1"/>
    <xf numFmtId="43" fontId="162" fillId="0" borderId="56" xfId="11155" applyFont="1" applyFill="1" applyBorder="1" applyAlignment="1">
      <alignment horizontal="right"/>
    </xf>
    <xf numFmtId="0" fontId="156" fillId="0" borderId="0" xfId="0" applyFont="1" applyFill="1" applyAlignment="1">
      <alignment vertical="top" wrapText="1"/>
    </xf>
    <xf numFmtId="0" fontId="156" fillId="0" borderId="32" xfId="0" applyFont="1" applyFill="1" applyBorder="1"/>
    <xf numFmtId="0" fontId="156" fillId="0" borderId="44" xfId="0" applyFont="1" applyFill="1" applyBorder="1"/>
    <xf numFmtId="164" fontId="156" fillId="0" borderId="0" xfId="0" applyNumberFormat="1" applyFont="1" applyFill="1" applyAlignment="1">
      <alignment horizontal="center" vertical="top" wrapText="1"/>
    </xf>
    <xf numFmtId="0" fontId="156" fillId="0" borderId="0" xfId="0" applyFont="1" applyFill="1" applyAlignment="1">
      <alignment horizontal="right" vertical="top"/>
    </xf>
    <xf numFmtId="233" fontId="156" fillId="0" borderId="0" xfId="0" applyNumberFormat="1" applyFont="1" applyFill="1" applyAlignment="1">
      <alignment horizontal="right" vertical="top"/>
    </xf>
    <xf numFmtId="0" fontId="188" fillId="0" borderId="0" xfId="0" applyFont="1" applyFill="1" applyAlignment="1">
      <alignment horizontal="center" vertical="top" wrapText="1"/>
    </xf>
    <xf numFmtId="10" fontId="156" fillId="71" borderId="0" xfId="0" applyNumberFormat="1" applyFont="1" applyFill="1" applyBorder="1"/>
    <xf numFmtId="165" fontId="156" fillId="0" borderId="0" xfId="0" applyNumberFormat="1" applyFont="1" applyFill="1" applyAlignment="1">
      <alignment horizontal="center" vertical="top" wrapText="1"/>
    </xf>
    <xf numFmtId="0" fontId="235" fillId="0" borderId="0" xfId="0" applyFont="1"/>
    <xf numFmtId="10" fontId="28" fillId="0" borderId="60" xfId="20309" applyNumberFormat="1" applyFont="1" applyFill="1" applyBorder="1" applyAlignment="1">
      <alignment horizontal="right"/>
    </xf>
    <xf numFmtId="0" fontId="189" fillId="0" borderId="99" xfId="0" applyFont="1" applyFill="1" applyBorder="1" applyAlignment="1">
      <alignment horizontal="centerContinuous"/>
    </xf>
    <xf numFmtId="169" fontId="158" fillId="0" borderId="100" xfId="0" applyNumberFormat="1" applyFont="1" applyFill="1" applyBorder="1" applyAlignment="1">
      <alignment horizontal="centerContinuous"/>
    </xf>
    <xf numFmtId="0" fontId="189" fillId="0" borderId="100" xfId="0" applyFont="1" applyFill="1" applyBorder="1" applyAlignment="1">
      <alignment horizontal="centerContinuous"/>
    </xf>
    <xf numFmtId="169" fontId="158" fillId="0" borderId="101" xfId="0" applyNumberFormat="1" applyFont="1" applyFill="1" applyBorder="1" applyAlignment="1">
      <alignment horizontal="centerContinuous"/>
    </xf>
    <xf numFmtId="0" fontId="241" fillId="0" borderId="34" xfId="0" applyFont="1" applyBorder="1" applyAlignment="1">
      <alignment horizontal="center"/>
    </xf>
    <xf numFmtId="0" fontId="241" fillId="0" borderId="0" xfId="0" applyFont="1"/>
    <xf numFmtId="0" fontId="242" fillId="0" borderId="0" xfId="0" applyFont="1" applyAlignment="1">
      <alignment horizontal="center" wrapText="1"/>
    </xf>
    <xf numFmtId="14" fontId="33" fillId="0" borderId="0" xfId="11828" applyNumberFormat="1" applyFont="1" applyFill="1" applyAlignment="1">
      <alignment horizontal="left"/>
    </xf>
    <xf numFmtId="14" fontId="33" fillId="0" borderId="0" xfId="11828" applyNumberFormat="1" applyFont="1" applyFill="1"/>
    <xf numFmtId="0" fontId="33" fillId="0" borderId="102" xfId="11828" applyFont="1" applyFill="1" applyBorder="1" applyAlignment="1">
      <alignment horizontal="right"/>
    </xf>
    <xf numFmtId="14" fontId="33" fillId="0" borderId="103" xfId="11828" applyNumberFormat="1" applyFont="1" applyFill="1" applyBorder="1" applyAlignment="1">
      <alignment horizontal="right"/>
    </xf>
    <xf numFmtId="0" fontId="33" fillId="0" borderId="60" xfId="11828" applyFont="1" applyFill="1" applyBorder="1" applyAlignment="1">
      <alignment horizontal="right"/>
    </xf>
    <xf numFmtId="0" fontId="33" fillId="0" borderId="13" xfId="11828" applyFont="1" applyFill="1" applyBorder="1" applyAlignment="1">
      <alignment horizontal="right"/>
    </xf>
    <xf numFmtId="0" fontId="33" fillId="0" borderId="10" xfId="11828" applyFont="1" applyFill="1" applyBorder="1" applyAlignment="1">
      <alignment horizontal="right"/>
    </xf>
    <xf numFmtId="0" fontId="33" fillId="0" borderId="93" xfId="11828" applyFont="1" applyFill="1" applyBorder="1" applyAlignment="1">
      <alignment horizontal="right"/>
    </xf>
    <xf numFmtId="0" fontId="33" fillId="0" borderId="0" xfId="11828" applyFont="1" applyFill="1" applyBorder="1" applyAlignment="1">
      <alignment horizontal="right"/>
    </xf>
    <xf numFmtId="0" fontId="243" fillId="0" borderId="0" xfId="11828" applyFont="1" applyFill="1" applyBorder="1" applyAlignment="1">
      <alignment horizontal="right"/>
    </xf>
    <xf numFmtId="0" fontId="239" fillId="0" borderId="0" xfId="11828" applyFont="1" applyFill="1"/>
    <xf numFmtId="14" fontId="33" fillId="0" borderId="0" xfId="11828" applyNumberFormat="1" applyFont="1" applyFill="1" applyAlignment="1">
      <alignment horizontal="right"/>
    </xf>
    <xf numFmtId="0" fontId="33" fillId="0" borderId="0" xfId="11828" applyNumberFormat="1" applyFont="1" applyFill="1" applyAlignment="1">
      <alignment horizontal="right"/>
    </xf>
    <xf numFmtId="167" fontId="33" fillId="0" borderId="0" xfId="12425" applyNumberFormat="1" applyFont="1" applyFill="1" applyAlignment="1">
      <alignment horizontal="right"/>
    </xf>
    <xf numFmtId="165" fontId="33" fillId="0" borderId="0" xfId="12424" applyNumberFormat="1" applyFont="1" applyFill="1" applyAlignment="1">
      <alignment horizontal="right"/>
    </xf>
    <xf numFmtId="0" fontId="33" fillId="0" borderId="0" xfId="11828" applyFont="1" applyFill="1" applyAlignment="1"/>
    <xf numFmtId="254" fontId="33" fillId="0" borderId="0" xfId="11828" applyNumberFormat="1" applyFont="1" applyFill="1" applyAlignment="1">
      <alignment horizontal="right"/>
    </xf>
    <xf numFmtId="165" fontId="33" fillId="74" borderId="0" xfId="12424" applyNumberFormat="1" applyFont="1" applyFill="1" applyAlignment="1">
      <alignment horizontal="right"/>
    </xf>
    <xf numFmtId="14" fontId="33" fillId="0" borderId="0" xfId="11828" applyNumberFormat="1" applyFont="1"/>
    <xf numFmtId="0" fontId="159" fillId="0" borderId="75" xfId="11826" applyFont="1" applyFill="1" applyBorder="1" applyAlignment="1">
      <alignment horizontal="left"/>
    </xf>
    <xf numFmtId="0" fontId="159" fillId="0" borderId="75" xfId="11826" applyFont="1" applyFill="1" applyBorder="1" applyAlignment="1">
      <alignment horizontal="right"/>
    </xf>
    <xf numFmtId="0" fontId="159" fillId="0" borderId="99" xfId="11826" applyFont="1" applyFill="1" applyBorder="1" applyAlignment="1">
      <alignment horizontal="right"/>
    </xf>
    <xf numFmtId="0" fontId="159" fillId="0" borderId="99" xfId="11826" applyFont="1" applyFill="1" applyBorder="1" applyAlignment="1">
      <alignment horizontal="centerContinuous"/>
    </xf>
    <xf numFmtId="0" fontId="159" fillId="0" borderId="100" xfId="11826" applyFont="1" applyFill="1" applyBorder="1" applyAlignment="1">
      <alignment horizontal="centerContinuous"/>
    </xf>
    <xf numFmtId="0" fontId="33" fillId="0" borderId="100" xfId="11828" applyFont="1" applyFill="1" applyBorder="1" applyAlignment="1">
      <alignment horizontal="centerContinuous"/>
    </xf>
    <xf numFmtId="0" fontId="33" fillId="0" borderId="101" xfId="11828" applyFont="1" applyFill="1" applyBorder="1" applyAlignment="1">
      <alignment horizontal="centerContinuous"/>
    </xf>
    <xf numFmtId="0" fontId="28" fillId="0" borderId="104" xfId="20308" applyFont="1" applyFill="1" applyBorder="1" applyAlignment="1">
      <alignment horizontal="left"/>
    </xf>
    <xf numFmtId="2" fontId="28" fillId="0" borderId="104" xfId="11826" applyNumberFormat="1" applyFont="1" applyFill="1" applyBorder="1" applyAlignment="1">
      <alignment horizontal="right"/>
    </xf>
    <xf numFmtId="10" fontId="28" fillId="0" borderId="102" xfId="20309" applyNumberFormat="1" applyFont="1" applyFill="1" applyBorder="1" applyAlignment="1">
      <alignment horizontal="right"/>
    </xf>
    <xf numFmtId="0" fontId="28" fillId="0" borderId="60" xfId="11826" applyFont="1" applyFill="1" applyBorder="1" applyAlignment="1">
      <alignment horizontal="centerContinuous"/>
    </xf>
    <xf numFmtId="0" fontId="28" fillId="0" borderId="0" xfId="11826" applyFont="1" applyFill="1" applyBorder="1" applyAlignment="1">
      <alignment horizontal="centerContinuous"/>
    </xf>
    <xf numFmtId="0" fontId="33" fillId="0" borderId="0" xfId="11828" applyFont="1" applyFill="1" applyBorder="1" applyAlignment="1">
      <alignment horizontal="centerContinuous"/>
    </xf>
    <xf numFmtId="0" fontId="33" fillId="0" borderId="13" xfId="11828" applyFont="1" applyFill="1" applyBorder="1" applyAlignment="1">
      <alignment horizontal="centerContinuous"/>
    </xf>
    <xf numFmtId="14" fontId="156" fillId="0" borderId="50" xfId="16168" applyNumberFormat="1" applyFont="1" applyFill="1" applyBorder="1" applyAlignment="1">
      <alignment horizontal="left"/>
    </xf>
    <xf numFmtId="2" fontId="28" fillId="0" borderId="50" xfId="11826" applyNumberFormat="1" applyFont="1" applyFill="1" applyBorder="1" applyAlignment="1">
      <alignment horizontal="right"/>
    </xf>
    <xf numFmtId="14" fontId="156" fillId="0" borderId="31" xfId="16168" applyNumberFormat="1" applyFont="1" applyFill="1" applyBorder="1" applyAlignment="1">
      <alignment horizontal="left"/>
    </xf>
    <xf numFmtId="2" fontId="28" fillId="0" borderId="31" xfId="11826" applyNumberFormat="1" applyFont="1" applyFill="1" applyBorder="1" applyAlignment="1">
      <alignment horizontal="right"/>
    </xf>
    <xf numFmtId="0" fontId="28" fillId="0" borderId="10" xfId="11826" applyFont="1" applyFill="1" applyBorder="1" applyAlignment="1">
      <alignment horizontal="centerContinuous"/>
    </xf>
    <xf numFmtId="0" fontId="28" fillId="0" borderId="44" xfId="11826" applyFont="1" applyFill="1" applyBorder="1" applyAlignment="1">
      <alignment horizontal="centerContinuous"/>
    </xf>
    <xf numFmtId="0" fontId="33" fillId="0" borderId="44" xfId="11828" applyFont="1" applyFill="1" applyBorder="1" applyAlignment="1">
      <alignment horizontal="centerContinuous"/>
    </xf>
    <xf numFmtId="0" fontId="33" fillId="0" borderId="93" xfId="11828" applyFont="1" applyFill="1" applyBorder="1" applyAlignment="1">
      <alignment horizontal="centerContinuous"/>
    </xf>
    <xf numFmtId="0" fontId="94" fillId="0" borderId="0" xfId="11828" applyFont="1" applyFill="1"/>
    <xf numFmtId="14" fontId="156" fillId="0" borderId="75" xfId="16168" applyNumberFormat="1" applyFont="1" applyFill="1" applyBorder="1" applyAlignment="1">
      <alignment horizontal="left"/>
    </xf>
    <xf numFmtId="10" fontId="33" fillId="0" borderId="75" xfId="12424" applyNumberFormat="1" applyFont="1" applyFill="1" applyBorder="1" applyAlignment="1">
      <alignment horizontal="right"/>
    </xf>
    <xf numFmtId="0" fontId="33" fillId="0" borderId="100" xfId="11828" applyFont="1" applyFill="1" applyBorder="1" applyAlignment="1">
      <alignment horizontal="left"/>
    </xf>
    <xf numFmtId="0" fontId="33" fillId="0" borderId="100" xfId="11828" applyFont="1" applyFill="1" applyBorder="1" applyAlignment="1">
      <alignment horizontal="right"/>
    </xf>
    <xf numFmtId="0" fontId="33" fillId="0" borderId="101" xfId="11828" applyFont="1" applyFill="1" applyBorder="1" applyAlignment="1">
      <alignment horizontal="right"/>
    </xf>
    <xf numFmtId="164" fontId="156" fillId="0" borderId="0" xfId="0" applyNumberFormat="1" applyFont="1" applyAlignment="1">
      <alignment horizontal="right"/>
    </xf>
    <xf numFmtId="164" fontId="28" fillId="0" borderId="0" xfId="0" applyNumberFormat="1" applyFont="1" applyAlignment="1">
      <alignment horizontal="right"/>
    </xf>
    <xf numFmtId="165" fontId="156" fillId="0" borderId="0" xfId="0" applyNumberFormat="1" applyFont="1" applyAlignment="1">
      <alignment horizontal="center"/>
    </xf>
    <xf numFmtId="0" fontId="156" fillId="0" borderId="108" xfId="0" applyFont="1" applyBorder="1"/>
    <xf numFmtId="0" fontId="168" fillId="72" borderId="34" xfId="0" applyFont="1" applyFill="1" applyBorder="1" applyAlignment="1">
      <alignment horizontal="right"/>
    </xf>
    <xf numFmtId="0" fontId="168" fillId="72" borderId="41" xfId="0" applyFont="1" applyFill="1" applyBorder="1" applyAlignment="1">
      <alignment horizontal="right"/>
    </xf>
    <xf numFmtId="0" fontId="168" fillId="72" borderId="33" xfId="0" applyFont="1" applyFill="1" applyBorder="1" applyAlignment="1">
      <alignment horizontal="left"/>
    </xf>
    <xf numFmtId="0" fontId="168" fillId="72" borderId="33" xfId="0" applyFont="1" applyFill="1" applyBorder="1" applyAlignment="1">
      <alignment horizontal="right" wrapText="1"/>
    </xf>
    <xf numFmtId="0" fontId="168" fillId="72" borderId="34" xfId="0" applyFont="1" applyFill="1" applyBorder="1" applyAlignment="1">
      <alignment horizontal="right" wrapText="1"/>
    </xf>
    <xf numFmtId="0" fontId="168" fillId="72" borderId="28" xfId="0" applyFont="1" applyFill="1" applyBorder="1" applyAlignment="1">
      <alignment horizontal="right"/>
    </xf>
    <xf numFmtId="0" fontId="168" fillId="72" borderId="58" xfId="0" applyFont="1" applyFill="1" applyBorder="1" applyAlignment="1">
      <alignment horizontal="right" wrapText="1"/>
    </xf>
    <xf numFmtId="0" fontId="168" fillId="72" borderId="63" xfId="0" applyFont="1" applyFill="1" applyBorder="1" applyAlignment="1">
      <alignment horizontal="right" wrapText="1"/>
    </xf>
    <xf numFmtId="0" fontId="168" fillId="72" borderId="59" xfId="0" applyFont="1" applyFill="1" applyBorder="1" applyAlignment="1">
      <alignment horizontal="right" wrapText="1"/>
    </xf>
    <xf numFmtId="1" fontId="159" fillId="0" borderId="77" xfId="0" applyNumberFormat="1" applyFont="1" applyFill="1" applyBorder="1" applyAlignment="1">
      <alignment horizontal="right"/>
    </xf>
    <xf numFmtId="164" fontId="28" fillId="0" borderId="0" xfId="0" applyNumberFormat="1" applyFont="1" applyFill="1" applyBorder="1" applyAlignment="1">
      <alignment horizontal="right"/>
    </xf>
    <xf numFmtId="0" fontId="168" fillId="72" borderId="75" xfId="0" applyFont="1" applyFill="1" applyBorder="1" applyAlignment="1">
      <alignment horizontal="right"/>
    </xf>
    <xf numFmtId="164" fontId="159" fillId="0" borderId="75" xfId="0" applyNumberFormat="1" applyFont="1" applyFill="1" applyBorder="1" applyAlignment="1">
      <alignment horizontal="right"/>
    </xf>
    <xf numFmtId="1" fontId="159" fillId="0" borderId="33" xfId="0" applyNumberFormat="1" applyFont="1" applyFill="1" applyBorder="1" applyAlignment="1">
      <alignment horizontal="right"/>
    </xf>
    <xf numFmtId="1" fontId="159" fillId="0" borderId="34" xfId="0" applyNumberFormat="1" applyFont="1" applyFill="1" applyBorder="1" applyAlignment="1">
      <alignment horizontal="right"/>
    </xf>
    <xf numFmtId="1" fontId="159" fillId="0" borderId="63" xfId="0" applyNumberFormat="1" applyFont="1" applyFill="1" applyBorder="1" applyAlignment="1">
      <alignment horizontal="right"/>
    </xf>
    <xf numFmtId="0" fontId="159" fillId="0" borderId="33" xfId="0" applyFont="1" applyFill="1" applyBorder="1" applyAlignment="1">
      <alignment horizontal="right" wrapText="1"/>
    </xf>
    <xf numFmtId="0" fontId="159" fillId="0" borderId="34" xfId="0" applyFont="1" applyFill="1" applyBorder="1" applyAlignment="1">
      <alignment horizontal="right" wrapText="1"/>
    </xf>
    <xf numFmtId="0" fontId="156" fillId="0" borderId="34" xfId="0" applyFont="1" applyBorder="1" applyAlignment="1">
      <alignment horizontal="right" wrapText="1"/>
    </xf>
    <xf numFmtId="0" fontId="159" fillId="0" borderId="41" xfId="0" applyFont="1" applyFill="1" applyBorder="1" applyAlignment="1">
      <alignment horizontal="right" wrapText="1"/>
    </xf>
    <xf numFmtId="0" fontId="159" fillId="0" borderId="31" xfId="0" applyFont="1" applyFill="1" applyBorder="1" applyAlignment="1">
      <alignment horizontal="right" wrapText="1"/>
    </xf>
    <xf numFmtId="0" fontId="159" fillId="0" borderId="10" xfId="0" applyFont="1" applyFill="1" applyBorder="1" applyAlignment="1">
      <alignment horizontal="right" wrapText="1"/>
    </xf>
    <xf numFmtId="0" fontId="159" fillId="0" borderId="44" xfId="0" applyFont="1" applyFill="1" applyBorder="1" applyAlignment="1">
      <alignment horizontal="right" wrapText="1"/>
    </xf>
    <xf numFmtId="0" fontId="159" fillId="0" borderId="75" xfId="0" applyFont="1" applyFill="1" applyBorder="1" applyAlignment="1">
      <alignment horizontal="right" wrapText="1"/>
    </xf>
    <xf numFmtId="0" fontId="159" fillId="0" borderId="0" xfId="0" applyFont="1" applyFill="1" applyBorder="1" applyAlignment="1">
      <alignment horizontal="right" wrapText="1"/>
    </xf>
    <xf numFmtId="0" fontId="159" fillId="0" borderId="10" xfId="0" applyNumberFormat="1" applyFont="1" applyFill="1" applyBorder="1" applyAlignment="1">
      <alignment horizontal="right" wrapText="1"/>
    </xf>
    <xf numFmtId="0" fontId="159" fillId="0" borderId="44" xfId="0" applyNumberFormat="1" applyFont="1" applyFill="1" applyBorder="1" applyAlignment="1">
      <alignment horizontal="right" wrapText="1"/>
    </xf>
    <xf numFmtId="0" fontId="159" fillId="0" borderId="76" xfId="0" applyNumberFormat="1" applyFont="1" applyFill="1" applyBorder="1" applyAlignment="1">
      <alignment horizontal="right" wrapText="1"/>
    </xf>
    <xf numFmtId="0" fontId="159" fillId="0" borderId="77" xfId="0" applyNumberFormat="1" applyFont="1" applyFill="1" applyBorder="1" applyAlignment="1">
      <alignment horizontal="right" wrapText="1"/>
    </xf>
    <xf numFmtId="0" fontId="159" fillId="0" borderId="63" xfId="0" applyNumberFormat="1" applyFont="1" applyFill="1" applyBorder="1" applyAlignment="1">
      <alignment horizontal="right" wrapText="1"/>
    </xf>
    <xf numFmtId="0" fontId="159" fillId="0" borderId="93" xfId="0" applyFont="1" applyFill="1" applyBorder="1" applyAlignment="1">
      <alignment horizontal="right" wrapText="1"/>
    </xf>
    <xf numFmtId="0" fontId="159" fillId="0" borderId="93" xfId="0" applyNumberFormat="1" applyFont="1" applyFill="1" applyBorder="1" applyAlignment="1">
      <alignment horizontal="right" wrapText="1"/>
    </xf>
    <xf numFmtId="1" fontId="159" fillId="0" borderId="63" xfId="0" applyNumberFormat="1" applyFont="1" applyFill="1" applyBorder="1" applyAlignment="1">
      <alignment horizontal="right" wrapText="1"/>
    </xf>
    <xf numFmtId="0" fontId="156" fillId="0" borderId="0" xfId="0" applyFont="1" applyBorder="1" applyAlignment="1">
      <alignment horizontal="right" wrapText="1"/>
    </xf>
    <xf numFmtId="0" fontId="159" fillId="0" borderId="11" xfId="0" applyFont="1" applyFill="1" applyBorder="1" applyAlignment="1">
      <alignment horizontal="right" wrapText="1"/>
    </xf>
    <xf numFmtId="0" fontId="159" fillId="0" borderId="63" xfId="0" applyFont="1" applyFill="1" applyBorder="1" applyAlignment="1">
      <alignment horizontal="right" wrapText="1"/>
    </xf>
    <xf numFmtId="0" fontId="156" fillId="0" borderId="0" xfId="0" applyFont="1" applyFill="1" applyAlignment="1">
      <alignment horizontal="right" wrapText="1"/>
    </xf>
    <xf numFmtId="0" fontId="168" fillId="72" borderId="57" xfId="0" applyFont="1" applyFill="1" applyBorder="1" applyAlignment="1">
      <alignment horizontal="right" wrapText="1"/>
    </xf>
    <xf numFmtId="0" fontId="168" fillId="72" borderId="51" xfId="0" applyFont="1" applyFill="1" applyBorder="1" applyAlignment="1">
      <alignment horizontal="right" wrapText="1"/>
    </xf>
    <xf numFmtId="0" fontId="159" fillId="0" borderId="4" xfId="0" applyFont="1" applyFill="1" applyBorder="1" applyAlignment="1">
      <alignment horizontal="right" wrapText="1"/>
    </xf>
    <xf numFmtId="0" fontId="159" fillId="0" borderId="5" xfId="0" applyFont="1" applyFill="1" applyBorder="1" applyAlignment="1">
      <alignment horizontal="right" wrapText="1"/>
    </xf>
    <xf numFmtId="0" fontId="159" fillId="0" borderId="6" xfId="0" applyFont="1" applyFill="1" applyBorder="1" applyAlignment="1">
      <alignment horizontal="right" wrapText="1"/>
    </xf>
    <xf numFmtId="0" fontId="159" fillId="0" borderId="15" xfId="0" applyFont="1" applyFill="1" applyBorder="1" applyAlignment="1">
      <alignment horizontal="right" wrapText="1"/>
    </xf>
    <xf numFmtId="0" fontId="159" fillId="0" borderId="76" xfId="0" applyFont="1" applyFill="1" applyBorder="1" applyAlignment="1">
      <alignment horizontal="right" wrapText="1"/>
    </xf>
    <xf numFmtId="0" fontId="168" fillId="72" borderId="4" xfId="0" applyFont="1" applyFill="1" applyBorder="1" applyAlignment="1">
      <alignment horizontal="right" wrapText="1"/>
    </xf>
    <xf numFmtId="0" fontId="168" fillId="72" borderId="6" xfId="0" applyFont="1" applyFill="1" applyBorder="1" applyAlignment="1">
      <alignment horizontal="right" wrapText="1"/>
    </xf>
    <xf numFmtId="0" fontId="158" fillId="0" borderId="77" xfId="0" applyFont="1" applyFill="1" applyBorder="1" applyAlignment="1">
      <alignment horizontal="right" wrapText="1"/>
    </xf>
    <xf numFmtId="0" fontId="158" fillId="0" borderId="63" xfId="0" applyFont="1" applyFill="1" applyBorder="1" applyAlignment="1">
      <alignment horizontal="right" wrapText="1"/>
    </xf>
    <xf numFmtId="0" fontId="156" fillId="0" borderId="50" xfId="0" applyFont="1" applyBorder="1" applyAlignment="1">
      <alignment horizontal="right" wrapText="1"/>
    </xf>
    <xf numFmtId="0" fontId="33" fillId="0" borderId="108" xfId="11828" applyFont="1" applyFill="1" applyBorder="1" applyAlignment="1">
      <alignment horizontal="right"/>
    </xf>
    <xf numFmtId="14" fontId="33" fillId="0" borderId="109" xfId="11828" applyNumberFormat="1" applyFont="1" applyFill="1" applyBorder="1" applyAlignment="1">
      <alignment horizontal="right"/>
    </xf>
    <xf numFmtId="0" fontId="28" fillId="0" borderId="0" xfId="20306" applyFont="1" applyFill="1"/>
    <xf numFmtId="0" fontId="28" fillId="0" borderId="0" xfId="20306" applyFont="1" applyFill="1" applyAlignment="1">
      <alignment horizontal="right"/>
    </xf>
    <xf numFmtId="0" fontId="28" fillId="0" borderId="0" xfId="20306" applyFont="1" applyAlignment="1">
      <alignment horizontal="right"/>
    </xf>
    <xf numFmtId="0" fontId="28" fillId="0" borderId="0" xfId="20306" applyFont="1"/>
    <xf numFmtId="0" fontId="33" fillId="0" borderId="105" xfId="11828" applyFont="1" applyFill="1" applyBorder="1" applyAlignment="1">
      <alignment horizontal="centerContinuous"/>
    </xf>
    <xf numFmtId="0" fontId="33" fillId="0" borderId="106" xfId="11828" applyFont="1" applyFill="1" applyBorder="1" applyAlignment="1">
      <alignment horizontal="centerContinuous"/>
    </xf>
    <xf numFmtId="0" fontId="33" fillId="0" borderId="107" xfId="11828" applyFont="1" applyFill="1" applyBorder="1" applyAlignment="1">
      <alignment horizontal="centerContinuous"/>
    </xf>
    <xf numFmtId="0" fontId="130" fillId="0" borderId="0" xfId="20306" applyFont="1" applyAlignment="1">
      <alignment horizontal="center"/>
    </xf>
    <xf numFmtId="0" fontId="159" fillId="0" borderId="75" xfId="20379" applyFont="1" applyFill="1" applyBorder="1" applyAlignment="1">
      <alignment horizontal="left"/>
    </xf>
    <xf numFmtId="0" fontId="159" fillId="0" borderId="75" xfId="20379" applyFont="1" applyFill="1" applyBorder="1" applyAlignment="1">
      <alignment horizontal="right"/>
    </xf>
    <xf numFmtId="0" fontId="159" fillId="0" borderId="105" xfId="20379" applyFont="1" applyFill="1" applyBorder="1" applyAlignment="1">
      <alignment horizontal="right"/>
    </xf>
    <xf numFmtId="0" fontId="159" fillId="0" borderId="105" xfId="20379" applyFont="1" applyFill="1" applyBorder="1" applyAlignment="1">
      <alignment horizontal="centerContinuous"/>
    </xf>
    <xf numFmtId="0" fontId="159" fillId="0" borderId="106" xfId="20379" applyFont="1" applyFill="1" applyBorder="1" applyAlignment="1">
      <alignment horizontal="centerContinuous"/>
    </xf>
    <xf numFmtId="2" fontId="28" fillId="0" borderId="104" xfId="20379" applyNumberFormat="1" applyFont="1" applyFill="1" applyBorder="1" applyAlignment="1">
      <alignment horizontal="right"/>
    </xf>
    <xf numFmtId="10" fontId="28" fillId="0" borderId="108" xfId="20309" applyNumberFormat="1" applyFont="1" applyFill="1" applyBorder="1" applyAlignment="1">
      <alignment horizontal="right"/>
    </xf>
    <xf numFmtId="0" fontId="28" fillId="0" borderId="60" xfId="20379" applyFont="1" applyFill="1" applyBorder="1" applyAlignment="1">
      <alignment horizontal="centerContinuous"/>
    </xf>
    <xf numFmtId="0" fontId="28" fillId="0" borderId="0" xfId="20379" applyFont="1" applyFill="1" applyBorder="1" applyAlignment="1">
      <alignment horizontal="centerContinuous"/>
    </xf>
    <xf numFmtId="14" fontId="156" fillId="0" borderId="50" xfId="20380" applyNumberFormat="1" applyFont="1" applyFill="1" applyBorder="1" applyAlignment="1">
      <alignment horizontal="left"/>
    </xf>
    <xf numFmtId="2" fontId="28" fillId="0" borderId="50" xfId="20379" applyNumberFormat="1" applyFont="1" applyFill="1" applyBorder="1" applyAlignment="1">
      <alignment horizontal="right"/>
    </xf>
    <xf numFmtId="14" fontId="156" fillId="0" borderId="31" xfId="20380" applyNumberFormat="1" applyFont="1" applyFill="1" applyBorder="1" applyAlignment="1">
      <alignment horizontal="left"/>
    </xf>
    <xf numFmtId="2" fontId="28" fillId="0" borderId="31" xfId="20379" applyNumberFormat="1" applyFont="1" applyFill="1" applyBorder="1" applyAlignment="1">
      <alignment horizontal="right"/>
    </xf>
    <xf numFmtId="0" fontId="28" fillId="0" borderId="10" xfId="20379" applyFont="1" applyFill="1" applyBorder="1" applyAlignment="1">
      <alignment horizontal="centerContinuous"/>
    </xf>
    <xf numFmtId="0" fontId="28" fillId="0" borderId="44" xfId="20379" applyFont="1" applyFill="1" applyBorder="1" applyAlignment="1">
      <alignment horizontal="centerContinuous"/>
    </xf>
    <xf numFmtId="14" fontId="156" fillId="0" borderId="75" xfId="20380" applyNumberFormat="1" applyFont="1" applyFill="1" applyBorder="1" applyAlignment="1">
      <alignment horizontal="left"/>
    </xf>
    <xf numFmtId="0" fontId="33" fillId="0" borderId="106" xfId="11828" applyFont="1" applyFill="1" applyBorder="1" applyAlignment="1">
      <alignment horizontal="left"/>
    </xf>
    <xf numFmtId="0" fontId="33" fillId="0" borderId="106" xfId="11828" applyFont="1" applyFill="1" applyBorder="1" applyAlignment="1">
      <alignment horizontal="right"/>
    </xf>
    <xf numFmtId="0" fontId="33" fillId="0" borderId="107" xfId="11828" applyFont="1" applyFill="1" applyBorder="1" applyAlignment="1">
      <alignment horizontal="right"/>
    </xf>
    <xf numFmtId="0" fontId="156" fillId="0" borderId="110" xfId="0" applyFont="1" applyBorder="1"/>
    <xf numFmtId="0" fontId="156" fillId="0" borderId="111" xfId="0" applyFont="1" applyBorder="1"/>
    <xf numFmtId="0" fontId="156" fillId="0" borderId="60" xfId="0" applyFont="1" applyBorder="1" applyAlignment="1">
      <alignment horizontal="left"/>
    </xf>
    <xf numFmtId="167" fontId="156" fillId="0" borderId="0" xfId="12427" applyNumberFormat="1" applyFont="1" applyBorder="1"/>
    <xf numFmtId="0" fontId="156" fillId="0" borderId="10" xfId="0" applyFont="1" applyBorder="1" applyAlignment="1">
      <alignment horizontal="left"/>
    </xf>
    <xf numFmtId="167" fontId="156" fillId="0" borderId="44" xfId="12427" applyNumberFormat="1" applyFont="1" applyBorder="1"/>
    <xf numFmtId="14" fontId="156" fillId="0" borderId="111" xfId="0" applyNumberFormat="1" applyFont="1" applyBorder="1" applyAlignment="1">
      <alignment horizontal="right"/>
    </xf>
    <xf numFmtId="0" fontId="156" fillId="0" borderId="93" xfId="0" applyFont="1" applyBorder="1" applyAlignment="1">
      <alignment horizontal="right"/>
    </xf>
    <xf numFmtId="0" fontId="156" fillId="0" borderId="0" xfId="20306" applyFont="1"/>
    <xf numFmtId="0" fontId="235" fillId="0" borderId="0" xfId="20306" applyFont="1"/>
    <xf numFmtId="0" fontId="168" fillId="72" borderId="105" xfId="20306" applyFont="1" applyFill="1" applyBorder="1" applyAlignment="1">
      <alignment horizontal="centerContinuous"/>
    </xf>
    <xf numFmtId="0" fontId="168" fillId="72" borderId="107" xfId="20306" applyFont="1" applyFill="1" applyBorder="1" applyAlignment="1">
      <alignment horizontal="centerContinuous"/>
    </xf>
    <xf numFmtId="0" fontId="168" fillId="72" borderId="106" xfId="20306" applyFont="1" applyFill="1" applyBorder="1" applyAlignment="1">
      <alignment horizontal="centerContinuous"/>
    </xf>
    <xf numFmtId="0" fontId="168" fillId="72" borderId="75" xfId="20306" applyFont="1" applyFill="1" applyBorder="1" applyAlignment="1">
      <alignment horizontal="centerContinuous"/>
    </xf>
    <xf numFmtId="0" fontId="159" fillId="0" borderId="105" xfId="20306" applyFont="1" applyFill="1" applyBorder="1" applyAlignment="1">
      <alignment horizontal="center" wrapText="1"/>
    </xf>
    <xf numFmtId="0" fontId="159" fillId="0" borderId="106" xfId="20306" applyFont="1" applyFill="1" applyBorder="1" applyAlignment="1">
      <alignment horizontal="center" wrapText="1"/>
    </xf>
    <xf numFmtId="0" fontId="159" fillId="0" borderId="107" xfId="20306" applyFont="1" applyFill="1" applyBorder="1" applyAlignment="1">
      <alignment horizontal="center" wrapText="1"/>
    </xf>
    <xf numFmtId="0" fontId="156" fillId="0" borderId="0" xfId="20306" applyFont="1" applyAlignment="1">
      <alignment wrapText="1"/>
    </xf>
    <xf numFmtId="0" fontId="159" fillId="0" borderId="0" xfId="20306" applyFont="1" applyFill="1" applyBorder="1" applyAlignment="1">
      <alignment horizontal="center" wrapText="1"/>
    </xf>
    <xf numFmtId="0" fontId="159" fillId="0" borderId="10" xfId="20306" applyFont="1" applyFill="1" applyBorder="1" applyAlignment="1">
      <alignment horizontal="center" wrapText="1"/>
    </xf>
    <xf numFmtId="0" fontId="159" fillId="0" borderId="31" xfId="20306" applyFont="1" applyFill="1" applyBorder="1" applyAlignment="1">
      <alignment horizontal="center" wrapText="1"/>
    </xf>
    <xf numFmtId="0" fontId="158" fillId="0" borderId="0" xfId="20306" applyFont="1" applyAlignment="1">
      <alignment horizontal="center" wrapText="1"/>
    </xf>
    <xf numFmtId="164" fontId="156" fillId="0" borderId="0" xfId="20306" applyNumberFormat="1" applyFont="1" applyAlignment="1">
      <alignment horizontal="center" vertical="top" wrapText="1"/>
    </xf>
    <xf numFmtId="0" fontId="156" fillId="0" borderId="0" xfId="20306" applyFont="1" applyAlignment="1">
      <alignment vertical="top" wrapText="1"/>
    </xf>
    <xf numFmtId="165" fontId="156" fillId="0" borderId="0" xfId="20306" applyNumberFormat="1" applyFont="1" applyAlignment="1">
      <alignment horizontal="center" vertical="top" wrapText="1"/>
    </xf>
    <xf numFmtId="0" fontId="156" fillId="0" borderId="0" xfId="20306" applyFont="1" applyAlignment="1">
      <alignment horizontal="center" vertical="top" wrapText="1"/>
    </xf>
    <xf numFmtId="169" fontId="156" fillId="0" borderId="0" xfId="20306" applyNumberFormat="1" applyFont="1" applyAlignment="1">
      <alignment horizontal="right" vertical="top"/>
    </xf>
    <xf numFmtId="0" fontId="156" fillId="0" borderId="0" xfId="20306" applyFont="1" applyAlignment="1">
      <alignment horizontal="right" vertical="top"/>
    </xf>
    <xf numFmtId="233" fontId="156" fillId="0" borderId="0" xfId="20306" applyNumberFormat="1" applyFont="1" applyAlignment="1">
      <alignment horizontal="right" vertical="top"/>
    </xf>
    <xf numFmtId="165" fontId="156" fillId="0" borderId="0" xfId="20306" applyNumberFormat="1" applyFont="1" applyAlignment="1">
      <alignment vertical="top" wrapText="1"/>
    </xf>
    <xf numFmtId="0" fontId="188" fillId="0" borderId="0" xfId="20306" applyFont="1"/>
    <xf numFmtId="0" fontId="158" fillId="71" borderId="108" xfId="20306" applyFont="1" applyFill="1" applyBorder="1"/>
    <xf numFmtId="0" fontId="156" fillId="71" borderId="110" xfId="20306" applyFont="1" applyFill="1" applyBorder="1"/>
    <xf numFmtId="169" fontId="158" fillId="71" borderId="110" xfId="20306" applyNumberFormat="1" applyFont="1" applyFill="1" applyBorder="1"/>
    <xf numFmtId="0" fontId="156" fillId="71" borderId="111" xfId="20306" applyFont="1" applyFill="1" applyBorder="1"/>
    <xf numFmtId="233" fontId="158" fillId="71" borderId="110" xfId="20306" applyNumberFormat="1" applyFont="1" applyFill="1" applyBorder="1"/>
    <xf numFmtId="165" fontId="158" fillId="71" borderId="110" xfId="20306" applyNumberFormat="1" applyFont="1" applyFill="1" applyBorder="1"/>
    <xf numFmtId="165" fontId="158" fillId="71" borderId="111" xfId="20306" applyNumberFormat="1" applyFont="1" applyFill="1" applyBorder="1"/>
    <xf numFmtId="0" fontId="158" fillId="71" borderId="60" xfId="20306" applyFont="1" applyFill="1" applyBorder="1"/>
    <xf numFmtId="0" fontId="156" fillId="71" borderId="0" xfId="20306" applyFont="1" applyFill="1" applyBorder="1"/>
    <xf numFmtId="169" fontId="158" fillId="71" borderId="0" xfId="20306" applyNumberFormat="1" applyFont="1" applyFill="1" applyBorder="1"/>
    <xf numFmtId="0" fontId="156" fillId="71" borderId="13" xfId="20306" applyFont="1" applyFill="1" applyBorder="1"/>
    <xf numFmtId="233" fontId="158" fillId="71" borderId="0" xfId="20306" applyNumberFormat="1" applyFont="1" applyFill="1" applyBorder="1"/>
    <xf numFmtId="165" fontId="158" fillId="71" borderId="0" xfId="20306" applyNumberFormat="1" applyFont="1" applyFill="1" applyBorder="1"/>
    <xf numFmtId="165" fontId="158" fillId="71" borderId="13" xfId="20306" applyNumberFormat="1" applyFont="1" applyFill="1" applyBorder="1"/>
    <xf numFmtId="0" fontId="158" fillId="71" borderId="10" xfId="20306" applyFont="1" applyFill="1" applyBorder="1"/>
    <xf numFmtId="0" fontId="156" fillId="71" borderId="44" xfId="20306" applyFont="1" applyFill="1" applyBorder="1"/>
    <xf numFmtId="169" fontId="158" fillId="71" borderId="44" xfId="20306" applyNumberFormat="1" applyFont="1" applyFill="1" applyBorder="1"/>
    <xf numFmtId="0" fontId="156" fillId="71" borderId="93" xfId="20306" applyFont="1" applyFill="1" applyBorder="1"/>
    <xf numFmtId="233" fontId="158" fillId="71" borderId="44" xfId="20306" applyNumberFormat="1" applyFont="1" applyFill="1" applyBorder="1"/>
    <xf numFmtId="165" fontId="158" fillId="71" borderId="44" xfId="20306" applyNumberFormat="1" applyFont="1" applyFill="1" applyBorder="1"/>
    <xf numFmtId="165" fontId="158" fillId="71" borderId="93" xfId="20306" applyNumberFormat="1" applyFont="1" applyFill="1" applyBorder="1"/>
    <xf numFmtId="0" fontId="161" fillId="0" borderId="0" xfId="20306" applyFont="1"/>
    <xf numFmtId="0" fontId="156" fillId="0" borderId="105" xfId="0" applyFont="1" applyBorder="1" applyAlignment="1">
      <alignment horizontal="centerContinuous"/>
    </xf>
    <xf numFmtId="0" fontId="156" fillId="0" borderId="106" xfId="0" applyFont="1" applyBorder="1" applyAlignment="1">
      <alignment horizontal="centerContinuous"/>
    </xf>
    <xf numFmtId="0" fontId="156" fillId="0" borderId="107" xfId="0" applyFont="1" applyBorder="1" applyAlignment="1">
      <alignment horizontal="centerContinuous"/>
    </xf>
    <xf numFmtId="43" fontId="156" fillId="0" borderId="108" xfId="0" applyNumberFormat="1" applyFont="1" applyBorder="1" applyAlignment="1">
      <alignment horizontal="center"/>
    </xf>
    <xf numFmtId="43" fontId="156" fillId="0" borderId="110" xfId="0" applyNumberFormat="1" applyFont="1" applyBorder="1" applyAlignment="1">
      <alignment horizontal="center"/>
    </xf>
    <xf numFmtId="0" fontId="156" fillId="0" borderId="111" xfId="0" applyFont="1" applyBorder="1" applyAlignment="1">
      <alignment horizontal="center"/>
    </xf>
    <xf numFmtId="0" fontId="156" fillId="0" borderId="60" xfId="0" applyFont="1" applyBorder="1" applyAlignment="1">
      <alignment horizontal="center"/>
    </xf>
    <xf numFmtId="0" fontId="156" fillId="0" borderId="13" xfId="0" applyFont="1" applyBorder="1" applyAlignment="1">
      <alignment horizontal="center"/>
    </xf>
    <xf numFmtId="0" fontId="156" fillId="0" borderId="44" xfId="0" applyFont="1" applyBorder="1" applyAlignment="1">
      <alignment horizontal="center"/>
    </xf>
    <xf numFmtId="0" fontId="156" fillId="0" borderId="93" xfId="0" applyFont="1" applyBorder="1" applyAlignment="1">
      <alignment horizontal="center"/>
    </xf>
    <xf numFmtId="164" fontId="156" fillId="0" borderId="6" xfId="0" applyNumberFormat="1" applyFont="1" applyBorder="1" applyAlignment="1">
      <alignment horizontal="right"/>
    </xf>
    <xf numFmtId="164" fontId="28" fillId="0" borderId="0" xfId="0" applyNumberFormat="1" applyFont="1"/>
    <xf numFmtId="0" fontId="156" fillId="0" borderId="44" xfId="0" applyFont="1" applyFill="1" applyBorder="1" applyAlignment="1">
      <alignment horizontal="center"/>
    </xf>
    <xf numFmtId="164" fontId="244" fillId="0" borderId="0" xfId="0" applyNumberFormat="1" applyFont="1" applyAlignment="1">
      <alignment horizontal="right"/>
    </xf>
    <xf numFmtId="0" fontId="156" fillId="0" borderId="112" xfId="0" applyFont="1" applyBorder="1" applyAlignment="1">
      <alignment horizontal="justify" vertical="center" wrapText="1"/>
    </xf>
    <xf numFmtId="0" fontId="168" fillId="0" borderId="0" xfId="0" applyFont="1" applyFill="1" applyBorder="1" applyAlignment="1">
      <alignment horizontal="left"/>
    </xf>
    <xf numFmtId="0" fontId="168" fillId="72" borderId="75" xfId="0" applyFont="1" applyFill="1" applyBorder="1" applyAlignment="1">
      <alignment horizontal="left"/>
    </xf>
    <xf numFmtId="0" fontId="168" fillId="72" borderId="75" xfId="0" applyFont="1" applyFill="1" applyBorder="1" applyAlignment="1">
      <alignment horizontal="center"/>
    </xf>
    <xf numFmtId="8" fontId="28" fillId="0" borderId="0" xfId="0" applyNumberFormat="1" applyFont="1" applyFill="1" applyBorder="1"/>
    <xf numFmtId="0" fontId="235" fillId="0" borderId="31" xfId="0" applyFont="1" applyBorder="1"/>
    <xf numFmtId="43" fontId="156" fillId="74" borderId="0" xfId="0" applyNumberFormat="1" applyFont="1" applyFill="1" applyAlignment="1">
      <alignment horizontal="center"/>
    </xf>
    <xf numFmtId="165" fontId="193" fillId="71" borderId="41" xfId="0" applyNumberFormat="1" applyFont="1" applyFill="1" applyBorder="1" applyAlignment="1">
      <alignment horizontal="center"/>
    </xf>
    <xf numFmtId="165" fontId="69" fillId="0" borderId="66" xfId="12049" applyNumberFormat="1" applyFont="1" applyBorder="1" applyAlignment="1">
      <alignment horizontal="right"/>
    </xf>
    <xf numFmtId="165" fontId="245" fillId="0" borderId="66" xfId="12049" applyNumberFormat="1" applyFont="1" applyBorder="1" applyAlignment="1">
      <alignment horizontal="right"/>
    </xf>
    <xf numFmtId="164" fontId="158" fillId="73" borderId="0" xfId="0" applyNumberFormat="1" applyFont="1" applyFill="1" applyProtection="1"/>
    <xf numFmtId="164" fontId="188" fillId="70" borderId="0" xfId="0" applyNumberFormat="1" applyFont="1" applyFill="1" applyAlignment="1">
      <alignment horizontal="right"/>
    </xf>
    <xf numFmtId="0" fontId="156" fillId="74" borderId="0" xfId="0" quotePrefix="1" applyFont="1" applyFill="1" applyAlignment="1">
      <alignment horizontal="left"/>
    </xf>
    <xf numFmtId="0" fontId="156" fillId="0" borderId="0" xfId="0" quotePrefix="1" applyFont="1" applyAlignment="1">
      <alignment horizontal="right"/>
    </xf>
    <xf numFmtId="0" fontId="156" fillId="0" borderId="0" xfId="0" quotePrefix="1" applyFont="1" applyFill="1" applyAlignment="1">
      <alignment horizontal="right"/>
    </xf>
    <xf numFmtId="0" fontId="156" fillId="0" borderId="0" xfId="20381" applyFont="1"/>
    <xf numFmtId="0" fontId="156" fillId="0" borderId="0" xfId="20381" applyFont="1" applyAlignment="1">
      <alignment horizontal="center"/>
    </xf>
    <xf numFmtId="165" fontId="188" fillId="0" borderId="0" xfId="20381" applyNumberFormat="1" applyFont="1" applyFill="1" applyAlignment="1">
      <alignment horizontal="center"/>
    </xf>
    <xf numFmtId="165" fontId="188" fillId="0" borderId="0" xfId="20381" applyNumberFormat="1" applyFont="1" applyAlignment="1">
      <alignment horizontal="center"/>
    </xf>
    <xf numFmtId="0" fontId="174" fillId="0" borderId="0" xfId="20381" applyFont="1" applyFill="1"/>
    <xf numFmtId="165" fontId="156" fillId="0" borderId="0" xfId="20381" applyNumberFormat="1" applyFont="1"/>
    <xf numFmtId="165" fontId="188" fillId="0" borderId="0" xfId="20381" applyNumberFormat="1" applyFont="1" applyFill="1" applyBorder="1" applyAlignment="1">
      <alignment horizontal="center"/>
    </xf>
    <xf numFmtId="0" fontId="161" fillId="0" borderId="0" xfId="20381" applyFont="1"/>
    <xf numFmtId="0" fontId="156" fillId="0" borderId="108" xfId="0" applyFont="1" applyBorder="1" applyAlignment="1">
      <alignment horizontal="center"/>
    </xf>
    <xf numFmtId="0" fontId="130" fillId="70" borderId="110" xfId="0" applyFont="1" applyFill="1" applyBorder="1"/>
    <xf numFmtId="0" fontId="156" fillId="73" borderId="110" xfId="0" applyFont="1" applyFill="1" applyBorder="1" applyAlignment="1">
      <alignment horizontal="center"/>
    </xf>
    <xf numFmtId="341" fontId="156" fillId="73" borderId="111" xfId="0" applyNumberFormat="1" applyFont="1" applyFill="1" applyBorder="1" applyAlignment="1">
      <alignment horizontal="right"/>
    </xf>
    <xf numFmtId="0" fontId="130" fillId="70" borderId="44" xfId="0" applyFont="1" applyFill="1" applyBorder="1"/>
    <xf numFmtId="0" fontId="156" fillId="73" borderId="44" xfId="0" applyFont="1" applyFill="1" applyBorder="1" applyAlignment="1">
      <alignment horizontal="center"/>
    </xf>
    <xf numFmtId="341" fontId="156" fillId="73" borderId="93" xfId="0" applyNumberFormat="1" applyFont="1" applyFill="1" applyBorder="1" applyAlignment="1">
      <alignment horizontal="right"/>
    </xf>
    <xf numFmtId="165" fontId="158" fillId="71" borderId="13" xfId="12422" applyNumberFormat="1" applyFont="1" applyFill="1" applyBorder="1"/>
    <xf numFmtId="0" fontId="158" fillId="71" borderId="113" xfId="0" applyFont="1" applyFill="1" applyBorder="1"/>
    <xf numFmtId="0" fontId="159" fillId="0" borderId="0" xfId="0" applyFont="1" applyFill="1" applyBorder="1" applyAlignment="1">
      <alignment horizontal="left"/>
    </xf>
    <xf numFmtId="0" fontId="159" fillId="0" borderId="114" xfId="0" applyFont="1" applyFill="1" applyBorder="1" applyAlignment="1">
      <alignment horizontal="left"/>
    </xf>
    <xf numFmtId="165" fontId="158" fillId="71" borderId="117" xfId="12422" applyNumberFormat="1" applyFont="1" applyFill="1" applyBorder="1"/>
    <xf numFmtId="0" fontId="28" fillId="0" borderId="0" xfId="0" quotePrefix="1" applyFont="1" applyFill="1" applyAlignment="1">
      <alignment horizontal="right" vertical="top"/>
    </xf>
    <xf numFmtId="0" fontId="28" fillId="0" borderId="0" xfId="0" quotePrefix="1" applyFont="1" applyFill="1" applyAlignment="1">
      <alignment horizontal="left"/>
    </xf>
    <xf numFmtId="0" fontId="156" fillId="0" borderId="115" xfId="0" applyFont="1" applyBorder="1"/>
    <xf numFmtId="233" fontId="188" fillId="0" borderId="116" xfId="0" applyNumberFormat="1" applyFont="1" applyBorder="1" applyAlignment="1">
      <alignment horizontal="right"/>
    </xf>
    <xf numFmtId="0" fontId="156" fillId="0" borderId="118" xfId="0" applyFont="1" applyBorder="1"/>
    <xf numFmtId="164" fontId="236" fillId="0" borderId="0" xfId="0" applyNumberFormat="1" applyFont="1" applyAlignment="1">
      <alignment horizontal="right"/>
    </xf>
    <xf numFmtId="191" fontId="236" fillId="0" borderId="0" xfId="0" applyNumberFormat="1" applyFont="1" applyAlignment="1">
      <alignment horizontal="right"/>
    </xf>
    <xf numFmtId="165" fontId="236" fillId="0" borderId="0" xfId="12422" applyNumberFormat="1" applyFont="1" applyAlignment="1">
      <alignment horizontal="right"/>
    </xf>
    <xf numFmtId="167" fontId="236" fillId="0" borderId="0" xfId="12427" applyNumberFormat="1" applyFont="1" applyAlignment="1">
      <alignment horizontal="right"/>
    </xf>
    <xf numFmtId="0" fontId="156" fillId="0" borderId="0" xfId="0" quotePrefix="1" applyFont="1" applyAlignment="1">
      <alignment horizontal="left"/>
    </xf>
    <xf numFmtId="0" fontId="168" fillId="72" borderId="115" xfId="0" applyFont="1" applyFill="1" applyBorder="1" applyAlignment="1">
      <alignment horizontal="centerContinuous"/>
    </xf>
    <xf numFmtId="0" fontId="173" fillId="0" borderId="0" xfId="20303" applyNumberFormat="1" applyFont="1" applyFill="1" applyBorder="1" applyAlignment="1">
      <alignment horizontal="center" wrapText="1"/>
    </xf>
    <xf numFmtId="0" fontId="173" fillId="0" borderId="0" xfId="20303" applyNumberFormat="1" applyFont="1" applyFill="1" applyBorder="1" applyAlignment="1">
      <alignment horizontal="left" wrapText="1"/>
    </xf>
    <xf numFmtId="0" fontId="173" fillId="0" borderId="0" xfId="20303" applyNumberFormat="1" applyFont="1" applyFill="1" applyBorder="1" applyAlignment="1">
      <alignment horizontal="right" wrapText="1"/>
    </xf>
    <xf numFmtId="0" fontId="28" fillId="0" borderId="0" xfId="11846" applyFont="1" applyFill="1" applyBorder="1" applyAlignment="1">
      <alignment horizontal="left"/>
    </xf>
    <xf numFmtId="0" fontId="28" fillId="0" borderId="0" xfId="11846" applyFont="1" applyFill="1" applyBorder="1" applyAlignment="1">
      <alignment horizontal="left" wrapText="1" indent="1"/>
    </xf>
    <xf numFmtId="309" fontId="28" fillId="0" borderId="0" xfId="11846" applyNumberFormat="1" applyFont="1" applyFill="1" applyBorder="1" applyAlignment="1">
      <alignment horizontal="right"/>
    </xf>
    <xf numFmtId="0" fontId="158" fillId="71" borderId="121" xfId="0" applyFont="1" applyFill="1" applyBorder="1"/>
    <xf numFmtId="0" fontId="156" fillId="71" borderId="122" xfId="0" applyFont="1" applyFill="1" applyBorder="1"/>
    <xf numFmtId="165" fontId="158" fillId="71" borderId="123" xfId="0" applyNumberFormat="1" applyFont="1" applyFill="1" applyBorder="1"/>
    <xf numFmtId="167" fontId="158" fillId="71" borderId="0" xfId="12427" applyNumberFormat="1" applyFont="1" applyFill="1" applyBorder="1"/>
    <xf numFmtId="167" fontId="158" fillId="71" borderId="44" xfId="12427" applyNumberFormat="1" applyFont="1" applyFill="1" applyBorder="1"/>
    <xf numFmtId="43" fontId="246" fillId="68" borderId="55" xfId="11155" applyFont="1" applyFill="1" applyBorder="1" applyAlignment="1"/>
    <xf numFmtId="43" fontId="235" fillId="0" borderId="0" xfId="12427" applyFont="1"/>
    <xf numFmtId="43" fontId="246" fillId="68" borderId="0" xfId="11155" applyFont="1" applyFill="1" applyBorder="1" applyAlignment="1"/>
    <xf numFmtId="43" fontId="246" fillId="68" borderId="56" xfId="11155" applyFont="1" applyFill="1" applyBorder="1" applyAlignment="1"/>
    <xf numFmtId="242" fontId="156" fillId="0" borderId="0" xfId="0" applyNumberFormat="1" applyFont="1" applyFill="1" applyAlignment="1">
      <alignment horizontal="right"/>
    </xf>
    <xf numFmtId="0" fontId="158" fillId="71" borderId="60" xfId="11807" applyFont="1" applyFill="1" applyBorder="1"/>
    <xf numFmtId="0" fontId="156" fillId="71" borderId="0" xfId="11807" applyFont="1" applyFill="1" applyBorder="1"/>
    <xf numFmtId="167" fontId="158" fillId="71" borderId="13" xfId="12427" applyNumberFormat="1" applyFont="1" applyFill="1" applyBorder="1"/>
    <xf numFmtId="0" fontId="156" fillId="71" borderId="44" xfId="11807" applyFont="1" applyFill="1" applyBorder="1"/>
    <xf numFmtId="167" fontId="158" fillId="71" borderId="93" xfId="12427" applyNumberFormat="1" applyFont="1" applyFill="1" applyBorder="1"/>
    <xf numFmtId="169" fontId="158" fillId="71" borderId="122" xfId="0" applyNumberFormat="1" applyFont="1" applyFill="1" applyBorder="1"/>
    <xf numFmtId="0" fontId="158" fillId="71" borderId="122" xfId="0" applyFont="1" applyFill="1" applyBorder="1"/>
    <xf numFmtId="169" fontId="158" fillId="71" borderId="123" xfId="0" applyNumberFormat="1" applyFont="1" applyFill="1" applyBorder="1"/>
    <xf numFmtId="0" fontId="156" fillId="0" borderId="119" xfId="0" applyFont="1" applyBorder="1"/>
    <xf numFmtId="233" fontId="188" fillId="0" borderId="120" xfId="0" applyNumberFormat="1" applyFont="1" applyBorder="1" applyAlignment="1">
      <alignment horizontal="right"/>
    </xf>
    <xf numFmtId="165" fontId="158" fillId="71" borderId="122" xfId="0" applyNumberFormat="1" applyFont="1" applyFill="1" applyBorder="1"/>
    <xf numFmtId="233" fontId="158" fillId="71" borderId="122" xfId="0" applyNumberFormat="1" applyFont="1" applyFill="1" applyBorder="1"/>
    <xf numFmtId="10" fontId="158" fillId="71" borderId="122" xfId="0" applyNumberFormat="1" applyFont="1" applyFill="1" applyBorder="1"/>
    <xf numFmtId="10" fontId="159" fillId="71" borderId="122" xfId="0" applyNumberFormat="1" applyFont="1" applyFill="1" applyBorder="1"/>
    <xf numFmtId="165" fontId="159" fillId="71" borderId="122" xfId="0" applyNumberFormat="1" applyFont="1" applyFill="1" applyBorder="1"/>
    <xf numFmtId="0" fontId="159" fillId="71" borderId="122" xfId="0" applyFont="1" applyFill="1" applyBorder="1"/>
    <xf numFmtId="168" fontId="158" fillId="71" borderId="122" xfId="0" applyNumberFormat="1" applyFont="1" applyFill="1" applyBorder="1" applyAlignment="1">
      <alignment horizontal="right"/>
    </xf>
    <xf numFmtId="168" fontId="159" fillId="71" borderId="122" xfId="0" applyNumberFormat="1" applyFont="1" applyFill="1" applyBorder="1" applyAlignment="1">
      <alignment horizontal="right"/>
    </xf>
    <xf numFmtId="165" fontId="159" fillId="71" borderId="123" xfId="0" applyNumberFormat="1" applyFont="1" applyFill="1" applyBorder="1" applyAlignment="1">
      <alignment horizontal="right"/>
    </xf>
    <xf numFmtId="10" fontId="158" fillId="71" borderId="44" xfId="0" applyNumberFormat="1" applyFont="1" applyFill="1" applyBorder="1"/>
    <xf numFmtId="10" fontId="159" fillId="71" borderId="44" xfId="0" applyNumberFormat="1" applyFont="1" applyFill="1" applyBorder="1"/>
    <xf numFmtId="165" fontId="159" fillId="71" borderId="44" xfId="0" applyNumberFormat="1" applyFont="1" applyFill="1" applyBorder="1"/>
    <xf numFmtId="0" fontId="159" fillId="71" borderId="44" xfId="0" applyFont="1" applyFill="1" applyBorder="1"/>
    <xf numFmtId="168" fontId="158" fillId="71" borderId="44" xfId="0" applyNumberFormat="1" applyFont="1" applyFill="1" applyBorder="1" applyAlignment="1">
      <alignment horizontal="right"/>
    </xf>
    <xf numFmtId="168" fontId="159" fillId="71" borderId="44" xfId="0" applyNumberFormat="1" applyFont="1" applyFill="1" applyBorder="1" applyAlignment="1">
      <alignment horizontal="right"/>
    </xf>
    <xf numFmtId="165" fontId="159" fillId="71" borderId="93" xfId="0" applyNumberFormat="1" applyFont="1" applyFill="1" applyBorder="1" applyAlignment="1">
      <alignment horizontal="right"/>
    </xf>
    <xf numFmtId="10" fontId="156" fillId="71" borderId="44" xfId="0" applyNumberFormat="1" applyFont="1" applyFill="1" applyBorder="1"/>
    <xf numFmtId="169" fontId="188" fillId="0" borderId="0" xfId="0" applyNumberFormat="1" applyFont="1" applyAlignment="1">
      <alignment horizontal="right"/>
    </xf>
    <xf numFmtId="0" fontId="156" fillId="0" borderId="121" xfId="0" applyFont="1" applyBorder="1"/>
    <xf numFmtId="0" fontId="156" fillId="0" borderId="123" xfId="0" applyFont="1" applyBorder="1"/>
    <xf numFmtId="8" fontId="236" fillId="0" borderId="13" xfId="0" applyNumberFormat="1" applyFont="1" applyBorder="1"/>
    <xf numFmtId="167" fontId="188" fillId="0" borderId="93" xfId="12427" applyNumberFormat="1" applyFont="1" applyBorder="1"/>
    <xf numFmtId="0" fontId="235" fillId="0" borderId="121" xfId="0" applyFont="1" applyBorder="1"/>
    <xf numFmtId="0" fontId="235" fillId="0" borderId="123" xfId="0" applyFont="1" applyBorder="1"/>
    <xf numFmtId="8" fontId="156" fillId="0" borderId="120" xfId="0" applyNumberFormat="1" applyFont="1" applyBorder="1"/>
    <xf numFmtId="0" fontId="174" fillId="0" borderId="44" xfId="0" applyFont="1" applyFill="1" applyBorder="1" applyAlignment="1">
      <alignment horizontal="left"/>
    </xf>
    <xf numFmtId="165" fontId="28" fillId="0" borderId="0" xfId="0" applyNumberFormat="1" applyFont="1" applyFill="1" applyAlignment="1"/>
    <xf numFmtId="165" fontId="188" fillId="0" borderId="0" xfId="0" applyNumberFormat="1" applyFont="1" applyFill="1" applyAlignment="1"/>
    <xf numFmtId="0" fontId="158" fillId="0" borderId="44" xfId="0" applyFont="1" applyFill="1" applyBorder="1" applyAlignment="1">
      <alignment horizontal="center" wrapText="1"/>
    </xf>
    <xf numFmtId="169" fontId="28" fillId="0" borderId="0" xfId="0" applyNumberFormat="1" applyFont="1" applyAlignment="1">
      <alignment horizontal="right"/>
    </xf>
    <xf numFmtId="233" fontId="156" fillId="0" borderId="0" xfId="20306" applyNumberFormat="1" applyFont="1" applyFill="1" applyAlignment="1">
      <alignment horizontal="right" vertical="top"/>
    </xf>
    <xf numFmtId="0" fontId="158" fillId="0" borderId="119" xfId="0" applyFont="1" applyBorder="1" applyAlignment="1">
      <alignment horizontal="centerContinuous" wrapText="1"/>
    </xf>
    <xf numFmtId="0" fontId="156" fillId="0" borderId="120" xfId="0" applyFont="1" applyBorder="1" applyAlignment="1">
      <alignment horizontal="centerContinuous"/>
    </xf>
    <xf numFmtId="165" fontId="156" fillId="0" borderId="123" xfId="12422" applyNumberFormat="1" applyFont="1" applyBorder="1" applyAlignment="1">
      <alignment horizontal="center"/>
    </xf>
    <xf numFmtId="165" fontId="156" fillId="0" borderId="13" xfId="12422" applyNumberFormat="1" applyFont="1" applyBorder="1" applyAlignment="1">
      <alignment horizontal="center"/>
    </xf>
    <xf numFmtId="165" fontId="156" fillId="0" borderId="93" xfId="12422" applyNumberFormat="1" applyFont="1" applyBorder="1" applyAlignment="1">
      <alignment horizontal="center"/>
    </xf>
    <xf numFmtId="165" fontId="159" fillId="0" borderId="93" xfId="0" applyNumberFormat="1" applyFont="1" applyFill="1" applyBorder="1" applyAlignment="1">
      <alignment horizontal="center"/>
    </xf>
    <xf numFmtId="0" fontId="158" fillId="0" borderId="0" xfId="0" applyFont="1" applyFill="1" applyBorder="1" applyAlignment="1">
      <alignment horizontal="left"/>
    </xf>
    <xf numFmtId="0" fontId="158" fillId="0" borderId="75" xfId="0" applyFont="1" applyBorder="1"/>
    <xf numFmtId="0" fontId="156" fillId="0" borderId="75" xfId="0" applyFont="1" applyBorder="1"/>
    <xf numFmtId="164" fontId="156" fillId="0" borderId="75" xfId="0" applyNumberFormat="1" applyFont="1" applyBorder="1"/>
    <xf numFmtId="0" fontId="156" fillId="0" borderId="75" xfId="0" applyFont="1" applyBorder="1" applyAlignment="1">
      <alignment wrapText="1"/>
    </xf>
    <xf numFmtId="14" fontId="156" fillId="0" borderId="75" xfId="0" applyNumberFormat="1" applyFont="1" applyBorder="1"/>
    <xf numFmtId="0" fontId="156" fillId="0" borderId="0" xfId="0" quotePrefix="1" applyFont="1" applyAlignment="1">
      <alignment horizontal="right" vertical="top"/>
    </xf>
    <xf numFmtId="165" fontId="156" fillId="0" borderId="121" xfId="12422" applyNumberFormat="1" applyFont="1" applyBorder="1"/>
    <xf numFmtId="0" fontId="156" fillId="0" borderId="122" xfId="0" applyFont="1" applyBorder="1"/>
    <xf numFmtId="165" fontId="156" fillId="0" borderId="60" xfId="12422" applyNumberFormat="1" applyFont="1" applyBorder="1"/>
    <xf numFmtId="0" fontId="247" fillId="0" borderId="13" xfId="0" applyFont="1" applyBorder="1"/>
    <xf numFmtId="0" fontId="235" fillId="0" borderId="60" xfId="0" applyFont="1" applyBorder="1"/>
    <xf numFmtId="0" fontId="235" fillId="0" borderId="10" xfId="0" applyFont="1" applyBorder="1"/>
    <xf numFmtId="22" fontId="156" fillId="0" borderId="0" xfId="0" applyNumberFormat="1" applyFont="1" applyAlignment="1">
      <alignment horizontal="left"/>
    </xf>
    <xf numFmtId="0" fontId="28" fillId="0" borderId="60" xfId="0" applyFont="1" applyFill="1" applyBorder="1"/>
    <xf numFmtId="165" fontId="28" fillId="0" borderId="0" xfId="0" applyNumberFormat="1" applyFont="1" applyFill="1" applyBorder="1" applyAlignment="1">
      <alignment horizontal="center"/>
    </xf>
    <xf numFmtId="0" fontId="28" fillId="0" borderId="44" xfId="0" applyFont="1" applyBorder="1"/>
    <xf numFmtId="271" fontId="159" fillId="0" borderId="0" xfId="0" applyNumberFormat="1" applyFont="1" applyBorder="1"/>
    <xf numFmtId="0" fontId="28" fillId="0" borderId="0" xfId="0" applyFont="1" applyBorder="1"/>
    <xf numFmtId="0" fontId="28" fillId="0" borderId="0" xfId="0" applyNumberFormat="1" applyFont="1"/>
    <xf numFmtId="169" fontId="159" fillId="0" borderId="0" xfId="0" applyNumberFormat="1" applyFont="1"/>
    <xf numFmtId="0" fontId="159" fillId="0" borderId="0" xfId="0" applyFont="1"/>
    <xf numFmtId="169" fontId="28" fillId="74" borderId="0" xfId="0" applyNumberFormat="1" applyFont="1" applyFill="1" applyBorder="1"/>
    <xf numFmtId="0" fontId="157" fillId="72" borderId="77" xfId="0" applyFont="1" applyFill="1" applyBorder="1" applyAlignment="1">
      <alignment horizontal="center"/>
    </xf>
    <xf numFmtId="0" fontId="156" fillId="75" borderId="0" xfId="0" applyFont="1" applyFill="1" applyAlignment="1">
      <alignment horizontal="right"/>
    </xf>
    <xf numFmtId="0" fontId="156" fillId="0" borderId="0" xfId="0" applyFont="1" applyFill="1" applyAlignment="1">
      <alignment horizontal="right"/>
    </xf>
    <xf numFmtId="165" fontId="130" fillId="0" borderId="0" xfId="0" applyNumberFormat="1" applyFont="1" applyAlignment="1">
      <alignment horizontal="right"/>
    </xf>
    <xf numFmtId="0" fontId="236" fillId="0" borderId="0" xfId="0" applyFont="1" applyAlignment="1">
      <alignment horizontal="right"/>
    </xf>
    <xf numFmtId="169" fontId="234" fillId="0" borderId="0" xfId="0" applyNumberFormat="1" applyFont="1" applyAlignment="1">
      <alignment horizontal="right"/>
    </xf>
    <xf numFmtId="0" fontId="28" fillId="71" borderId="34" xfId="0" applyFont="1" applyFill="1" applyBorder="1" applyAlignment="1">
      <alignment horizontal="right"/>
    </xf>
    <xf numFmtId="169" fontId="159" fillId="71" borderId="34" xfId="0" applyNumberFormat="1" applyFont="1" applyFill="1" applyBorder="1" applyAlignment="1">
      <alignment horizontal="right"/>
    </xf>
    <xf numFmtId="0" fontId="159" fillId="71" borderId="34" xfId="0" applyFont="1" applyFill="1" applyBorder="1" applyAlignment="1">
      <alignment horizontal="right"/>
    </xf>
    <xf numFmtId="165" fontId="159" fillId="71" borderId="41" xfId="0" applyNumberFormat="1" applyFont="1" applyFill="1" applyBorder="1" applyAlignment="1">
      <alignment horizontal="right"/>
    </xf>
    <xf numFmtId="0" fontId="158" fillId="71" borderId="34" xfId="0" applyFont="1" applyFill="1" applyBorder="1" applyAlignment="1">
      <alignment horizontal="right"/>
    </xf>
    <xf numFmtId="165" fontId="171" fillId="71" borderId="41" xfId="0" applyNumberFormat="1" applyFont="1" applyFill="1" applyBorder="1" applyAlignment="1">
      <alignment horizontal="right"/>
    </xf>
    <xf numFmtId="0" fontId="157" fillId="72" borderId="76" xfId="0" applyFont="1" applyFill="1" applyBorder="1" applyAlignment="1">
      <alignment horizontal="center"/>
    </xf>
    <xf numFmtId="0" fontId="168" fillId="72" borderId="121" xfId="0" applyFont="1" applyFill="1" applyBorder="1" applyAlignment="1">
      <alignment horizontal="centerContinuous"/>
    </xf>
    <xf numFmtId="0" fontId="168" fillId="72" borderId="104" xfId="0" applyFont="1" applyFill="1" applyBorder="1" applyAlignment="1">
      <alignment horizontal="centerContinuous"/>
    </xf>
    <xf numFmtId="0" fontId="159" fillId="0" borderId="119" xfId="0" applyFont="1" applyFill="1" applyBorder="1" applyAlignment="1">
      <alignment horizontal="right" wrapText="1"/>
    </xf>
    <xf numFmtId="0" fontId="159" fillId="0" borderId="124" xfId="0" applyFont="1" applyFill="1" applyBorder="1" applyAlignment="1">
      <alignment horizontal="right" wrapText="1"/>
    </xf>
    <xf numFmtId="169" fontId="158" fillId="71" borderId="124" xfId="0" applyNumberFormat="1" applyFont="1" applyFill="1" applyBorder="1"/>
    <xf numFmtId="10" fontId="156" fillId="0" borderId="0" xfId="12422" applyNumberFormat="1" applyFont="1"/>
    <xf numFmtId="165" fontId="28" fillId="0" borderId="0" xfId="12422" applyNumberFormat="1" applyFont="1" applyAlignment="1">
      <alignment horizontal="right"/>
    </xf>
    <xf numFmtId="0" fontId="156" fillId="74" borderId="0" xfId="0" applyFont="1" applyFill="1" applyAlignment="1">
      <alignment horizontal="left"/>
    </xf>
    <xf numFmtId="0" fontId="156" fillId="74" borderId="0" xfId="0" quotePrefix="1" applyFont="1" applyFill="1" applyAlignment="1">
      <alignment horizontal="right"/>
    </xf>
    <xf numFmtId="0" fontId="28" fillId="74" borderId="0" xfId="0" applyFont="1" applyFill="1"/>
    <xf numFmtId="0" fontId="248" fillId="0" borderId="0" xfId="12421" applyFont="1" applyAlignment="1">
      <alignment horizontal="center"/>
    </xf>
    <xf numFmtId="0" fontId="28" fillId="0" borderId="0" xfId="11807" applyFont="1" applyFill="1"/>
    <xf numFmtId="0" fontId="241" fillId="0" borderId="4" xfId="0" applyFont="1" applyBorder="1" applyAlignment="1">
      <alignment wrapText="1"/>
    </xf>
    <xf numFmtId="0" fontId="156" fillId="0" borderId="5" xfId="0" applyFont="1" applyBorder="1" applyAlignment="1">
      <alignment wrapText="1"/>
    </xf>
    <xf numFmtId="0" fontId="130" fillId="0" borderId="5" xfId="0" applyFont="1" applyBorder="1" applyAlignment="1">
      <alignment wrapText="1"/>
    </xf>
    <xf numFmtId="0" fontId="130" fillId="0" borderId="6" xfId="0" applyFont="1" applyBorder="1" applyAlignment="1">
      <alignment wrapText="1"/>
    </xf>
    <xf numFmtId="0" fontId="249" fillId="0" borderId="0" xfId="0" applyFont="1" applyAlignment="1">
      <alignment horizontal="left" indent="2"/>
    </xf>
    <xf numFmtId="0" fontId="156" fillId="0" borderId="33" xfId="0" applyFont="1" applyBorder="1" applyAlignment="1">
      <alignment wrapText="1"/>
    </xf>
    <xf numFmtId="0" fontId="156" fillId="0" borderId="34" xfId="0" applyFont="1" applyBorder="1" applyAlignment="1">
      <alignment wrapText="1"/>
    </xf>
    <xf numFmtId="0" fontId="130" fillId="0" borderId="34" xfId="0" applyFont="1" applyBorder="1" applyAlignment="1">
      <alignment wrapText="1"/>
    </xf>
    <xf numFmtId="0" fontId="130" fillId="0" borderId="41" xfId="0" applyFont="1" applyBorder="1" applyAlignment="1">
      <alignment wrapText="1"/>
    </xf>
    <xf numFmtId="0" fontId="158" fillId="0" borderId="33" xfId="0" applyFont="1" applyBorder="1"/>
    <xf numFmtId="169" fontId="250" fillId="0" borderId="34" xfId="0" applyNumberFormat="1" applyFont="1" applyBorder="1"/>
    <xf numFmtId="169" fontId="250" fillId="0" borderId="41" xfId="0" applyNumberFormat="1" applyFont="1" applyBorder="1"/>
    <xf numFmtId="0" fontId="28" fillId="0" borderId="30" xfId="0" applyFont="1" applyBorder="1" applyAlignment="1">
      <alignment horizontal="center"/>
    </xf>
    <xf numFmtId="8" fontId="156" fillId="0" borderId="0" xfId="0" applyNumberFormat="1" applyFont="1" applyBorder="1"/>
    <xf numFmtId="165" fontId="194" fillId="0" borderId="0" xfId="12422" applyNumberFormat="1" applyFont="1"/>
    <xf numFmtId="167" fontId="156" fillId="0" borderId="126" xfId="0" applyNumberFormat="1" applyFont="1" applyBorder="1"/>
    <xf numFmtId="165" fontId="156" fillId="0" borderId="126" xfId="12422" applyNumberFormat="1" applyFont="1" applyBorder="1"/>
    <xf numFmtId="0" fontId="236" fillId="0" borderId="0" xfId="20381" applyFont="1"/>
    <xf numFmtId="0" fontId="168" fillId="72" borderId="119" xfId="20388" applyFont="1" applyFill="1" applyBorder="1" applyAlignment="1">
      <alignment horizontal="right" wrapText="1"/>
    </xf>
    <xf numFmtId="0" fontId="168" fillId="72" borderId="125" xfId="20388" applyFont="1" applyFill="1" applyBorder="1" applyAlignment="1">
      <alignment horizontal="right" wrapText="1"/>
    </xf>
    <xf numFmtId="165" fontId="188" fillId="0" borderId="0" xfId="20388" applyNumberFormat="1" applyFont="1" applyFill="1" applyAlignment="1">
      <alignment vertical="center"/>
    </xf>
    <xf numFmtId="0" fontId="156" fillId="0" borderId="0" xfId="20388" applyFont="1" applyAlignment="1">
      <alignment horizontal="left" vertical="center"/>
    </xf>
    <xf numFmtId="165" fontId="156" fillId="0" borderId="0" xfId="20388" applyNumberFormat="1" applyFont="1" applyFill="1" applyAlignment="1">
      <alignment vertical="center"/>
    </xf>
    <xf numFmtId="165" fontId="188" fillId="0" borderId="0" xfId="20388" applyNumberFormat="1" applyFont="1" applyFill="1" applyAlignment="1">
      <alignment horizontal="right" vertical="center"/>
    </xf>
    <xf numFmtId="165" fontId="28" fillId="0" borderId="0" xfId="0" applyNumberFormat="1" applyFont="1" applyFill="1" applyAlignment="1">
      <alignment horizontal="right" vertical="center"/>
    </xf>
    <xf numFmtId="165" fontId="156" fillId="0" borderId="0" xfId="20388" applyNumberFormat="1" applyFont="1" applyFill="1" applyAlignment="1">
      <alignment horizontal="right" vertical="center"/>
    </xf>
    <xf numFmtId="0" fontId="156" fillId="0" borderId="0" xfId="20388" applyFont="1" applyAlignment="1">
      <alignment vertical="center"/>
    </xf>
    <xf numFmtId="165" fontId="28" fillId="0" borderId="0" xfId="20388" applyNumberFormat="1" applyFont="1" applyFill="1" applyAlignment="1">
      <alignment vertical="center"/>
    </xf>
    <xf numFmtId="164" fontId="188" fillId="0" borderId="0" xfId="0" applyNumberFormat="1" applyFont="1" applyFill="1" applyAlignment="1">
      <alignment horizontal="right"/>
    </xf>
    <xf numFmtId="0" fontId="168" fillId="0" borderId="0" xfId="0" applyFont="1" applyFill="1" applyBorder="1" applyAlignment="1">
      <alignment horizontal="left" vertical="center" wrapText="1"/>
    </xf>
    <xf numFmtId="0" fontId="168" fillId="0" borderId="0" xfId="0" applyFont="1" applyFill="1" applyBorder="1" applyAlignment="1">
      <alignment horizontal="right" vertical="center" wrapText="1"/>
    </xf>
    <xf numFmtId="0" fontId="158" fillId="0" borderId="0" xfId="0" applyFont="1" applyFill="1" applyBorder="1" applyAlignment="1">
      <alignment horizontal="center" wrapText="1"/>
    </xf>
    <xf numFmtId="165" fontId="156" fillId="29" borderId="0" xfId="0" applyNumberFormat="1" applyFont="1" applyFill="1" applyBorder="1" applyAlignment="1"/>
    <xf numFmtId="0" fontId="156" fillId="0" borderId="0" xfId="0" applyFont="1" applyFill="1" applyBorder="1" applyAlignment="1">
      <alignment horizontal="left"/>
    </xf>
    <xf numFmtId="1" fontId="188" fillId="0" borderId="0" xfId="0" applyNumberFormat="1" applyFont="1" applyFill="1" applyBorder="1" applyAlignment="1">
      <alignment horizontal="center"/>
    </xf>
    <xf numFmtId="165" fontId="156" fillId="0" borderId="0" xfId="0" applyNumberFormat="1" applyFont="1" applyFill="1" applyBorder="1"/>
    <xf numFmtId="165" fontId="156" fillId="0" borderId="13" xfId="0" applyNumberFormat="1" applyFont="1" applyFill="1" applyBorder="1"/>
    <xf numFmtId="0" fontId="174" fillId="0" borderId="0" xfId="0" applyFont="1" applyFill="1" applyBorder="1" applyAlignment="1">
      <alignment horizontal="left"/>
    </xf>
    <xf numFmtId="0" fontId="158" fillId="0" borderId="0" xfId="0" applyFont="1" applyFill="1" applyBorder="1" applyAlignment="1">
      <alignment horizontal="right"/>
    </xf>
    <xf numFmtId="0" fontId="156" fillId="0" borderId="0" xfId="0" quotePrefix="1" applyFont="1" applyFill="1" applyBorder="1"/>
    <xf numFmtId="165" fontId="156" fillId="0" borderId="0" xfId="0" applyNumberFormat="1" applyFont="1" applyBorder="1"/>
    <xf numFmtId="0" fontId="174" fillId="0" borderId="0" xfId="0" applyFont="1" applyBorder="1"/>
    <xf numFmtId="0" fontId="156" fillId="0" borderId="127" xfId="0" applyFont="1" applyBorder="1"/>
    <xf numFmtId="0" fontId="235" fillId="0" borderId="0" xfId="0" applyFont="1" applyFill="1"/>
    <xf numFmtId="0" fontId="158" fillId="0" borderId="0" xfId="0" applyFont="1" applyBorder="1" applyAlignment="1">
      <alignment horizontal="right"/>
    </xf>
    <xf numFmtId="0" fontId="161" fillId="0" borderId="0" xfId="0" applyFont="1" applyFill="1"/>
    <xf numFmtId="0" fontId="156" fillId="0" borderId="60" xfId="0" applyFont="1" applyBorder="1" applyAlignment="1">
      <alignment horizontal="right"/>
    </xf>
    <xf numFmtId="0" fontId="156" fillId="0" borderId="127" xfId="0" applyFont="1" applyBorder="1" applyAlignment="1">
      <alignment horizontal="right"/>
    </xf>
    <xf numFmtId="0" fontId="230" fillId="0" borderId="76" xfId="0" applyFont="1" applyBorder="1" applyAlignment="1">
      <alignment horizontal="centerContinuous"/>
    </xf>
    <xf numFmtId="0" fontId="156" fillId="0" borderId="129" xfId="0" applyFont="1" applyBorder="1" applyAlignment="1">
      <alignment horizontal="centerContinuous"/>
    </xf>
    <xf numFmtId="8" fontId="158" fillId="0" borderId="13" xfId="0" applyNumberFormat="1" applyFont="1" applyBorder="1" applyAlignment="1">
      <alignment horizontal="right"/>
    </xf>
    <xf numFmtId="8" fontId="158" fillId="0" borderId="93" xfId="0" applyNumberFormat="1" applyFont="1" applyBorder="1" applyAlignment="1">
      <alignment horizontal="right"/>
    </xf>
    <xf numFmtId="0" fontId="156" fillId="0" borderId="76" xfId="0" applyFont="1" applyBorder="1" applyAlignment="1">
      <alignment horizontal="centerContinuous"/>
    </xf>
    <xf numFmtId="9" fontId="188" fillId="0" borderId="116" xfId="12422" applyFont="1" applyBorder="1" applyAlignment="1">
      <alignment horizontal="right"/>
    </xf>
    <xf numFmtId="167" fontId="156" fillId="0" borderId="0" xfId="12427" applyNumberFormat="1" applyFont="1" applyFill="1" applyBorder="1" applyAlignment="1">
      <alignment horizontal="center" wrapText="1"/>
    </xf>
    <xf numFmtId="242" fontId="156" fillId="0" borderId="50" xfId="0" applyNumberFormat="1" applyFont="1" applyFill="1" applyBorder="1" applyAlignment="1">
      <alignment horizontal="right"/>
    </xf>
    <xf numFmtId="0" fontId="158" fillId="71" borderId="127" xfId="11807" applyFont="1" applyFill="1" applyBorder="1"/>
    <xf numFmtId="0" fontId="156" fillId="0" borderId="0" xfId="0" applyFont="1" applyAlignment="1">
      <alignment horizontal="center" wrapText="1"/>
    </xf>
    <xf numFmtId="14" fontId="236" fillId="0" borderId="0" xfId="0" applyNumberFormat="1" applyFont="1" applyAlignment="1">
      <alignment horizontal="center"/>
    </xf>
    <xf numFmtId="43" fontId="237" fillId="0" borderId="0" xfId="11155" applyFont="1" applyFill="1" applyBorder="1" applyAlignment="1"/>
    <xf numFmtId="165" fontId="28" fillId="0" borderId="0" xfId="0" applyNumberFormat="1" applyFont="1" applyAlignment="1">
      <alignment horizontal="right"/>
    </xf>
    <xf numFmtId="41" fontId="156" fillId="0" borderId="0" xfId="0" applyNumberFormat="1" applyFont="1" applyAlignment="1">
      <alignment horizontal="right"/>
    </xf>
    <xf numFmtId="0" fontId="156" fillId="73" borderId="0" xfId="0" applyFont="1" applyFill="1" applyAlignment="1">
      <alignment horizontal="center"/>
    </xf>
    <xf numFmtId="0" fontId="156" fillId="73" borderId="133" xfId="0" applyFont="1" applyFill="1" applyBorder="1" applyAlignment="1">
      <alignment horizontal="center"/>
    </xf>
    <xf numFmtId="167" fontId="156" fillId="0" borderId="133" xfId="12427" applyNumberFormat="1" applyFont="1" applyBorder="1"/>
    <xf numFmtId="43" fontId="156" fillId="0" borderId="0" xfId="0" applyNumberFormat="1" applyFont="1" applyAlignment="1">
      <alignment horizontal="right"/>
    </xf>
    <xf numFmtId="8" fontId="188" fillId="0" borderId="0" xfId="0" applyNumberFormat="1" applyFont="1" applyBorder="1"/>
    <xf numFmtId="0" fontId="188" fillId="0" borderId="0" xfId="0" applyFont="1" applyBorder="1"/>
    <xf numFmtId="0" fontId="158" fillId="0" borderId="0" xfId="20398" applyFont="1" applyBorder="1" applyAlignment="1">
      <alignment horizontal="left" indent="1"/>
    </xf>
    <xf numFmtId="8" fontId="236" fillId="0" borderId="0" xfId="0" applyNumberFormat="1" applyFont="1" applyBorder="1"/>
    <xf numFmtId="167" fontId="188" fillId="0" borderId="0" xfId="12427" applyNumberFormat="1" applyFont="1" applyBorder="1"/>
    <xf numFmtId="247" fontId="188" fillId="0" borderId="0" xfId="12427" applyNumberFormat="1" applyFont="1" applyBorder="1"/>
    <xf numFmtId="0" fontId="156" fillId="0" borderId="0" xfId="0" applyFont="1" applyAlignment="1">
      <alignment horizontal="left" vertical="center" wrapText="1"/>
    </xf>
    <xf numFmtId="0" fontId="161" fillId="0" borderId="0" xfId="20398" applyFont="1" applyBorder="1" applyAlignment="1">
      <alignment horizontal="left"/>
    </xf>
    <xf numFmtId="0" fontId="156" fillId="0" borderId="0" xfId="20398" quotePrefix="1" applyFont="1" applyBorder="1" applyAlignment="1">
      <alignment horizontal="left"/>
    </xf>
    <xf numFmtId="0" fontId="253" fillId="0" borderId="0" xfId="0" applyFont="1"/>
    <xf numFmtId="0" fontId="0" fillId="0" borderId="0" xfId="0" applyAlignment="1">
      <alignment vertical="top"/>
    </xf>
    <xf numFmtId="0" fontId="168" fillId="72" borderId="131" xfId="0" applyFont="1" applyFill="1" applyBorder="1" applyAlignment="1">
      <alignment horizontal="centerContinuous"/>
    </xf>
    <xf numFmtId="0" fontId="156" fillId="0" borderId="133" xfId="0" applyFont="1" applyBorder="1"/>
    <xf numFmtId="0" fontId="156" fillId="0" borderId="60" xfId="0" applyFont="1" applyFill="1" applyBorder="1"/>
    <xf numFmtId="0" fontId="158" fillId="0" borderId="127" xfId="0" applyFont="1" applyBorder="1"/>
    <xf numFmtId="0" fontId="158" fillId="0" borderId="44" xfId="0" applyFont="1" applyBorder="1"/>
    <xf numFmtId="165" fontId="158" fillId="0" borderId="93" xfId="0" applyNumberFormat="1" applyFont="1" applyBorder="1"/>
    <xf numFmtId="8" fontId="235" fillId="0" borderId="0" xfId="0" applyNumberFormat="1" applyFont="1" applyBorder="1"/>
    <xf numFmtId="0" fontId="235" fillId="0" borderId="0" xfId="0" applyFont="1" applyBorder="1"/>
    <xf numFmtId="0" fontId="156" fillId="0" borderId="130" xfId="0" applyFont="1" applyBorder="1"/>
    <xf numFmtId="0" fontId="156" fillId="0" borderId="131" xfId="0" applyFont="1" applyBorder="1"/>
    <xf numFmtId="0" fontId="0" fillId="0" borderId="0" xfId="0" applyBorder="1"/>
    <xf numFmtId="0" fontId="158" fillId="0" borderId="133" xfId="0" applyFont="1" applyBorder="1"/>
    <xf numFmtId="10" fontId="156" fillId="0" borderId="0" xfId="0" applyNumberFormat="1" applyFont="1" applyBorder="1"/>
    <xf numFmtId="168" fontId="156" fillId="0" borderId="0" xfId="0" applyNumberFormat="1" applyFont="1" applyBorder="1"/>
    <xf numFmtId="165" fontId="158" fillId="0" borderId="44" xfId="0" applyNumberFormat="1" applyFont="1" applyBorder="1"/>
    <xf numFmtId="10" fontId="130" fillId="0" borderId="0" xfId="0" applyNumberFormat="1" applyFont="1" applyBorder="1"/>
    <xf numFmtId="170" fontId="156" fillId="0" borderId="0" xfId="0" applyNumberFormat="1" applyFont="1" applyBorder="1"/>
    <xf numFmtId="0" fontId="254" fillId="0" borderId="0" xfId="12421" applyFont="1"/>
    <xf numFmtId="43" fontId="235" fillId="0" borderId="135" xfId="12427" applyFont="1" applyBorder="1"/>
    <xf numFmtId="0" fontId="158" fillId="0" borderId="135" xfId="0" applyFont="1" applyBorder="1"/>
    <xf numFmtId="0" fontId="158" fillId="0" borderId="130" xfId="0" applyFont="1" applyBorder="1" applyAlignment="1">
      <alignment horizontal="center"/>
    </xf>
    <xf numFmtId="0" fontId="158" fillId="0" borderId="131" xfId="0" applyFont="1" applyBorder="1" applyAlignment="1">
      <alignment horizontal="center"/>
    </xf>
    <xf numFmtId="0" fontId="158" fillId="0" borderId="132" xfId="0" applyFont="1" applyBorder="1" applyAlignment="1">
      <alignment horizontal="right"/>
    </xf>
    <xf numFmtId="43" fontId="158" fillId="0" borderId="0" xfId="0" applyNumberFormat="1" applyFont="1" applyAlignment="1">
      <alignment horizontal="center" vertical="center"/>
    </xf>
    <xf numFmtId="0" fontId="28" fillId="0" borderId="0" xfId="0" applyFont="1" applyBorder="1" applyAlignment="1">
      <alignment horizontal="center"/>
    </xf>
    <xf numFmtId="0" fontId="235" fillId="0" borderId="135" xfId="0" applyFont="1" applyBorder="1"/>
    <xf numFmtId="43" fontId="235" fillId="0" borderId="0" xfId="0" applyNumberFormat="1" applyFont="1" applyAlignment="1">
      <alignment horizontal="center" vertical="center"/>
    </xf>
    <xf numFmtId="0" fontId="230" fillId="0" borderId="135" xfId="0" applyFont="1" applyBorder="1"/>
    <xf numFmtId="0" fontId="230" fillId="0" borderId="135" xfId="0" applyFont="1" applyBorder="1" applyAlignment="1">
      <alignment wrapText="1"/>
    </xf>
    <xf numFmtId="0" fontId="255" fillId="0" borderId="135" xfId="0" applyFont="1" applyBorder="1"/>
    <xf numFmtId="0" fontId="156" fillId="0" borderId="0" xfId="0" quotePrefix="1" applyFont="1" applyFill="1" applyBorder="1" applyAlignment="1">
      <alignment horizontal="left"/>
    </xf>
    <xf numFmtId="0" fontId="168" fillId="0" borderId="0" xfId="0" applyFont="1" applyFill="1" applyBorder="1" applyAlignment="1">
      <alignment horizontal="center"/>
    </xf>
    <xf numFmtId="167" fontId="235" fillId="74" borderId="0" xfId="12427" applyNumberFormat="1" applyFont="1" applyFill="1"/>
    <xf numFmtId="169" fontId="160" fillId="0" borderId="0" xfId="0" applyNumberFormat="1" applyFont="1" applyBorder="1"/>
    <xf numFmtId="0" fontId="168" fillId="72" borderId="33" xfId="0" applyFont="1" applyFill="1" applyBorder="1" applyAlignment="1">
      <alignment horizontal="center" wrapText="1"/>
    </xf>
    <xf numFmtId="0" fontId="168" fillId="72" borderId="34" xfId="0" applyFont="1" applyFill="1" applyBorder="1" applyAlignment="1">
      <alignment horizontal="center" wrapText="1"/>
    </xf>
    <xf numFmtId="0" fontId="168" fillId="72" borderId="41" xfId="0" applyFont="1" applyFill="1" applyBorder="1" applyAlignment="1">
      <alignment horizontal="center" wrapText="1"/>
    </xf>
    <xf numFmtId="165" fontId="236" fillId="74" borderId="0" xfId="0" applyNumberFormat="1" applyFont="1" applyFill="1"/>
    <xf numFmtId="165" fontId="236" fillId="0" borderId="13" xfId="0" applyNumberFormat="1" applyFont="1" applyFill="1" applyBorder="1"/>
    <xf numFmtId="165" fontId="236" fillId="0" borderId="0" xfId="0" applyNumberFormat="1" applyFont="1" applyFill="1" applyBorder="1"/>
    <xf numFmtId="43" fontId="28" fillId="0" borderId="0" xfId="0" quotePrefix="1" applyNumberFormat="1" applyFont="1" applyFill="1" applyAlignment="1">
      <alignment horizontal="center"/>
    </xf>
    <xf numFmtId="10" fontId="236" fillId="0" borderId="0" xfId="0" applyNumberFormat="1" applyFont="1" applyBorder="1"/>
    <xf numFmtId="10" fontId="236" fillId="0" borderId="13" xfId="0" applyNumberFormat="1" applyFont="1" applyBorder="1"/>
    <xf numFmtId="247" fontId="156" fillId="0" borderId="0" xfId="12427" applyNumberFormat="1" applyFont="1" applyAlignment="1">
      <alignment horizontal="right"/>
    </xf>
    <xf numFmtId="0" fontId="256" fillId="74" borderId="0" xfId="12421" applyFont="1" applyFill="1"/>
    <xf numFmtId="0" fontId="156" fillId="0" borderId="132" xfId="0" applyFont="1" applyBorder="1"/>
    <xf numFmtId="0" fontId="156" fillId="0" borderId="130" xfId="0" applyFont="1" applyBorder="1" applyAlignment="1">
      <alignment horizontal="right"/>
    </xf>
    <xf numFmtId="8" fontId="156" fillId="0" borderId="132" xfId="0" applyNumberFormat="1" applyFont="1" applyBorder="1"/>
    <xf numFmtId="167" fontId="156" fillId="0" borderId="0" xfId="12427" applyNumberFormat="1" applyFont="1" applyFill="1" applyBorder="1" applyAlignment="1">
      <alignment horizontal="right" wrapText="1"/>
    </xf>
    <xf numFmtId="43" fontId="162" fillId="0" borderId="0" xfId="11155" applyFont="1" applyFill="1" applyBorder="1" applyAlignment="1">
      <alignment horizontal="right"/>
    </xf>
    <xf numFmtId="247" fontId="156" fillId="0" borderId="0" xfId="12427" applyNumberFormat="1" applyFont="1" applyAlignment="1">
      <alignment horizontal="center"/>
    </xf>
    <xf numFmtId="247" fontId="28" fillId="0" borderId="0" xfId="12427" applyNumberFormat="1" applyFont="1" applyAlignment="1">
      <alignment horizontal="right"/>
    </xf>
    <xf numFmtId="0" fontId="159" fillId="0" borderId="131" xfId="0" applyFont="1" applyFill="1" applyBorder="1" applyAlignment="1">
      <alignment horizontal="center" wrapText="1"/>
    </xf>
    <xf numFmtId="169" fontId="158" fillId="71" borderId="136" xfId="0" applyNumberFormat="1" applyFont="1" applyFill="1" applyBorder="1"/>
    <xf numFmtId="0" fontId="156" fillId="71" borderId="136" xfId="0" applyFont="1" applyFill="1" applyBorder="1"/>
    <xf numFmtId="233" fontId="158" fillId="71" borderId="136" xfId="0" applyNumberFormat="1" applyFont="1" applyFill="1" applyBorder="1"/>
    <xf numFmtId="0" fontId="159" fillId="0" borderId="131" xfId="0" applyFont="1" applyFill="1" applyBorder="1" applyAlignment="1">
      <alignment horizontal="right" wrapText="1"/>
    </xf>
    <xf numFmtId="0" fontId="168" fillId="72" borderId="131" xfId="20306" applyFont="1" applyFill="1" applyBorder="1" applyAlignment="1">
      <alignment horizontal="centerContinuous"/>
    </xf>
    <xf numFmtId="0" fontId="159" fillId="0" borderId="131" xfId="20306" applyFont="1" applyFill="1" applyBorder="1" applyAlignment="1">
      <alignment horizontal="center" wrapText="1"/>
    </xf>
    <xf numFmtId="169" fontId="158" fillId="71" borderId="136" xfId="20306" applyNumberFormat="1" applyFont="1" applyFill="1" applyBorder="1"/>
    <xf numFmtId="0" fontId="168" fillId="72" borderId="4" xfId="0" applyFont="1" applyFill="1" applyBorder="1" applyAlignment="1">
      <alignment horizontal="centerContinuous" wrapText="1"/>
    </xf>
    <xf numFmtId="0" fontId="168" fillId="72" borderId="6" xfId="0" applyFont="1" applyFill="1" applyBorder="1" applyAlignment="1">
      <alignment horizontal="centerContinuous" wrapText="1"/>
    </xf>
    <xf numFmtId="0" fontId="156" fillId="0" borderId="137" xfId="0" applyFont="1" applyBorder="1"/>
    <xf numFmtId="0" fontId="158" fillId="71" borderId="140" xfId="0" applyFont="1" applyFill="1" applyBorder="1"/>
    <xf numFmtId="0" fontId="158" fillId="0" borderId="140" xfId="0" applyFont="1" applyBorder="1"/>
    <xf numFmtId="169" fontId="159" fillId="0" borderId="140" xfId="0" applyNumberFormat="1" applyFont="1" applyBorder="1"/>
    <xf numFmtId="9" fontId="188" fillId="0" borderId="139" xfId="0" applyNumberFormat="1" applyFont="1" applyBorder="1" applyAlignment="1">
      <alignment horizontal="right"/>
    </xf>
    <xf numFmtId="8" fontId="234" fillId="0" borderId="0" xfId="0" applyNumberFormat="1" applyFont="1" applyAlignment="1">
      <alignment horizontal="right"/>
    </xf>
    <xf numFmtId="8" fontId="28" fillId="0" borderId="0" xfId="0" applyNumberFormat="1" applyFont="1" applyAlignment="1">
      <alignment horizontal="right"/>
    </xf>
    <xf numFmtId="169" fontId="159" fillId="0" borderId="133" xfId="0" applyNumberFormat="1" applyFont="1" applyBorder="1"/>
    <xf numFmtId="8" fontId="158" fillId="0" borderId="0" xfId="0" applyNumberFormat="1" applyFont="1" applyFill="1" applyBorder="1"/>
    <xf numFmtId="0" fontId="196" fillId="0" borderId="0" xfId="0" applyFont="1" applyBorder="1" applyAlignment="1">
      <alignment horizontal="centerContinuous"/>
    </xf>
    <xf numFmtId="0" fontId="199" fillId="0" borderId="0" xfId="0" applyFont="1" applyBorder="1" applyAlignment="1">
      <alignment horizontal="left" wrapText="1"/>
    </xf>
    <xf numFmtId="0" fontId="158" fillId="0" borderId="0" xfId="0" quotePrefix="1" applyFont="1" applyFill="1" applyBorder="1" applyAlignment="1">
      <alignment horizontal="left" indent="1"/>
    </xf>
    <xf numFmtId="43" fontId="156" fillId="0" borderId="0" xfId="0" applyNumberFormat="1" applyFont="1"/>
    <xf numFmtId="43" fontId="173" fillId="86" borderId="138" xfId="0" applyNumberFormat="1" applyFont="1" applyFill="1" applyBorder="1"/>
    <xf numFmtId="357" fontId="158" fillId="0" borderId="0" xfId="0" applyNumberFormat="1" applyFont="1"/>
    <xf numFmtId="0" fontId="198" fillId="0" borderId="0" xfId="0" applyFont="1" applyAlignment="1">
      <alignment horizontal="center"/>
    </xf>
    <xf numFmtId="357" fontId="158" fillId="0" borderId="0" xfId="12427" applyNumberFormat="1" applyFont="1"/>
    <xf numFmtId="357" fontId="156" fillId="0" borderId="0" xfId="0" applyNumberFormat="1" applyFont="1"/>
    <xf numFmtId="0" fontId="173" fillId="72" borderId="141" xfId="0" applyFont="1" applyFill="1" applyBorder="1"/>
    <xf numFmtId="0" fontId="173" fillId="72" borderId="142" xfId="0" applyFont="1" applyFill="1" applyBorder="1" applyAlignment="1">
      <alignment horizontal="center" wrapText="1"/>
    </xf>
    <xf numFmtId="0" fontId="173" fillId="72" borderId="143" xfId="0" applyFont="1" applyFill="1" applyBorder="1" applyAlignment="1">
      <alignment horizontal="center" wrapText="1"/>
    </xf>
    <xf numFmtId="165" fontId="188" fillId="0" borderId="0" xfId="0" applyNumberFormat="1" applyFont="1" applyBorder="1"/>
    <xf numFmtId="10" fontId="188" fillId="0" borderId="0" xfId="0" applyNumberFormat="1" applyFont="1" applyBorder="1"/>
    <xf numFmtId="0" fontId="168" fillId="0" borderId="13" xfId="0" applyFont="1" applyFill="1" applyBorder="1" applyAlignment="1">
      <alignment horizontal="centerContinuous"/>
    </xf>
    <xf numFmtId="1" fontId="159" fillId="0" borderId="142" xfId="0" applyNumberFormat="1" applyFont="1" applyFill="1" applyBorder="1" applyAlignment="1">
      <alignment horizontal="right"/>
    </xf>
    <xf numFmtId="0" fontId="159" fillId="0" borderId="0" xfId="0" applyFont="1" applyBorder="1"/>
    <xf numFmtId="169" fontId="28" fillId="0" borderId="0" xfId="0" applyNumberFormat="1" applyFont="1" applyFill="1" applyBorder="1"/>
    <xf numFmtId="43" fontId="156" fillId="0" borderId="0" xfId="0" quotePrefix="1" applyNumberFormat="1" applyFont="1" applyAlignment="1">
      <alignment horizontal="center"/>
    </xf>
    <xf numFmtId="169" fontId="160" fillId="75" borderId="0" xfId="0" applyNumberFormat="1" applyFont="1" applyFill="1" applyBorder="1"/>
    <xf numFmtId="0" fontId="156" fillId="0" borderId="0" xfId="0" quotePrefix="1" applyFont="1" applyAlignment="1">
      <alignment horizontal="left" vertical="top"/>
    </xf>
    <xf numFmtId="0" fontId="156" fillId="0" borderId="0" xfId="0" applyFont="1" applyAlignment="1">
      <alignment vertical="top"/>
    </xf>
    <xf numFmtId="10" fontId="28" fillId="0" borderId="0" xfId="0" applyNumberFormat="1" applyFont="1" applyBorder="1"/>
    <xf numFmtId="165" fontId="28" fillId="0" borderId="0" xfId="0" applyNumberFormat="1" applyFont="1" applyFill="1" applyBorder="1"/>
    <xf numFmtId="0" fontId="257" fillId="0" borderId="0" xfId="11898" applyFont="1"/>
    <xf numFmtId="0" fontId="257" fillId="73" borderId="0" xfId="11898" applyFont="1" applyFill="1"/>
    <xf numFmtId="0" fontId="257" fillId="92" borderId="0" xfId="11898" applyFont="1" applyFill="1"/>
    <xf numFmtId="17" fontId="258" fillId="0" borderId="0" xfId="20402" applyNumberFormat="1" applyFont="1" applyBorder="1" applyAlignment="1"/>
    <xf numFmtId="17" fontId="258" fillId="73" borderId="0" xfId="20402" applyNumberFormat="1" applyFont="1" applyFill="1" applyBorder="1" applyAlignment="1"/>
    <xf numFmtId="0" fontId="260" fillId="0" borderId="0" xfId="11898" applyFont="1"/>
    <xf numFmtId="0" fontId="262" fillId="0" borderId="0" xfId="11898" applyFont="1"/>
    <xf numFmtId="342" fontId="262" fillId="0" borderId="0" xfId="11898" quotePrefix="1" applyNumberFormat="1" applyFont="1" applyAlignment="1">
      <alignment horizontal="center"/>
    </xf>
    <xf numFmtId="0" fontId="262" fillId="0" borderId="0" xfId="20403" applyFont="1" applyBorder="1" applyAlignment="1">
      <alignment horizontal="center"/>
    </xf>
    <xf numFmtId="0" fontId="108" fillId="0" borderId="0" xfId="20403" applyFont="1" applyBorder="1"/>
    <xf numFmtId="0" fontId="263" fillId="0" borderId="44" xfId="20402" applyFont="1" applyFill="1" applyBorder="1" applyAlignment="1">
      <alignment horizontal="center" wrapText="1"/>
    </xf>
    <xf numFmtId="17" fontId="263" fillId="0" borderId="44" xfId="20402" quotePrefix="1" applyNumberFormat="1" applyFont="1" applyFill="1" applyBorder="1" applyAlignment="1">
      <alignment horizontal="center" wrapText="1"/>
    </xf>
    <xf numFmtId="0" fontId="263" fillId="0" borderId="44" xfId="20402" quotePrefix="1" applyFont="1" applyFill="1" applyBorder="1" applyAlignment="1">
      <alignment horizontal="center" wrapText="1"/>
    </xf>
    <xf numFmtId="0" fontId="263" fillId="0" borderId="44" xfId="20402" quotePrefix="1" applyFont="1" applyFill="1" applyBorder="1" applyAlignment="1">
      <alignment horizontal="center"/>
    </xf>
    <xf numFmtId="0" fontId="262" fillId="0" borderId="44" xfId="11898" applyFont="1" applyBorder="1" applyAlignment="1">
      <alignment horizontal="center"/>
    </xf>
    <xf numFmtId="1" fontId="264" fillId="0" borderId="44" xfId="20404" quotePrefix="1" applyNumberFormat="1" applyFont="1" applyBorder="1" applyAlignment="1">
      <alignment horizontal="center"/>
    </xf>
    <xf numFmtId="15" fontId="264" fillId="0" borderId="0" xfId="11877" applyNumberFormat="1" applyFont="1" applyBorder="1" applyAlignment="1">
      <alignment horizontal="center"/>
    </xf>
    <xf numFmtId="0" fontId="257" fillId="0" borderId="0" xfId="11898" applyFont="1" applyAlignment="1">
      <alignment horizontal="center"/>
    </xf>
    <xf numFmtId="5" fontId="265" fillId="0" borderId="0" xfId="11898" applyNumberFormat="1" applyFont="1" applyBorder="1" applyAlignment="1">
      <alignment horizontal="center"/>
    </xf>
    <xf numFmtId="5" fontId="257" fillId="0" borderId="0" xfId="11898" applyNumberFormat="1" applyFont="1" applyBorder="1" applyAlignment="1"/>
    <xf numFmtId="0" fontId="265" fillId="0" borderId="0" xfId="11898" applyFont="1"/>
    <xf numFmtId="0" fontId="257" fillId="0" borderId="0" xfId="20405" applyNumberFormat="1" applyFont="1"/>
    <xf numFmtId="0" fontId="257" fillId="0" borderId="0" xfId="11898" applyNumberFormat="1" applyFont="1"/>
    <xf numFmtId="247" fontId="257" fillId="0" borderId="0" xfId="20406" applyNumberFormat="1" applyFont="1"/>
    <xf numFmtId="247" fontId="257" fillId="0" borderId="44" xfId="20404" applyNumberFormat="1" applyFont="1" applyBorder="1"/>
    <xf numFmtId="247" fontId="257" fillId="0" borderId="0" xfId="20404" applyNumberFormat="1" applyFont="1"/>
    <xf numFmtId="247" fontId="257" fillId="0" borderId="0" xfId="20405" applyNumberFormat="1" applyFont="1" applyBorder="1"/>
    <xf numFmtId="247" fontId="257" fillId="0" borderId="0" xfId="11898" applyNumberFormat="1" applyFont="1"/>
    <xf numFmtId="0" fontId="257" fillId="0" borderId="0" xfId="11898" applyFont="1" applyBorder="1"/>
    <xf numFmtId="0" fontId="257" fillId="73" borderId="0" xfId="11898" applyFont="1" applyFill="1" applyBorder="1"/>
    <xf numFmtId="0" fontId="260" fillId="0" borderId="0" xfId="11898" applyFont="1" applyBorder="1"/>
    <xf numFmtId="247" fontId="257" fillId="0" borderId="0" xfId="20404" applyNumberFormat="1" applyFont="1" applyBorder="1"/>
    <xf numFmtId="0" fontId="257" fillId="0" borderId="146" xfId="20405" applyNumberFormat="1" applyFont="1" applyBorder="1"/>
    <xf numFmtId="247" fontId="257" fillId="0" borderId="44" xfId="20405" applyNumberFormat="1" applyFont="1" applyBorder="1"/>
    <xf numFmtId="0" fontId="264" fillId="0" borderId="0" xfId="11898" applyFont="1"/>
    <xf numFmtId="247" fontId="257" fillId="0" borderId="147" xfId="11898" applyNumberFormat="1" applyFont="1" applyBorder="1"/>
    <xf numFmtId="247" fontId="257" fillId="73" borderId="0" xfId="11898" applyNumberFormat="1" applyFont="1" applyFill="1"/>
    <xf numFmtId="0" fontId="264" fillId="0" borderId="0" xfId="11898" applyFont="1" applyAlignment="1"/>
    <xf numFmtId="0" fontId="267" fillId="0" borderId="0" xfId="11898" applyFont="1" applyAlignment="1"/>
    <xf numFmtId="0" fontId="267" fillId="73" borderId="0" xfId="11898" applyFont="1" applyFill="1" applyAlignment="1"/>
    <xf numFmtId="0" fontId="261" fillId="0" borderId="144" xfId="11898" applyFont="1" applyBorder="1" applyAlignment="1"/>
    <xf numFmtId="0" fontId="261" fillId="0" borderId="98" xfId="11898" applyFont="1" applyBorder="1" applyAlignment="1"/>
    <xf numFmtId="0" fontId="261" fillId="0" borderId="145" xfId="11898" applyFont="1" applyBorder="1" applyAlignment="1"/>
    <xf numFmtId="0" fontId="261" fillId="0" borderId="0" xfId="11898" applyFont="1" applyBorder="1" applyAlignment="1">
      <alignment horizontal="center"/>
    </xf>
    <xf numFmtId="0" fontId="268" fillId="0" borderId="0" xfId="11898" applyFont="1"/>
    <xf numFmtId="0" fontId="108" fillId="73" borderId="0" xfId="20403" applyFont="1" applyFill="1" applyBorder="1"/>
    <xf numFmtId="0" fontId="269" fillId="0" borderId="44" xfId="20402" applyFont="1" applyBorder="1" applyAlignment="1">
      <alignment horizontal="center" wrapText="1"/>
    </xf>
    <xf numFmtId="17" fontId="269" fillId="0" borderId="44" xfId="20402" applyNumberFormat="1" applyFont="1" applyBorder="1" applyAlignment="1">
      <alignment horizontal="center" wrapText="1"/>
    </xf>
    <xf numFmtId="17" fontId="108" fillId="0" borderId="0" xfId="20402" applyNumberFormat="1" applyFont="1"/>
    <xf numFmtId="0" fontId="257" fillId="0" borderId="0" xfId="11898" quotePrefix="1" applyFont="1"/>
    <xf numFmtId="15" fontId="264" fillId="73" borderId="0" xfId="11877" applyNumberFormat="1" applyFont="1" applyFill="1" applyBorder="1" applyAlignment="1">
      <alignment horizontal="center"/>
    </xf>
    <xf numFmtId="5" fontId="257" fillId="73" borderId="0" xfId="11898" applyNumberFormat="1" applyFont="1" applyFill="1" applyBorder="1" applyAlignment="1"/>
    <xf numFmtId="5" fontId="257" fillId="0" borderId="0" xfId="11898" applyNumberFormat="1" applyFont="1" applyBorder="1" applyAlignment="1">
      <alignment horizontal="center"/>
    </xf>
    <xf numFmtId="0" fontId="264" fillId="0" borderId="0" xfId="11898" applyFont="1" applyBorder="1"/>
    <xf numFmtId="0" fontId="257" fillId="0" borderId="0" xfId="11898" applyFont="1" applyAlignment="1">
      <alignment horizontal="left" vertical="top" indent="2"/>
    </xf>
    <xf numFmtId="0" fontId="257" fillId="0" borderId="0" xfId="20405" applyNumberFormat="1" applyFont="1" applyBorder="1"/>
    <xf numFmtId="37" fontId="257" fillId="0" borderId="0" xfId="20405" applyNumberFormat="1" applyFont="1" applyBorder="1" applyAlignment="1">
      <alignment vertical="top"/>
    </xf>
    <xf numFmtId="9" fontId="257" fillId="0" borderId="0" xfId="20407" applyFont="1" applyBorder="1" applyAlignment="1">
      <alignment vertical="top"/>
    </xf>
    <xf numFmtId="37" fontId="257" fillId="73" borderId="0" xfId="20405" applyNumberFormat="1" applyFont="1" applyFill="1" applyBorder="1" applyAlignment="1">
      <alignment vertical="top"/>
    </xf>
    <xf numFmtId="247" fontId="257" fillId="0" borderId="0" xfId="20404" applyNumberFormat="1" applyFont="1" applyBorder="1" applyAlignment="1">
      <alignment vertical="top"/>
    </xf>
    <xf numFmtId="247" fontId="257" fillId="73" borderId="0" xfId="20404" applyNumberFormat="1" applyFont="1" applyFill="1" applyBorder="1" applyAlignment="1">
      <alignment vertical="top"/>
    </xf>
    <xf numFmtId="0" fontId="270" fillId="0" borderId="0" xfId="20408" applyAlignment="1">
      <alignment horizontal="left"/>
    </xf>
    <xf numFmtId="0" fontId="257" fillId="0" borderId="0" xfId="11898" applyFont="1" applyAlignment="1">
      <alignment horizontal="left" indent="2"/>
    </xf>
    <xf numFmtId="247" fontId="257" fillId="73" borderId="0" xfId="20404" applyNumberFormat="1" applyFont="1" applyFill="1" applyBorder="1"/>
    <xf numFmtId="0" fontId="257" fillId="0" borderId="0" xfId="11898" applyFont="1" applyFill="1"/>
    <xf numFmtId="0" fontId="264" fillId="0" borderId="0" xfId="11898" applyFont="1" applyFill="1"/>
    <xf numFmtId="0" fontId="257" fillId="0" borderId="147" xfId="20405" applyNumberFormat="1" applyFont="1" applyBorder="1"/>
    <xf numFmtId="368" fontId="264" fillId="0" borderId="0" xfId="20404" applyNumberFormat="1" applyFont="1" applyFill="1" applyBorder="1"/>
    <xf numFmtId="368" fontId="264" fillId="73" borderId="0" xfId="20404" applyNumberFormat="1" applyFont="1" applyFill="1" applyBorder="1"/>
    <xf numFmtId="247" fontId="257" fillId="0" borderId="148" xfId="11898" applyNumberFormat="1" applyFont="1" applyFill="1" applyBorder="1"/>
    <xf numFmtId="247" fontId="264" fillId="0" borderId="0" xfId="20404" applyNumberFormat="1" applyFont="1" applyBorder="1"/>
    <xf numFmtId="247" fontId="264" fillId="73" borderId="0" xfId="20404" applyNumberFormat="1" applyFont="1" applyFill="1" applyBorder="1"/>
    <xf numFmtId="0" fontId="264" fillId="0" borderId="0" xfId="11898" applyFont="1" applyAlignment="1">
      <alignment horizontal="left"/>
    </xf>
    <xf numFmtId="247" fontId="257" fillId="0" borderId="147" xfId="20405" applyNumberFormat="1" applyFont="1" applyBorder="1"/>
    <xf numFmtId="5" fontId="264" fillId="0" borderId="0" xfId="20404" applyNumberFormat="1" applyFont="1" applyFill="1" applyBorder="1"/>
    <xf numFmtId="5" fontId="264" fillId="73" borderId="0" xfId="20404" applyNumberFormat="1" applyFont="1" applyFill="1" applyBorder="1"/>
    <xf numFmtId="44" fontId="264" fillId="0" borderId="146" xfId="20405" applyNumberFormat="1" applyFont="1" applyBorder="1"/>
    <xf numFmtId="5" fontId="264" fillId="0" borderId="0" xfId="20404" applyNumberFormat="1" applyFont="1" applyBorder="1"/>
    <xf numFmtId="247" fontId="257" fillId="0" borderId="148" xfId="20406" applyNumberFormat="1" applyFont="1" applyBorder="1"/>
    <xf numFmtId="247" fontId="257" fillId="0" borderId="147" xfId="20406" applyNumberFormat="1" applyFont="1" applyBorder="1"/>
    <xf numFmtId="0" fontId="266" fillId="0" borderId="0" xfId="11898" applyFont="1" applyAlignment="1">
      <alignment vertical="top" wrapText="1"/>
    </xf>
    <xf numFmtId="0" fontId="266" fillId="73" borderId="0" xfId="11898" applyFont="1" applyFill="1" applyAlignment="1">
      <alignment vertical="top" wrapText="1"/>
    </xf>
    <xf numFmtId="247" fontId="271" fillId="0" borderId="0" xfId="11898" applyNumberFormat="1" applyFont="1" applyAlignment="1">
      <alignment vertical="top" wrapText="1"/>
    </xf>
    <xf numFmtId="0" fontId="272" fillId="0" borderId="0" xfId="11898" quotePrefix="1" applyFont="1"/>
    <xf numFmtId="0" fontId="257" fillId="0" borderId="0" xfId="11898" quotePrefix="1" applyFont="1" applyAlignment="1"/>
    <xf numFmtId="0" fontId="257" fillId="0" borderId="0" xfId="11898" applyFont="1" applyAlignment="1"/>
    <xf numFmtId="17" fontId="258" fillId="0" borderId="0" xfId="20402" applyNumberFormat="1" applyFont="1" applyBorder="1" applyAlignment="1">
      <alignment vertical="center"/>
    </xf>
    <xf numFmtId="247" fontId="257" fillId="0" borderId="0" xfId="20404" applyNumberFormat="1" applyFont="1" applyBorder="1" applyAlignment="1">
      <alignment horizontal="right"/>
    </xf>
    <xf numFmtId="5" fontId="265" fillId="0" borderId="148" xfId="11898" applyNumberFormat="1" applyFont="1" applyBorder="1" applyAlignment="1">
      <alignment horizontal="right"/>
    </xf>
    <xf numFmtId="0" fontId="257" fillId="0" borderId="0" xfId="11898" applyFont="1" applyAlignment="1">
      <alignment horizontal="right"/>
    </xf>
    <xf numFmtId="9" fontId="257" fillId="0" borderId="0" xfId="20409" applyFont="1" applyBorder="1" applyAlignment="1">
      <alignment vertical="top"/>
    </xf>
    <xf numFmtId="0" fontId="257" fillId="91" borderId="0" xfId="11898" applyFont="1" applyFill="1"/>
    <xf numFmtId="0" fontId="257" fillId="91" borderId="0" xfId="20405" applyNumberFormat="1" applyFont="1" applyFill="1" applyBorder="1"/>
    <xf numFmtId="368" fontId="264" fillId="91" borderId="0" xfId="20404" applyNumberFormat="1" applyFont="1" applyFill="1" applyBorder="1"/>
    <xf numFmtId="247" fontId="257" fillId="91" borderId="0" xfId="20404" applyNumberFormat="1" applyFont="1" applyFill="1"/>
    <xf numFmtId="247" fontId="257" fillId="91" borderId="0" xfId="20404" applyNumberFormat="1" applyFont="1" applyFill="1" applyBorder="1"/>
    <xf numFmtId="0" fontId="257" fillId="91" borderId="0" xfId="11898" applyNumberFormat="1" applyFont="1" applyFill="1"/>
    <xf numFmtId="0" fontId="264" fillId="91" borderId="0" xfId="11898" applyFont="1" applyFill="1"/>
    <xf numFmtId="0" fontId="257" fillId="91" borderId="146" xfId="20405" applyNumberFormat="1" applyFont="1" applyFill="1" applyBorder="1"/>
    <xf numFmtId="247" fontId="264" fillId="91" borderId="0" xfId="20404" applyNumberFormat="1" applyFont="1" applyFill="1" applyBorder="1"/>
    <xf numFmtId="9" fontId="257" fillId="91" borderId="146" xfId="20409" applyFont="1" applyFill="1" applyBorder="1" applyAlignment="1">
      <alignment vertical="top"/>
    </xf>
    <xf numFmtId="247" fontId="264" fillId="0" borderId="0" xfId="20404" applyNumberFormat="1" applyFont="1"/>
    <xf numFmtId="0" fontId="257" fillId="0" borderId="149" xfId="11898" applyFont="1" applyBorder="1"/>
    <xf numFmtId="43" fontId="257" fillId="0" borderId="150" xfId="20406" applyFont="1" applyBorder="1"/>
    <xf numFmtId="0" fontId="257" fillId="0" borderId="151" xfId="11898" applyFont="1" applyBorder="1"/>
    <xf numFmtId="43" fontId="257" fillId="0" borderId="152" xfId="20406" applyFont="1" applyBorder="1"/>
    <xf numFmtId="0" fontId="257" fillId="0" borderId="152" xfId="11898" applyFont="1" applyBorder="1"/>
    <xf numFmtId="0" fontId="257" fillId="0" borderId="152" xfId="11898" applyNumberFormat="1" applyFont="1" applyBorder="1"/>
    <xf numFmtId="0" fontId="257" fillId="0" borderId="153" xfId="11898" applyFont="1" applyBorder="1"/>
    <xf numFmtId="0" fontId="257" fillId="0" borderId="154" xfId="11898" applyNumberFormat="1" applyFont="1" applyBorder="1"/>
    <xf numFmtId="0" fontId="257" fillId="0" borderId="146" xfId="11898" applyFont="1" applyBorder="1"/>
    <xf numFmtId="0" fontId="257" fillId="0" borderId="146" xfId="11898" applyNumberFormat="1" applyFont="1" applyBorder="1"/>
    <xf numFmtId="0" fontId="257" fillId="0" borderId="0" xfId="11898" applyFont="1" applyBorder="1" applyAlignment="1">
      <alignment horizontal="center"/>
    </xf>
    <xf numFmtId="247" fontId="264" fillId="0" borderId="0" xfId="20405" applyNumberFormat="1" applyFont="1" applyBorder="1"/>
    <xf numFmtId="9" fontId="257" fillId="0" borderId="0" xfId="20407" applyFont="1" applyBorder="1"/>
    <xf numFmtId="3" fontId="257" fillId="0" borderId="0" xfId="11898" applyNumberFormat="1" applyFont="1"/>
    <xf numFmtId="247" fontId="257" fillId="0" borderId="0" xfId="11898" applyNumberFormat="1" applyFont="1" applyFill="1"/>
    <xf numFmtId="0" fontId="264" fillId="0" borderId="146" xfId="20405" applyNumberFormat="1" applyFont="1" applyBorder="1"/>
    <xf numFmtId="0" fontId="257" fillId="0" borderId="0" xfId="11898" applyFont="1" applyAlignment="1">
      <alignment horizontal="left" indent="1"/>
    </xf>
    <xf numFmtId="0" fontId="8" fillId="74" borderId="0" xfId="20402" applyFill="1"/>
    <xf numFmtId="0" fontId="8" fillId="0" borderId="0" xfId="20402"/>
    <xf numFmtId="0" fontId="273" fillId="93" borderId="149" xfId="20402" applyFont="1" applyFill="1" applyBorder="1" applyAlignment="1">
      <alignment vertical="center"/>
    </xf>
    <xf numFmtId="0" fontId="273" fillId="93" borderId="155" xfId="20402" applyFont="1" applyFill="1" applyBorder="1" applyAlignment="1">
      <alignment vertical="center"/>
    </xf>
    <xf numFmtId="0" fontId="274" fillId="93" borderId="156" xfId="20402" applyFont="1" applyFill="1" applyBorder="1" applyAlignment="1">
      <alignment horizontal="center"/>
    </xf>
    <xf numFmtId="0" fontId="274" fillId="93" borderId="150" xfId="20402" applyFont="1" applyFill="1" applyBorder="1" applyAlignment="1">
      <alignment horizontal="center"/>
    </xf>
    <xf numFmtId="0" fontId="273" fillId="93" borderId="151" xfId="20402" applyFont="1" applyFill="1" applyBorder="1" applyAlignment="1">
      <alignment vertical="center"/>
    </xf>
    <xf numFmtId="0" fontId="273" fillId="93" borderId="13" xfId="20402" applyFont="1" applyFill="1" applyBorder="1" applyAlignment="1">
      <alignment vertical="center"/>
    </xf>
    <xf numFmtId="0" fontId="273" fillId="93" borderId="0" xfId="20406" applyNumberFormat="1" applyFont="1" applyFill="1" applyBorder="1" applyAlignment="1">
      <alignment horizontal="center"/>
    </xf>
    <xf numFmtId="0" fontId="273" fillId="93" borderId="152" xfId="20406" applyNumberFormat="1" applyFont="1" applyFill="1" applyBorder="1" applyAlignment="1">
      <alignment horizontal="center"/>
    </xf>
    <xf numFmtId="0" fontId="273" fillId="93" borderId="157" xfId="20402" applyFont="1" applyFill="1" applyBorder="1" applyAlignment="1">
      <alignment vertical="center"/>
    </xf>
    <xf numFmtId="0" fontId="273" fillId="93" borderId="93" xfId="20402" applyFont="1" applyFill="1" applyBorder="1" applyAlignment="1">
      <alignment vertical="center"/>
    </xf>
    <xf numFmtId="247" fontId="274" fillId="93" borderId="44" xfId="20402" applyNumberFormat="1" applyFont="1" applyFill="1" applyBorder="1" applyAlignment="1">
      <alignment horizontal="center"/>
    </xf>
    <xf numFmtId="247" fontId="274" fillId="93" borderId="158" xfId="20402" applyNumberFormat="1" applyFont="1" applyFill="1" applyBorder="1" applyAlignment="1">
      <alignment horizontal="center"/>
    </xf>
    <xf numFmtId="0" fontId="24" fillId="0" borderId="151" xfId="20402" applyFont="1" applyFill="1" applyBorder="1" applyAlignment="1">
      <alignment horizontal="center"/>
    </xf>
    <xf numFmtId="0" fontId="48" fillId="0" borderId="0" xfId="20402" applyFont="1" applyFill="1" applyBorder="1" applyAlignment="1">
      <alignment horizontal="left"/>
    </xf>
    <xf numFmtId="247" fontId="24" fillId="0" borderId="0" xfId="20406" applyNumberFormat="1" applyFont="1" applyFill="1" applyBorder="1"/>
    <xf numFmtId="247" fontId="24" fillId="0" borderId="152" xfId="20406" applyNumberFormat="1" applyFont="1" applyFill="1" applyBorder="1"/>
    <xf numFmtId="1" fontId="48" fillId="0" borderId="0" xfId="20406" applyNumberFormat="1" applyFont="1" applyFill="1" applyBorder="1" applyAlignment="1">
      <alignment horizontal="center"/>
    </xf>
    <xf numFmtId="1" fontId="48" fillId="0" borderId="152" xfId="20406" applyNumberFormat="1" applyFont="1" applyFill="1" applyBorder="1" applyAlignment="1">
      <alignment horizontal="center"/>
    </xf>
    <xf numFmtId="3" fontId="24" fillId="0" borderId="151" xfId="20406" applyNumberFormat="1" applyFont="1" applyFill="1" applyBorder="1" applyAlignment="1">
      <alignment horizontal="center"/>
    </xf>
    <xf numFmtId="3" fontId="24" fillId="0" borderId="0" xfId="20406" applyNumberFormat="1" applyFont="1" applyFill="1" applyBorder="1" applyAlignment="1">
      <alignment horizontal="left" indent="2"/>
    </xf>
    <xf numFmtId="3" fontId="24" fillId="0" borderId="0" xfId="20406" applyNumberFormat="1" applyFont="1" applyFill="1" applyBorder="1" applyAlignment="1">
      <alignment horizontal="center"/>
    </xf>
    <xf numFmtId="3" fontId="24" fillId="0" borderId="152" xfId="20406" applyNumberFormat="1" applyFont="1" applyFill="1" applyBorder="1" applyAlignment="1">
      <alignment horizontal="center"/>
    </xf>
    <xf numFmtId="3" fontId="24" fillId="0" borderId="44" xfId="20406" applyNumberFormat="1" applyFont="1" applyFill="1" applyBorder="1" applyAlignment="1">
      <alignment horizontal="center"/>
    </xf>
    <xf numFmtId="3" fontId="24" fillId="0" borderId="158" xfId="20406" applyNumberFormat="1" applyFont="1" applyFill="1" applyBorder="1" applyAlignment="1">
      <alignment horizontal="center"/>
    </xf>
    <xf numFmtId="3" fontId="48" fillId="0" borderId="0" xfId="20406" applyNumberFormat="1" applyFont="1" applyFill="1" applyBorder="1" applyAlignment="1"/>
    <xf numFmtId="3" fontId="48" fillId="0" borderId="0" xfId="20406" applyNumberFormat="1" applyFont="1" applyFill="1" applyBorder="1" applyAlignment="1">
      <alignment horizontal="center"/>
    </xf>
    <xf numFmtId="3" fontId="48" fillId="0" borderId="152" xfId="20406" applyNumberFormat="1" applyFont="1" applyFill="1" applyBorder="1" applyAlignment="1">
      <alignment horizontal="center"/>
    </xf>
    <xf numFmtId="3" fontId="24" fillId="0" borderId="0" xfId="20406" applyNumberFormat="1" applyFont="1" applyFill="1" applyBorder="1" applyAlignment="1">
      <alignment horizontal="left" vertical="center" indent="2"/>
    </xf>
    <xf numFmtId="3" fontId="48" fillId="0" borderId="148" xfId="20406" applyNumberFormat="1" applyFont="1" applyFill="1" applyBorder="1" applyAlignment="1">
      <alignment horizontal="center"/>
    </xf>
    <xf numFmtId="3" fontId="48" fillId="0" borderId="159" xfId="20406" applyNumberFormat="1" applyFont="1" applyFill="1" applyBorder="1" applyAlignment="1">
      <alignment horizontal="center"/>
    </xf>
    <xf numFmtId="3" fontId="48" fillId="0" borderId="146" xfId="20406" applyNumberFormat="1" applyFont="1" applyFill="1" applyBorder="1" applyAlignment="1">
      <alignment horizontal="center"/>
    </xf>
    <xf numFmtId="3" fontId="48" fillId="0" borderId="160" xfId="20406" applyNumberFormat="1" applyFont="1" applyFill="1" applyBorder="1" applyAlignment="1">
      <alignment horizontal="center"/>
    </xf>
    <xf numFmtId="0" fontId="274" fillId="93" borderId="153" xfId="20402" applyFont="1" applyFill="1" applyBorder="1" applyAlignment="1"/>
    <xf numFmtId="0" fontId="274" fillId="93" borderId="161" xfId="20402" applyFont="1" applyFill="1" applyBorder="1" applyAlignment="1"/>
    <xf numFmtId="0" fontId="274" fillId="93" borderId="154" xfId="20402" applyFont="1" applyFill="1" applyBorder="1" applyAlignment="1"/>
    <xf numFmtId="0" fontId="24" fillId="0" borderId="0" xfId="20402" applyFont="1" applyFill="1" applyBorder="1"/>
    <xf numFmtId="3" fontId="24" fillId="0" borderId="0" xfId="20402" applyNumberFormat="1" applyFont="1" applyFill="1" applyBorder="1" applyAlignment="1">
      <alignment horizontal="left" indent="2"/>
    </xf>
    <xf numFmtId="3" fontId="274" fillId="93" borderId="153" xfId="20402" applyNumberFormat="1" applyFont="1" applyFill="1" applyBorder="1" applyAlignment="1"/>
    <xf numFmtId="3" fontId="274" fillId="93" borderId="161" xfId="20402" applyNumberFormat="1" applyFont="1" applyFill="1" applyBorder="1" applyAlignment="1"/>
    <xf numFmtId="3" fontId="274" fillId="93" borderId="154" xfId="20402" applyNumberFormat="1" applyFont="1" applyFill="1" applyBorder="1" applyAlignment="1"/>
    <xf numFmtId="3" fontId="8" fillId="0" borderId="0" xfId="20402" applyNumberFormat="1"/>
    <xf numFmtId="0" fontId="275" fillId="0" borderId="0" xfId="20402" applyFont="1"/>
    <xf numFmtId="0" fontId="108" fillId="0" borderId="0" xfId="20402" applyFont="1"/>
    <xf numFmtId="0" fontId="263" fillId="0" borderId="0" xfId="20402" applyFont="1" applyFill="1" applyBorder="1" applyAlignment="1">
      <alignment horizontal="center"/>
    </xf>
    <xf numFmtId="0" fontId="263" fillId="0" borderId="0" xfId="20402" applyFont="1" applyFill="1" applyBorder="1" applyAlignment="1"/>
    <xf numFmtId="0" fontId="263" fillId="0" borderId="0" xfId="20402" quotePrefix="1" applyFont="1" applyFill="1" applyBorder="1" applyAlignment="1">
      <alignment horizontal="center" wrapText="1"/>
    </xf>
    <xf numFmtId="0" fontId="108" fillId="0" borderId="0" xfId="20402" quotePrefix="1" applyFont="1" applyAlignment="1">
      <alignment horizontal="center"/>
    </xf>
    <xf numFmtId="0" fontId="263" fillId="0" borderId="0" xfId="20402" applyFont="1" applyFill="1" applyBorder="1" applyAlignment="1">
      <alignment horizontal="left"/>
    </xf>
    <xf numFmtId="0" fontId="263" fillId="0" borderId="0" xfId="20402" applyNumberFormat="1" applyFont="1" applyFill="1" applyBorder="1" applyAlignment="1">
      <alignment wrapText="1"/>
    </xf>
    <xf numFmtId="0" fontId="233" fillId="0" borderId="0" xfId="20402" applyNumberFormat="1" applyFont="1" applyBorder="1" applyAlignment="1">
      <alignment wrapText="1"/>
    </xf>
    <xf numFmtId="0" fontId="108" fillId="0" borderId="0" xfId="20402" applyFont="1" applyBorder="1"/>
    <xf numFmtId="0" fontId="108" fillId="0" borderId="0" xfId="20402" applyFont="1" applyAlignment="1">
      <alignment horizontal="center"/>
    </xf>
    <xf numFmtId="0" fontId="269" fillId="0" borderId="0" xfId="20402" applyNumberFormat="1" applyFont="1" applyAlignment="1">
      <alignment horizontal="right" wrapText="1"/>
    </xf>
    <xf numFmtId="0" fontId="276" fillId="0" borderId="0" xfId="11898" applyFont="1"/>
    <xf numFmtId="0" fontId="263" fillId="0" borderId="0" xfId="20402" applyNumberFormat="1" applyFont="1" applyFill="1" applyBorder="1" applyAlignment="1">
      <alignment horizontal="right" wrapText="1"/>
    </xf>
    <xf numFmtId="0" fontId="277" fillId="0" borderId="0" xfId="20402" applyFont="1" applyAlignment="1">
      <alignment horizontal="left"/>
    </xf>
    <xf numFmtId="0" fontId="269" fillId="0" borderId="0" xfId="20402" applyNumberFormat="1" applyFont="1" applyAlignment="1">
      <alignment wrapText="1"/>
    </xf>
    <xf numFmtId="0" fontId="269" fillId="0" borderId="148" xfId="20402" applyNumberFormat="1" applyFont="1" applyBorder="1" applyAlignment="1">
      <alignment horizontal="right" wrapText="1"/>
    </xf>
    <xf numFmtId="0" fontId="263" fillId="0" borderId="148" xfId="20402" applyNumberFormat="1" applyFont="1" applyFill="1" applyBorder="1" applyAlignment="1">
      <alignment horizontal="right" wrapText="1"/>
    </xf>
    <xf numFmtId="0" fontId="276" fillId="0" borderId="0" xfId="11898" applyFont="1" applyBorder="1"/>
    <xf numFmtId="44" fontId="108" fillId="0" borderId="0" xfId="20402" applyNumberFormat="1" applyFont="1"/>
    <xf numFmtId="0" fontId="108" fillId="0" borderId="0" xfId="20402" applyFont="1" applyAlignment="1"/>
    <xf numFmtId="0" fontId="108" fillId="0" borderId="0" xfId="20402" applyFont="1" applyFill="1"/>
    <xf numFmtId="0" fontId="269" fillId="0" borderId="0" xfId="20402" applyFont="1" applyAlignment="1"/>
    <xf numFmtId="0" fontId="108" fillId="0" borderId="0" xfId="20402" applyFont="1" applyFill="1" applyAlignment="1"/>
    <xf numFmtId="43" fontId="108" fillId="0" borderId="0" xfId="20406" applyFont="1"/>
    <xf numFmtId="0" fontId="108" fillId="0" borderId="0" xfId="20402" applyNumberFormat="1" applyFont="1" applyAlignment="1"/>
    <xf numFmtId="0" fontId="269" fillId="0" borderId="44" xfId="20402" applyFont="1" applyFill="1" applyBorder="1" applyAlignment="1">
      <alignment horizontal="center" wrapText="1"/>
    </xf>
    <xf numFmtId="0" fontId="269" fillId="0" borderId="0" xfId="20402" applyFont="1" applyAlignment="1">
      <alignment horizontal="left"/>
    </xf>
    <xf numFmtId="0" fontId="269" fillId="0" borderId="0" xfId="20402" applyNumberFormat="1" applyFont="1" applyFill="1" applyAlignment="1">
      <alignment wrapText="1"/>
    </xf>
    <xf numFmtId="0" fontId="269" fillId="0" borderId="148" xfId="20402" applyNumberFormat="1" applyFont="1" applyFill="1" applyBorder="1" applyAlignment="1">
      <alignment horizontal="right" wrapText="1"/>
    </xf>
    <xf numFmtId="0" fontId="275" fillId="0" borderId="0" xfId="20402" applyNumberFormat="1" applyFont="1"/>
    <xf numFmtId="0" fontId="269" fillId="0" borderId="0" xfId="20402" applyNumberFormat="1" applyFont="1" applyFill="1" applyAlignment="1">
      <alignment horizontal="right" wrapText="1"/>
    </xf>
    <xf numFmtId="4" fontId="108" fillId="0" borderId="0" xfId="20402" applyNumberFormat="1" applyFont="1"/>
    <xf numFmtId="0" fontId="233" fillId="0" borderId="0" xfId="20402" applyNumberFormat="1" applyFont="1" applyAlignment="1">
      <alignment wrapText="1"/>
    </xf>
    <xf numFmtId="0" fontId="233" fillId="0" borderId="0" xfId="20402" applyNumberFormat="1" applyFont="1" applyFill="1" applyAlignment="1">
      <alignment wrapText="1"/>
    </xf>
    <xf numFmtId="43" fontId="233" fillId="0" borderId="0" xfId="20406" applyFont="1" applyAlignment="1">
      <alignment horizontal="right" wrapText="1"/>
    </xf>
    <xf numFmtId="0" fontId="275" fillId="74" borderId="0" xfId="20402" applyFont="1" applyFill="1"/>
    <xf numFmtId="0" fontId="269" fillId="0" borderId="0" xfId="20402" applyNumberFormat="1" applyFont="1" applyBorder="1" applyAlignment="1">
      <alignment horizontal="right" wrapText="1"/>
    </xf>
    <xf numFmtId="0" fontId="269" fillId="0" borderId="0" xfId="20402" applyNumberFormat="1" applyFont="1" applyFill="1" applyBorder="1" applyAlignment="1">
      <alignment horizontal="right" wrapText="1"/>
    </xf>
    <xf numFmtId="0" fontId="275" fillId="0" borderId="147" xfId="20402" applyFont="1" applyBorder="1"/>
    <xf numFmtId="4" fontId="275" fillId="0" borderId="147" xfId="20402" applyNumberFormat="1" applyFont="1" applyBorder="1"/>
    <xf numFmtId="43" fontId="275" fillId="0" borderId="0" xfId="20402" applyNumberFormat="1" applyFont="1"/>
    <xf numFmtId="4" fontId="275" fillId="0" borderId="0" xfId="20402" applyNumberFormat="1" applyFont="1"/>
    <xf numFmtId="43" fontId="108" fillId="0" borderId="0" xfId="20402" applyNumberFormat="1" applyFont="1" applyFill="1"/>
    <xf numFmtId="44" fontId="108" fillId="0" borderId="0" xfId="20402" applyNumberFormat="1" applyFont="1" applyFill="1"/>
    <xf numFmtId="14" fontId="273" fillId="93" borderId="0" xfId="20406" applyNumberFormat="1" applyFont="1" applyFill="1" applyBorder="1" applyAlignment="1">
      <alignment horizontal="center"/>
    </xf>
    <xf numFmtId="43" fontId="257" fillId="0" borderId="0" xfId="20405" applyNumberFormat="1" applyFont="1" applyBorder="1"/>
    <xf numFmtId="43" fontId="264" fillId="0" borderId="0" xfId="20404" applyNumberFormat="1" applyFont="1" applyBorder="1"/>
    <xf numFmtId="1" fontId="159" fillId="0" borderId="162" xfId="0" applyNumberFormat="1" applyFont="1" applyFill="1" applyBorder="1" applyAlignment="1">
      <alignment horizontal="right"/>
    </xf>
    <xf numFmtId="1" fontId="159" fillId="0" borderId="147" xfId="0" applyNumberFormat="1" applyFont="1" applyFill="1" applyBorder="1" applyAlignment="1">
      <alignment horizontal="right"/>
    </xf>
    <xf numFmtId="1" fontId="159" fillId="0" borderId="163" xfId="0" applyNumberFormat="1" applyFont="1" applyFill="1" applyBorder="1" applyAlignment="1">
      <alignment horizontal="right"/>
    </xf>
    <xf numFmtId="0" fontId="168" fillId="72" borderId="162" xfId="0" applyFont="1" applyFill="1" applyBorder="1" applyAlignment="1">
      <alignment horizontal="centerContinuous"/>
    </xf>
    <xf numFmtId="0" fontId="24" fillId="0" borderId="0" xfId="20410" applyFont="1" applyFill="1"/>
    <xf numFmtId="0" fontId="24" fillId="0" borderId="0" xfId="20410" applyFont="1" applyFill="1" applyBorder="1"/>
    <xf numFmtId="0" fontId="24" fillId="0" borderId="0" xfId="20410" applyFont="1" applyFill="1" applyAlignment="1">
      <alignment horizontal="center"/>
    </xf>
    <xf numFmtId="0" fontId="273" fillId="59" borderId="149" xfId="20410" applyFont="1" applyFill="1" applyBorder="1" applyAlignment="1">
      <alignment vertical="center"/>
    </xf>
    <xf numFmtId="0" fontId="273" fillId="59" borderId="155" xfId="20410" applyFont="1" applyFill="1" applyBorder="1" applyAlignment="1">
      <alignment vertical="center"/>
    </xf>
    <xf numFmtId="0" fontId="274" fillId="59" borderId="156" xfId="20410" applyFont="1" applyFill="1" applyBorder="1" applyAlignment="1">
      <alignment horizontal="center"/>
    </xf>
    <xf numFmtId="0" fontId="274" fillId="59" borderId="150" xfId="20410" applyFont="1" applyFill="1" applyBorder="1" applyAlignment="1">
      <alignment horizontal="center"/>
    </xf>
    <xf numFmtId="0" fontId="24" fillId="0" borderId="0" xfId="20410" applyFont="1" applyFill="1" applyBorder="1" applyAlignment="1">
      <alignment horizontal="center"/>
    </xf>
    <xf numFmtId="0" fontId="273" fillId="59" borderId="151" xfId="20410" applyFont="1" applyFill="1" applyBorder="1" applyAlignment="1">
      <alignment vertical="center"/>
    </xf>
    <xf numFmtId="0" fontId="273" fillId="59" borderId="13" xfId="20410" applyFont="1" applyFill="1" applyBorder="1" applyAlignment="1">
      <alignment vertical="center"/>
    </xf>
    <xf numFmtId="49" fontId="273" fillId="59" borderId="0" xfId="20411" applyNumberFormat="1" applyFont="1" applyFill="1" applyBorder="1" applyAlignment="1">
      <alignment horizontal="center"/>
    </xf>
    <xf numFmtId="49" fontId="273" fillId="59" borderId="152" xfId="20411" applyNumberFormat="1" applyFont="1" applyFill="1" applyBorder="1" applyAlignment="1">
      <alignment horizontal="center"/>
    </xf>
    <xf numFmtId="0" fontId="273" fillId="59" borderId="157" xfId="20410" applyFont="1" applyFill="1" applyBorder="1" applyAlignment="1">
      <alignment vertical="center"/>
    </xf>
    <xf numFmtId="0" fontId="273" fillId="59" borderId="93" xfId="20410" applyFont="1" applyFill="1" applyBorder="1" applyAlignment="1">
      <alignment vertical="center"/>
    </xf>
    <xf numFmtId="247" fontId="274" fillId="59" borderId="44" xfId="20410" applyNumberFormat="1" applyFont="1" applyFill="1" applyBorder="1" applyAlignment="1">
      <alignment horizontal="center"/>
    </xf>
    <xf numFmtId="247" fontId="274" fillId="59" borderId="158" xfId="20410" applyNumberFormat="1" applyFont="1" applyFill="1" applyBorder="1" applyAlignment="1">
      <alignment horizontal="center"/>
    </xf>
    <xf numFmtId="0" fontId="24" fillId="0" borderId="151" xfId="20410" applyFont="1" applyFill="1" applyBorder="1" applyAlignment="1">
      <alignment horizontal="center"/>
    </xf>
    <xf numFmtId="0" fontId="48" fillId="0" borderId="0" xfId="20410" applyFont="1" applyFill="1" applyBorder="1" applyAlignment="1">
      <alignment horizontal="left"/>
    </xf>
    <xf numFmtId="247" fontId="24" fillId="0" borderId="0" xfId="20411" applyNumberFormat="1" applyFont="1" applyFill="1" applyBorder="1"/>
    <xf numFmtId="247" fontId="24" fillId="0" borderId="152" xfId="20411" applyNumberFormat="1" applyFont="1" applyFill="1" applyBorder="1"/>
    <xf numFmtId="1" fontId="48" fillId="0" borderId="0" xfId="20411" applyNumberFormat="1" applyFont="1" applyFill="1" applyBorder="1" applyAlignment="1">
      <alignment horizontal="center"/>
    </xf>
    <xf numFmtId="1" fontId="48" fillId="0" borderId="152" xfId="20411" applyNumberFormat="1" applyFont="1" applyFill="1" applyBorder="1" applyAlignment="1">
      <alignment horizontal="center"/>
    </xf>
    <xf numFmtId="3" fontId="24" fillId="0" borderId="0" xfId="20411" applyNumberFormat="1" applyFont="1" applyFill="1" applyAlignment="1">
      <alignment horizontal="center"/>
    </xf>
    <xf numFmtId="3" fontId="24" fillId="0" borderId="151" xfId="20411" applyNumberFormat="1" applyFont="1" applyFill="1" applyBorder="1" applyAlignment="1">
      <alignment horizontal="center"/>
    </xf>
    <xf numFmtId="3" fontId="24" fillId="0" borderId="0" xfId="20411" applyNumberFormat="1" applyFont="1" applyBorder="1" applyAlignment="1">
      <alignment horizontal="left" indent="2"/>
    </xf>
    <xf numFmtId="3" fontId="24" fillId="0" borderId="0" xfId="20411" applyNumberFormat="1" applyFont="1" applyFill="1" applyBorder="1" applyAlignment="1">
      <alignment horizontal="center"/>
    </xf>
    <xf numFmtId="3" fontId="24" fillId="0" borderId="152" xfId="20411" applyNumberFormat="1" applyFont="1" applyFill="1" applyBorder="1" applyAlignment="1">
      <alignment horizontal="center"/>
    </xf>
    <xf numFmtId="3" fontId="24" fillId="0" borderId="44" xfId="20411" applyNumberFormat="1" applyFont="1" applyFill="1" applyBorder="1" applyAlignment="1">
      <alignment horizontal="center"/>
    </xf>
    <xf numFmtId="3" fontId="24" fillId="0" borderId="158" xfId="20411" applyNumberFormat="1" applyFont="1" applyFill="1" applyBorder="1" applyAlignment="1">
      <alignment horizontal="center"/>
    </xf>
    <xf numFmtId="3" fontId="48" fillId="0" borderId="0" xfId="20411" applyNumberFormat="1" applyFont="1" applyFill="1" applyBorder="1" applyAlignment="1"/>
    <xf numFmtId="3" fontId="48" fillId="0" borderId="0" xfId="20411" applyNumberFormat="1" applyFont="1" applyFill="1" applyBorder="1" applyAlignment="1">
      <alignment horizontal="center"/>
    </xf>
    <xf numFmtId="3" fontId="48" fillId="0" borderId="152" xfId="20411" applyNumberFormat="1" applyFont="1" applyFill="1" applyBorder="1" applyAlignment="1">
      <alignment horizontal="center"/>
    </xf>
    <xf numFmtId="3" fontId="24" fillId="0" borderId="0" xfId="20411" applyNumberFormat="1" applyFont="1" applyFill="1" applyBorder="1" applyAlignment="1">
      <alignment horizontal="left" vertical="center" indent="2"/>
    </xf>
    <xf numFmtId="3" fontId="48" fillId="0" borderId="164" xfId="20411" applyNumberFormat="1" applyFont="1" applyFill="1" applyBorder="1" applyAlignment="1">
      <alignment horizontal="center"/>
    </xf>
    <xf numFmtId="3" fontId="48" fillId="0" borderId="165" xfId="20411" applyNumberFormat="1" applyFont="1" applyFill="1" applyBorder="1" applyAlignment="1">
      <alignment horizontal="center"/>
    </xf>
    <xf numFmtId="3" fontId="24" fillId="0" borderId="0" xfId="20411" applyNumberFormat="1" applyFont="1" applyFill="1" applyBorder="1" applyAlignment="1">
      <alignment horizontal="left" indent="2"/>
    </xf>
    <xf numFmtId="3" fontId="48" fillId="0" borderId="166" xfId="20411" applyNumberFormat="1" applyFont="1" applyFill="1" applyBorder="1" applyAlignment="1">
      <alignment horizontal="center"/>
    </xf>
    <xf numFmtId="3" fontId="48" fillId="0" borderId="167" xfId="20411" applyNumberFormat="1" applyFont="1" applyFill="1" applyBorder="1" applyAlignment="1">
      <alignment horizontal="center"/>
    </xf>
    <xf numFmtId="0" fontId="24" fillId="0" borderId="0" xfId="20410" applyFont="1" applyFill="1" applyAlignment="1"/>
    <xf numFmtId="0" fontId="274" fillId="59" borderId="168" xfId="20410" applyFont="1" applyFill="1" applyBorder="1" applyAlignment="1"/>
    <xf numFmtId="0" fontId="274" fillId="59" borderId="17" xfId="20410" applyFont="1" applyFill="1" applyBorder="1" applyAlignment="1"/>
    <xf numFmtId="0" fontId="274" fillId="59" borderId="169" xfId="20410" applyFont="1" applyFill="1" applyBorder="1" applyAlignment="1"/>
    <xf numFmtId="0" fontId="24" fillId="0" borderId="0" xfId="20410" applyFont="1" applyFill="1" applyBorder="1" applyAlignment="1"/>
    <xf numFmtId="0" fontId="279" fillId="90" borderId="170" xfId="20410" applyFont="1" applyFill="1" applyBorder="1" applyAlignment="1">
      <alignment horizontal="center"/>
    </xf>
    <xf numFmtId="0" fontId="279" fillId="90" borderId="164" xfId="20410" applyFont="1" applyFill="1" applyBorder="1" applyAlignment="1">
      <alignment horizontal="center"/>
    </xf>
    <xf numFmtId="0" fontId="279" fillId="90" borderId="171" xfId="20410" applyFont="1" applyFill="1" applyBorder="1" applyAlignment="1">
      <alignment horizontal="center"/>
    </xf>
    <xf numFmtId="0" fontId="279" fillId="90" borderId="60" xfId="20410" applyFont="1" applyFill="1" applyBorder="1" applyAlignment="1">
      <alignment horizontal="center"/>
    </xf>
    <xf numFmtId="0" fontId="279" fillId="90" borderId="0" xfId="20410" applyFont="1" applyFill="1" applyBorder="1" applyAlignment="1">
      <alignment horizontal="center"/>
    </xf>
    <xf numFmtId="0" fontId="279" fillId="90" borderId="13" xfId="20410" applyFont="1" applyFill="1" applyBorder="1" applyAlignment="1">
      <alignment horizontal="center"/>
    </xf>
    <xf numFmtId="3" fontId="24" fillId="0" borderId="0" xfId="20410" applyNumberFormat="1" applyFont="1" applyFill="1" applyBorder="1" applyAlignment="1">
      <alignment horizontal="left" indent="2"/>
    </xf>
    <xf numFmtId="3" fontId="279" fillId="90" borderId="170" xfId="20411" applyNumberFormat="1" applyFont="1" applyFill="1" applyBorder="1" applyAlignment="1">
      <alignment horizontal="center"/>
    </xf>
    <xf numFmtId="3" fontId="279" fillId="90" borderId="164" xfId="20411" applyNumberFormat="1" applyFont="1" applyFill="1" applyBorder="1" applyAlignment="1">
      <alignment horizontal="center"/>
    </xf>
    <xf numFmtId="3" fontId="279" fillId="90" borderId="171" xfId="20411" applyNumberFormat="1" applyFont="1" applyFill="1" applyBorder="1" applyAlignment="1">
      <alignment horizontal="center"/>
    </xf>
    <xf numFmtId="3" fontId="279" fillId="90" borderId="60" xfId="20411" applyNumberFormat="1" applyFont="1" applyFill="1" applyBorder="1" applyAlignment="1">
      <alignment horizontal="center"/>
    </xf>
    <xf numFmtId="3" fontId="279" fillId="90" borderId="0" xfId="20411" applyNumberFormat="1" applyFont="1" applyFill="1" applyBorder="1" applyAlignment="1">
      <alignment horizontal="center"/>
    </xf>
    <xf numFmtId="3" fontId="279" fillId="90" borderId="13" xfId="20411" applyNumberFormat="1" applyFont="1" applyFill="1" applyBorder="1" applyAlignment="1">
      <alignment horizontal="center"/>
    </xf>
    <xf numFmtId="3" fontId="279" fillId="90" borderId="127" xfId="20411" applyNumberFormat="1" applyFont="1" applyFill="1" applyBorder="1" applyAlignment="1">
      <alignment horizontal="center"/>
    </xf>
    <xf numFmtId="3" fontId="279" fillId="90" borderId="44" xfId="20411" applyNumberFormat="1" applyFont="1" applyFill="1" applyBorder="1" applyAlignment="1">
      <alignment horizontal="center"/>
    </xf>
    <xf numFmtId="3" fontId="279" fillId="90" borderId="93" xfId="20411" applyNumberFormat="1" applyFont="1" applyFill="1" applyBorder="1" applyAlignment="1">
      <alignment horizontal="center"/>
    </xf>
    <xf numFmtId="3" fontId="48" fillId="0" borderId="160" xfId="20411" applyNumberFormat="1" applyFont="1" applyFill="1" applyBorder="1" applyAlignment="1">
      <alignment horizontal="center"/>
    </xf>
    <xf numFmtId="247" fontId="24" fillId="0" borderId="0" xfId="20411" applyNumberFormat="1" applyFont="1" applyFill="1"/>
    <xf numFmtId="0" fontId="24" fillId="0" borderId="0" xfId="20410" applyFont="1" applyFill="1" applyBorder="1" applyAlignment="1">
      <alignment horizontal="left"/>
    </xf>
    <xf numFmtId="247" fontId="24" fillId="0" borderId="0" xfId="20411" applyNumberFormat="1" applyFont="1" applyFill="1" applyBorder="1" applyAlignment="1">
      <alignment horizontal="left"/>
    </xf>
    <xf numFmtId="0" fontId="168" fillId="72" borderId="172" xfId="0" applyFont="1" applyFill="1" applyBorder="1" applyAlignment="1">
      <alignment horizontal="centerContinuous"/>
    </xf>
    <xf numFmtId="1" fontId="159" fillId="0" borderId="172" xfId="0" applyNumberFormat="1" applyFont="1" applyFill="1" applyBorder="1" applyAlignment="1">
      <alignment horizontal="right"/>
    </xf>
    <xf numFmtId="0" fontId="273" fillId="59" borderId="156" xfId="20410" applyFont="1" applyFill="1" applyBorder="1" applyAlignment="1">
      <alignment vertical="center"/>
    </xf>
    <xf numFmtId="0" fontId="273" fillId="59" borderId="0" xfId="20410" applyFont="1" applyFill="1" applyBorder="1" applyAlignment="1">
      <alignment vertical="center"/>
    </xf>
    <xf numFmtId="0" fontId="273" fillId="59" borderId="44" xfId="20410" applyFont="1" applyFill="1" applyBorder="1" applyAlignment="1">
      <alignment vertical="center"/>
    </xf>
    <xf numFmtId="0" fontId="54" fillId="0" borderId="0" xfId="16383" applyFont="1" applyFill="1" applyBorder="1" applyAlignment="1">
      <alignment horizontal="left"/>
    </xf>
    <xf numFmtId="0" fontId="54" fillId="0" borderId="173" xfId="16383" applyFont="1" applyFill="1" applyBorder="1" applyAlignment="1">
      <alignment horizontal="left"/>
    </xf>
    <xf numFmtId="0" fontId="7" fillId="0" borderId="0" xfId="20412"/>
    <xf numFmtId="0" fontId="154" fillId="0" borderId="0" xfId="20412" applyFont="1" applyAlignment="1">
      <alignment horizontal="center"/>
    </xf>
    <xf numFmtId="0" fontId="154" fillId="75" borderId="174" xfId="20412" applyFont="1" applyFill="1" applyBorder="1" applyAlignment="1">
      <alignment horizontal="center"/>
    </xf>
    <xf numFmtId="0" fontId="154" fillId="75" borderId="175" xfId="20412" applyFont="1" applyFill="1" applyBorder="1" applyAlignment="1">
      <alignment horizontal="center"/>
    </xf>
    <xf numFmtId="0" fontId="154" fillId="75" borderId="176" xfId="20412" applyFont="1" applyFill="1" applyBorder="1" applyAlignment="1">
      <alignment horizontal="center"/>
    </xf>
    <xf numFmtId="0" fontId="7" fillId="0" borderId="177" xfId="20412" applyBorder="1"/>
    <xf numFmtId="0" fontId="7" fillId="0" borderId="173" xfId="20412" applyBorder="1"/>
    <xf numFmtId="44" fontId="0" fillId="0" borderId="173" xfId="20413" applyFont="1" applyBorder="1"/>
    <xf numFmtId="247" fontId="0" fillId="0" borderId="173" xfId="20411" applyNumberFormat="1" applyFont="1" applyBorder="1"/>
    <xf numFmtId="247" fontId="7" fillId="0" borderId="173" xfId="20412" applyNumberFormat="1" applyBorder="1"/>
    <xf numFmtId="10" fontId="0" fillId="0" borderId="173" xfId="20414" applyNumberFormat="1" applyFont="1" applyBorder="1"/>
    <xf numFmtId="10" fontId="0" fillId="0" borderId="178" xfId="20414" applyNumberFormat="1" applyFont="1" applyBorder="1"/>
    <xf numFmtId="44" fontId="0" fillId="0" borderId="0" xfId="20413" applyFont="1"/>
    <xf numFmtId="0" fontId="280" fillId="0" borderId="177" xfId="20412" applyFont="1" applyBorder="1"/>
    <xf numFmtId="44" fontId="7" fillId="0" borderId="0" xfId="20412" applyNumberFormat="1"/>
    <xf numFmtId="0" fontId="7" fillId="0" borderId="177" xfId="20412" applyFont="1" applyBorder="1"/>
    <xf numFmtId="0" fontId="7" fillId="0" borderId="173" xfId="20412" applyFont="1" applyBorder="1"/>
    <xf numFmtId="44" fontId="7" fillId="0" borderId="173" xfId="20413" applyFont="1" applyBorder="1"/>
    <xf numFmtId="247" fontId="7" fillId="0" borderId="173" xfId="20411" applyNumberFormat="1" applyFont="1" applyBorder="1"/>
    <xf numFmtId="247" fontId="7" fillId="0" borderId="173" xfId="20412" applyNumberFormat="1" applyFont="1" applyBorder="1"/>
    <xf numFmtId="10" fontId="7" fillId="0" borderId="173" xfId="20414" applyNumberFormat="1" applyFont="1" applyBorder="1"/>
    <xf numFmtId="10" fontId="7" fillId="0" borderId="178" xfId="20414" applyNumberFormat="1" applyFont="1" applyBorder="1"/>
    <xf numFmtId="0" fontId="7" fillId="0" borderId="0" xfId="20412" applyFont="1"/>
    <xf numFmtId="10" fontId="7" fillId="0" borderId="0" xfId="20412" applyNumberFormat="1"/>
    <xf numFmtId="0" fontId="7" fillId="0" borderId="179" xfId="20412" applyBorder="1"/>
    <xf numFmtId="247" fontId="0" fillId="0" borderId="180" xfId="20411" applyNumberFormat="1" applyFont="1" applyBorder="1"/>
    <xf numFmtId="0" fontId="7" fillId="0" borderId="180" xfId="20412" applyBorder="1"/>
    <xf numFmtId="44" fontId="7" fillId="0" borderId="180" xfId="20412" applyNumberFormat="1" applyBorder="1"/>
    <xf numFmtId="10" fontId="7" fillId="0" borderId="180" xfId="20412" applyNumberFormat="1" applyBorder="1"/>
    <xf numFmtId="10" fontId="7" fillId="0" borderId="181" xfId="20412" applyNumberFormat="1" applyBorder="1"/>
    <xf numFmtId="0" fontId="7" fillId="0" borderId="174" xfId="20412" applyBorder="1"/>
    <xf numFmtId="44" fontId="0" fillId="0" borderId="176" xfId="20413" applyFont="1" applyBorder="1"/>
    <xf numFmtId="0" fontId="0" fillId="0" borderId="181" xfId="20413" applyNumberFormat="1" applyFont="1" applyBorder="1"/>
    <xf numFmtId="3" fontId="7" fillId="0" borderId="0" xfId="20412" applyNumberFormat="1"/>
    <xf numFmtId="0" fontId="168" fillId="72" borderId="172" xfId="0" applyFont="1" applyFill="1" applyBorder="1" applyAlignment="1">
      <alignment horizontal="right" wrapText="1"/>
    </xf>
    <xf numFmtId="167" fontId="188" fillId="0" borderId="0" xfId="12427" applyNumberFormat="1" applyFont="1" applyAlignment="1">
      <alignment horizontal="right"/>
    </xf>
    <xf numFmtId="304" fontId="188" fillId="0" borderId="0" xfId="0" applyNumberFormat="1" applyFont="1" applyAlignment="1">
      <alignment horizontal="right"/>
    </xf>
    <xf numFmtId="269" fontId="28" fillId="0" borderId="0" xfId="0" applyNumberFormat="1" applyFont="1" applyBorder="1" applyAlignment="1">
      <alignment horizontal="right"/>
    </xf>
    <xf numFmtId="43" fontId="7" fillId="0" borderId="0" xfId="20412" applyNumberFormat="1"/>
    <xf numFmtId="0" fontId="156" fillId="0" borderId="34" xfId="0" quotePrefix="1" applyFont="1" applyFill="1" applyBorder="1" applyAlignment="1">
      <alignment horizontal="right"/>
    </xf>
    <xf numFmtId="0" fontId="230" fillId="0" borderId="182" xfId="0" applyFont="1" applyBorder="1" applyAlignment="1">
      <alignment horizontal="centerContinuous"/>
    </xf>
    <xf numFmtId="0" fontId="156" fillId="0" borderId="172" xfId="0" applyFont="1" applyBorder="1" applyAlignment="1">
      <alignment horizontal="centerContinuous" wrapText="1"/>
    </xf>
    <xf numFmtId="0" fontId="158" fillId="0" borderId="182" xfId="0" applyFont="1" applyBorder="1"/>
    <xf numFmtId="0" fontId="158" fillId="0" borderId="172" xfId="0" applyFont="1" applyBorder="1" applyAlignment="1">
      <alignment horizontal="center"/>
    </xf>
    <xf numFmtId="304" fontId="236" fillId="0" borderId="13" xfId="0" applyNumberFormat="1" applyFont="1" applyBorder="1" applyAlignment="1">
      <alignment horizontal="right"/>
    </xf>
    <xf numFmtId="304" fontId="188" fillId="0" borderId="13" xfId="0" applyNumberFormat="1" applyFont="1" applyBorder="1" applyAlignment="1">
      <alignment horizontal="right"/>
    </xf>
    <xf numFmtId="304" fontId="28" fillId="0" borderId="13" xfId="0" applyNumberFormat="1" applyFont="1" applyBorder="1" applyAlignment="1">
      <alignment horizontal="right"/>
    </xf>
    <xf numFmtId="304" fontId="28" fillId="0" borderId="93" xfId="0" applyNumberFormat="1" applyFont="1" applyBorder="1" applyAlignment="1">
      <alignment horizontal="right"/>
    </xf>
    <xf numFmtId="304" fontId="160" fillId="0" borderId="0" xfId="0" applyNumberFormat="1" applyFont="1" applyFill="1"/>
    <xf numFmtId="8" fontId="156" fillId="0" borderId="0" xfId="0" applyNumberFormat="1" applyFont="1" applyFill="1" applyAlignment="1">
      <alignment horizontal="right"/>
    </xf>
    <xf numFmtId="165" fontId="158" fillId="0" borderId="0" xfId="12422" applyNumberFormat="1" applyFont="1"/>
    <xf numFmtId="0" fontId="168" fillId="72" borderId="170" xfId="0" applyFont="1" applyFill="1" applyBorder="1" applyAlignment="1">
      <alignment horizontal="center" vertical="top"/>
    </xf>
    <xf numFmtId="0" fontId="168" fillId="72" borderId="127" xfId="0" applyFont="1" applyFill="1" applyBorder="1" applyAlignment="1">
      <alignment horizontal="center" vertical="top"/>
    </xf>
    <xf numFmtId="167" fontId="156" fillId="0" borderId="0" xfId="0" applyNumberFormat="1" applyFont="1" applyFill="1" applyAlignment="1">
      <alignment horizontal="right"/>
    </xf>
    <xf numFmtId="169" fontId="188" fillId="0" borderId="0" xfId="0" applyNumberFormat="1" applyFont="1" applyFill="1"/>
    <xf numFmtId="0" fontId="130" fillId="0" borderId="0" xfId="0" applyFont="1" applyFill="1" applyAlignment="1">
      <alignment horizontal="center" wrapText="1"/>
    </xf>
    <xf numFmtId="0" fontId="235" fillId="0" borderId="77" xfId="0" applyFont="1" applyFill="1" applyBorder="1"/>
    <xf numFmtId="167" fontId="156" fillId="0" borderId="0" xfId="0" applyNumberFormat="1" applyFont="1"/>
    <xf numFmtId="9" fontId="156" fillId="0" borderId="0" xfId="12422" applyFont="1"/>
    <xf numFmtId="169" fontId="156" fillId="73" borderId="0" xfId="0" applyNumberFormat="1" applyFont="1" applyFill="1"/>
    <xf numFmtId="368" fontId="236" fillId="0" borderId="0" xfId="12427" applyNumberFormat="1" applyFont="1"/>
    <xf numFmtId="165" fontId="188" fillId="0" borderId="0" xfId="12422" applyNumberFormat="1" applyFont="1" applyFill="1" applyAlignment="1">
      <alignment horizontal="right"/>
    </xf>
    <xf numFmtId="8" fontId="236" fillId="0" borderId="0" xfId="0" applyNumberFormat="1" applyFont="1" applyFill="1" applyAlignment="1">
      <alignment horizontal="right"/>
    </xf>
    <xf numFmtId="308" fontId="156" fillId="0" borderId="44" xfId="0" applyNumberFormat="1" applyFont="1" applyBorder="1" applyAlignment="1">
      <alignment horizontal="right"/>
    </xf>
    <xf numFmtId="165" fontId="281" fillId="0" borderId="0" xfId="0" applyNumberFormat="1" applyFont="1" applyAlignment="1">
      <alignment horizontal="right"/>
    </xf>
    <xf numFmtId="0" fontId="156" fillId="0" borderId="184" xfId="0" applyFont="1" applyBorder="1"/>
    <xf numFmtId="0" fontId="158" fillId="0" borderId="184" xfId="0" applyFont="1" applyBorder="1"/>
    <xf numFmtId="169" fontId="158" fillId="0" borderId="184" xfId="0" applyNumberFormat="1" applyFont="1" applyBorder="1"/>
    <xf numFmtId="167" fontId="156" fillId="0" borderId="0" xfId="12427" applyNumberFormat="1" applyFont="1" applyFill="1" applyAlignment="1">
      <alignment horizontal="right"/>
    </xf>
    <xf numFmtId="169" fontId="130" fillId="0" borderId="0" xfId="0" applyNumberFormat="1" applyFont="1" applyFill="1"/>
    <xf numFmtId="169" fontId="236" fillId="0" borderId="0" xfId="0" applyNumberFormat="1" applyFont="1" applyFill="1"/>
    <xf numFmtId="169" fontId="236" fillId="0" borderId="44" xfId="0" applyNumberFormat="1" applyFont="1" applyFill="1" applyBorder="1"/>
    <xf numFmtId="0" fontId="156" fillId="0" borderId="0" xfId="0" applyFont="1" applyFill="1" applyAlignment="1">
      <alignment horizontal="center"/>
    </xf>
    <xf numFmtId="167" fontId="236" fillId="0" borderId="0" xfId="12427" applyNumberFormat="1" applyFont="1" applyBorder="1"/>
    <xf numFmtId="0" fontId="158" fillId="0" borderId="0" xfId="20398" applyFont="1" applyFill="1" applyBorder="1" applyAlignment="1">
      <alignment horizontal="left" indent="1"/>
    </xf>
    <xf numFmtId="169" fontId="158" fillId="71" borderId="147" xfId="0" applyNumberFormat="1" applyFont="1" applyFill="1" applyBorder="1"/>
    <xf numFmtId="0" fontId="157" fillId="0" borderId="0" xfId="0" applyFont="1" applyFill="1" applyBorder="1" applyAlignment="1">
      <alignment horizontal="center"/>
    </xf>
    <xf numFmtId="0" fontId="157" fillId="72" borderId="172" xfId="0" applyFont="1" applyFill="1" applyBorder="1" applyAlignment="1">
      <alignment horizontal="center"/>
    </xf>
    <xf numFmtId="0" fontId="157" fillId="72" borderId="173" xfId="0" applyFont="1" applyFill="1" applyBorder="1" applyAlignment="1">
      <alignment horizontal="center"/>
    </xf>
    <xf numFmtId="0" fontId="230" fillId="0" borderId="0" xfId="0" applyFont="1" applyFill="1" applyBorder="1" applyAlignment="1">
      <alignment horizontal="centerContinuous"/>
    </xf>
    <xf numFmtId="0" fontId="156" fillId="0" borderId="0" xfId="0" applyFont="1" applyFill="1" applyBorder="1" applyAlignment="1">
      <alignment horizontal="centerContinuous"/>
    </xf>
    <xf numFmtId="8" fontId="158" fillId="0" borderId="0" xfId="0" applyNumberFormat="1" applyFont="1" applyFill="1" applyBorder="1" applyAlignment="1">
      <alignment horizontal="right"/>
    </xf>
    <xf numFmtId="8" fontId="156" fillId="0" borderId="0" xfId="0" applyNumberFormat="1" applyFont="1" applyFill="1" applyBorder="1"/>
    <xf numFmtId="43" fontId="156" fillId="0" borderId="0" xfId="0" applyNumberFormat="1" applyFont="1" applyFill="1" applyAlignment="1">
      <alignment horizontal="center" vertical="center"/>
    </xf>
    <xf numFmtId="169" fontId="282" fillId="71" borderId="5" xfId="0" applyNumberFormat="1" applyFont="1" applyFill="1" applyBorder="1"/>
    <xf numFmtId="8" fontId="156" fillId="0" borderId="13" xfId="0" applyNumberFormat="1" applyFont="1" applyFill="1" applyBorder="1"/>
    <xf numFmtId="10" fontId="156" fillId="0" borderId="13" xfId="0" applyNumberFormat="1" applyFont="1" applyFill="1" applyBorder="1"/>
    <xf numFmtId="0" fontId="156" fillId="0" borderId="13" xfId="0" applyFont="1" applyFill="1" applyBorder="1"/>
    <xf numFmtId="168" fontId="156" fillId="0" borderId="13" xfId="0" applyNumberFormat="1" applyFont="1" applyFill="1" applyBorder="1"/>
    <xf numFmtId="165" fontId="158" fillId="0" borderId="93" xfId="0" applyNumberFormat="1" applyFont="1" applyFill="1" applyBorder="1"/>
    <xf numFmtId="165" fontId="236" fillId="0" borderId="0" xfId="0" applyNumberFormat="1" applyFont="1" applyFill="1" applyAlignment="1">
      <alignment horizontal="right"/>
    </xf>
    <xf numFmtId="0" fontId="158" fillId="0" borderId="0" xfId="20415" applyFont="1" applyBorder="1" applyAlignment="1">
      <alignment vertical="top"/>
    </xf>
    <xf numFmtId="0" fontId="156" fillId="0" borderId="0" xfId="20415" applyFont="1"/>
    <xf numFmtId="0" fontId="156" fillId="0" borderId="0" xfId="20415" applyFont="1" applyAlignment="1">
      <alignment horizontal="right" vertical="top"/>
    </xf>
    <xf numFmtId="0" fontId="156" fillId="0" borderId="0" xfId="20415" applyFont="1" applyAlignment="1">
      <alignment horizontal="right"/>
    </xf>
    <xf numFmtId="0" fontId="159" fillId="0" borderId="185" xfId="20415" applyFont="1" applyBorder="1"/>
    <xf numFmtId="0" fontId="159" fillId="0" borderId="183" xfId="20415" applyFont="1" applyBorder="1"/>
    <xf numFmtId="14" fontId="156" fillId="0" borderId="0" xfId="20415" applyNumberFormat="1" applyFont="1" applyFill="1" applyBorder="1" applyAlignment="1">
      <alignment horizontal="center"/>
    </xf>
    <xf numFmtId="0" fontId="156" fillId="0" borderId="0" xfId="20415" applyFont="1" applyBorder="1" applyAlignment="1">
      <alignment horizontal="left"/>
    </xf>
    <xf numFmtId="247" fontId="156" fillId="0" borderId="0" xfId="20416" applyNumberFormat="1" applyFont="1" applyBorder="1" applyAlignment="1">
      <alignment horizontal="right"/>
    </xf>
    <xf numFmtId="43" fontId="159" fillId="0" borderId="127" xfId="20415" applyNumberFormat="1" applyFont="1" applyBorder="1"/>
    <xf numFmtId="164" fontId="159" fillId="0" borderId="93" xfId="20415" applyNumberFormat="1" applyFont="1" applyBorder="1"/>
    <xf numFmtId="43" fontId="235" fillId="0" borderId="186" xfId="20415" applyNumberFormat="1" applyFont="1" applyBorder="1"/>
    <xf numFmtId="0" fontId="235" fillId="0" borderId="0" xfId="20415" applyFont="1"/>
    <xf numFmtId="43" fontId="246" fillId="68" borderId="56" xfId="11155" quotePrefix="1" applyFont="1" applyFill="1" applyBorder="1" applyAlignment="1"/>
    <xf numFmtId="0" fontId="156" fillId="0" borderId="0" xfId="20415" applyFont="1" applyFill="1" applyAlignment="1">
      <alignment horizontal="left"/>
    </xf>
    <xf numFmtId="0" fontId="156" fillId="0" borderId="0" xfId="20415" applyFont="1" applyFill="1" applyBorder="1" applyAlignment="1">
      <alignment horizontal="left"/>
    </xf>
    <xf numFmtId="0" fontId="156" fillId="0" borderId="0" xfId="20415" applyFont="1" applyFill="1" applyAlignment="1">
      <alignment horizontal="right" vertical="top"/>
    </xf>
    <xf numFmtId="0" fontId="156" fillId="0" borderId="0" xfId="20417" applyFont="1"/>
    <xf numFmtId="0" fontId="168" fillId="72" borderId="187" xfId="0" applyFont="1" applyFill="1" applyBorder="1" applyAlignment="1">
      <alignment horizontal="left"/>
    </xf>
    <xf numFmtId="0" fontId="168" fillId="72" borderId="188" xfId="0" applyFont="1" applyFill="1" applyBorder="1" applyAlignment="1">
      <alignment horizontal="center"/>
    </xf>
    <xf numFmtId="0" fontId="168" fillId="72" borderId="189" xfId="0" applyFont="1" applyFill="1" applyBorder="1" applyAlignment="1">
      <alignment horizontal="center"/>
    </xf>
    <xf numFmtId="247" fontId="156" fillId="0" borderId="0" xfId="20418" applyNumberFormat="1" applyFont="1" applyBorder="1" applyAlignment="1">
      <alignment horizontal="right"/>
    </xf>
    <xf numFmtId="0" fontId="173" fillId="88" borderId="0" xfId="20417" applyFont="1" applyFill="1" applyBorder="1"/>
    <xf numFmtId="0" fontId="156" fillId="0" borderId="0" xfId="20417" applyFont="1" applyBorder="1" applyAlignment="1">
      <alignment horizontal="center" wrapText="1"/>
    </xf>
    <xf numFmtId="0" fontId="158" fillId="89" borderId="185" xfId="20417" applyFont="1" applyFill="1" applyBorder="1" applyAlignment="1">
      <alignment horizontal="center" wrapText="1"/>
    </xf>
    <xf numFmtId="0" fontId="158" fillId="89" borderId="184" xfId="20417" applyFont="1" applyFill="1" applyBorder="1" applyAlignment="1">
      <alignment horizontal="center" wrapText="1"/>
    </xf>
    <xf numFmtId="0" fontId="158" fillId="89" borderId="0" xfId="20417" applyFont="1" applyFill="1" applyBorder="1" applyAlignment="1">
      <alignment horizontal="center" wrapText="1"/>
    </xf>
    <xf numFmtId="0" fontId="158" fillId="89" borderId="127" xfId="20417" applyFont="1" applyFill="1" applyBorder="1" applyAlignment="1">
      <alignment horizontal="left" wrapText="1"/>
    </xf>
    <xf numFmtId="0" fontId="158" fillId="89" borderId="44" xfId="20417" applyFont="1" applyFill="1" applyBorder="1" applyAlignment="1">
      <alignment horizontal="center" wrapText="1"/>
    </xf>
    <xf numFmtId="0" fontId="158" fillId="89" borderId="44" xfId="20417" applyFont="1" applyFill="1" applyBorder="1" applyAlignment="1">
      <alignment horizontal="right" wrapText="1"/>
    </xf>
    <xf numFmtId="247" fontId="158" fillId="0" borderId="0" xfId="20418" applyNumberFormat="1" applyFont="1" applyBorder="1" applyAlignment="1">
      <alignment horizontal="right"/>
    </xf>
    <xf numFmtId="0" fontId="158" fillId="0" borderId="0" xfId="20417" applyFont="1" applyBorder="1" applyAlignment="1">
      <alignment horizontal="center" wrapText="1"/>
    </xf>
    <xf numFmtId="0" fontId="156" fillId="0" borderId="0" xfId="20417" applyFont="1" applyAlignment="1">
      <alignment horizontal="center" wrapText="1"/>
    </xf>
    <xf numFmtId="0" fontId="158" fillId="0" borderId="0" xfId="20417" applyFont="1" applyFill="1" applyBorder="1" applyAlignment="1">
      <alignment horizontal="center" wrapText="1"/>
    </xf>
    <xf numFmtId="0" fontId="158" fillId="90" borderId="0" xfId="20417" applyFont="1" applyFill="1" applyBorder="1" applyAlignment="1">
      <alignment horizontal="center" wrapText="1"/>
    </xf>
    <xf numFmtId="0" fontId="158" fillId="0" borderId="0" xfId="20417" applyFont="1" applyAlignment="1">
      <alignment horizontal="center" wrapText="1"/>
    </xf>
    <xf numFmtId="0" fontId="158" fillId="0" borderId="0" xfId="20417" applyFont="1" applyFill="1" applyBorder="1" applyAlignment="1">
      <alignment horizontal="left" wrapText="1"/>
    </xf>
    <xf numFmtId="0" fontId="158" fillId="0" borderId="0" xfId="20417" applyFont="1" applyFill="1" applyBorder="1" applyAlignment="1">
      <alignment horizontal="left"/>
    </xf>
    <xf numFmtId="0" fontId="156" fillId="0" borderId="0" xfId="20417" applyFont="1" applyFill="1" applyBorder="1"/>
    <xf numFmtId="0" fontId="188" fillId="0" borderId="0" xfId="20419" applyFont="1" applyBorder="1" applyAlignment="1">
      <alignment horizontal="center"/>
    </xf>
    <xf numFmtId="0" fontId="156" fillId="0" borderId="0" xfId="20419" applyFont="1" applyFill="1" applyBorder="1" applyAlignment="1">
      <alignment horizontal="center"/>
    </xf>
    <xf numFmtId="0" fontId="188" fillId="0" borderId="0" xfId="20419" applyFont="1" applyFill="1" applyBorder="1" applyAlignment="1">
      <alignment horizontal="center"/>
    </xf>
    <xf numFmtId="164" fontId="156" fillId="0" borderId="0" xfId="20417" applyNumberFormat="1" applyFont="1" applyFill="1" applyBorder="1" applyAlignment="1">
      <alignment horizontal="center"/>
    </xf>
    <xf numFmtId="242" fontId="28" fillId="0" borderId="0" xfId="0" applyNumberFormat="1" applyFont="1" applyFill="1" applyAlignment="1">
      <alignment horizontal="right"/>
    </xf>
    <xf numFmtId="247" fontId="156" fillId="0" borderId="0" xfId="20418" applyNumberFormat="1" applyFont="1" applyFill="1" applyBorder="1" applyAlignment="1">
      <alignment horizontal="right"/>
    </xf>
    <xf numFmtId="43" fontId="156" fillId="74" borderId="0" xfId="20418" applyNumberFormat="1" applyFont="1" applyFill="1" applyBorder="1" applyAlignment="1">
      <alignment horizontal="right"/>
    </xf>
    <xf numFmtId="165" fontId="156" fillId="74" borderId="0" xfId="20418" applyNumberFormat="1" applyFont="1" applyFill="1" applyBorder="1" applyAlignment="1">
      <alignment horizontal="right"/>
    </xf>
    <xf numFmtId="247" fontId="156" fillId="0" borderId="0" xfId="20417" applyNumberFormat="1" applyFont="1"/>
    <xf numFmtId="0" fontId="156" fillId="0" borderId="0" xfId="20417" applyFont="1" applyFill="1" applyAlignment="1">
      <alignment horizontal="left" vertical="top"/>
    </xf>
    <xf numFmtId="247" fontId="156" fillId="0" borderId="0" xfId="20417" applyNumberFormat="1" applyFont="1" applyAlignment="1">
      <alignment horizontal="center" wrapText="1"/>
    </xf>
    <xf numFmtId="247" fontId="28" fillId="0" borderId="0" xfId="20417" applyNumberFormat="1" applyFont="1" applyAlignment="1">
      <alignment horizontal="center" wrapText="1"/>
    </xf>
    <xf numFmtId="247" fontId="156" fillId="0" borderId="0" xfId="20417" applyNumberFormat="1" applyFont="1" applyAlignment="1">
      <alignment horizontal="right" wrapText="1"/>
    </xf>
    <xf numFmtId="247" fontId="28" fillId="74" borderId="0" xfId="20418" applyNumberFormat="1" applyFont="1" applyFill="1" applyBorder="1" applyAlignment="1">
      <alignment horizontal="right"/>
    </xf>
    <xf numFmtId="0" fontId="156" fillId="0" borderId="0" xfId="20417" applyFont="1" applyAlignment="1">
      <alignment horizontal="left"/>
    </xf>
    <xf numFmtId="0" fontId="156" fillId="0" borderId="0" xfId="20417" applyFont="1" applyFill="1" applyAlignment="1">
      <alignment horizontal="center" wrapText="1"/>
    </xf>
    <xf numFmtId="247" fontId="156" fillId="74" borderId="0" xfId="20417" applyNumberFormat="1" applyFont="1" applyFill="1"/>
    <xf numFmtId="0" fontId="156" fillId="74" borderId="0" xfId="20417" applyFont="1" applyFill="1" applyAlignment="1">
      <alignment horizontal="center" wrapText="1"/>
    </xf>
    <xf numFmtId="0" fontId="188" fillId="74" borderId="0" xfId="20419" applyFont="1" applyFill="1" applyBorder="1" applyAlignment="1">
      <alignment horizontal="center"/>
    </xf>
    <xf numFmtId="247" fontId="28" fillId="0" borderId="0" xfId="20418" applyNumberFormat="1" applyFont="1" applyFill="1" applyBorder="1" applyAlignment="1">
      <alignment horizontal="right"/>
    </xf>
    <xf numFmtId="247" fontId="156" fillId="87" borderId="0" xfId="20417" applyNumberFormat="1" applyFont="1" applyFill="1"/>
    <xf numFmtId="0" fontId="156" fillId="87" borderId="0" xfId="20417" applyFont="1" applyFill="1"/>
    <xf numFmtId="247" fontId="28" fillId="87" borderId="0" xfId="20418" applyNumberFormat="1" applyFont="1" applyFill="1" applyBorder="1" applyAlignment="1">
      <alignment horizontal="right"/>
    </xf>
    <xf numFmtId="233" fontId="156" fillId="87" borderId="0" xfId="20419" applyNumberFormat="1" applyFont="1" applyFill="1" applyBorder="1" applyAlignment="1">
      <alignment horizontal="right"/>
    </xf>
    <xf numFmtId="14" fontId="156" fillId="87" borderId="0" xfId="20417" applyNumberFormat="1" applyFont="1" applyFill="1" applyAlignment="1">
      <alignment horizontal="left"/>
    </xf>
    <xf numFmtId="247" fontId="156" fillId="87" borderId="0" xfId="20418" applyNumberFormat="1" applyFont="1" applyFill="1" applyAlignment="1">
      <alignment horizontal="center" wrapText="1"/>
    </xf>
    <xf numFmtId="242" fontId="156" fillId="0" borderId="0" xfId="20418" applyNumberFormat="1" applyFont="1" applyFill="1" applyBorder="1" applyAlignment="1"/>
    <xf numFmtId="242" fontId="156" fillId="0" borderId="0" xfId="20418" applyNumberFormat="1" applyFont="1" applyFill="1" applyBorder="1" applyAlignment="1">
      <alignment horizontal="right"/>
    </xf>
    <xf numFmtId="0" fontId="198" fillId="0" borderId="0" xfId="20417" applyFont="1" applyFill="1" applyBorder="1"/>
    <xf numFmtId="0" fontId="158" fillId="71" borderId="185" xfId="11807" applyFont="1" applyFill="1" applyBorder="1"/>
    <xf numFmtId="0" fontId="156" fillId="71" borderId="184" xfId="11807" applyFont="1" applyFill="1" applyBorder="1"/>
    <xf numFmtId="167" fontId="158" fillId="71" borderId="184" xfId="12427" applyNumberFormat="1" applyFont="1" applyFill="1" applyBorder="1"/>
    <xf numFmtId="167" fontId="158" fillId="71" borderId="183" xfId="12427" applyNumberFormat="1" applyFont="1" applyFill="1" applyBorder="1"/>
    <xf numFmtId="242" fontId="156" fillId="0" borderId="190" xfId="0" applyNumberFormat="1" applyFont="1" applyFill="1" applyBorder="1" applyAlignment="1">
      <alignment horizontal="right"/>
    </xf>
    <xf numFmtId="242" fontId="156" fillId="0" borderId="31" xfId="0" applyNumberFormat="1" applyFont="1" applyFill="1" applyBorder="1" applyAlignment="1">
      <alignment horizontal="right"/>
    </xf>
    <xf numFmtId="0" fontId="158" fillId="0" borderId="0" xfId="20417" applyFont="1" applyFill="1" applyBorder="1"/>
    <xf numFmtId="242" fontId="156" fillId="0" borderId="0" xfId="20420" applyNumberFormat="1" applyFont="1" applyFill="1" applyBorder="1" applyAlignment="1">
      <alignment horizontal="right"/>
    </xf>
    <xf numFmtId="247" fontId="28" fillId="0" borderId="0" xfId="20421" applyNumberFormat="1" applyFont="1" applyAlignment="1">
      <alignment horizontal="center" wrapText="1"/>
    </xf>
    <xf numFmtId="0" fontId="156" fillId="87" borderId="0" xfId="20421" applyFont="1" applyFill="1"/>
    <xf numFmtId="247" fontId="156" fillId="0" borderId="0" xfId="20421" applyNumberFormat="1" applyFont="1" applyAlignment="1">
      <alignment horizontal="right" wrapText="1"/>
    </xf>
    <xf numFmtId="0" fontId="156" fillId="0" borderId="0" xfId="20421" applyFont="1" applyFill="1" applyAlignment="1">
      <alignment horizontal="center" wrapText="1"/>
    </xf>
    <xf numFmtId="0" fontId="156" fillId="0" borderId="0" xfId="20421" applyFont="1" applyFill="1" applyBorder="1"/>
    <xf numFmtId="0" fontId="188" fillId="0" borderId="0" xfId="20422" applyFont="1" applyFill="1" applyBorder="1" applyAlignment="1">
      <alignment horizontal="center"/>
    </xf>
    <xf numFmtId="0" fontId="156" fillId="0" borderId="0" xfId="20422" applyFont="1" applyFill="1" applyBorder="1" applyAlignment="1">
      <alignment horizontal="center"/>
    </xf>
    <xf numFmtId="247" fontId="156" fillId="0" borderId="0" xfId="20423" applyNumberFormat="1" applyFont="1" applyFill="1" applyBorder="1" applyAlignment="1">
      <alignment horizontal="right"/>
    </xf>
    <xf numFmtId="247" fontId="156" fillId="0" borderId="0" xfId="20421" applyNumberFormat="1" applyFont="1"/>
    <xf numFmtId="0" fontId="156" fillId="0" borderId="0" xfId="20421" applyFont="1" applyAlignment="1">
      <alignment horizontal="left"/>
    </xf>
    <xf numFmtId="247" fontId="156" fillId="0" borderId="0" xfId="20421" applyNumberFormat="1" applyFont="1" applyAlignment="1">
      <alignment horizontal="center" wrapText="1"/>
    </xf>
    <xf numFmtId="247" fontId="28" fillId="74" borderId="0" xfId="20423" applyNumberFormat="1" applyFont="1" applyFill="1" applyBorder="1" applyAlignment="1">
      <alignment horizontal="right"/>
    </xf>
    <xf numFmtId="0" fontId="156" fillId="0" borderId="0" xfId="20421" applyFont="1"/>
    <xf numFmtId="0" fontId="156" fillId="0" borderId="0" xfId="20417" applyFont="1" applyFill="1"/>
    <xf numFmtId="0" fontId="156" fillId="0" borderId="0" xfId="20417" quotePrefix="1" applyFont="1" applyFill="1" applyAlignment="1">
      <alignment horizontal="right" wrapText="1"/>
    </xf>
    <xf numFmtId="0" fontId="188" fillId="0" borderId="0" xfId="20303" applyFont="1" applyFill="1" applyBorder="1" applyAlignment="1">
      <alignment horizontal="center" wrapText="1"/>
    </xf>
    <xf numFmtId="0" fontId="188" fillId="0" borderId="0" xfId="20422" applyFont="1" applyBorder="1" applyAlignment="1">
      <alignment horizontal="center"/>
    </xf>
    <xf numFmtId="242" fontId="156" fillId="0" borderId="0" xfId="20420" applyNumberFormat="1" applyFont="1" applyBorder="1" applyAlignment="1">
      <alignment horizontal="right"/>
    </xf>
    <xf numFmtId="242" fontId="156" fillId="0" borderId="0" xfId="20418" applyNumberFormat="1" applyFont="1" applyBorder="1" applyAlignment="1">
      <alignment horizontal="right"/>
    </xf>
    <xf numFmtId="0" fontId="156" fillId="0" borderId="0" xfId="20417" applyFont="1" applyFill="1" applyBorder="1" applyAlignment="1">
      <alignment horizontal="left" vertical="center" wrapText="1"/>
    </xf>
    <xf numFmtId="0" fontId="156" fillId="0" borderId="0" xfId="20417" applyFont="1" applyBorder="1"/>
    <xf numFmtId="0" fontId="156" fillId="87" borderId="0" xfId="20417" applyFont="1" applyFill="1" applyBorder="1"/>
    <xf numFmtId="43" fontId="156" fillId="0" borderId="0" xfId="20418" applyNumberFormat="1" applyFont="1" applyFill="1" applyBorder="1" applyAlignment="1">
      <alignment horizontal="right"/>
    </xf>
    <xf numFmtId="165" fontId="156" fillId="0" borderId="0" xfId="20418" applyNumberFormat="1" applyFont="1" applyFill="1" applyBorder="1" applyAlignment="1">
      <alignment horizontal="right"/>
    </xf>
    <xf numFmtId="0" fontId="156" fillId="0" borderId="0" xfId="20417" applyFont="1" applyFill="1" applyAlignment="1">
      <alignment horizontal="left"/>
    </xf>
    <xf numFmtId="247" fontId="156" fillId="0" borderId="0" xfId="20417" applyNumberFormat="1" applyFont="1" applyFill="1"/>
    <xf numFmtId="247" fontId="156" fillId="0" borderId="0" xfId="20417" applyNumberFormat="1" applyFont="1" applyFill="1" applyAlignment="1">
      <alignment horizontal="center" wrapText="1"/>
    </xf>
    <xf numFmtId="247" fontId="156" fillId="87" borderId="0" xfId="20418" applyNumberFormat="1" applyFont="1" applyFill="1" applyBorder="1" applyAlignment="1">
      <alignment horizontal="center"/>
    </xf>
    <xf numFmtId="0" fontId="156" fillId="0" borderId="0" xfId="20417" applyFont="1" applyFill="1" applyBorder="1" applyAlignment="1">
      <alignment horizontal="right"/>
    </xf>
    <xf numFmtId="0" fontId="156" fillId="0" borderId="0" xfId="20417" applyFont="1" applyBorder="1" applyAlignment="1">
      <alignment horizontal="right"/>
    </xf>
    <xf numFmtId="242" fontId="156" fillId="0" borderId="190" xfId="16218" applyNumberFormat="1" applyFont="1" applyBorder="1" applyAlignment="1">
      <alignment horizontal="right"/>
    </xf>
    <xf numFmtId="242" fontId="156" fillId="0" borderId="50" xfId="20418" applyNumberFormat="1" applyFont="1" applyBorder="1" applyAlignment="1">
      <alignment horizontal="right"/>
    </xf>
    <xf numFmtId="242" fontId="156" fillId="0" borderId="31" xfId="16218" applyNumberFormat="1" applyFont="1" applyBorder="1" applyAlignment="1">
      <alignment horizontal="right"/>
    </xf>
    <xf numFmtId="0" fontId="198" fillId="0" borderId="0" xfId="20417" applyFont="1" applyBorder="1"/>
    <xf numFmtId="0" fontId="156" fillId="0" borderId="0" xfId="20417" applyFont="1" applyAlignment="1">
      <alignment horizontal="right"/>
    </xf>
    <xf numFmtId="0" fontId="156" fillId="0" borderId="0" xfId="20417" applyFont="1" applyAlignment="1">
      <alignment vertical="top" wrapText="1"/>
    </xf>
    <xf numFmtId="247" fontId="156" fillId="0" borderId="0" xfId="12427" applyNumberFormat="1" applyFont="1" applyFill="1" applyAlignment="1">
      <alignment horizontal="center"/>
    </xf>
    <xf numFmtId="247" fontId="28" fillId="0" borderId="0" xfId="12427" applyNumberFormat="1" applyFont="1" applyFill="1" applyAlignment="1">
      <alignment horizontal="right"/>
    </xf>
    <xf numFmtId="247" fontId="156" fillId="0" borderId="0" xfId="12427" applyNumberFormat="1" applyFont="1" applyFill="1" applyAlignment="1">
      <alignment horizontal="right"/>
    </xf>
    <xf numFmtId="247" fontId="156" fillId="0" borderId="0" xfId="20417" applyNumberFormat="1" applyFont="1" applyFill="1" applyAlignment="1">
      <alignment horizontal="right" wrapText="1"/>
    </xf>
    <xf numFmtId="247" fontId="28" fillId="0" borderId="0" xfId="20421" applyNumberFormat="1" applyFont="1" applyFill="1" applyAlignment="1">
      <alignment horizontal="center" wrapText="1"/>
    </xf>
    <xf numFmtId="247" fontId="156" fillId="0" borderId="0" xfId="20421" applyNumberFormat="1" applyFont="1" applyFill="1" applyAlignment="1">
      <alignment horizontal="right" wrapText="1"/>
    </xf>
    <xf numFmtId="0" fontId="161" fillId="0" borderId="0" xfId="20417" applyFont="1" applyFill="1" applyAlignment="1">
      <alignment horizontal="left"/>
    </xf>
    <xf numFmtId="0" fontId="156" fillId="0" borderId="0" xfId="0" applyFont="1" applyBorder="1" applyAlignment="1">
      <alignment horizontal="justify" vertical="center" wrapText="1"/>
    </xf>
    <xf numFmtId="0" fontId="188" fillId="0" borderId="0" xfId="20424" applyFont="1" applyBorder="1" applyAlignment="1">
      <alignment horizontal="center"/>
    </xf>
    <xf numFmtId="247" fontId="156" fillId="0" borderId="0" xfId="20425" applyNumberFormat="1" applyFont="1"/>
    <xf numFmtId="165" fontId="156" fillId="73" borderId="0" xfId="0" applyNumberFormat="1" applyFont="1" applyFill="1" applyAlignment="1">
      <alignment horizontal="right"/>
    </xf>
    <xf numFmtId="169" fontId="282" fillId="71" borderId="147" xfId="0" applyNumberFormat="1" applyFont="1" applyFill="1" applyBorder="1"/>
    <xf numFmtId="0" fontId="5" fillId="0" borderId="0" xfId="20412" applyFont="1"/>
    <xf numFmtId="0" fontId="156" fillId="0" borderId="187" xfId="0" applyFont="1" applyBorder="1"/>
    <xf numFmtId="0" fontId="156" fillId="0" borderId="189" xfId="0" applyFont="1" applyBorder="1"/>
    <xf numFmtId="0" fontId="28" fillId="0" borderId="0" xfId="0" quotePrefix="1" applyFont="1" applyFill="1" applyAlignment="1">
      <alignment vertical="top" wrapText="1"/>
    </xf>
    <xf numFmtId="0" fontId="156" fillId="0" borderId="187" xfId="0" applyFont="1" applyBorder="1" applyAlignment="1">
      <alignment horizontal="left" indent="1"/>
    </xf>
    <xf numFmtId="0" fontId="156" fillId="0" borderId="188" xfId="0" applyFont="1" applyBorder="1"/>
    <xf numFmtId="169" fontId="28" fillId="0" borderId="188" xfId="0" applyNumberFormat="1" applyFont="1" applyBorder="1"/>
    <xf numFmtId="169" fontId="28" fillId="0" borderId="189" xfId="0" applyNumberFormat="1" applyFont="1" applyBorder="1"/>
    <xf numFmtId="0" fontId="28" fillId="0" borderId="188" xfId="0" applyNumberFormat="1" applyFont="1" applyBorder="1"/>
    <xf numFmtId="0" fontId="28" fillId="0" borderId="188" xfId="0" applyFont="1" applyBorder="1"/>
    <xf numFmtId="0" fontId="28" fillId="0" borderId="189" xfId="0" applyNumberFormat="1" applyFont="1" applyBorder="1"/>
    <xf numFmtId="0" fontId="28" fillId="0" borderId="0" xfId="0" quotePrefix="1" applyFont="1" applyFill="1" applyAlignment="1"/>
    <xf numFmtId="0" fontId="156" fillId="0" borderId="193" xfId="0" applyFont="1" applyBorder="1"/>
    <xf numFmtId="304" fontId="234" fillId="0" borderId="0" xfId="0" applyNumberFormat="1" applyFont="1" applyAlignment="1">
      <alignment horizontal="right"/>
    </xf>
    <xf numFmtId="169" fontId="234" fillId="0" borderId="0" xfId="0" applyNumberFormat="1" applyFont="1" applyFill="1"/>
    <xf numFmtId="304" fontId="156" fillId="0" borderId="13" xfId="0" applyNumberFormat="1" applyFont="1" applyBorder="1" applyAlignment="1">
      <alignment horizontal="right"/>
    </xf>
    <xf numFmtId="0" fontId="158" fillId="0" borderId="0" xfId="0" applyFont="1" applyFill="1" applyAlignment="1">
      <alignment horizontal="center"/>
    </xf>
    <xf numFmtId="169" fontId="156" fillId="0" borderId="0" xfId="0" applyNumberFormat="1" applyFont="1" applyAlignment="1">
      <alignment vertical="top"/>
    </xf>
    <xf numFmtId="164" fontId="188" fillId="0" borderId="0" xfId="0" applyNumberFormat="1" applyFont="1" applyAlignment="1">
      <alignment horizontal="right"/>
    </xf>
    <xf numFmtId="191" fontId="188" fillId="0" borderId="0" xfId="0" applyNumberFormat="1" applyFont="1" applyAlignment="1">
      <alignment horizontal="right"/>
    </xf>
    <xf numFmtId="242" fontId="236" fillId="0" borderId="0" xfId="0" applyNumberFormat="1" applyFont="1" applyAlignment="1">
      <alignment horizontal="right"/>
    </xf>
    <xf numFmtId="189" fontId="236" fillId="0" borderId="0" xfId="0" applyNumberFormat="1" applyFont="1" applyAlignment="1">
      <alignment horizontal="right"/>
    </xf>
    <xf numFmtId="189" fontId="188" fillId="0" borderId="0" xfId="0" applyNumberFormat="1" applyFont="1" applyAlignment="1">
      <alignment horizontal="right"/>
    </xf>
    <xf numFmtId="0" fontId="188" fillId="0" borderId="0" xfId="0" applyFont="1" applyAlignment="1">
      <alignment horizontal="right"/>
    </xf>
    <xf numFmtId="242" fontId="188" fillId="0" borderId="0" xfId="0" applyNumberFormat="1" applyFont="1" applyAlignment="1">
      <alignment horizontal="right"/>
    </xf>
    <xf numFmtId="164" fontId="236" fillId="0" borderId="0" xfId="0" applyNumberFormat="1" applyFont="1" applyFill="1" applyAlignment="1">
      <alignment horizontal="right"/>
    </xf>
    <xf numFmtId="242" fontId="236" fillId="0" borderId="0" xfId="20305" applyNumberFormat="1" applyFont="1" applyFill="1" applyAlignment="1">
      <alignment horizontal="right"/>
    </xf>
    <xf numFmtId="167" fontId="236" fillId="0" borderId="0" xfId="12427" applyNumberFormat="1" applyFont="1" applyFill="1" applyAlignment="1">
      <alignment horizontal="right"/>
    </xf>
    <xf numFmtId="164" fontId="28" fillId="0" borderId="0" xfId="0" applyNumberFormat="1" applyFont="1" applyFill="1" applyAlignment="1">
      <alignment horizontal="right"/>
    </xf>
    <xf numFmtId="190" fontId="188" fillId="0" borderId="0" xfId="0" applyNumberFormat="1" applyFont="1" applyAlignment="1">
      <alignment horizontal="right"/>
    </xf>
    <xf numFmtId="10" fontId="188" fillId="0" borderId="0" xfId="12422" applyNumberFormat="1" applyFont="1" applyAlignment="1">
      <alignment horizontal="right"/>
    </xf>
    <xf numFmtId="14" fontId="188" fillId="0" borderId="0" xfId="0" applyNumberFormat="1" applyFont="1" applyAlignment="1">
      <alignment horizontal="right"/>
    </xf>
    <xf numFmtId="242" fontId="188" fillId="0" borderId="0" xfId="20305" applyNumberFormat="1" applyFont="1" applyAlignment="1">
      <alignment horizontal="right"/>
    </xf>
    <xf numFmtId="164" fontId="236" fillId="73" borderId="0" xfId="0" applyNumberFormat="1" applyFont="1" applyFill="1" applyAlignment="1">
      <alignment horizontal="right"/>
    </xf>
    <xf numFmtId="167" fontId="236" fillId="73" borderId="0" xfId="12427" applyNumberFormat="1" applyFont="1" applyFill="1" applyAlignment="1">
      <alignment horizontal="right"/>
    </xf>
    <xf numFmtId="165" fontId="236" fillId="73" borderId="0" xfId="12422" applyNumberFormat="1" applyFont="1" applyFill="1" applyAlignment="1">
      <alignment horizontal="right"/>
    </xf>
    <xf numFmtId="0" fontId="159" fillId="0" borderId="0" xfId="0" applyFont="1" applyAlignment="1">
      <alignment horizontal="left" vertical="top"/>
    </xf>
    <xf numFmtId="0" fontId="156" fillId="73" borderId="0" xfId="0" applyFont="1" applyFill="1" applyAlignment="1">
      <alignment horizontal="right"/>
    </xf>
    <xf numFmtId="0" fontId="156" fillId="0" borderId="185" xfId="0" applyFont="1" applyBorder="1"/>
    <xf numFmtId="0" fontId="156" fillId="0" borderId="192" xfId="0" applyFont="1" applyBorder="1"/>
    <xf numFmtId="169" fontId="236" fillId="0" borderId="186" xfId="0" applyNumberFormat="1" applyFont="1" applyBorder="1"/>
    <xf numFmtId="8" fontId="234" fillId="0" borderId="186" xfId="0" applyNumberFormat="1" applyFont="1" applyBorder="1"/>
    <xf numFmtId="43" fontId="156" fillId="0" borderId="186" xfId="0" applyNumberFormat="1" applyFont="1" applyBorder="1"/>
    <xf numFmtId="165" fontId="193" fillId="0" borderId="186" xfId="12422" applyNumberFormat="1" applyFont="1" applyBorder="1"/>
    <xf numFmtId="8" fontId="236" fillId="0" borderId="186" xfId="0" applyNumberFormat="1" applyFont="1" applyBorder="1"/>
    <xf numFmtId="0" fontId="28" fillId="0" borderId="0" xfId="0" quotePrefix="1" applyFont="1" applyFill="1" applyAlignment="1">
      <alignment horizontal="justify" vertical="justify"/>
    </xf>
    <xf numFmtId="0" fontId="156" fillId="0" borderId="0" xfId="0" applyFont="1" applyFill="1" applyAlignment="1">
      <alignment horizontal="justify" vertical="justify"/>
    </xf>
    <xf numFmtId="0" fontId="168" fillId="72" borderId="191" xfId="0" applyFont="1" applyFill="1" applyBorder="1" applyAlignment="1">
      <alignment horizontal="right"/>
    </xf>
    <xf numFmtId="0" fontId="168" fillId="72" borderId="77" xfId="0" applyFont="1" applyFill="1" applyBorder="1" applyAlignment="1">
      <alignment horizontal="centerContinuous" wrapText="1"/>
    </xf>
    <xf numFmtId="0" fontId="156" fillId="0" borderId="0" xfId="0" applyFont="1" applyAlignment="1">
      <alignment horizontal="center" vertical="top"/>
    </xf>
    <xf numFmtId="0" fontId="159" fillId="0" borderId="137" xfId="0" applyFont="1" applyFill="1" applyBorder="1" applyAlignment="1">
      <alignment horizontal="center" wrapText="1"/>
    </xf>
    <xf numFmtId="0" fontId="159" fillId="0" borderId="139" xfId="0" applyFont="1" applyFill="1" applyBorder="1" applyAlignment="1">
      <alignment horizontal="center" wrapText="1"/>
    </xf>
    <xf numFmtId="0" fontId="159" fillId="0" borderId="186" xfId="0" applyFont="1" applyFill="1" applyBorder="1" applyAlignment="1">
      <alignment horizontal="right" wrapText="1"/>
    </xf>
    <xf numFmtId="0" fontId="168" fillId="72" borderId="186" xfId="0" applyFont="1" applyFill="1" applyBorder="1" applyAlignment="1">
      <alignment horizontal="centerContinuous" wrapText="1"/>
    </xf>
    <xf numFmtId="0" fontId="158" fillId="71" borderId="185" xfId="0" applyFont="1" applyFill="1" applyBorder="1"/>
    <xf numFmtId="0" fontId="156" fillId="71" borderId="193" xfId="0" applyFont="1" applyFill="1" applyBorder="1"/>
    <xf numFmtId="10" fontId="156" fillId="71" borderId="193" xfId="0" applyNumberFormat="1" applyFont="1" applyFill="1" applyBorder="1"/>
    <xf numFmtId="169" fontId="158" fillId="71" borderId="193" xfId="0" applyNumberFormat="1" applyFont="1" applyFill="1" applyBorder="1"/>
    <xf numFmtId="233" fontId="158" fillId="71" borderId="193" xfId="0" applyNumberFormat="1" applyFont="1" applyFill="1" applyBorder="1"/>
    <xf numFmtId="0" fontId="156" fillId="71" borderId="192" xfId="0" applyFont="1" applyFill="1" applyBorder="1"/>
    <xf numFmtId="0" fontId="158" fillId="71" borderId="127" xfId="0" applyFont="1" applyFill="1" applyBorder="1"/>
    <xf numFmtId="233" fontId="158" fillId="71" borderId="192" xfId="0" applyNumberFormat="1" applyFont="1" applyFill="1" applyBorder="1"/>
    <xf numFmtId="233" fontId="158" fillId="71" borderId="93" xfId="0" applyNumberFormat="1" applyFont="1" applyFill="1" applyBorder="1"/>
    <xf numFmtId="0" fontId="196" fillId="0" borderId="0" xfId="0" applyFont="1" applyFill="1" applyBorder="1" applyAlignment="1">
      <alignment horizontal="centerContinuous"/>
    </xf>
    <xf numFmtId="0" fontId="28" fillId="0" borderId="0" xfId="0" applyFont="1" applyFill="1" applyBorder="1" applyAlignment="1">
      <alignment horizontal="center" wrapText="1"/>
    </xf>
    <xf numFmtId="165" fontId="158" fillId="0" borderId="0" xfId="0" applyNumberFormat="1" applyFont="1" applyFill="1" applyBorder="1" applyAlignment="1">
      <alignment horizontal="center"/>
    </xf>
    <xf numFmtId="164" fontId="156" fillId="0" borderId="0" xfId="0" applyNumberFormat="1" applyFont="1" applyFill="1" applyBorder="1" applyAlignment="1">
      <alignment horizontal="center"/>
    </xf>
    <xf numFmtId="0" fontId="28" fillId="0" borderId="127" xfId="0" applyFont="1" applyFill="1" applyBorder="1"/>
    <xf numFmtId="164" fontId="156" fillId="0" borderId="44" xfId="0" applyNumberFormat="1" applyFont="1" applyFill="1" applyBorder="1" applyAlignment="1">
      <alignment horizontal="center"/>
    </xf>
    <xf numFmtId="0" fontId="168" fillId="72" borderId="124" xfId="20388" applyFont="1" applyFill="1" applyBorder="1" applyAlignment="1">
      <alignment horizontal="right" wrapText="1"/>
    </xf>
    <xf numFmtId="165" fontId="159" fillId="0" borderId="194" xfId="20381" applyNumberFormat="1" applyFont="1" applyFill="1" applyBorder="1" applyAlignment="1">
      <alignment horizontal="left"/>
    </xf>
    <xf numFmtId="43" fontId="159" fillId="0" borderId="195" xfId="11155" applyFont="1" applyFill="1" applyBorder="1" applyAlignment="1"/>
    <xf numFmtId="43" fontId="159" fillId="0" borderId="196" xfId="11155" applyFont="1" applyFill="1" applyBorder="1" applyAlignment="1"/>
    <xf numFmtId="43" fontId="159" fillId="0" borderId="0" xfId="11155" applyFont="1" applyFill="1" applyBorder="1" applyAlignment="1"/>
    <xf numFmtId="0" fontId="153" fillId="0" borderId="0" xfId="20381" applyFont="1"/>
    <xf numFmtId="0" fontId="28" fillId="0" borderId="0" xfId="20381" applyFont="1"/>
    <xf numFmtId="0" fontId="168" fillId="72" borderId="194" xfId="0" applyFont="1" applyFill="1" applyBorder="1" applyAlignment="1">
      <alignment horizontal="center" wrapText="1"/>
    </xf>
    <xf numFmtId="0" fontId="168" fillId="72" borderId="195" xfId="0" applyFont="1" applyFill="1" applyBorder="1" applyAlignment="1">
      <alignment horizontal="center" wrapText="1"/>
    </xf>
    <xf numFmtId="0" fontId="168" fillId="72" borderId="196" xfId="0" applyFont="1" applyFill="1" applyBorder="1" applyAlignment="1">
      <alignment horizontal="center" wrapText="1"/>
    </xf>
    <xf numFmtId="165" fontId="28" fillId="0" borderId="0" xfId="20381" applyNumberFormat="1" applyFont="1" applyFill="1" applyAlignment="1">
      <alignment horizontal="center"/>
    </xf>
    <xf numFmtId="0" fontId="28" fillId="0" borderId="0" xfId="20381" applyFont="1" applyAlignment="1">
      <alignment horizontal="center"/>
    </xf>
    <xf numFmtId="0" fontId="159" fillId="0" borderId="0" xfId="20381" applyFont="1" applyFill="1" applyBorder="1"/>
    <xf numFmtId="0" fontId="159" fillId="0" borderId="0" xfId="20381" applyFont="1" applyFill="1" applyBorder="1" applyAlignment="1">
      <alignment horizontal="center"/>
    </xf>
    <xf numFmtId="0" fontId="153" fillId="0" borderId="0" xfId="20381" applyFont="1" applyFill="1" applyBorder="1" applyAlignment="1">
      <alignment horizontal="left"/>
    </xf>
    <xf numFmtId="165" fontId="28" fillId="0" borderId="0" xfId="20381" applyNumberFormat="1" applyFont="1" applyAlignment="1">
      <alignment horizontal="center"/>
    </xf>
    <xf numFmtId="165" fontId="28" fillId="0" borderId="0" xfId="20381" applyNumberFormat="1" applyFont="1" applyFill="1" applyBorder="1" applyAlignment="1">
      <alignment horizontal="center"/>
    </xf>
    <xf numFmtId="2" fontId="283" fillId="0" borderId="195" xfId="20381" applyNumberFormat="1" applyFont="1" applyFill="1" applyBorder="1" applyAlignment="1">
      <alignment horizontal="center"/>
    </xf>
    <xf numFmtId="165" fontId="159" fillId="0" borderId="195" xfId="20381" applyNumberFormat="1" applyFont="1" applyBorder="1" applyAlignment="1">
      <alignment horizontal="center"/>
    </xf>
    <xf numFmtId="165" fontId="28" fillId="0" borderId="196" xfId="20381" applyNumberFormat="1" applyFont="1" applyBorder="1" applyAlignment="1">
      <alignment horizontal="center"/>
    </xf>
    <xf numFmtId="0" fontId="174" fillId="0" borderId="0" xfId="20381" applyFont="1" applyBorder="1"/>
    <xf numFmtId="0" fontId="156" fillId="0" borderId="0" xfId="20381" applyFont="1" applyBorder="1"/>
    <xf numFmtId="2" fontId="283" fillId="0" borderId="0" xfId="20381" applyNumberFormat="1" applyFont="1" applyFill="1" applyBorder="1" applyAlignment="1">
      <alignment horizontal="center"/>
    </xf>
    <xf numFmtId="165" fontId="159" fillId="0" borderId="0" xfId="20381" applyNumberFormat="1" applyFont="1" applyBorder="1" applyAlignment="1">
      <alignment horizontal="center"/>
    </xf>
    <xf numFmtId="165" fontId="28" fillId="0" borderId="0" xfId="20381" applyNumberFormat="1" applyFont="1" applyBorder="1" applyAlignment="1">
      <alignment horizontal="center"/>
    </xf>
    <xf numFmtId="0" fontId="168" fillId="72" borderId="0" xfId="20381" applyFont="1" applyFill="1" applyBorder="1" applyAlignment="1">
      <alignment horizontal="center"/>
    </xf>
    <xf numFmtId="0" fontId="168" fillId="72" borderId="0" xfId="20381" applyFont="1" applyFill="1" applyBorder="1" applyAlignment="1">
      <alignment horizontal="center" wrapText="1"/>
    </xf>
    <xf numFmtId="0" fontId="153" fillId="0" borderId="0" xfId="0" applyFont="1"/>
    <xf numFmtId="165" fontId="156" fillId="0" borderId="0" xfId="20381" applyNumberFormat="1" applyFont="1" applyFill="1" applyBorder="1" applyAlignment="1">
      <alignment horizontal="center"/>
    </xf>
    <xf numFmtId="0" fontId="235" fillId="0" borderId="0" xfId="20381" applyFont="1" applyFill="1"/>
    <xf numFmtId="0" fontId="156" fillId="0" borderId="0" xfId="20381" applyFont="1" applyFill="1"/>
    <xf numFmtId="0" fontId="235" fillId="0" borderId="0" xfId="20381" applyFont="1"/>
    <xf numFmtId="165" fontId="28" fillId="0" borderId="0" xfId="0" applyNumberFormat="1" applyFont="1" applyBorder="1" applyAlignment="1">
      <alignment horizontal="center"/>
    </xf>
    <xf numFmtId="165" fontId="28" fillId="0" borderId="0" xfId="0" applyNumberFormat="1" applyFont="1" applyFill="1" applyAlignment="1">
      <alignment horizontal="center"/>
    </xf>
    <xf numFmtId="165" fontId="28" fillId="0" borderId="0" xfId="0" applyNumberFormat="1" applyFont="1" applyAlignment="1">
      <alignment horizontal="center"/>
    </xf>
    <xf numFmtId="0" fontId="159" fillId="72" borderId="194" xfId="0" applyFont="1" applyFill="1" applyBorder="1" applyAlignment="1">
      <alignment horizontal="center"/>
    </xf>
    <xf numFmtId="0" fontId="159" fillId="72" borderId="195" xfId="0" applyFont="1" applyFill="1" applyBorder="1" applyAlignment="1">
      <alignment horizontal="center" wrapText="1"/>
    </xf>
    <xf numFmtId="0" fontId="159" fillId="72" borderId="196" xfId="0" applyFont="1" applyFill="1" applyBorder="1" applyAlignment="1">
      <alignment horizontal="center" wrapText="1"/>
    </xf>
    <xf numFmtId="0" fontId="168" fillId="72" borderId="196" xfId="20381" applyFont="1" applyFill="1" applyBorder="1" applyAlignment="1">
      <alignment horizontal="center"/>
    </xf>
    <xf numFmtId="165" fontId="236" fillId="0" borderId="0" xfId="20388" applyNumberFormat="1" applyFont="1" applyFill="1" applyAlignment="1">
      <alignment vertical="center"/>
    </xf>
    <xf numFmtId="165" fontId="236" fillId="0" borderId="0" xfId="20381" applyNumberFormat="1" applyFont="1"/>
    <xf numFmtId="0" fontId="156" fillId="0" borderId="198" xfId="0" applyFont="1" applyBorder="1"/>
    <xf numFmtId="0" fontId="168" fillId="0" borderId="0" xfId="20381" applyFont="1" applyFill="1" applyBorder="1" applyAlignment="1">
      <alignment horizontal="center"/>
    </xf>
    <xf numFmtId="233" fontId="188" fillId="0" borderId="0" xfId="0" applyNumberFormat="1" applyFont="1" applyAlignment="1">
      <alignment horizontal="right"/>
    </xf>
    <xf numFmtId="167" fontId="236" fillId="0" borderId="13" xfId="12427" applyNumberFormat="1" applyFont="1" applyFill="1" applyBorder="1" applyAlignment="1">
      <alignment horizontal="right"/>
    </xf>
    <xf numFmtId="167" fontId="236" fillId="0" borderId="93" xfId="12427" applyNumberFormat="1" applyFont="1" applyFill="1" applyBorder="1" applyAlignment="1">
      <alignment horizontal="right"/>
    </xf>
    <xf numFmtId="0" fontId="235" fillId="0" borderId="0" xfId="0" applyFont="1" applyFill="1" applyBorder="1"/>
    <xf numFmtId="0" fontId="174" fillId="0" borderId="0" xfId="0" applyFont="1" applyFill="1" applyBorder="1"/>
    <xf numFmtId="0" fontId="168" fillId="72" borderId="0" xfId="20387" applyFont="1" applyFill="1" applyBorder="1" applyAlignment="1">
      <alignment horizontal="right" wrapText="1"/>
    </xf>
    <xf numFmtId="0" fontId="158" fillId="0" borderId="0" xfId="20387" applyFont="1" applyFill="1" applyBorder="1" applyAlignment="1">
      <alignment vertical="center"/>
    </xf>
    <xf numFmtId="165" fontId="188" fillId="0" borderId="0" xfId="20387" applyNumberFormat="1" applyFont="1" applyFill="1" applyBorder="1" applyAlignment="1">
      <alignment vertical="center"/>
    </xf>
    <xf numFmtId="0" fontId="156" fillId="0" borderId="0" xfId="20387" applyFont="1" applyBorder="1" applyAlignment="1">
      <alignment horizontal="left" vertical="center"/>
    </xf>
    <xf numFmtId="165" fontId="156" fillId="0" borderId="0" xfId="20387" applyNumberFormat="1" applyFont="1" applyFill="1" applyBorder="1" applyAlignment="1">
      <alignment vertical="center"/>
    </xf>
    <xf numFmtId="0" fontId="251" fillId="0" borderId="0" xfId="20381" applyFont="1" applyBorder="1" applyAlignment="1">
      <alignment horizontal="right"/>
    </xf>
    <xf numFmtId="165" fontId="156" fillId="0" borderId="0" xfId="20387" applyNumberFormat="1" applyFont="1" applyFill="1" applyBorder="1" applyAlignment="1">
      <alignment horizontal="right" vertical="center"/>
    </xf>
    <xf numFmtId="165" fontId="188" fillId="0" borderId="0" xfId="20381" applyNumberFormat="1" applyFont="1" applyFill="1" applyBorder="1"/>
    <xf numFmtId="0" fontId="156" fillId="0" borderId="0" xfId="20381" applyFont="1" applyBorder="1" applyAlignment="1">
      <alignment horizontal="right"/>
    </xf>
    <xf numFmtId="0" fontId="188" fillId="0" borderId="0" xfId="20381" applyFont="1" applyBorder="1"/>
    <xf numFmtId="0" fontId="156" fillId="0" borderId="0" xfId="20387" applyFont="1" applyBorder="1" applyAlignment="1">
      <alignment vertical="center"/>
    </xf>
    <xf numFmtId="0" fontId="236" fillId="0" borderId="0" xfId="20381" applyFont="1" applyBorder="1"/>
    <xf numFmtId="165" fontId="251" fillId="0" borderId="0" xfId="20387" applyNumberFormat="1" applyFont="1" applyFill="1" applyBorder="1" applyAlignment="1">
      <alignment vertical="center"/>
    </xf>
    <xf numFmtId="0" fontId="168" fillId="72" borderId="0" xfId="20388" applyFont="1" applyFill="1" applyBorder="1" applyAlignment="1">
      <alignment horizontal="right" wrapText="1"/>
    </xf>
    <xf numFmtId="0" fontId="168" fillId="72" borderId="0" xfId="20388" applyFont="1" applyFill="1" applyBorder="1" applyAlignment="1">
      <alignment horizontal="right"/>
    </xf>
    <xf numFmtId="0" fontId="158" fillId="0" borderId="0" xfId="20388" applyFont="1" applyFill="1" applyBorder="1" applyAlignment="1">
      <alignment vertical="center"/>
    </xf>
    <xf numFmtId="165" fontId="188" fillId="0" borderId="0" xfId="20388" applyNumberFormat="1" applyFont="1" applyFill="1" applyBorder="1" applyAlignment="1">
      <alignment vertical="center"/>
    </xf>
    <xf numFmtId="0" fontId="156" fillId="0" borderId="0" xfId="20388" applyFont="1" applyBorder="1" applyAlignment="1">
      <alignment horizontal="left" vertical="center"/>
    </xf>
    <xf numFmtId="165" fontId="156" fillId="0" borderId="0" xfId="20388" applyNumberFormat="1" applyFont="1" applyFill="1" applyBorder="1" applyAlignment="1">
      <alignment vertical="center"/>
    </xf>
    <xf numFmtId="165" fontId="188" fillId="0" borderId="0" xfId="0" applyNumberFormat="1" applyFont="1" applyFill="1" applyBorder="1" applyAlignment="1">
      <alignment horizontal="right" vertical="center"/>
    </xf>
    <xf numFmtId="165" fontId="28" fillId="0" borderId="0" xfId="0" applyNumberFormat="1" applyFont="1" applyFill="1" applyBorder="1" applyAlignment="1">
      <alignment horizontal="right" vertical="center"/>
    </xf>
    <xf numFmtId="165" fontId="156" fillId="0" borderId="0" xfId="20388" applyNumberFormat="1" applyFont="1" applyFill="1" applyBorder="1" applyAlignment="1">
      <alignment horizontal="right" vertical="center"/>
    </xf>
    <xf numFmtId="165" fontId="156" fillId="0" borderId="0" xfId="0" applyNumberFormat="1" applyFont="1" applyFill="1" applyBorder="1" applyAlignment="1">
      <alignment horizontal="right" vertical="center"/>
    </xf>
    <xf numFmtId="0" fontId="156" fillId="0" borderId="0" xfId="20388" applyFont="1" applyBorder="1" applyAlignment="1">
      <alignment vertical="center"/>
    </xf>
    <xf numFmtId="165" fontId="156" fillId="0" borderId="0" xfId="20381" applyNumberFormat="1" applyFont="1" applyBorder="1"/>
    <xf numFmtId="165" fontId="28" fillId="0" borderId="0" xfId="20388" applyNumberFormat="1" applyFont="1" applyFill="1" applyBorder="1" applyAlignment="1">
      <alignment vertical="center"/>
    </xf>
    <xf numFmtId="0" fontId="168" fillId="72" borderId="0" xfId="0" applyFont="1" applyFill="1" applyBorder="1" applyAlignment="1">
      <alignment horizontal="left" vertical="center" wrapText="1"/>
    </xf>
    <xf numFmtId="0" fontId="168" fillId="72" borderId="0" xfId="0" applyFont="1" applyFill="1" applyBorder="1" applyAlignment="1">
      <alignment horizontal="right" vertical="center" wrapText="1"/>
    </xf>
    <xf numFmtId="165" fontId="188" fillId="0" borderId="0" xfId="0" applyNumberFormat="1" applyFont="1" applyFill="1" applyBorder="1" applyAlignment="1"/>
    <xf numFmtId="165" fontId="130" fillId="0" borderId="0" xfId="0" applyNumberFormat="1" applyFont="1" applyFill="1" applyBorder="1" applyAlignment="1">
      <alignment horizontal="right"/>
    </xf>
    <xf numFmtId="164" fontId="188" fillId="0" borderId="0" xfId="0" applyNumberFormat="1" applyFont="1" applyFill="1" applyBorder="1" applyAlignment="1">
      <alignment horizontal="right"/>
    </xf>
    <xf numFmtId="165" fontId="130" fillId="0" borderId="0" xfId="0" applyNumberFormat="1" applyFont="1" applyFill="1" applyBorder="1" applyAlignment="1"/>
    <xf numFmtId="272" fontId="156" fillId="0" borderId="0" xfId="0" applyNumberFormat="1" applyFont="1" applyBorder="1"/>
    <xf numFmtId="0" fontId="158" fillId="0" borderId="0" xfId="0" applyNumberFormat="1" applyFont="1" applyFill="1" applyBorder="1" applyAlignment="1">
      <alignment horizontal="center"/>
    </xf>
    <xf numFmtId="0" fontId="156" fillId="0" borderId="0" xfId="0" applyFont="1" applyBorder="1" applyAlignment="1">
      <alignment vertical="center"/>
    </xf>
    <xf numFmtId="165" fontId="130" fillId="0" borderId="0" xfId="0" applyNumberFormat="1" applyFont="1" applyFill="1" applyBorder="1" applyAlignment="1">
      <alignment horizontal="right" vertical="center"/>
    </xf>
    <xf numFmtId="0" fontId="174" fillId="0" borderId="0" xfId="0" applyFont="1" applyFill="1" applyBorder="1" applyAlignment="1">
      <alignment horizontal="centerContinuous"/>
    </xf>
    <xf numFmtId="0" fontId="158" fillId="0" borderId="0" xfId="0" applyFont="1" applyFill="1" applyBorder="1" applyAlignment="1">
      <alignment horizontal="centerContinuous"/>
    </xf>
    <xf numFmtId="0" fontId="168" fillId="72" borderId="0" xfId="0" applyFont="1" applyFill="1" applyBorder="1" applyAlignment="1">
      <alignment horizontal="centerContinuous" vertical="center" wrapText="1"/>
    </xf>
    <xf numFmtId="0" fontId="168" fillId="72" borderId="0" xfId="0" applyFont="1" applyFill="1" applyBorder="1" applyAlignment="1">
      <alignment horizontal="centerContinuous" wrapText="1"/>
    </xf>
    <xf numFmtId="165" fontId="156" fillId="0" borderId="0" xfId="12422" applyNumberFormat="1" applyFont="1" applyFill="1" applyBorder="1" applyAlignment="1">
      <alignment horizontal="center"/>
    </xf>
    <xf numFmtId="165" fontId="158" fillId="0" borderId="0" xfId="0" applyNumberFormat="1" applyFont="1" applyFill="1" applyBorder="1" applyAlignment="1">
      <alignment horizontal="left"/>
    </xf>
    <xf numFmtId="165" fontId="158" fillId="0" borderId="0" xfId="12422" applyNumberFormat="1" applyFont="1" applyFill="1" applyBorder="1"/>
    <xf numFmtId="165" fontId="156" fillId="0" borderId="0" xfId="12422" applyNumberFormat="1" applyFont="1" applyFill="1" applyBorder="1"/>
    <xf numFmtId="165" fontId="28" fillId="0" borderId="0" xfId="12422" applyNumberFormat="1" applyFont="1" applyFill="1" applyBorder="1"/>
    <xf numFmtId="165" fontId="174" fillId="0" borderId="0" xfId="12422" applyNumberFormat="1" applyFont="1" applyFill="1" applyBorder="1"/>
    <xf numFmtId="0" fontId="28" fillId="0" borderId="0" xfId="0" applyFont="1" applyFill="1" applyBorder="1" applyAlignment="1">
      <alignment horizontal="center"/>
    </xf>
    <xf numFmtId="0" fontId="168" fillId="72" borderId="194" xfId="20381" applyFont="1" applyFill="1" applyBorder="1" applyAlignment="1">
      <alignment horizontal="center" wrapText="1"/>
    </xf>
    <xf numFmtId="169" fontId="235" fillId="0" borderId="0" xfId="0" applyNumberFormat="1" applyFont="1" applyFill="1"/>
    <xf numFmtId="0" fontId="156" fillId="0" borderId="197" xfId="0" applyFont="1" applyBorder="1"/>
    <xf numFmtId="0" fontId="158" fillId="0" borderId="194" xfId="0" applyFont="1" applyBorder="1"/>
    <xf numFmtId="0" fontId="156" fillId="0" borderId="0" xfId="0" applyFont="1" applyBorder="1" applyAlignment="1">
      <alignment horizontal="left"/>
    </xf>
    <xf numFmtId="190" fontId="156" fillId="0" borderId="0" xfId="0" applyNumberFormat="1" applyFont="1" applyBorder="1"/>
    <xf numFmtId="190" fontId="156" fillId="0" borderId="0" xfId="0" applyNumberFormat="1" applyFont="1" applyBorder="1" applyAlignment="1">
      <alignment horizontal="center"/>
    </xf>
    <xf numFmtId="14" fontId="28" fillId="0" borderId="0" xfId="0" applyNumberFormat="1" applyFont="1" applyFill="1" applyAlignment="1">
      <alignment horizontal="left"/>
    </xf>
    <xf numFmtId="167" fontId="236" fillId="0" borderId="0" xfId="12427" applyNumberFormat="1" applyFont="1" applyAlignment="1">
      <alignment horizontal="center"/>
    </xf>
    <xf numFmtId="341" fontId="156" fillId="0" borderId="0" xfId="0" applyNumberFormat="1" applyFont="1" applyAlignment="1">
      <alignment horizontal="center"/>
    </xf>
    <xf numFmtId="190" fontId="236" fillId="0" borderId="0" xfId="0" applyNumberFormat="1" applyFont="1" applyBorder="1" applyAlignment="1">
      <alignment horizontal="center"/>
    </xf>
    <xf numFmtId="165" fontId="236" fillId="0" borderId="0" xfId="12422" applyNumberFormat="1" applyFont="1" applyBorder="1" applyAlignment="1">
      <alignment horizontal="center"/>
    </xf>
    <xf numFmtId="304" fontId="236" fillId="0" borderId="50" xfId="0" applyNumberFormat="1" applyFont="1" applyBorder="1"/>
    <xf numFmtId="169" fontId="156" fillId="90" borderId="0" xfId="0" applyNumberFormat="1" applyFont="1" applyFill="1"/>
    <xf numFmtId="164" fontId="159" fillId="0" borderId="0" xfId="0" applyNumberFormat="1" applyFont="1" applyAlignment="1">
      <alignment horizontal="right"/>
    </xf>
    <xf numFmtId="0" fontId="168" fillId="72" borderId="194" xfId="0" applyFont="1" applyFill="1" applyBorder="1" applyAlignment="1">
      <alignment horizontal="left"/>
    </xf>
    <xf numFmtId="0" fontId="168" fillId="72" borderId="195" xfId="0" applyFont="1" applyFill="1" applyBorder="1" applyAlignment="1">
      <alignment horizontal="centerContinuous"/>
    </xf>
    <xf numFmtId="0" fontId="168" fillId="72" borderId="195" xfId="0" applyFont="1" applyFill="1" applyBorder="1" applyAlignment="1">
      <alignment horizontal="right" wrapText="1"/>
    </xf>
    <xf numFmtId="0" fontId="168" fillId="72" borderId="196" xfId="0" applyFont="1" applyFill="1" applyBorder="1" applyAlignment="1">
      <alignment horizontal="right" wrapText="1"/>
    </xf>
    <xf numFmtId="167" fontId="28" fillId="0" borderId="197" xfId="12427" applyNumberFormat="1" applyFont="1" applyBorder="1"/>
    <xf numFmtId="167" fontId="28" fillId="0" borderId="199" xfId="12427" applyNumberFormat="1" applyFont="1" applyBorder="1"/>
    <xf numFmtId="8" fontId="156" fillId="0" borderId="197" xfId="0" applyNumberFormat="1" applyFont="1" applyBorder="1"/>
    <xf numFmtId="8" fontId="156" fillId="0" borderId="199" xfId="0" applyNumberFormat="1" applyFont="1" applyBorder="1"/>
    <xf numFmtId="169" fontId="156" fillId="0" borderId="197" xfId="0" applyNumberFormat="1" applyFont="1" applyBorder="1"/>
    <xf numFmtId="10" fontId="28" fillId="0" borderId="13" xfId="0" applyNumberFormat="1" applyFont="1" applyBorder="1"/>
    <xf numFmtId="165" fontId="28" fillId="0" borderId="13" xfId="0" applyNumberFormat="1" applyFont="1" applyFill="1" applyBorder="1"/>
    <xf numFmtId="0" fontId="158" fillId="71" borderId="194" xfId="0" applyFont="1" applyFill="1" applyBorder="1"/>
    <xf numFmtId="0" fontId="158" fillId="71" borderId="195" xfId="0" applyFont="1" applyFill="1" applyBorder="1"/>
    <xf numFmtId="165" fontId="159" fillId="71" borderId="195" xfId="12422" applyNumberFormat="1" applyFont="1" applyFill="1" applyBorder="1"/>
    <xf numFmtId="165" fontId="236" fillId="0" borderId="0" xfId="0" applyNumberFormat="1" applyFont="1" applyFill="1"/>
    <xf numFmtId="165" fontId="159" fillId="0" borderId="0" xfId="0" applyNumberFormat="1" applyFont="1" applyFill="1"/>
    <xf numFmtId="0" fontId="159" fillId="0" borderId="198" xfId="0" applyFont="1" applyFill="1" applyBorder="1"/>
    <xf numFmtId="0" fontId="159" fillId="0" borderId="197" xfId="0" applyFont="1" applyFill="1" applyBorder="1"/>
    <xf numFmtId="0" fontId="159" fillId="0" borderId="197" xfId="0" applyFont="1" applyFill="1" applyBorder="1" applyAlignment="1">
      <alignment horizontal="right"/>
    </xf>
    <xf numFmtId="0" fontId="158" fillId="0" borderId="197" xfId="0" applyFont="1" applyBorder="1" applyAlignment="1">
      <alignment horizontal="right"/>
    </xf>
    <xf numFmtId="0" fontId="158" fillId="0" borderId="199" xfId="0" applyFont="1" applyBorder="1" applyAlignment="1">
      <alignment horizontal="right"/>
    </xf>
    <xf numFmtId="0" fontId="159" fillId="0" borderId="127" xfId="0" applyFont="1" applyFill="1" applyBorder="1"/>
    <xf numFmtId="167" fontId="244" fillId="0" borderId="44" xfId="12427" applyNumberFormat="1" applyFont="1" applyFill="1" applyBorder="1"/>
    <xf numFmtId="169" fontId="174" fillId="0" borderId="186" xfId="0" applyNumberFormat="1" applyFont="1" applyBorder="1" applyAlignment="1">
      <alignment horizontal="left" indent="1"/>
    </xf>
    <xf numFmtId="169" fontId="244" fillId="71" borderId="195" xfId="0" applyNumberFormat="1" applyFont="1" applyFill="1" applyBorder="1"/>
    <xf numFmtId="169" fontId="244" fillId="71" borderId="5" xfId="0" applyNumberFormat="1" applyFont="1" applyFill="1" applyBorder="1"/>
    <xf numFmtId="43" fontId="237" fillId="68" borderId="56" xfId="11155" quotePrefix="1" applyFont="1" applyFill="1" applyBorder="1" applyAlignment="1"/>
    <xf numFmtId="0" fontId="168" fillId="72" borderId="194" xfId="0" applyFont="1" applyFill="1" applyBorder="1" applyAlignment="1">
      <alignment horizontal="centerContinuous"/>
    </xf>
    <xf numFmtId="0" fontId="168" fillId="72" borderId="196" xfId="0" applyFont="1" applyFill="1" applyBorder="1" applyAlignment="1">
      <alignment horizontal="centerContinuous"/>
    </xf>
    <xf numFmtId="0" fontId="168" fillId="72" borderId="186" xfId="0" applyFont="1" applyFill="1" applyBorder="1" applyAlignment="1">
      <alignment horizontal="center"/>
    </xf>
    <xf numFmtId="0" fontId="159" fillId="0" borderId="194" xfId="0" applyFont="1" applyFill="1" applyBorder="1" applyAlignment="1">
      <alignment horizontal="left"/>
    </xf>
    <xf numFmtId="0" fontId="159" fillId="0" borderId="195" xfId="0" applyFont="1" applyFill="1" applyBorder="1" applyAlignment="1">
      <alignment horizontal="centerContinuous"/>
    </xf>
    <xf numFmtId="0" fontId="159" fillId="0" borderId="195" xfId="0" applyFont="1" applyFill="1" applyBorder="1" applyAlignment="1">
      <alignment horizontal="right"/>
    </xf>
    <xf numFmtId="0" fontId="159" fillId="0" borderId="196" xfId="0" applyFont="1" applyFill="1" applyBorder="1" applyAlignment="1">
      <alignment horizontal="right"/>
    </xf>
    <xf numFmtId="190" fontId="188" fillId="0" borderId="0" xfId="12427" applyNumberFormat="1" applyFont="1" applyBorder="1" applyAlignment="1">
      <alignment horizontal="right"/>
    </xf>
    <xf numFmtId="190" fontId="156" fillId="0" borderId="0" xfId="12427" applyNumberFormat="1" applyFont="1" applyBorder="1"/>
    <xf numFmtId="2" fontId="156" fillId="0" borderId="0" xfId="0" applyNumberFormat="1" applyFont="1" applyBorder="1"/>
    <xf numFmtId="0" fontId="28" fillId="0" borderId="0" xfId="0" quotePrefix="1" applyFont="1" applyBorder="1" applyAlignment="1">
      <alignment horizontal="center"/>
    </xf>
    <xf numFmtId="43" fontId="156" fillId="0" borderId="186" xfId="12427" applyFont="1" applyBorder="1"/>
    <xf numFmtId="341" fontId="156" fillId="0" borderId="0" xfId="0" applyNumberFormat="1" applyFont="1" applyBorder="1"/>
    <xf numFmtId="0" fontId="156" fillId="0" borderId="197" xfId="0" quotePrefix="1" applyFont="1" applyBorder="1"/>
    <xf numFmtId="167" fontId="156" fillId="0" borderId="199" xfId="12427" applyNumberFormat="1" applyFont="1" applyBorder="1"/>
    <xf numFmtId="165" fontId="156" fillId="0" borderId="93" xfId="12422" applyNumberFormat="1" applyFont="1" applyFill="1" applyBorder="1"/>
    <xf numFmtId="0" fontId="156" fillId="0" borderId="195" xfId="0" applyFont="1" applyBorder="1"/>
    <xf numFmtId="165" fontId="156" fillId="0" borderId="195" xfId="12422" applyNumberFormat="1" applyFont="1" applyFill="1" applyBorder="1"/>
    <xf numFmtId="165" fontId="158" fillId="0" borderId="196" xfId="12422" applyNumberFormat="1" applyFont="1" applyFill="1" applyBorder="1"/>
    <xf numFmtId="0" fontId="156" fillId="0" borderId="0" xfId="0" quotePrefix="1" applyFont="1" applyAlignment="1">
      <alignment horizontal="justify" vertical="top" wrapText="1"/>
    </xf>
    <xf numFmtId="0" fontId="159" fillId="0" borderId="200" xfId="0" applyFont="1" applyFill="1" applyBorder="1"/>
    <xf numFmtId="0" fontId="158" fillId="0" borderId="0" xfId="20426" applyFont="1" applyBorder="1" applyAlignment="1">
      <alignment vertical="top"/>
    </xf>
    <xf numFmtId="0" fontId="156" fillId="0" borderId="0" xfId="20426" applyFont="1"/>
    <xf numFmtId="0" fontId="156" fillId="0" borderId="0" xfId="20426" applyFont="1" applyAlignment="1">
      <alignment horizontal="right" vertical="top"/>
    </xf>
    <xf numFmtId="0" fontId="156" fillId="0" borderId="0" xfId="20426" applyFont="1" applyAlignment="1">
      <alignment horizontal="center" vertical="top"/>
    </xf>
    <xf numFmtId="0" fontId="156" fillId="0" borderId="0" xfId="20426" applyFont="1" applyAlignment="1">
      <alignment horizontal="right"/>
    </xf>
    <xf numFmtId="14" fontId="156" fillId="0" borderId="0" xfId="20426" applyNumberFormat="1" applyFont="1" applyFill="1" applyBorder="1" applyAlignment="1">
      <alignment horizontal="center"/>
    </xf>
    <xf numFmtId="0" fontId="156" fillId="0" borderId="0" xfId="20426" applyFont="1" applyBorder="1" applyAlignment="1">
      <alignment horizontal="left"/>
    </xf>
    <xf numFmtId="43" fontId="246" fillId="68" borderId="55" xfId="11155" applyFont="1" applyFill="1" applyBorder="1" applyAlignment="1">
      <alignment horizontal="center"/>
    </xf>
    <xf numFmtId="247" fontId="156" fillId="0" borderId="0" xfId="20427" applyNumberFormat="1" applyFont="1" applyBorder="1" applyAlignment="1">
      <alignment horizontal="right"/>
    </xf>
    <xf numFmtId="43" fontId="246" fillId="68" borderId="0" xfId="11155" applyFont="1" applyFill="1" applyBorder="1" applyAlignment="1">
      <alignment horizontal="center"/>
    </xf>
    <xf numFmtId="43" fontId="246" fillId="68" borderId="56" xfId="11155" applyFont="1" applyFill="1" applyBorder="1" applyAlignment="1">
      <alignment horizontal="center"/>
    </xf>
    <xf numFmtId="0" fontId="156" fillId="0" borderId="0" xfId="20426" applyFont="1" applyAlignment="1">
      <alignment horizontal="left"/>
    </xf>
    <xf numFmtId="0" fontId="168" fillId="72" borderId="201" xfId="0" applyFont="1" applyFill="1" applyBorder="1" applyAlignment="1">
      <alignment horizontal="left"/>
    </xf>
    <xf numFmtId="0" fontId="168" fillId="72" borderId="202" xfId="0" applyFont="1" applyFill="1" applyBorder="1" applyAlignment="1">
      <alignment horizontal="center"/>
    </xf>
    <xf numFmtId="0" fontId="168" fillId="72" borderId="200" xfId="0" applyFont="1" applyFill="1" applyBorder="1" applyAlignment="1">
      <alignment horizontal="center"/>
    </xf>
    <xf numFmtId="0" fontId="156" fillId="0" borderId="0" xfId="20426" applyFont="1" applyBorder="1" applyAlignment="1">
      <alignment horizontal="center" wrapText="1"/>
    </xf>
    <xf numFmtId="0" fontId="158" fillId="0" borderId="0" xfId="20426" applyFont="1" applyBorder="1" applyAlignment="1">
      <alignment horizontal="center" wrapText="1"/>
    </xf>
    <xf numFmtId="0" fontId="156" fillId="0" borderId="0" xfId="20426" applyFont="1" applyAlignment="1">
      <alignment horizontal="center" wrapText="1"/>
    </xf>
    <xf numFmtId="0" fontId="158" fillId="0" borderId="0" xfId="20426" applyFont="1" applyFill="1" applyBorder="1" applyAlignment="1">
      <alignment horizontal="center" wrapText="1"/>
    </xf>
    <xf numFmtId="0" fontId="156" fillId="0" borderId="0" xfId="20426" applyFont="1" applyFill="1" applyAlignment="1">
      <alignment horizontal="center" wrapText="1"/>
    </xf>
    <xf numFmtId="0" fontId="156" fillId="0" borderId="0" xfId="20426" applyFont="1" applyFill="1" applyBorder="1"/>
    <xf numFmtId="0" fontId="188" fillId="0" borderId="0" xfId="20428" applyFont="1" applyFill="1" applyBorder="1" applyAlignment="1">
      <alignment horizontal="center"/>
    </xf>
    <xf numFmtId="164" fontId="156" fillId="0" borderId="0" xfId="20426" applyNumberFormat="1" applyFont="1" applyFill="1" applyBorder="1" applyAlignment="1">
      <alignment horizontal="center"/>
    </xf>
    <xf numFmtId="242" fontId="156" fillId="0" borderId="0" xfId="20427" applyNumberFormat="1" applyFont="1" applyFill="1" applyBorder="1" applyAlignment="1"/>
    <xf numFmtId="247" fontId="28" fillId="0" borderId="0" xfId="20427" applyNumberFormat="1" applyFont="1" applyFill="1" applyBorder="1" applyAlignment="1">
      <alignment horizontal="right"/>
    </xf>
    <xf numFmtId="247" fontId="28" fillId="0" borderId="0" xfId="20427" applyNumberFormat="1" applyFont="1" applyFill="1" applyBorder="1" applyAlignment="1">
      <alignment horizontal="center"/>
    </xf>
    <xf numFmtId="247" fontId="156" fillId="0" borderId="0" xfId="20427" applyNumberFormat="1" applyFont="1" applyFill="1" applyBorder="1" applyAlignment="1">
      <alignment horizontal="right"/>
    </xf>
    <xf numFmtId="247" fontId="156" fillId="74" borderId="0" xfId="20426" applyNumberFormat="1" applyFont="1" applyFill="1"/>
    <xf numFmtId="0" fontId="156" fillId="74" borderId="0" xfId="20426" applyFont="1" applyFill="1" applyBorder="1" applyAlignment="1">
      <alignment horizontal="left"/>
    </xf>
    <xf numFmtId="247" fontId="156" fillId="0" borderId="0" xfId="20426" applyNumberFormat="1" applyFont="1" applyBorder="1" applyAlignment="1">
      <alignment horizontal="center" wrapText="1"/>
    </xf>
    <xf numFmtId="247" fontId="28" fillId="74" borderId="0" xfId="20427" applyNumberFormat="1" applyFont="1" applyFill="1" applyBorder="1" applyAlignment="1">
      <alignment horizontal="right"/>
    </xf>
    <xf numFmtId="0" fontId="156" fillId="74" borderId="0" xfId="20426" applyFont="1" applyFill="1" applyAlignment="1">
      <alignment horizontal="center" wrapText="1"/>
    </xf>
    <xf numFmtId="247" fontId="156" fillId="0" borderId="0" xfId="20426" applyNumberFormat="1" applyFont="1"/>
    <xf numFmtId="0" fontId="188" fillId="74" borderId="0" xfId="20428" applyFont="1" applyFill="1" applyBorder="1" applyAlignment="1">
      <alignment horizontal="center"/>
    </xf>
    <xf numFmtId="0" fontId="156" fillId="87" borderId="0" xfId="20426" applyFont="1" applyFill="1"/>
    <xf numFmtId="0" fontId="156" fillId="0" borderId="0" xfId="20426" applyFont="1" applyFill="1"/>
    <xf numFmtId="247" fontId="156" fillId="87" borderId="0" xfId="20426" applyNumberFormat="1" applyFont="1" applyFill="1"/>
    <xf numFmtId="247" fontId="28" fillId="87" borderId="0" xfId="20427" applyNumberFormat="1" applyFont="1" applyFill="1" applyBorder="1" applyAlignment="1">
      <alignment horizontal="right"/>
    </xf>
    <xf numFmtId="0" fontId="156" fillId="0" borderId="0" xfId="20426" applyFont="1" applyFill="1" applyBorder="1" applyAlignment="1">
      <alignment horizontal="right"/>
    </xf>
    <xf numFmtId="0" fontId="156" fillId="0" borderId="0" xfId="20426" applyFont="1" applyFill="1" applyBorder="1" applyAlignment="1">
      <alignment horizontal="center"/>
    </xf>
    <xf numFmtId="0" fontId="156" fillId="0" borderId="0" xfId="20426" applyFont="1" applyBorder="1" applyAlignment="1">
      <alignment horizontal="right"/>
    </xf>
    <xf numFmtId="0" fontId="156" fillId="0" borderId="0" xfId="20426" applyFont="1" applyBorder="1"/>
    <xf numFmtId="0" fontId="158" fillId="71" borderId="203" xfId="11807" applyFont="1" applyFill="1" applyBorder="1"/>
    <xf numFmtId="0" fontId="156" fillId="71" borderId="204" xfId="11807" applyFont="1" applyFill="1" applyBorder="1"/>
    <xf numFmtId="167" fontId="158" fillId="71" borderId="204" xfId="12427" applyNumberFormat="1" applyFont="1" applyFill="1" applyBorder="1"/>
    <xf numFmtId="0" fontId="156" fillId="0" borderId="0" xfId="20426" applyFont="1" applyBorder="1" applyAlignment="1">
      <alignment horizontal="center"/>
    </xf>
    <xf numFmtId="0" fontId="156" fillId="0" borderId="0" xfId="20426" applyFont="1" applyAlignment="1">
      <alignment horizontal="center"/>
    </xf>
    <xf numFmtId="0" fontId="188" fillId="0" borderId="0" xfId="20428" applyFont="1" applyBorder="1" applyAlignment="1">
      <alignment horizontal="center"/>
    </xf>
    <xf numFmtId="14" fontId="156" fillId="0" borderId="0" xfId="20426" applyNumberFormat="1" applyFont="1" applyBorder="1" applyAlignment="1">
      <alignment horizontal="center"/>
    </xf>
    <xf numFmtId="167" fontId="156" fillId="0" borderId="0" xfId="20427" applyNumberFormat="1" applyFont="1" applyBorder="1" applyAlignment="1">
      <alignment horizontal="center"/>
    </xf>
    <xf numFmtId="247" fontId="156" fillId="0" borderId="0" xfId="20427" applyNumberFormat="1" applyFont="1" applyBorder="1" applyAlignment="1">
      <alignment horizontal="center"/>
    </xf>
    <xf numFmtId="0" fontId="156" fillId="89" borderId="0" xfId="20426" applyFont="1" applyFill="1" applyAlignment="1">
      <alignment horizontal="center" wrapText="1"/>
    </xf>
    <xf numFmtId="0" fontId="156" fillId="89" borderId="0" xfId="20417" applyFont="1" applyFill="1" applyBorder="1"/>
    <xf numFmtId="0" fontId="188" fillId="89" borderId="0" xfId="20419" applyFont="1" applyFill="1" applyBorder="1" applyAlignment="1">
      <alignment horizontal="center"/>
    </xf>
    <xf numFmtId="0" fontId="156" fillId="89" borderId="0" xfId="20419" applyFont="1" applyFill="1" applyBorder="1" applyAlignment="1">
      <alignment horizontal="center"/>
    </xf>
    <xf numFmtId="164" fontId="156" fillId="89" borderId="0" xfId="20417" applyNumberFormat="1" applyFont="1" applyFill="1" applyBorder="1" applyAlignment="1">
      <alignment horizontal="center"/>
    </xf>
    <xf numFmtId="242" fontId="156" fillId="89" borderId="0" xfId="20418" applyNumberFormat="1" applyFont="1" applyFill="1" applyBorder="1" applyAlignment="1"/>
    <xf numFmtId="242" fontId="156" fillId="89" borderId="0" xfId="20418" applyNumberFormat="1" applyFont="1" applyFill="1" applyBorder="1" applyAlignment="1">
      <alignment horizontal="right"/>
    </xf>
    <xf numFmtId="247" fontId="156" fillId="89" borderId="0" xfId="20418" applyNumberFormat="1" applyFont="1" applyFill="1" applyBorder="1" applyAlignment="1">
      <alignment horizontal="right"/>
    </xf>
    <xf numFmtId="247" fontId="28" fillId="89" borderId="0" xfId="20418" applyNumberFormat="1" applyFont="1" applyFill="1" applyBorder="1" applyAlignment="1">
      <alignment horizontal="right"/>
    </xf>
    <xf numFmtId="0" fontId="156" fillId="89" borderId="0" xfId="20417" applyFont="1" applyFill="1" applyAlignment="1">
      <alignment horizontal="center" wrapText="1"/>
    </xf>
    <xf numFmtId="242" fontId="156" fillId="89" borderId="0" xfId="0" applyNumberFormat="1" applyFont="1" applyFill="1" applyAlignment="1">
      <alignment horizontal="right"/>
    </xf>
    <xf numFmtId="43" fontId="156" fillId="89" borderId="0" xfId="20418" applyNumberFormat="1" applyFont="1" applyFill="1" applyBorder="1" applyAlignment="1">
      <alignment horizontal="right"/>
    </xf>
    <xf numFmtId="165" fontId="156" fillId="89" borderId="0" xfId="20418" applyNumberFormat="1" applyFont="1" applyFill="1" applyBorder="1" applyAlignment="1">
      <alignment horizontal="right"/>
    </xf>
    <xf numFmtId="247" fontId="156" fillId="89" borderId="0" xfId="20417" applyNumberFormat="1" applyFont="1" applyFill="1"/>
    <xf numFmtId="0" fontId="156" fillId="89" borderId="0" xfId="20417" applyFont="1" applyFill="1" applyAlignment="1">
      <alignment horizontal="left" vertical="top"/>
    </xf>
    <xf numFmtId="247" fontId="156" fillId="89" borderId="0" xfId="20417" applyNumberFormat="1" applyFont="1" applyFill="1" applyAlignment="1">
      <alignment horizontal="center" wrapText="1"/>
    </xf>
    <xf numFmtId="247" fontId="156" fillId="89" borderId="0" xfId="12427" applyNumberFormat="1" applyFont="1" applyFill="1" applyAlignment="1">
      <alignment horizontal="center"/>
    </xf>
    <xf numFmtId="247" fontId="28" fillId="89" borderId="0" xfId="12427" applyNumberFormat="1" applyFont="1" applyFill="1" applyAlignment="1">
      <alignment horizontal="right"/>
    </xf>
    <xf numFmtId="247" fontId="156" fillId="89" borderId="0" xfId="12427" applyNumberFormat="1" applyFont="1" applyFill="1" applyAlignment="1">
      <alignment horizontal="right"/>
    </xf>
    <xf numFmtId="247" fontId="156" fillId="89" borderId="0" xfId="20417" applyNumberFormat="1" applyFont="1" applyFill="1" applyAlignment="1">
      <alignment horizontal="right" wrapText="1"/>
    </xf>
    <xf numFmtId="0" fontId="156" fillId="89" borderId="0" xfId="20417" applyFont="1" applyFill="1"/>
    <xf numFmtId="167" fontId="156" fillId="89" borderId="0" xfId="12427" applyNumberFormat="1" applyFont="1" applyFill="1" applyBorder="1" applyAlignment="1">
      <alignment horizontal="right" wrapText="1"/>
    </xf>
    <xf numFmtId="0" fontId="156" fillId="89" borderId="0" xfId="20417" applyFont="1" applyFill="1" applyAlignment="1">
      <alignment horizontal="left"/>
    </xf>
    <xf numFmtId="169" fontId="159" fillId="71" borderId="147" xfId="0" applyNumberFormat="1" applyFont="1" applyFill="1" applyBorder="1"/>
    <xf numFmtId="0" fontId="156" fillId="0" borderId="203" xfId="0" applyFont="1" applyBorder="1"/>
    <xf numFmtId="165" fontId="236" fillId="0" borderId="0" xfId="12422" applyNumberFormat="1" applyFont="1" applyFill="1" applyAlignment="1">
      <alignment horizontal="right"/>
    </xf>
    <xf numFmtId="0" fontId="156" fillId="89" borderId="0" xfId="0" applyFont="1" applyFill="1"/>
    <xf numFmtId="0" fontId="158" fillId="89" borderId="0" xfId="0" applyFont="1" applyFill="1" applyBorder="1"/>
    <xf numFmtId="165" fontId="159" fillId="89" borderId="0" xfId="12422" applyNumberFormat="1" applyFont="1" applyFill="1" applyBorder="1"/>
    <xf numFmtId="190" fontId="236" fillId="73" borderId="0" xfId="0" applyNumberFormat="1" applyFont="1" applyFill="1" applyAlignment="1">
      <alignment horizontal="right"/>
    </xf>
    <xf numFmtId="0" fontId="188" fillId="73" borderId="0" xfId="0" applyFont="1" applyFill="1" applyAlignment="1">
      <alignment horizontal="right"/>
    </xf>
    <xf numFmtId="165" fontId="188" fillId="73" borderId="0" xfId="12422" applyNumberFormat="1" applyFont="1" applyFill="1" applyAlignment="1">
      <alignment horizontal="right"/>
    </xf>
    <xf numFmtId="0" fontId="159" fillId="0" borderId="115" xfId="0" applyFont="1" applyFill="1" applyBorder="1" applyAlignment="1">
      <alignment horizontal="right" wrapText="1"/>
    </xf>
    <xf numFmtId="164" fontId="28" fillId="73" borderId="0" xfId="0" applyNumberFormat="1" applyFont="1" applyFill="1" applyAlignment="1">
      <alignment horizontal="right"/>
    </xf>
    <xf numFmtId="0" fontId="28" fillId="73" borderId="0" xfId="0" applyFont="1" applyFill="1" applyAlignment="1">
      <alignment horizontal="right"/>
    </xf>
    <xf numFmtId="164" fontId="188" fillId="73" borderId="0" xfId="0" applyNumberFormat="1" applyFont="1" applyFill="1" applyAlignment="1">
      <alignment horizontal="right"/>
    </xf>
    <xf numFmtId="167" fontId="188" fillId="73" borderId="0" xfId="12427" applyNumberFormat="1" applyFont="1" applyFill="1" applyAlignment="1">
      <alignment horizontal="right"/>
    </xf>
    <xf numFmtId="165" fontId="28" fillId="73" borderId="0" xfId="12422" applyNumberFormat="1" applyFont="1" applyFill="1" applyAlignment="1">
      <alignment horizontal="right"/>
    </xf>
    <xf numFmtId="165" fontId="28" fillId="0" borderId="0" xfId="12422" applyNumberFormat="1" applyFont="1" applyFill="1" applyAlignment="1">
      <alignment horizontal="right"/>
    </xf>
    <xf numFmtId="190" fontId="236" fillId="0" borderId="0" xfId="12422" applyNumberFormat="1" applyFont="1" applyFill="1" applyAlignment="1">
      <alignment horizontal="right"/>
    </xf>
    <xf numFmtId="10" fontId="236" fillId="0" borderId="0" xfId="12422" applyNumberFormat="1" applyFont="1" applyFill="1" applyAlignment="1">
      <alignment horizontal="right"/>
    </xf>
    <xf numFmtId="0" fontId="156" fillId="0" borderId="0" xfId="20417" applyFont="1" applyFill="1" applyBorder="1" applyAlignment="1">
      <alignment horizontal="center" wrapText="1"/>
    </xf>
    <xf numFmtId="164" fontId="156" fillId="0" borderId="0" xfId="20425" applyNumberFormat="1" applyFont="1" applyBorder="1" applyAlignment="1">
      <alignment horizontal="center"/>
    </xf>
    <xf numFmtId="242" fontId="156" fillId="0" borderId="0" xfId="20397" applyNumberFormat="1" applyFont="1" applyBorder="1" applyAlignment="1">
      <alignment horizontal="right"/>
    </xf>
    <xf numFmtId="242" fontId="156" fillId="0" borderId="0" xfId="20429" applyNumberFormat="1" applyFont="1" applyBorder="1" applyAlignment="1">
      <alignment horizontal="right"/>
    </xf>
    <xf numFmtId="304" fontId="28" fillId="0" borderId="0" xfId="0" applyNumberFormat="1" applyFont="1" applyBorder="1" applyAlignment="1">
      <alignment horizontal="right"/>
    </xf>
    <xf numFmtId="167" fontId="188" fillId="0" borderId="0" xfId="12427" applyNumberFormat="1" applyFont="1" applyFill="1" applyAlignment="1">
      <alignment horizontal="right"/>
    </xf>
    <xf numFmtId="167" fontId="28" fillId="0" borderId="0" xfId="12427" applyNumberFormat="1" applyFont="1" applyFill="1" applyAlignment="1">
      <alignment horizontal="right"/>
    </xf>
    <xf numFmtId="0" fontId="284" fillId="94" borderId="0" xfId="20430" applyFont="1" applyFill="1" applyAlignment="1">
      <alignment horizontal="left" wrapText="1"/>
    </xf>
    <xf numFmtId="0" fontId="285" fillId="95" borderId="0" xfId="20430" applyFont="1" applyFill="1" applyAlignment="1"/>
    <xf numFmtId="0" fontId="286" fillId="94" borderId="0" xfId="20430" applyFont="1" applyFill="1" applyAlignment="1">
      <alignment horizontal="center" wrapText="1"/>
    </xf>
    <xf numFmtId="0" fontId="287" fillId="94" borderId="0" xfId="20430" applyFont="1" applyFill="1" applyAlignment="1">
      <alignment horizontal="center" wrapText="1"/>
    </xf>
    <xf numFmtId="0" fontId="287" fillId="94" borderId="207" xfId="20430" applyFont="1" applyFill="1" applyBorder="1" applyAlignment="1">
      <alignment horizontal="center" wrapText="1"/>
    </xf>
    <xf numFmtId="0" fontId="288" fillId="96" borderId="208" xfId="20430" applyFont="1" applyFill="1" applyBorder="1" applyAlignment="1">
      <alignment horizontal="left" vertical="center" wrapText="1"/>
    </xf>
    <xf numFmtId="0" fontId="288" fillId="96" borderId="208" xfId="20430" applyFont="1" applyFill="1" applyBorder="1" applyAlignment="1">
      <alignment horizontal="right" vertical="center" wrapText="1"/>
    </xf>
    <xf numFmtId="0" fontId="289" fillId="89" borderId="0" xfId="20430" applyFont="1" applyFill="1" applyAlignment="1">
      <alignment horizontal="left" vertical="top" wrapText="1"/>
    </xf>
    <xf numFmtId="3" fontId="289" fillId="89" borderId="0" xfId="20430" applyNumberFormat="1" applyFont="1" applyFill="1" applyAlignment="1">
      <alignment horizontal="right" vertical="top"/>
    </xf>
    <xf numFmtId="0" fontId="289" fillId="89" borderId="0" xfId="20430" applyFont="1" applyFill="1" applyAlignment="1">
      <alignment horizontal="right" vertical="top"/>
    </xf>
    <xf numFmtId="0" fontId="289" fillId="89" borderId="0" xfId="20430" applyNumberFormat="1" applyFont="1" applyFill="1" applyAlignment="1">
      <alignment horizontal="right" vertical="top"/>
    </xf>
    <xf numFmtId="0" fontId="290" fillId="97" borderId="209" xfId="20430" applyFont="1" applyFill="1" applyBorder="1" applyAlignment="1">
      <alignment horizontal="left" vertical="center" wrapText="1"/>
    </xf>
    <xf numFmtId="0" fontId="291" fillId="97" borderId="209" xfId="20430" applyFont="1" applyFill="1" applyBorder="1" applyAlignment="1">
      <alignment horizontal="left" vertical="center" wrapText="1"/>
    </xf>
    <xf numFmtId="3" fontId="291" fillId="97" borderId="209" xfId="20430" applyNumberFormat="1" applyFont="1" applyFill="1" applyBorder="1" applyAlignment="1">
      <alignment horizontal="right" vertical="center" wrapText="1"/>
    </xf>
    <xf numFmtId="0" fontId="291" fillId="97" borderId="209" xfId="20430" applyNumberFormat="1" applyFont="1" applyFill="1" applyBorder="1" applyAlignment="1">
      <alignment horizontal="right" vertical="center" wrapText="1"/>
    </xf>
    <xf numFmtId="0" fontId="290" fillId="89" borderId="210" xfId="20430" applyFont="1" applyFill="1" applyBorder="1" applyAlignment="1">
      <alignment horizontal="left" wrapText="1"/>
    </xf>
    <xf numFmtId="0" fontId="290" fillId="89" borderId="211" xfId="20430" applyFont="1" applyFill="1" applyBorder="1" applyAlignment="1">
      <alignment horizontal="left" wrapText="1"/>
    </xf>
    <xf numFmtId="0" fontId="292" fillId="98" borderId="212" xfId="20430" applyFont="1" applyFill="1" applyBorder="1" applyAlignment="1">
      <alignment horizontal="left" vertical="top" wrapText="1"/>
    </xf>
    <xf numFmtId="0" fontId="293" fillId="98" borderId="212" xfId="20430" applyFont="1" applyFill="1" applyBorder="1" applyAlignment="1">
      <alignment horizontal="left" vertical="top" wrapText="1"/>
    </xf>
    <xf numFmtId="0" fontId="293" fillId="98" borderId="213" xfId="20430" applyFont="1" applyFill="1" applyBorder="1" applyAlignment="1">
      <alignment horizontal="left" vertical="top" wrapText="1"/>
    </xf>
    <xf numFmtId="0" fontId="294" fillId="95" borderId="0" xfId="20430" applyFont="1" applyFill="1" applyAlignment="1"/>
    <xf numFmtId="165" fontId="156" fillId="0" borderId="0" xfId="12422" applyNumberFormat="1" applyFont="1" applyBorder="1"/>
    <xf numFmtId="304" fontId="156" fillId="0" borderId="0" xfId="0" applyNumberFormat="1" applyFont="1" applyBorder="1"/>
    <xf numFmtId="0" fontId="159" fillId="0" borderId="201" xfId="0" applyFont="1" applyFill="1" applyBorder="1" applyAlignment="1">
      <alignment horizontal="centerContinuous"/>
    </xf>
    <xf numFmtId="0" fontId="159" fillId="0" borderId="202" xfId="0" applyFont="1" applyFill="1" applyBorder="1" applyAlignment="1">
      <alignment horizontal="centerContinuous"/>
    </xf>
    <xf numFmtId="8" fontId="236" fillId="0" borderId="0" xfId="0" applyNumberFormat="1" applyFont="1" applyAlignment="1">
      <alignment horizontal="center"/>
    </xf>
    <xf numFmtId="167" fontId="156" fillId="0" borderId="0" xfId="12427" applyNumberFormat="1" applyFont="1" applyAlignment="1">
      <alignment horizontal="center"/>
    </xf>
    <xf numFmtId="0" fontId="156" fillId="0" borderId="144" xfId="0" applyFont="1" applyBorder="1"/>
    <xf numFmtId="0" fontId="156" fillId="0" borderId="98" xfId="0" applyFont="1" applyBorder="1"/>
    <xf numFmtId="304" fontId="156" fillId="0" borderId="0" xfId="12422" applyNumberFormat="1" applyFont="1"/>
    <xf numFmtId="0" fontId="156" fillId="0" borderId="194" xfId="0" applyFont="1" applyBorder="1" applyAlignment="1">
      <alignment horizontal="centerContinuous"/>
    </xf>
    <xf numFmtId="0" fontId="156" fillId="0" borderId="195" xfId="0" applyFont="1" applyBorder="1" applyAlignment="1">
      <alignment horizontal="centerContinuous"/>
    </xf>
    <xf numFmtId="0" fontId="156" fillId="0" borderId="196" xfId="0" applyFont="1" applyBorder="1" applyAlignment="1">
      <alignment horizontal="centerContinuous"/>
    </xf>
    <xf numFmtId="169" fontId="158" fillId="0" borderId="204" xfId="0" applyNumberFormat="1" applyFont="1" applyBorder="1"/>
    <xf numFmtId="167" fontId="28" fillId="0" borderId="0" xfId="12427" applyNumberFormat="1" applyFont="1"/>
    <xf numFmtId="165" fontId="156" fillId="0" borderId="205" xfId="12422" applyNumberFormat="1" applyFont="1" applyBorder="1" applyAlignment="1">
      <alignment horizontal="center"/>
    </xf>
    <xf numFmtId="165" fontId="159" fillId="0" borderId="206" xfId="0" applyNumberFormat="1" applyFont="1" applyFill="1" applyBorder="1" applyAlignment="1">
      <alignment horizontal="center"/>
    </xf>
    <xf numFmtId="8" fontId="188" fillId="0" borderId="66" xfId="0" applyNumberFormat="1" applyFont="1" applyBorder="1"/>
    <xf numFmtId="304" fontId="234" fillId="0" borderId="50" xfId="0" applyNumberFormat="1" applyFont="1" applyBorder="1" applyAlignment="1">
      <alignment horizontal="right"/>
    </xf>
    <xf numFmtId="304" fontId="158" fillId="0" borderId="98" xfId="12422" applyNumberFormat="1" applyFont="1" applyBorder="1"/>
    <xf numFmtId="304" fontId="158" fillId="0" borderId="145" xfId="12422" applyNumberFormat="1" applyFont="1" applyBorder="1"/>
    <xf numFmtId="0" fontId="130" fillId="0" borderId="0" xfId="0" applyFont="1" applyFill="1" applyAlignment="1">
      <alignment horizontal="right" wrapText="1"/>
    </xf>
    <xf numFmtId="304" fontId="236" fillId="0" borderId="50" xfId="0" applyNumberFormat="1" applyFont="1" applyBorder="1" applyAlignment="1">
      <alignment horizontal="right"/>
    </xf>
    <xf numFmtId="304" fontId="28" fillId="0" borderId="50" xfId="0" applyNumberFormat="1" applyFont="1" applyBorder="1" applyAlignment="1">
      <alignment horizontal="right"/>
    </xf>
    <xf numFmtId="0" fontId="156" fillId="0" borderId="201" xfId="0" applyFont="1" applyBorder="1"/>
    <xf numFmtId="8" fontId="236" fillId="0" borderId="206" xfId="0" applyNumberFormat="1" applyFont="1" applyBorder="1"/>
    <xf numFmtId="0" fontId="235" fillId="0" borderId="186" xfId="0" applyFont="1" applyBorder="1" applyAlignment="1">
      <alignment horizontal="right"/>
    </xf>
    <xf numFmtId="169" fontId="235" fillId="0" borderId="186" xfId="0" applyNumberFormat="1" applyFont="1" applyBorder="1"/>
    <xf numFmtId="167" fontId="28" fillId="0" borderId="0" xfId="12427" applyNumberFormat="1" applyFont="1" applyFill="1"/>
    <xf numFmtId="43" fontId="236" fillId="0" borderId="6" xfId="12427" applyFont="1" applyFill="1" applyBorder="1" applyAlignment="1">
      <alignment horizontal="right"/>
    </xf>
    <xf numFmtId="43" fontId="28" fillId="0" borderId="6" xfId="12427" applyFont="1" applyFill="1" applyBorder="1" applyAlignment="1">
      <alignment horizontal="right"/>
    </xf>
    <xf numFmtId="0" fontId="28" fillId="0" borderId="0" xfId="0" applyFont="1" applyAlignment="1">
      <alignment horizontal="right" vertical="top" wrapText="1"/>
    </xf>
    <xf numFmtId="0" fontId="28" fillId="0" borderId="0" xfId="0" applyFont="1" applyAlignment="1">
      <alignment horizontal="right" wrapText="1"/>
    </xf>
    <xf numFmtId="9" fontId="188" fillId="0" borderId="0" xfId="12422" applyFont="1" applyFill="1" applyAlignment="1">
      <alignment horizontal="right" wrapText="1"/>
    </xf>
    <xf numFmtId="167" fontId="28" fillId="73" borderId="0" xfId="12427" applyNumberFormat="1" applyFont="1" applyFill="1" applyAlignment="1">
      <alignment horizontal="right"/>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164" fontId="156" fillId="0" borderId="0" xfId="33583" applyNumberFormat="1" applyFont="1" applyBorder="1" applyAlignment="1">
      <alignment horizontal="center"/>
    </xf>
    <xf numFmtId="242" fontId="156" fillId="0" borderId="0" xfId="33530" applyNumberFormat="1" applyFont="1" applyBorder="1" applyAlignment="1">
      <alignment horizontal="right"/>
    </xf>
    <xf numFmtId="242" fontId="156" fillId="0" borderId="0" xfId="33577" applyNumberFormat="1" applyFont="1" applyBorder="1" applyAlignment="1">
      <alignment horizontal="right"/>
    </xf>
    <xf numFmtId="164" fontId="156" fillId="0" borderId="0" xfId="33583" applyNumberFormat="1" applyFont="1" applyBorder="1" applyAlignment="1">
      <alignment horizontal="center"/>
    </xf>
    <xf numFmtId="242" fontId="156" fillId="0" borderId="0" xfId="33530" applyNumberFormat="1" applyFont="1" applyBorder="1" applyAlignment="1">
      <alignment horizontal="right"/>
    </xf>
    <xf numFmtId="242" fontId="156" fillId="0" borderId="0" xfId="33577" applyNumberFormat="1" applyFont="1" applyBorder="1" applyAlignment="1">
      <alignment horizontal="right"/>
    </xf>
    <xf numFmtId="0" fontId="156" fillId="0" borderId="0" xfId="33583" applyFont="1" applyFill="1" applyAlignment="1">
      <alignment horizontal="left" vertical="top"/>
    </xf>
    <xf numFmtId="247" fontId="156" fillId="0" borderId="0" xfId="33583" applyNumberFormat="1" applyFont="1"/>
    <xf numFmtId="247" fontId="156" fillId="0" borderId="0" xfId="33583" applyNumberFormat="1" applyFont="1"/>
    <xf numFmtId="0" fontId="156" fillId="0" borderId="0" xfId="33583" applyFont="1" applyFill="1" applyAlignment="1">
      <alignment horizontal="left" vertical="top"/>
    </xf>
    <xf numFmtId="0" fontId="156" fillId="0" borderId="0" xfId="0" applyFont="1" applyBorder="1" applyAlignment="1">
      <alignment horizontal="center" wrapText="1"/>
    </xf>
    <xf numFmtId="0" fontId="305" fillId="95" borderId="0" xfId="20430" applyFont="1" applyFill="1" applyAlignment="1"/>
    <xf numFmtId="0" fontId="306" fillId="95" borderId="0" xfId="20430" applyFont="1" applyFill="1" applyAlignment="1">
      <alignment horizontal="right" wrapText="1"/>
    </xf>
    <xf numFmtId="0" fontId="306" fillId="95" borderId="0" xfId="20430" applyFont="1" applyFill="1" applyAlignment="1">
      <alignment horizontal="right"/>
    </xf>
    <xf numFmtId="304" fontId="285" fillId="95" borderId="0" xfId="20430" applyNumberFormat="1" applyFont="1" applyFill="1" applyAlignment="1"/>
    <xf numFmtId="0" fontId="305" fillId="95" borderId="0" xfId="20430" applyFont="1" applyFill="1" applyAlignment="1">
      <alignment horizontal="left"/>
    </xf>
    <xf numFmtId="0" fontId="156" fillId="0" borderId="317" xfId="0" applyFont="1" applyBorder="1"/>
    <xf numFmtId="0" fontId="235" fillId="0" borderId="187" xfId="0" applyFont="1" applyBorder="1"/>
    <xf numFmtId="190" fontId="130" fillId="73" borderId="0" xfId="0" applyNumberFormat="1" applyFont="1" applyFill="1"/>
    <xf numFmtId="190" fontId="130" fillId="0" borderId="0" xfId="0" applyNumberFormat="1" applyFont="1" applyFill="1"/>
    <xf numFmtId="343" fontId="28" fillId="0" borderId="0" xfId="0" applyNumberFormat="1" applyFont="1" applyFill="1" applyAlignment="1">
      <alignment horizontal="right"/>
    </xf>
    <xf numFmtId="0" fontId="158" fillId="0" borderId="423" xfId="0" applyFont="1" applyBorder="1"/>
    <xf numFmtId="0" fontId="156" fillId="0" borderId="424" xfId="0" applyFont="1" applyBorder="1"/>
    <xf numFmtId="0" fontId="156" fillId="0" borderId="425" xfId="0" applyFont="1" applyBorder="1"/>
    <xf numFmtId="167" fontId="156" fillId="0" borderId="0" xfId="0" applyNumberFormat="1" applyFont="1" applyFill="1" applyBorder="1" applyAlignment="1">
      <alignment horizontal="right"/>
    </xf>
    <xf numFmtId="167" fontId="156" fillId="0" borderId="13" xfId="0" applyNumberFormat="1" applyFont="1" applyFill="1" applyBorder="1" applyAlignment="1">
      <alignment horizontal="right"/>
    </xf>
    <xf numFmtId="0" fontId="156" fillId="0" borderId="232" xfId="0" applyFont="1" applyBorder="1"/>
    <xf numFmtId="167" fontId="156" fillId="0" borderId="317" xfId="0" applyNumberFormat="1" applyFont="1" applyFill="1" applyBorder="1" applyAlignment="1">
      <alignment horizontal="right"/>
    </xf>
    <xf numFmtId="167" fontId="156" fillId="0" borderId="426" xfId="0" applyNumberFormat="1" applyFont="1" applyFill="1" applyBorder="1" applyAlignment="1">
      <alignment horizontal="right"/>
    </xf>
    <xf numFmtId="0" fontId="156" fillId="0" borderId="0" xfId="0" quotePrefix="1" applyFont="1" applyFill="1" applyAlignment="1">
      <alignment horizontal="right" vertical="top"/>
    </xf>
    <xf numFmtId="165" fontId="244" fillId="0" borderId="0" xfId="0" applyNumberFormat="1" applyFont="1" applyFill="1"/>
    <xf numFmtId="0" fontId="230" fillId="0" borderId="0" xfId="0" applyFont="1"/>
    <xf numFmtId="8" fontId="236" fillId="0" borderId="190" xfId="0" applyNumberFormat="1" applyFont="1" applyBorder="1"/>
    <xf numFmtId="8" fontId="236" fillId="0" borderId="31" xfId="0" applyNumberFormat="1" applyFont="1" applyBorder="1"/>
    <xf numFmtId="0" fontId="168" fillId="72" borderId="28" xfId="0" applyFont="1" applyFill="1" applyBorder="1" applyAlignment="1">
      <alignment horizontal="right" wrapText="1"/>
    </xf>
    <xf numFmtId="165" fontId="244" fillId="0" borderId="186" xfId="12422" applyNumberFormat="1" applyFont="1" applyBorder="1"/>
    <xf numFmtId="0" fontId="230" fillId="0" borderId="0" xfId="0" applyFont="1" applyAlignment="1">
      <alignment vertical="top"/>
    </xf>
    <xf numFmtId="0" fontId="158" fillId="0" borderId="417" xfId="0" applyFont="1" applyFill="1" applyBorder="1"/>
    <xf numFmtId="0" fontId="158" fillId="0" borderId="418" xfId="0" applyFont="1" applyFill="1" applyBorder="1"/>
    <xf numFmtId="0" fontId="156" fillId="0" borderId="418" xfId="0" applyFont="1" applyBorder="1"/>
    <xf numFmtId="0" fontId="156" fillId="0" borderId="418" xfId="0" applyFont="1" applyFill="1" applyBorder="1"/>
    <xf numFmtId="0" fontId="156" fillId="0" borderId="421" xfId="0" applyFont="1" applyFill="1" applyBorder="1"/>
    <xf numFmtId="0" fontId="159" fillId="0" borderId="418" xfId="0" applyFont="1" applyFill="1" applyBorder="1"/>
    <xf numFmtId="0" fontId="156" fillId="0" borderId="423" xfId="0" applyFont="1" applyBorder="1"/>
    <xf numFmtId="167" fontId="236" fillId="0" borderId="232" xfId="12427" applyNumberFormat="1" applyFont="1" applyBorder="1"/>
    <xf numFmtId="43" fontId="236" fillId="0" borderId="418" xfId="12427" applyFont="1" applyBorder="1"/>
    <xf numFmtId="43" fontId="236" fillId="0" borderId="418" xfId="12427" applyFont="1" applyFill="1" applyBorder="1" applyAlignment="1">
      <alignment horizontal="right"/>
    </xf>
    <xf numFmtId="167" fontId="236" fillId="0" borderId="426" xfId="12427" applyNumberFormat="1" applyFont="1" applyBorder="1"/>
    <xf numFmtId="167" fontId="158" fillId="71" borderId="425" xfId="12427" applyNumberFormat="1" applyFont="1" applyFill="1" applyBorder="1"/>
    <xf numFmtId="167" fontId="158" fillId="71" borderId="426" xfId="12427" applyNumberFormat="1" applyFont="1" applyFill="1" applyBorder="1"/>
    <xf numFmtId="0" fontId="168" fillId="72" borderId="417" xfId="0" applyFont="1" applyFill="1" applyBorder="1" applyAlignment="1">
      <alignment horizontal="left"/>
    </xf>
    <xf numFmtId="0" fontId="168" fillId="72" borderId="418" xfId="0" applyFont="1" applyFill="1" applyBorder="1" applyAlignment="1">
      <alignment horizontal="centerContinuous"/>
    </xf>
    <xf numFmtId="0" fontId="168" fillId="72" borderId="418" xfId="0" applyFont="1" applyFill="1" applyBorder="1" applyAlignment="1">
      <alignment horizontal="right" wrapText="1"/>
    </xf>
    <xf numFmtId="0" fontId="168" fillId="72" borderId="421" xfId="0" applyFont="1" applyFill="1" applyBorder="1" applyAlignment="1">
      <alignment horizontal="right" wrapText="1"/>
    </xf>
    <xf numFmtId="0" fontId="168" fillId="72" borderId="415" xfId="0" applyFont="1" applyFill="1" applyBorder="1" applyAlignment="1">
      <alignment horizontal="center"/>
    </xf>
    <xf numFmtId="167" fontId="28" fillId="0" borderId="425" xfId="12427" applyNumberFormat="1" applyFont="1" applyBorder="1"/>
    <xf numFmtId="0" fontId="158" fillId="0" borderId="232" xfId="0" applyFont="1" applyBorder="1"/>
    <xf numFmtId="8" fontId="156" fillId="0" borderId="425" xfId="0" applyNumberFormat="1" applyFont="1" applyBorder="1"/>
    <xf numFmtId="169" fontId="156" fillId="0" borderId="425" xfId="0" applyNumberFormat="1" applyFont="1" applyFill="1" applyBorder="1"/>
    <xf numFmtId="0" fontId="158" fillId="71" borderId="417" xfId="0" applyFont="1" applyFill="1" applyBorder="1"/>
    <xf numFmtId="0" fontId="158" fillId="71" borderId="418" xfId="0" applyFont="1" applyFill="1" applyBorder="1"/>
    <xf numFmtId="165" fontId="159" fillId="71" borderId="421" xfId="12422" applyNumberFormat="1" applyFont="1" applyFill="1" applyBorder="1"/>
    <xf numFmtId="167" fontId="236" fillId="0" borderId="425" xfId="12427" applyNumberFormat="1" applyFont="1" applyBorder="1"/>
    <xf numFmtId="165" fontId="156" fillId="0" borderId="0" xfId="0" applyNumberFormat="1" applyFont="1" applyAlignment="1">
      <alignment horizontal="right" vertical="top"/>
    </xf>
    <xf numFmtId="0" fontId="158" fillId="0" borderId="0" xfId="0" applyFont="1" applyAlignment="1">
      <alignment horizontal="left" indent="1"/>
    </xf>
    <xf numFmtId="0" fontId="158" fillId="0" borderId="0" xfId="0" applyFont="1" applyAlignment="1">
      <alignment horizontal="left" indent="2"/>
    </xf>
    <xf numFmtId="0" fontId="156" fillId="0" borderId="0" xfId="0" applyFont="1" applyAlignment="1">
      <alignment horizontal="left" indent="2"/>
    </xf>
    <xf numFmtId="0" fontId="158" fillId="0" borderId="16" xfId="0" applyFont="1" applyBorder="1"/>
    <xf numFmtId="247" fontId="0" fillId="74" borderId="173" xfId="20411" applyNumberFormat="1" applyFont="1" applyFill="1" applyBorder="1"/>
    <xf numFmtId="165" fontId="188" fillId="0" borderId="0" xfId="0" applyNumberFormat="1" applyFont="1" applyFill="1" applyAlignment="1">
      <alignment horizontal="right" vertical="center"/>
    </xf>
    <xf numFmtId="0" fontId="24" fillId="0" borderId="0" xfId="11807" applyFill="1"/>
    <xf numFmtId="43" fontId="162" fillId="68" borderId="56" xfId="11155" quotePrefix="1" applyFont="1" applyFill="1" applyBorder="1" applyAlignment="1"/>
    <xf numFmtId="0" fontId="307" fillId="0" borderId="0" xfId="11807" applyFont="1" applyFill="1"/>
    <xf numFmtId="0" fontId="159" fillId="0" borderId="0" xfId="11807" applyFont="1" applyFill="1"/>
    <xf numFmtId="164" fontId="156" fillId="0" borderId="0" xfId="11807" applyNumberFormat="1" applyFont="1" applyFill="1" applyBorder="1" applyAlignment="1">
      <alignment horizontal="center" wrapText="1"/>
    </xf>
    <xf numFmtId="167" fontId="156" fillId="0" borderId="0" xfId="12427" applyNumberFormat="1" applyFont="1" applyFill="1" applyAlignment="1">
      <alignment horizontal="right" vertical="top" wrapText="1"/>
    </xf>
    <xf numFmtId="0" fontId="0" fillId="0" borderId="0" xfId="0" applyFont="1" applyFill="1" applyAlignment="1">
      <alignment vertical="top"/>
    </xf>
    <xf numFmtId="0" fontId="158" fillId="71" borderId="232" xfId="0" applyFont="1" applyFill="1" applyBorder="1"/>
    <xf numFmtId="0" fontId="197" fillId="0" borderId="0" xfId="11807" applyFont="1" applyFill="1"/>
    <xf numFmtId="0" fontId="158" fillId="89" borderId="335" xfId="20426" applyFont="1" applyFill="1" applyBorder="1" applyAlignment="1">
      <alignment horizontal="left" wrapText="1"/>
    </xf>
    <xf numFmtId="0" fontId="158" fillId="89" borderId="427" xfId="20426" applyFont="1" applyFill="1" applyBorder="1" applyAlignment="1">
      <alignment horizontal="center" wrapText="1"/>
    </xf>
    <xf numFmtId="0" fontId="158" fillId="89" borderId="427" xfId="20426" applyFont="1" applyFill="1" applyBorder="1" applyAlignment="1">
      <alignment horizontal="right" wrapText="1"/>
    </xf>
    <xf numFmtId="0" fontId="158" fillId="89" borderId="350" xfId="20426" applyFont="1" applyFill="1" applyBorder="1" applyAlignment="1">
      <alignment horizontal="right" wrapText="1"/>
    </xf>
    <xf numFmtId="304" fontId="234" fillId="0" borderId="428" xfId="0" applyNumberFormat="1" applyFont="1" applyBorder="1" applyAlignment="1">
      <alignment horizontal="right"/>
    </xf>
    <xf numFmtId="304" fontId="234" fillId="0" borderId="239" xfId="0" applyNumberFormat="1" applyFont="1" applyBorder="1" applyAlignment="1">
      <alignment horizontal="right"/>
    </xf>
    <xf numFmtId="304" fontId="158" fillId="0" borderId="0" xfId="12422" applyNumberFormat="1" applyFont="1" applyBorder="1"/>
    <xf numFmtId="304" fontId="156" fillId="0" borderId="0" xfId="12422" applyNumberFormat="1" applyFont="1" applyBorder="1"/>
    <xf numFmtId="343" fontId="234" fillId="0" borderId="0" xfId="0" applyNumberFormat="1" applyFont="1" applyFill="1" applyAlignment="1">
      <alignment horizontal="right"/>
    </xf>
    <xf numFmtId="304" fontId="236" fillId="0" borderId="428" xfId="0" applyNumberFormat="1" applyFont="1" applyBorder="1" applyAlignment="1">
      <alignment horizontal="right"/>
    </xf>
    <xf numFmtId="304" fontId="236" fillId="0" borderId="239" xfId="0" applyNumberFormat="1" applyFont="1" applyBorder="1" applyAlignment="1">
      <alignment horizontal="right"/>
    </xf>
    <xf numFmtId="304" fontId="28" fillId="0" borderId="428" xfId="0" applyNumberFormat="1" applyFont="1" applyBorder="1" applyAlignment="1">
      <alignment horizontal="right"/>
    </xf>
    <xf numFmtId="304" fontId="28" fillId="0" borderId="239" xfId="0" applyNumberFormat="1" applyFont="1" applyBorder="1" applyAlignment="1">
      <alignment horizontal="right"/>
    </xf>
    <xf numFmtId="0" fontId="188" fillId="0" borderId="0" xfId="20381" applyNumberFormat="1" applyFont="1" applyFill="1" applyBorder="1" applyAlignment="1">
      <alignment horizontal="center"/>
    </xf>
    <xf numFmtId="0" fontId="156" fillId="0" borderId="232" xfId="0" applyFont="1" applyBorder="1" applyAlignment="1">
      <alignment horizontal="center"/>
    </xf>
    <xf numFmtId="341" fontId="156" fillId="73" borderId="426" xfId="0" applyNumberFormat="1" applyFont="1" applyFill="1" applyBorder="1" applyAlignment="1">
      <alignment horizontal="right"/>
    </xf>
    <xf numFmtId="0" fontId="28" fillId="74" borderId="0" xfId="11846" applyFont="1" applyFill="1" applyBorder="1" applyAlignment="1">
      <alignment horizontal="left"/>
    </xf>
    <xf numFmtId="164" fontId="156" fillId="74" borderId="0" xfId="11807" applyNumberFormat="1" applyFont="1" applyFill="1" applyBorder="1" applyAlignment="1">
      <alignment horizontal="center" wrapText="1"/>
    </xf>
    <xf numFmtId="0" fontId="28" fillId="74" borderId="0" xfId="11846" applyFont="1" applyFill="1" applyBorder="1" applyAlignment="1">
      <alignment horizontal="left" wrapText="1" indent="1"/>
    </xf>
    <xf numFmtId="0" fontId="28" fillId="74" borderId="0" xfId="11846" applyFont="1" applyFill="1" applyBorder="1" applyAlignment="1">
      <alignment horizontal="left" indent="1"/>
    </xf>
    <xf numFmtId="309" fontId="28" fillId="74" borderId="0" xfId="11846" applyNumberFormat="1" applyFont="1" applyFill="1" applyBorder="1" applyAlignment="1">
      <alignment horizontal="right"/>
    </xf>
    <xf numFmtId="167" fontId="156" fillId="74" borderId="0" xfId="12427" applyNumberFormat="1" applyFont="1" applyFill="1" applyAlignment="1">
      <alignment horizontal="right" vertical="top" wrapText="1"/>
    </xf>
    <xf numFmtId="169" fontId="156" fillId="0" borderId="0" xfId="0" applyNumberFormat="1" applyFont="1" applyFill="1" applyAlignment="1">
      <alignment horizontal="right"/>
    </xf>
    <xf numFmtId="0" fontId="156" fillId="0" borderId="0" xfId="0" applyFont="1" applyFill="1" applyAlignment="1">
      <alignment horizontal="center" vertical="top" wrapText="1"/>
    </xf>
    <xf numFmtId="169" fontId="156" fillId="0" borderId="0" xfId="0" applyNumberFormat="1" applyFont="1" applyFill="1" applyAlignment="1">
      <alignment horizontal="right" vertical="top"/>
    </xf>
    <xf numFmtId="304" fontId="236" fillId="0" borderId="428" xfId="0" applyNumberFormat="1" applyFont="1" applyBorder="1"/>
    <xf numFmtId="304" fontId="236" fillId="0" borderId="239" xfId="0" applyNumberFormat="1" applyFont="1" applyBorder="1"/>
    <xf numFmtId="269" fontId="188" fillId="0" borderId="0" xfId="0" applyNumberFormat="1" applyFont="1" applyBorder="1" applyAlignment="1">
      <alignment horizontal="right"/>
    </xf>
    <xf numFmtId="0" fontId="159" fillId="0" borderId="350" xfId="0" applyFont="1" applyFill="1" applyBorder="1" applyAlignment="1">
      <alignment horizontal="centerContinuous"/>
    </xf>
    <xf numFmtId="0" fontId="168" fillId="72" borderId="426" xfId="0" applyFont="1" applyFill="1" applyBorder="1" applyAlignment="1">
      <alignment horizontal="right" wrapText="1"/>
    </xf>
    <xf numFmtId="0" fontId="168" fillId="72" borderId="350" xfId="0" applyFont="1" applyFill="1" applyBorder="1"/>
    <xf numFmtId="0" fontId="173" fillId="72" borderId="350" xfId="0" applyFont="1" applyFill="1" applyBorder="1" applyAlignment="1">
      <alignment horizontal="center" wrapText="1"/>
    </xf>
    <xf numFmtId="167" fontId="188" fillId="0" borderId="0" xfId="12427" applyNumberFormat="1" applyFont="1"/>
    <xf numFmtId="0" fontId="158" fillId="0" borderId="335" xfId="0" applyFont="1" applyBorder="1"/>
    <xf numFmtId="0" fontId="156" fillId="0" borderId="429" xfId="0" applyFont="1" applyBorder="1" applyAlignment="1">
      <alignment horizontal="right"/>
    </xf>
    <xf numFmtId="0" fontId="156" fillId="0" borderId="429" xfId="0" applyFont="1" applyBorder="1" applyAlignment="1">
      <alignment horizontal="center"/>
    </xf>
    <xf numFmtId="0" fontId="159" fillId="0" borderId="335" xfId="0" applyFont="1" applyFill="1" applyBorder="1"/>
    <xf numFmtId="0" fontId="158" fillId="0" borderId="429" xfId="0" applyFont="1" applyFill="1" applyBorder="1" applyAlignment="1"/>
    <xf numFmtId="0" fontId="168" fillId="72" borderId="429" xfId="0" applyFont="1" applyFill="1" applyBorder="1" applyAlignment="1">
      <alignment horizontal="right" wrapText="1"/>
    </xf>
    <xf numFmtId="0" fontId="168" fillId="72" borderId="335" xfId="0" applyFont="1" applyFill="1" applyBorder="1" applyAlignment="1">
      <alignment wrapText="1"/>
    </xf>
    <xf numFmtId="0" fontId="168" fillId="72" borderId="429" xfId="0" applyFont="1" applyFill="1" applyBorder="1" applyAlignment="1">
      <alignment wrapText="1"/>
    </xf>
    <xf numFmtId="0" fontId="159" fillId="0" borderId="429" xfId="0" applyFont="1" applyFill="1" applyBorder="1"/>
    <xf numFmtId="164" fontId="245" fillId="0" borderId="66" xfId="0" applyNumberFormat="1" applyFont="1" applyBorder="1"/>
    <xf numFmtId="167" fontId="245" fillId="0" borderId="66" xfId="12426" applyNumberFormat="1" applyFont="1" applyBorder="1"/>
    <xf numFmtId="0" fontId="158" fillId="71" borderId="335" xfId="0" applyFont="1" applyFill="1" applyBorder="1"/>
    <xf numFmtId="0" fontId="158" fillId="71" borderId="429" xfId="0" applyFont="1" applyFill="1" applyBorder="1"/>
    <xf numFmtId="169" fontId="158" fillId="71" borderId="429" xfId="0" applyNumberFormat="1" applyFont="1" applyFill="1" applyBorder="1"/>
    <xf numFmtId="165" fontId="158" fillId="71" borderId="429" xfId="0" applyNumberFormat="1" applyFont="1" applyFill="1" applyBorder="1"/>
    <xf numFmtId="10" fontId="158" fillId="71" borderId="429" xfId="0" applyNumberFormat="1" applyFont="1" applyFill="1" applyBorder="1"/>
    <xf numFmtId="10" fontId="159" fillId="71" borderId="429" xfId="0" applyNumberFormat="1" applyFont="1" applyFill="1" applyBorder="1"/>
    <xf numFmtId="165" fontId="159" fillId="71" borderId="429" xfId="0" applyNumberFormat="1" applyFont="1" applyFill="1" applyBorder="1"/>
    <xf numFmtId="0" fontId="159" fillId="71" borderId="429" xfId="0" applyFont="1" applyFill="1" applyBorder="1"/>
    <xf numFmtId="168" fontId="158" fillId="71" borderId="429" xfId="0" applyNumberFormat="1" applyFont="1" applyFill="1" applyBorder="1" applyAlignment="1">
      <alignment horizontal="right"/>
    </xf>
    <xf numFmtId="168" fontId="159" fillId="71" borderId="429" xfId="0" applyNumberFormat="1" applyFont="1" applyFill="1" applyBorder="1" applyAlignment="1">
      <alignment horizontal="right"/>
    </xf>
    <xf numFmtId="165" fontId="159" fillId="71" borderId="350" xfId="0" applyNumberFormat="1" applyFont="1" applyFill="1" applyBorder="1" applyAlignment="1">
      <alignment horizontal="right"/>
    </xf>
    <xf numFmtId="0" fontId="156" fillId="0" borderId="0" xfId="0" applyFont="1" applyFill="1" applyAlignment="1">
      <alignment horizontal="justify"/>
    </xf>
    <xf numFmtId="167" fontId="156" fillId="0" borderId="0" xfId="12427" applyNumberFormat="1" applyFont="1" applyFill="1" applyBorder="1" applyAlignment="1">
      <alignment horizontal="center"/>
    </xf>
    <xf numFmtId="167" fontId="28" fillId="89" borderId="0" xfId="12427" applyNumberFormat="1" applyFont="1" applyFill="1" applyBorder="1" applyAlignment="1">
      <alignment horizontal="right"/>
    </xf>
    <xf numFmtId="167" fontId="28" fillId="0" borderId="0" xfId="12427" applyNumberFormat="1" applyFont="1" applyFill="1" applyBorder="1" applyAlignment="1">
      <alignment horizontal="right"/>
    </xf>
    <xf numFmtId="167" fontId="156" fillId="0" borderId="0" xfId="12427" applyNumberFormat="1" applyFont="1" applyFill="1" applyBorder="1" applyAlignment="1">
      <alignment horizontal="right"/>
    </xf>
    <xf numFmtId="167" fontId="156" fillId="0" borderId="0" xfId="12427" applyNumberFormat="1" applyFont="1" applyBorder="1" applyAlignment="1">
      <alignment horizontal="right"/>
    </xf>
    <xf numFmtId="167" fontId="156" fillId="71" borderId="184" xfId="12427" applyNumberFormat="1" applyFont="1" applyFill="1" applyBorder="1"/>
    <xf numFmtId="167" fontId="156" fillId="71" borderId="0" xfId="12427" applyNumberFormat="1" applyFont="1" applyFill="1" applyBorder="1"/>
    <xf numFmtId="167" fontId="156" fillId="71" borderId="44" xfId="12427" applyNumberFormat="1" applyFont="1" applyFill="1" applyBorder="1"/>
    <xf numFmtId="167" fontId="156" fillId="89" borderId="0" xfId="12427" applyNumberFormat="1" applyFont="1" applyFill="1" applyBorder="1" applyAlignment="1">
      <alignment horizontal="right"/>
    </xf>
    <xf numFmtId="0" fontId="173" fillId="86" borderId="430" xfId="20303" applyNumberFormat="1" applyFont="1" applyFill="1" applyBorder="1" applyAlignment="1">
      <alignment horizontal="left" wrapText="1"/>
    </xf>
    <xf numFmtId="0" fontId="173" fillId="86" borderId="430" xfId="20303" applyNumberFormat="1" applyFont="1" applyFill="1" applyBorder="1" applyAlignment="1">
      <alignment horizontal="center" wrapText="1"/>
    </xf>
    <xf numFmtId="0" fontId="173" fillId="86" borderId="430" xfId="20303" applyNumberFormat="1" applyFont="1" applyFill="1" applyBorder="1" applyAlignment="1">
      <alignment horizontal="right" wrapText="1"/>
    </xf>
    <xf numFmtId="0" fontId="28" fillId="74" borderId="0" xfId="11846" applyFont="1" applyFill="1" applyBorder="1" applyAlignment="1">
      <alignment horizontal="left" wrapText="1"/>
    </xf>
    <xf numFmtId="0" fontId="28" fillId="74" borderId="0" xfId="11846" applyFont="1" applyFill="1" applyBorder="1" applyAlignment="1">
      <alignment horizontal="center"/>
    </xf>
    <xf numFmtId="0" fontId="28" fillId="0" borderId="0" xfId="11846" applyFont="1" applyFill="1" applyBorder="1" applyAlignment="1">
      <alignment horizontal="left" wrapText="1"/>
    </xf>
    <xf numFmtId="0" fontId="28" fillId="0" borderId="0" xfId="11846" applyFont="1" applyFill="1" applyBorder="1" applyAlignment="1">
      <alignment horizontal="center"/>
    </xf>
    <xf numFmtId="0" fontId="158" fillId="71" borderId="431" xfId="0" applyFont="1" applyFill="1" applyBorder="1"/>
    <xf numFmtId="0" fontId="156" fillId="71" borderId="432" xfId="0" applyFont="1" applyFill="1" applyBorder="1"/>
    <xf numFmtId="0" fontId="156" fillId="71" borderId="432" xfId="0" applyFont="1" applyFill="1" applyBorder="1" applyAlignment="1">
      <alignment horizontal="center"/>
    </xf>
    <xf numFmtId="167" fontId="158" fillId="71" borderId="432" xfId="12427" applyNumberFormat="1" applyFont="1" applyFill="1" applyBorder="1"/>
    <xf numFmtId="0" fontId="156" fillId="71" borderId="0" xfId="0" applyFont="1" applyFill="1" applyBorder="1" applyAlignment="1">
      <alignment horizontal="center"/>
    </xf>
    <xf numFmtId="0" fontId="156" fillId="71" borderId="44" xfId="0" applyFont="1" applyFill="1" applyBorder="1" applyAlignment="1">
      <alignment horizontal="center"/>
    </xf>
    <xf numFmtId="10" fontId="156" fillId="0" borderId="0" xfId="0" applyNumberFormat="1" applyFont="1" applyFill="1" applyBorder="1"/>
    <xf numFmtId="167" fontId="158" fillId="0" borderId="0" xfId="12427" applyNumberFormat="1" applyFont="1" applyFill="1" applyBorder="1"/>
    <xf numFmtId="0" fontId="24" fillId="0" borderId="0" xfId="11807" applyFill="1" applyAlignment="1">
      <alignment horizontal="center"/>
    </xf>
    <xf numFmtId="233" fontId="236" fillId="0" borderId="0" xfId="0" applyNumberFormat="1" applyFont="1" applyAlignment="1">
      <alignment horizontal="right"/>
    </xf>
    <xf numFmtId="0" fontId="158" fillId="0" borderId="0" xfId="0" applyFont="1" applyFill="1" applyAlignment="1">
      <alignment horizontal="left"/>
    </xf>
    <xf numFmtId="0" fontId="188" fillId="0" borderId="0" xfId="0" applyFont="1" applyFill="1" applyAlignment="1">
      <alignment vertical="top"/>
    </xf>
    <xf numFmtId="309" fontId="28" fillId="0" borderId="0" xfId="11846" applyNumberFormat="1" applyFont="1" applyFill="1" applyBorder="1" applyAlignment="1">
      <alignment horizontal="right" vertical="top"/>
    </xf>
    <xf numFmtId="0" fontId="173" fillId="86" borderId="335" xfId="20303" applyNumberFormat="1" applyFont="1" applyFill="1" applyBorder="1" applyAlignment="1">
      <alignment horizontal="center" wrapText="1"/>
    </xf>
    <xf numFmtId="0" fontId="173" fillId="86" borderId="350" xfId="20303" applyNumberFormat="1" applyFont="1" applyFill="1" applyBorder="1" applyAlignment="1">
      <alignment horizontal="right" wrapText="1"/>
    </xf>
    <xf numFmtId="165" fontId="156" fillId="0" borderId="0" xfId="12427" applyNumberFormat="1" applyFont="1" applyFill="1" applyAlignment="1">
      <alignment horizontal="right" vertical="top" wrapText="1"/>
    </xf>
    <xf numFmtId="165" fontId="158" fillId="71" borderId="433" xfId="12427" applyNumberFormat="1" applyFont="1" applyFill="1" applyBorder="1"/>
    <xf numFmtId="165" fontId="158" fillId="71" borderId="13" xfId="12427" applyNumberFormat="1" applyFont="1" applyFill="1" applyBorder="1"/>
    <xf numFmtId="165" fontId="158" fillId="71" borderId="426" xfId="12427" applyNumberFormat="1" applyFont="1" applyFill="1" applyBorder="1"/>
    <xf numFmtId="0" fontId="158" fillId="0" borderId="434" xfId="20388" applyFont="1" applyFill="1" applyBorder="1" applyAlignment="1">
      <alignment vertical="center"/>
    </xf>
    <xf numFmtId="165" fontId="244" fillId="0" borderId="435" xfId="20388" applyNumberFormat="1" applyFont="1" applyFill="1" applyBorder="1" applyAlignment="1">
      <alignment vertical="center"/>
    </xf>
    <xf numFmtId="165" fontId="244" fillId="0" borderId="436" xfId="20381" applyNumberFormat="1" applyFont="1" applyBorder="1"/>
    <xf numFmtId="165" fontId="235" fillId="0" borderId="0" xfId="20381" applyNumberFormat="1" applyFont="1"/>
    <xf numFmtId="0" fontId="168" fillId="72" borderId="435" xfId="20388" applyFont="1" applyFill="1" applyBorder="1" applyAlignment="1">
      <alignment horizontal="right" wrapText="1"/>
    </xf>
    <xf numFmtId="0" fontId="156" fillId="0" borderId="437" xfId="0" applyFont="1" applyBorder="1"/>
    <xf numFmtId="0" fontId="158" fillId="0" borderId="435" xfId="20388" applyFont="1" applyFill="1" applyBorder="1" applyAlignment="1">
      <alignment vertical="center"/>
    </xf>
    <xf numFmtId="165" fontId="244" fillId="0" borderId="435" xfId="20381" applyNumberFormat="1" applyFont="1" applyBorder="1"/>
    <xf numFmtId="165" fontId="244" fillId="0" borderId="0" xfId="20381" applyNumberFormat="1" applyFont="1" applyBorder="1"/>
    <xf numFmtId="0" fontId="174" fillId="0" borderId="0" xfId="20388" applyFont="1" applyAlignment="1">
      <alignment vertical="center"/>
    </xf>
    <xf numFmtId="0" fontId="156" fillId="0" borderId="0" xfId="20388" applyFont="1" applyAlignment="1">
      <alignment horizontal="left" vertical="center" indent="1"/>
    </xf>
    <xf numFmtId="165" fontId="193" fillId="0" borderId="435" xfId="20381" applyNumberFormat="1" applyFont="1" applyBorder="1" applyAlignment="1">
      <alignment horizontal="right"/>
    </xf>
    <xf numFmtId="165" fontId="236" fillId="0" borderId="0" xfId="20381" applyNumberFormat="1" applyFont="1" applyAlignment="1">
      <alignment horizontal="right"/>
    </xf>
    <xf numFmtId="0" fontId="156" fillId="0" borderId="435" xfId="0" applyFont="1" applyBorder="1"/>
    <xf numFmtId="0" fontId="168" fillId="72" borderId="435" xfId="0" applyFont="1" applyFill="1" applyBorder="1" applyAlignment="1">
      <alignment horizontal="center"/>
    </xf>
    <xf numFmtId="165" fontId="156" fillId="0" borderId="437" xfId="12422" applyNumberFormat="1" applyFont="1" applyBorder="1" applyAlignment="1">
      <alignment horizontal="center"/>
    </xf>
    <xf numFmtId="0" fontId="158" fillId="0" borderId="434" xfId="0" applyFont="1" applyBorder="1"/>
    <xf numFmtId="165" fontId="188" fillId="73" borderId="0" xfId="0" applyNumberFormat="1" applyFont="1" applyFill="1" applyAlignment="1"/>
    <xf numFmtId="0" fontId="168" fillId="72" borderId="435" xfId="0" applyFont="1" applyFill="1" applyBorder="1" applyAlignment="1">
      <alignment horizontal="right"/>
    </xf>
    <xf numFmtId="169" fontId="160" fillId="73" borderId="0" xfId="0" applyNumberFormat="1" applyFont="1" applyFill="1"/>
    <xf numFmtId="8" fontId="156" fillId="73" borderId="0" xfId="0" applyNumberFormat="1" applyFont="1" applyFill="1" applyAlignment="1">
      <alignment horizontal="right"/>
    </xf>
    <xf numFmtId="8" fontId="158" fillId="0" borderId="0" xfId="0" applyNumberFormat="1" applyFont="1" applyFill="1" applyAlignment="1">
      <alignment horizontal="right"/>
    </xf>
    <xf numFmtId="0" fontId="168" fillId="72" borderId="439" xfId="0" applyFont="1" applyFill="1" applyBorder="1" applyAlignment="1">
      <alignment horizontal="right" wrapText="1"/>
    </xf>
    <xf numFmtId="0" fontId="168" fillId="72" borderId="438" xfId="0" applyFont="1" applyFill="1" applyBorder="1" applyAlignment="1">
      <alignment horizontal="right" wrapText="1"/>
    </xf>
    <xf numFmtId="167" fontId="28" fillId="0" borderId="440" xfId="12427" applyNumberFormat="1" applyFont="1" applyBorder="1"/>
    <xf numFmtId="167" fontId="28" fillId="0" borderId="441" xfId="12427" applyNumberFormat="1" applyFont="1" applyBorder="1"/>
    <xf numFmtId="165" fontId="158" fillId="0" borderId="426" xfId="0" applyNumberFormat="1" applyFont="1" applyBorder="1"/>
    <xf numFmtId="169" fontId="156" fillId="0" borderId="440" xfId="0" applyNumberFormat="1" applyFont="1" applyBorder="1"/>
    <xf numFmtId="169" fontId="156" fillId="0" borderId="441" xfId="0" applyNumberFormat="1" applyFont="1" applyBorder="1"/>
    <xf numFmtId="165" fontId="236" fillId="0" borderId="0" xfId="12422" applyNumberFormat="1" applyFont="1" applyFill="1" applyBorder="1"/>
    <xf numFmtId="169" fontId="160" fillId="0" borderId="0" xfId="0" applyNumberFormat="1" applyFont="1" applyFill="1" applyBorder="1"/>
    <xf numFmtId="0" fontId="156" fillId="0" borderId="440" xfId="0" applyFont="1" applyBorder="1"/>
    <xf numFmtId="167" fontId="236" fillId="0" borderId="44" xfId="12427" applyNumberFormat="1" applyFont="1" applyBorder="1"/>
    <xf numFmtId="0" fontId="156" fillId="0" borderId="441" xfId="0" applyFont="1" applyBorder="1"/>
    <xf numFmtId="165" fontId="159" fillId="71" borderId="442" xfId="12422" applyNumberFormat="1" applyFont="1" applyFill="1" applyBorder="1"/>
    <xf numFmtId="2" fontId="236" fillId="74" borderId="0" xfId="0" applyNumberFormat="1" applyFont="1" applyFill="1" applyBorder="1"/>
    <xf numFmtId="165" fontId="236" fillId="74" borderId="0" xfId="12422" applyNumberFormat="1" applyFont="1" applyFill="1" applyBorder="1"/>
    <xf numFmtId="0" fontId="255" fillId="65" borderId="0" xfId="0" applyFont="1" applyFill="1"/>
    <xf numFmtId="369" fontId="156" fillId="0" borderId="0" xfId="0" quotePrefix="1" applyNumberFormat="1" applyFont="1" applyFill="1" applyAlignment="1">
      <alignment horizontal="right" vertical="top"/>
    </xf>
    <xf numFmtId="0" fontId="156" fillId="0" borderId="443" xfId="0" applyFont="1" applyBorder="1"/>
    <xf numFmtId="0" fontId="188" fillId="0" borderId="317" xfId="0" applyFont="1" applyBorder="1"/>
    <xf numFmtId="0" fontId="156" fillId="0" borderId="426" xfId="0" applyFont="1" applyBorder="1"/>
    <xf numFmtId="0" fontId="158" fillId="0" borderId="444" xfId="0" applyFont="1" applyBorder="1"/>
    <xf numFmtId="0" fontId="158" fillId="0" borderId="445" xfId="0" applyFont="1" applyBorder="1"/>
    <xf numFmtId="0" fontId="158" fillId="0" borderId="60" xfId="0" applyFont="1" applyBorder="1"/>
    <xf numFmtId="165" fontId="158" fillId="0" borderId="436" xfId="0" applyNumberFormat="1" applyFont="1" applyBorder="1"/>
    <xf numFmtId="0" fontId="168" fillId="72" borderId="442" xfId="0" applyFont="1" applyFill="1" applyBorder="1" applyAlignment="1">
      <alignment horizontal="right" wrapText="1"/>
    </xf>
    <xf numFmtId="0" fontId="158" fillId="0" borderId="442" xfId="0" applyFont="1" applyFill="1" applyBorder="1" applyAlignment="1"/>
    <xf numFmtId="41" fontId="156" fillId="0" borderId="442" xfId="0" applyNumberFormat="1" applyFont="1" applyBorder="1"/>
    <xf numFmtId="0" fontId="168" fillId="72" borderId="333" xfId="0" applyFont="1" applyFill="1" applyBorder="1" applyAlignment="1">
      <alignment horizontal="center" wrapText="1"/>
    </xf>
    <xf numFmtId="0" fontId="235" fillId="0" borderId="442" xfId="0" applyFont="1" applyFill="1" applyBorder="1"/>
    <xf numFmtId="0" fontId="159" fillId="0" borderId="442" xfId="0" applyFont="1" applyFill="1" applyBorder="1"/>
    <xf numFmtId="0" fontId="156" fillId="0" borderId="0" xfId="0" quotePrefix="1" applyFont="1" applyAlignment="1">
      <alignment vertical="top" wrapText="1"/>
    </xf>
    <xf numFmtId="0" fontId="156" fillId="0" borderId="0" xfId="0" applyFont="1" applyFill="1" applyAlignment="1">
      <alignment horizontal="justify"/>
    </xf>
    <xf numFmtId="357" fontId="193" fillId="0" borderId="0" xfId="0" applyNumberFormat="1" applyFont="1"/>
    <xf numFmtId="357" fontId="174" fillId="0" borderId="333" xfId="0" applyNumberFormat="1" applyFont="1" applyBorder="1"/>
    <xf numFmtId="0" fontId="156" fillId="73" borderId="0" xfId="0" applyFont="1" applyFill="1" applyBorder="1"/>
    <xf numFmtId="0" fontId="156" fillId="73" borderId="0" xfId="0" applyFont="1" applyFill="1"/>
    <xf numFmtId="0" fontId="156" fillId="0" borderId="0" xfId="0" quotePrefix="1" applyFont="1" applyFill="1" applyBorder="1" applyAlignment="1">
      <alignment horizontal="left" vertical="top"/>
    </xf>
    <xf numFmtId="0" fontId="156" fillId="0" borderId="0" xfId="0" applyFont="1" applyFill="1" applyAlignment="1">
      <alignment horizontal="left" vertical="top" wrapText="1"/>
    </xf>
    <xf numFmtId="0" fontId="156" fillId="0" borderId="0" xfId="0" applyFont="1" applyFill="1" applyAlignment="1">
      <alignment vertical="top"/>
    </xf>
    <xf numFmtId="0" fontId="28" fillId="0" borderId="0" xfId="0" quotePrefix="1" applyFont="1" applyFill="1" applyAlignment="1">
      <alignment vertical="top"/>
    </xf>
    <xf numFmtId="0" fontId="28" fillId="0" borderId="0" xfId="0" quotePrefix="1" applyFont="1" applyFill="1" applyAlignment="1">
      <alignment horizontal="right"/>
    </xf>
    <xf numFmtId="369" fontId="156" fillId="0" borderId="0" xfId="0" quotePrefix="1" applyNumberFormat="1" applyFont="1" applyAlignment="1">
      <alignment horizontal="center"/>
    </xf>
    <xf numFmtId="369" fontId="237" fillId="68" borderId="56" xfId="11155" quotePrefix="1" applyNumberFormat="1" applyFont="1" applyFill="1" applyBorder="1" applyAlignment="1">
      <alignment horizontal="center"/>
    </xf>
    <xf numFmtId="369" fontId="156" fillId="0" borderId="0" xfId="0" quotePrefix="1" applyNumberFormat="1" applyFont="1" applyAlignment="1">
      <alignment horizontal="right"/>
    </xf>
    <xf numFmtId="369" fontId="156" fillId="0" borderId="0" xfId="0" quotePrefix="1" applyNumberFormat="1" applyFont="1" applyAlignment="1">
      <alignment horizontal="right" vertical="top"/>
    </xf>
    <xf numFmtId="369" fontId="156" fillId="0" borderId="0" xfId="0" quotePrefix="1" applyNumberFormat="1" applyFont="1" applyFill="1" applyAlignment="1">
      <alignment horizontal="left"/>
    </xf>
    <xf numFmtId="369" fontId="156" fillId="0" borderId="0" xfId="20381" quotePrefix="1" applyNumberFormat="1" applyFont="1" applyAlignment="1">
      <alignment horizontal="right"/>
    </xf>
    <xf numFmtId="369" fontId="156" fillId="0" borderId="0" xfId="20381" quotePrefix="1" applyNumberFormat="1" applyFont="1" applyAlignment="1">
      <alignment horizontal="left"/>
    </xf>
    <xf numFmtId="369" fontId="156" fillId="0" borderId="0" xfId="0" quotePrefix="1" applyNumberFormat="1" applyFont="1" applyFill="1" applyAlignment="1">
      <alignment horizontal="left" vertical="top" wrapText="1"/>
    </xf>
    <xf numFmtId="369" fontId="156" fillId="0" borderId="0" xfId="0" quotePrefix="1" applyNumberFormat="1" applyFont="1" applyAlignment="1">
      <alignment horizontal="left"/>
    </xf>
    <xf numFmtId="369" fontId="156" fillId="0" borderId="34" xfId="0" quotePrefix="1" applyNumberFormat="1" applyFont="1" applyFill="1" applyBorder="1" applyAlignment="1">
      <alignment horizontal="right"/>
    </xf>
    <xf numFmtId="369" fontId="156" fillId="0" borderId="172" xfId="0" quotePrefix="1" applyNumberFormat="1" applyFont="1" applyFill="1" applyBorder="1" applyAlignment="1">
      <alignment horizontal="right"/>
    </xf>
    <xf numFmtId="369" fontId="156" fillId="0" borderId="0" xfId="0" applyNumberFormat="1" applyFont="1"/>
    <xf numFmtId="369" fontId="156" fillId="0" borderId="0" xfId="0" quotePrefix="1" applyNumberFormat="1" applyFont="1" applyFill="1" applyAlignment="1">
      <alignment horizontal="right"/>
    </xf>
    <xf numFmtId="369" fontId="156" fillId="0" borderId="0" xfId="0" applyNumberFormat="1" applyFont="1" applyAlignment="1">
      <alignment horizontal="left" vertical="top"/>
    </xf>
    <xf numFmtId="0" fontId="156" fillId="0" borderId="0" xfId="0" applyFont="1" applyAlignment="1">
      <alignment horizontal="left" vertical="top"/>
    </xf>
    <xf numFmtId="369" fontId="156" fillId="71" borderId="5" xfId="0" quotePrefix="1" applyNumberFormat="1" applyFont="1" applyFill="1" applyBorder="1" applyAlignment="1">
      <alignment horizontal="center"/>
    </xf>
    <xf numFmtId="168" fontId="159" fillId="0" borderId="335" xfId="0" applyNumberFormat="1" applyFont="1" applyFill="1" applyBorder="1" applyAlignment="1">
      <alignment horizontal="center"/>
    </xf>
    <xf numFmtId="168" fontId="159" fillId="0" borderId="358" xfId="0" applyNumberFormat="1" applyFont="1" applyFill="1" applyBorder="1" applyAlignment="1">
      <alignment horizontal="center"/>
    </xf>
    <xf numFmtId="168" fontId="159" fillId="0" borderId="350" xfId="0" applyNumberFormat="1" applyFont="1" applyFill="1" applyBorder="1" applyAlignment="1">
      <alignment horizontal="center"/>
    </xf>
    <xf numFmtId="0" fontId="168" fillId="72" borderId="443" xfId="0" applyFont="1" applyFill="1" applyBorder="1" applyAlignment="1">
      <alignment horizontal="centerContinuous"/>
    </xf>
    <xf numFmtId="0" fontId="168" fillId="72" borderId="444" xfId="0" applyFont="1" applyFill="1" applyBorder="1" applyAlignment="1">
      <alignment horizontal="centerContinuous"/>
    </xf>
    <xf numFmtId="0" fontId="168" fillId="72" borderId="445" xfId="0" applyFont="1" applyFill="1" applyBorder="1" applyAlignment="1">
      <alignment horizontal="centerContinuous"/>
    </xf>
    <xf numFmtId="0" fontId="130" fillId="0" borderId="358" xfId="0" applyFont="1" applyBorder="1" applyAlignment="1">
      <alignment wrapText="1"/>
    </xf>
    <xf numFmtId="165" fontId="158" fillId="71" borderId="445" xfId="0" applyNumberFormat="1" applyFont="1" applyFill="1" applyBorder="1"/>
    <xf numFmtId="165" fontId="158" fillId="71" borderId="426" xfId="0" applyNumberFormat="1" applyFont="1" applyFill="1" applyBorder="1"/>
    <xf numFmtId="369" fontId="237" fillId="68" borderId="56" xfId="11155" quotePrefix="1" applyNumberFormat="1" applyFont="1" applyFill="1" applyBorder="1" applyAlignment="1">
      <alignment horizontal="left"/>
    </xf>
    <xf numFmtId="357" fontId="244" fillId="0" borderId="0" xfId="0" applyNumberFormat="1" applyFont="1"/>
    <xf numFmtId="357" fontId="159" fillId="0" borderId="0" xfId="0" applyNumberFormat="1" applyFont="1"/>
    <xf numFmtId="165" fontId="188" fillId="0" borderId="0" xfId="12422" applyNumberFormat="1" applyFont="1" applyFill="1" applyAlignment="1">
      <alignment horizontal="right" wrapText="1"/>
    </xf>
    <xf numFmtId="0" fontId="156" fillId="0" borderId="0" xfId="0" quotePrefix="1" applyFont="1" applyFill="1" applyAlignment="1">
      <alignment horizontal="left" vertical="top"/>
    </xf>
    <xf numFmtId="165" fontId="28" fillId="0" borderId="0" xfId="20381" applyNumberFormat="1" applyFont="1"/>
    <xf numFmtId="165" fontId="159" fillId="71" borderId="34" xfId="0" applyNumberFormat="1" applyFont="1" applyFill="1" applyBorder="1"/>
    <xf numFmtId="164" fontId="130" fillId="0" borderId="0" xfId="0" applyNumberFormat="1" applyFont="1" applyAlignment="1">
      <alignment horizontal="center"/>
    </xf>
    <xf numFmtId="0" fontId="168" fillId="72" borderId="0" xfId="0" applyFont="1" applyFill="1" applyBorder="1" applyAlignment="1">
      <alignment horizontal="right" wrapText="1"/>
    </xf>
    <xf numFmtId="0" fontId="168" fillId="72" borderId="0" xfId="0" applyFont="1" applyFill="1" applyBorder="1" applyAlignment="1">
      <alignment horizontal="right"/>
    </xf>
    <xf numFmtId="8" fontId="28" fillId="0" borderId="0" xfId="0" applyNumberFormat="1" applyFont="1" applyAlignment="1"/>
    <xf numFmtId="167" fontId="28" fillId="0" borderId="0" xfId="12427" applyNumberFormat="1" applyFont="1" applyAlignment="1"/>
    <xf numFmtId="165" fontId="28" fillId="0" borderId="0" xfId="12422" applyNumberFormat="1" applyFont="1" applyAlignment="1"/>
    <xf numFmtId="164" fontId="130" fillId="0" borderId="0" xfId="0" applyNumberFormat="1" applyFont="1" applyBorder="1" applyAlignment="1">
      <alignment horizontal="right"/>
    </xf>
    <xf numFmtId="164" fontId="130" fillId="0" borderId="13" xfId="0" applyNumberFormat="1" applyFont="1" applyBorder="1" applyAlignment="1">
      <alignment horizontal="right"/>
    </xf>
    <xf numFmtId="167" fontId="156" fillId="0" borderId="13" xfId="12427" applyNumberFormat="1" applyFont="1" applyBorder="1"/>
    <xf numFmtId="0" fontId="130" fillId="0" borderId="0" xfId="0" applyFont="1" applyBorder="1" applyAlignment="1">
      <alignment horizontal="right" wrapText="1"/>
    </xf>
    <xf numFmtId="0" fontId="130" fillId="0" borderId="13" xfId="0" applyFont="1" applyBorder="1" applyAlignment="1">
      <alignment horizontal="right" wrapText="1"/>
    </xf>
    <xf numFmtId="167" fontId="156" fillId="0" borderId="13" xfId="12427" applyNumberFormat="1" applyFont="1" applyFill="1" applyBorder="1" applyAlignment="1">
      <alignment horizontal="right"/>
    </xf>
    <xf numFmtId="343" fontId="28" fillId="0" borderId="0" xfId="0" applyNumberFormat="1" applyFont="1" applyFill="1" applyBorder="1" applyAlignment="1">
      <alignment horizontal="right"/>
    </xf>
    <xf numFmtId="343" fontId="28" fillId="0" borderId="13" xfId="0" applyNumberFormat="1" applyFont="1" applyFill="1" applyBorder="1" applyAlignment="1">
      <alignment horizontal="right"/>
    </xf>
    <xf numFmtId="8" fontId="193" fillId="0" borderId="0" xfId="0" applyNumberFormat="1" applyFont="1" applyBorder="1" applyAlignment="1"/>
    <xf numFmtId="167" fontId="193" fillId="0" borderId="0" xfId="12427" applyNumberFormat="1" applyFont="1" applyBorder="1" applyAlignment="1"/>
    <xf numFmtId="165" fontId="193" fillId="0" borderId="13" xfId="12422" applyNumberFormat="1" applyFont="1" applyBorder="1" applyAlignment="1"/>
    <xf numFmtId="8" fontId="236" fillId="0" borderId="317" xfId="0" applyNumberFormat="1" applyFont="1" applyBorder="1"/>
    <xf numFmtId="165" fontId="236" fillId="0" borderId="426" xfId="12422" applyNumberFormat="1" applyFont="1" applyBorder="1"/>
    <xf numFmtId="0" fontId="156" fillId="0" borderId="335" xfId="0" applyFont="1" applyBorder="1" applyAlignment="1">
      <alignment vertical="top"/>
    </xf>
    <xf numFmtId="0" fontId="158" fillId="0" borderId="358" xfId="0" applyFont="1" applyBorder="1" applyAlignment="1">
      <alignment horizontal="right" vertical="top" wrapText="1"/>
    </xf>
    <xf numFmtId="0" fontId="158" fillId="0" borderId="350" xfId="0" applyFont="1" applyBorder="1" applyAlignment="1">
      <alignment horizontal="right" vertical="top" wrapText="1"/>
    </xf>
    <xf numFmtId="165" fontId="159" fillId="71" borderId="358" xfId="0" applyNumberFormat="1" applyFont="1" applyFill="1" applyBorder="1"/>
    <xf numFmtId="0" fontId="158" fillId="71" borderId="358" xfId="0" applyFont="1" applyFill="1" applyBorder="1"/>
    <xf numFmtId="168" fontId="158" fillId="71" borderId="358" xfId="0" applyNumberFormat="1" applyFont="1" applyFill="1" applyBorder="1" applyAlignment="1">
      <alignment horizontal="right"/>
    </xf>
    <xf numFmtId="168" fontId="159" fillId="71" borderId="358" xfId="0" applyNumberFormat="1" applyFont="1" applyFill="1" applyBorder="1" applyAlignment="1">
      <alignment horizontal="right"/>
    </xf>
    <xf numFmtId="167" fontId="236" fillId="0" borderId="317" xfId="12427" applyNumberFormat="1" applyFont="1" applyBorder="1"/>
    <xf numFmtId="167" fontId="156" fillId="0" borderId="446" xfId="0" applyNumberFormat="1" applyFont="1" applyBorder="1"/>
    <xf numFmtId="0" fontId="158" fillId="0" borderId="447" xfId="0" applyFont="1" applyBorder="1" applyAlignment="1">
      <alignment horizontal="right" wrapText="1"/>
    </xf>
    <xf numFmtId="0" fontId="156" fillId="0" borderId="446" xfId="0" applyFont="1" applyBorder="1"/>
    <xf numFmtId="0" fontId="158" fillId="0" borderId="446" xfId="0" applyFont="1" applyBorder="1" applyAlignment="1">
      <alignment wrapText="1"/>
    </xf>
    <xf numFmtId="167" fontId="188" fillId="0" borderId="13" xfId="12427" applyNumberFormat="1" applyFont="1" applyBorder="1"/>
    <xf numFmtId="43" fontId="156" fillId="0" borderId="0" xfId="12427" applyFont="1" applyBorder="1"/>
    <xf numFmtId="164" fontId="236" fillId="0" borderId="0" xfId="0" applyNumberFormat="1" applyFont="1" applyBorder="1" applyAlignment="1">
      <alignment horizontal="right"/>
    </xf>
    <xf numFmtId="43" fontId="156" fillId="0" borderId="13" xfId="12427" applyFont="1" applyBorder="1"/>
    <xf numFmtId="0" fontId="156" fillId="0" borderId="447" xfId="0" applyFont="1" applyBorder="1"/>
    <xf numFmtId="43" fontId="236" fillId="0" borderId="0" xfId="12427" applyFont="1" applyBorder="1"/>
    <xf numFmtId="167" fontId="158" fillId="0" borderId="333" xfId="0" applyNumberFormat="1" applyFont="1" applyBorder="1"/>
    <xf numFmtId="167" fontId="156" fillId="0" borderId="317" xfId="12427" applyNumberFormat="1" applyFont="1" applyBorder="1"/>
    <xf numFmtId="167" fontId="156" fillId="0" borderId="426" xfId="12427" applyNumberFormat="1" applyFont="1" applyBorder="1"/>
    <xf numFmtId="167" fontId="158" fillId="0" borderId="0" xfId="0" applyNumberFormat="1" applyFont="1" applyBorder="1"/>
    <xf numFmtId="0" fontId="167" fillId="0" borderId="0" xfId="0" applyFont="1" applyBorder="1"/>
    <xf numFmtId="0" fontId="0" fillId="0" borderId="0" xfId="0" applyFill="1" applyBorder="1"/>
    <xf numFmtId="0" fontId="168" fillId="72" borderId="333" xfId="0" applyFont="1" applyFill="1" applyBorder="1" applyAlignment="1">
      <alignment horizontal="right"/>
    </xf>
    <xf numFmtId="0" fontId="168" fillId="72" borderId="335" xfId="0" applyFont="1" applyFill="1" applyBorder="1" applyAlignment="1">
      <alignment horizontal="left"/>
    </xf>
    <xf numFmtId="0" fontId="168" fillId="72" borderId="447" xfId="0" applyFont="1" applyFill="1" applyBorder="1" applyAlignment="1">
      <alignment horizontal="left"/>
    </xf>
    <xf numFmtId="0" fontId="168" fillId="72" borderId="350" xfId="0" applyFont="1" applyFill="1" applyBorder="1" applyAlignment="1">
      <alignment horizontal="right" wrapText="1"/>
    </xf>
    <xf numFmtId="242" fontId="188" fillId="0" borderId="0" xfId="0" applyNumberFormat="1" applyFont="1"/>
    <xf numFmtId="0" fontId="158" fillId="71" borderId="447" xfId="0" applyFont="1" applyFill="1" applyBorder="1"/>
    <xf numFmtId="165" fontId="158" fillId="71" borderId="447" xfId="0" applyNumberFormat="1" applyFont="1" applyFill="1" applyBorder="1"/>
    <xf numFmtId="165" fontId="158" fillId="71" borderId="350" xfId="0" applyNumberFormat="1" applyFont="1" applyFill="1" applyBorder="1"/>
    <xf numFmtId="0" fontId="168" fillId="72" borderId="447" xfId="0" applyFont="1" applyFill="1" applyBorder="1" applyAlignment="1">
      <alignment horizontal="right" wrapText="1"/>
    </xf>
    <xf numFmtId="0" fontId="168" fillId="72" borderId="335" xfId="0" applyFont="1" applyFill="1" applyBorder="1" applyAlignment="1">
      <alignment horizontal="right" wrapText="1"/>
    </xf>
    <xf numFmtId="164" fontId="130" fillId="0" borderId="0" xfId="0" applyNumberFormat="1" applyFont="1" applyFill="1" applyAlignment="1">
      <alignment horizontal="right"/>
    </xf>
    <xf numFmtId="167" fontId="236" fillId="0" borderId="0" xfId="12427" applyNumberFormat="1" applyFont="1" applyAlignment="1"/>
    <xf numFmtId="0" fontId="156" fillId="0" borderId="350" xfId="0" applyFont="1" applyBorder="1"/>
    <xf numFmtId="165" fontId="156" fillId="0" borderId="0" xfId="12427" applyNumberFormat="1" applyFont="1" applyBorder="1"/>
    <xf numFmtId="242" fontId="158" fillId="0" borderId="0" xfId="0" applyNumberFormat="1" applyFont="1"/>
    <xf numFmtId="242" fontId="236" fillId="0" borderId="0" xfId="12427" applyNumberFormat="1" applyFont="1" applyAlignment="1"/>
    <xf numFmtId="242" fontId="28" fillId="0" borderId="0" xfId="12422" applyNumberFormat="1" applyFont="1" applyAlignment="1"/>
    <xf numFmtId="165" fontId="158" fillId="0" borderId="0" xfId="0" applyNumberFormat="1" applyFont="1" applyFill="1" applyBorder="1"/>
    <xf numFmtId="242" fontId="236" fillId="0" borderId="0" xfId="0" applyNumberFormat="1" applyFont="1"/>
    <xf numFmtId="0" fontId="168" fillId="72" borderId="448" xfId="0" applyFont="1" applyFill="1" applyBorder="1" applyAlignment="1">
      <alignment horizontal="left"/>
    </xf>
    <xf numFmtId="0" fontId="168" fillId="72" borderId="449" xfId="0" applyFont="1" applyFill="1" applyBorder="1" applyAlignment="1">
      <alignment horizontal="center" wrapText="1"/>
    </xf>
    <xf numFmtId="0" fontId="168" fillId="72" borderId="450" xfId="0" applyFont="1" applyFill="1" applyBorder="1" applyAlignment="1">
      <alignment horizontal="center" wrapText="1"/>
    </xf>
    <xf numFmtId="0" fontId="168" fillId="72" borderId="451" xfId="0" applyFont="1" applyFill="1" applyBorder="1" applyAlignment="1">
      <alignment horizontal="center" wrapText="1"/>
    </xf>
    <xf numFmtId="0" fontId="159" fillId="0" borderId="449" xfId="0" applyFont="1" applyFill="1" applyBorder="1"/>
    <xf numFmtId="0" fontId="159" fillId="0" borderId="450" xfId="0" applyFont="1" applyFill="1" applyBorder="1"/>
    <xf numFmtId="0" fontId="235" fillId="0" borderId="450" xfId="0" applyFont="1" applyFill="1" applyBorder="1"/>
    <xf numFmtId="0" fontId="159" fillId="0" borderId="451" xfId="0" applyFont="1" applyFill="1" applyBorder="1"/>
    <xf numFmtId="0" fontId="230" fillId="0" borderId="449" xfId="0" applyFont="1" applyBorder="1" applyAlignment="1">
      <alignment horizontal="centerContinuous"/>
    </xf>
    <xf numFmtId="0" fontId="156" fillId="0" borderId="451" xfId="0" applyFont="1" applyBorder="1" applyAlignment="1">
      <alignment horizontal="centerContinuous"/>
    </xf>
    <xf numFmtId="0" fontId="156" fillId="0" borderId="449" xfId="0" applyFont="1" applyBorder="1" applyAlignment="1">
      <alignment horizontal="centerContinuous"/>
    </xf>
    <xf numFmtId="0" fontId="156" fillId="0" borderId="449" xfId="0" applyFont="1" applyBorder="1" applyAlignment="1">
      <alignment horizontal="right"/>
    </xf>
    <xf numFmtId="0" fontId="156" fillId="0" borderId="451" xfId="0" applyFont="1" applyBorder="1"/>
    <xf numFmtId="8" fontId="156" fillId="0" borderId="451" xfId="0" applyNumberFormat="1" applyFont="1" applyBorder="1"/>
    <xf numFmtId="0" fontId="156" fillId="0" borderId="449" xfId="0" applyFont="1" applyBorder="1"/>
    <xf numFmtId="8" fontId="236" fillId="0" borderId="451" xfId="0" applyNumberFormat="1" applyFont="1" applyBorder="1"/>
    <xf numFmtId="0" fontId="196" fillId="0" borderId="452" xfId="0" applyFont="1" applyBorder="1"/>
    <xf numFmtId="0" fontId="183" fillId="0" borderId="453" xfId="0" applyFont="1" applyBorder="1"/>
    <xf numFmtId="0" fontId="183" fillId="0" borderId="448" xfId="0" applyFont="1" applyBorder="1"/>
    <xf numFmtId="164" fontId="195" fillId="0" borderId="448" xfId="0" applyNumberFormat="1" applyFont="1" applyBorder="1"/>
    <xf numFmtId="167" fontId="195" fillId="0" borderId="448" xfId="12426" applyNumberFormat="1" applyFont="1" applyBorder="1"/>
    <xf numFmtId="0" fontId="156" fillId="0" borderId="448" xfId="0" applyFont="1" applyBorder="1"/>
    <xf numFmtId="165" fontId="245" fillId="0" borderId="448" xfId="12049" applyNumberFormat="1" applyFont="1" applyBorder="1" applyAlignment="1">
      <alignment horizontal="right"/>
    </xf>
    <xf numFmtId="0" fontId="158" fillId="0" borderId="454" xfId="0" applyFont="1" applyFill="1" applyBorder="1"/>
    <xf numFmtId="0" fontId="156" fillId="0" borderId="454" xfId="0" applyFont="1" applyBorder="1"/>
    <xf numFmtId="169" fontId="158" fillId="0" borderId="454" xfId="0" applyNumberFormat="1" applyFont="1" applyBorder="1"/>
    <xf numFmtId="0" fontId="156" fillId="0" borderId="450" xfId="0" applyFont="1" applyBorder="1" applyAlignment="1">
      <alignment horizontal="centerContinuous"/>
    </xf>
    <xf numFmtId="165" fontId="156" fillId="0" borderId="455" xfId="12422" applyNumberFormat="1" applyFont="1" applyBorder="1"/>
    <xf numFmtId="169" fontId="158" fillId="0" borderId="455" xfId="0" applyNumberFormat="1" applyFont="1" applyBorder="1"/>
    <xf numFmtId="304" fontId="236" fillId="0" borderId="456" xfId="0" applyNumberFormat="1" applyFont="1" applyBorder="1"/>
    <xf numFmtId="43" fontId="235" fillId="0" borderId="448" xfId="12427" applyFont="1" applyBorder="1"/>
    <xf numFmtId="0" fontId="158" fillId="0" borderId="456" xfId="0" applyFont="1" applyBorder="1"/>
    <xf numFmtId="8" fontId="158" fillId="0" borderId="239" xfId="0" applyNumberFormat="1" applyFont="1" applyBorder="1"/>
    <xf numFmtId="357" fontId="174" fillId="0" borderId="448" xfId="0" applyNumberFormat="1" applyFont="1" applyBorder="1"/>
    <xf numFmtId="357" fontId="174" fillId="0" borderId="455" xfId="0" applyNumberFormat="1" applyFont="1" applyBorder="1"/>
    <xf numFmtId="0" fontId="159" fillId="0" borderId="452" xfId="0" applyFont="1" applyFill="1" applyBorder="1"/>
    <xf numFmtId="0" fontId="159" fillId="0" borderId="455" xfId="0" applyFont="1" applyFill="1" applyBorder="1"/>
    <xf numFmtId="0" fontId="159" fillId="0" borderId="455" xfId="0" applyFont="1" applyFill="1" applyBorder="1" applyAlignment="1">
      <alignment horizontal="right"/>
    </xf>
    <xf numFmtId="0" fontId="158" fillId="0" borderId="455" xfId="0" applyFont="1" applyBorder="1" applyAlignment="1">
      <alignment horizontal="right"/>
    </xf>
    <xf numFmtId="0" fontId="158" fillId="0" borderId="453" xfId="0" applyFont="1" applyBorder="1" applyAlignment="1">
      <alignment horizontal="right"/>
    </xf>
    <xf numFmtId="357" fontId="174" fillId="0" borderId="44" xfId="0" applyNumberFormat="1" applyFont="1" applyBorder="1"/>
    <xf numFmtId="169" fontId="174" fillId="0" borderId="448" xfId="0" applyNumberFormat="1" applyFont="1" applyBorder="1" applyAlignment="1">
      <alignment horizontal="left" indent="1"/>
    </xf>
    <xf numFmtId="0" fontId="158" fillId="0" borderId="449" xfId="0" applyFont="1" applyBorder="1"/>
    <xf numFmtId="0" fontId="156" fillId="0" borderId="450" xfId="0" applyFont="1" applyBorder="1"/>
    <xf numFmtId="0" fontId="308" fillId="0" borderId="0" xfId="0" applyFont="1"/>
    <xf numFmtId="0" fontId="236" fillId="0" borderId="0" xfId="0" applyFont="1"/>
    <xf numFmtId="0" fontId="156" fillId="0" borderId="0" xfId="0" applyFont="1" applyAlignment="1">
      <alignment horizontal="left" vertical="top" wrapText="1"/>
    </xf>
    <xf numFmtId="0" fontId="156" fillId="0" borderId="0" xfId="0" applyFont="1" applyAlignment="1">
      <alignment horizontal="justify" vertical="justify" wrapText="1"/>
    </xf>
    <xf numFmtId="0" fontId="156" fillId="0" borderId="0" xfId="0" quotePrefix="1" applyFont="1" applyFill="1" applyBorder="1" applyAlignment="1">
      <alignment vertical="top" wrapText="1"/>
    </xf>
    <xf numFmtId="0" fontId="156" fillId="0" borderId="0" xfId="0" quotePrefix="1" applyFont="1" applyFill="1" applyBorder="1" applyAlignment="1">
      <alignment horizontal="justify" vertical="top" wrapText="1"/>
    </xf>
    <xf numFmtId="0" fontId="156" fillId="0" borderId="0" xfId="0" applyFont="1" applyFill="1" applyBorder="1" applyAlignment="1">
      <alignment horizontal="center"/>
    </xf>
    <xf numFmtId="0" fontId="156" fillId="0" borderId="0" xfId="20381" applyFont="1" applyAlignment="1">
      <alignment horizontal="justify" vertical="top"/>
    </xf>
    <xf numFmtId="0" fontId="156" fillId="0" borderId="0" xfId="0" applyFont="1" applyFill="1" applyAlignment="1">
      <alignment horizontal="justify" vertical="justify" wrapText="1"/>
    </xf>
    <xf numFmtId="0" fontId="28" fillId="0" borderId="0" xfId="0" quotePrefix="1" applyFont="1" applyFill="1" applyAlignment="1">
      <alignment horizontal="justify" vertical="top" wrapText="1"/>
    </xf>
    <xf numFmtId="0" fontId="156" fillId="0" borderId="0" xfId="0" applyFont="1" applyFill="1" applyAlignment="1">
      <alignment horizontal="justify" vertical="top" wrapText="1"/>
    </xf>
    <xf numFmtId="0" fontId="156" fillId="0" borderId="0" xfId="0" applyFont="1" applyBorder="1" applyAlignment="1">
      <alignment horizontal="center" wrapText="1"/>
    </xf>
    <xf numFmtId="0" fontId="28" fillId="0" borderId="0" xfId="0" quotePrefix="1" applyFont="1" applyFill="1" applyAlignment="1">
      <alignment horizontal="justify" vertical="justify" wrapText="1"/>
    </xf>
    <xf numFmtId="0" fontId="156" fillId="0" borderId="0" xfId="0" applyFont="1" applyFill="1" applyAlignment="1">
      <alignment horizontal="justify"/>
    </xf>
    <xf numFmtId="0" fontId="158" fillId="89" borderId="0" xfId="20417" applyFont="1" applyFill="1" applyBorder="1" applyAlignment="1">
      <alignment horizontal="center" wrapText="1"/>
    </xf>
    <xf numFmtId="0" fontId="158" fillId="90" borderId="0" xfId="20417" applyFont="1" applyFill="1" applyBorder="1" applyAlignment="1">
      <alignment horizontal="center" wrapText="1"/>
    </xf>
    <xf numFmtId="0" fontId="158" fillId="89" borderId="184" xfId="20417" applyFont="1" applyFill="1" applyBorder="1" applyAlignment="1">
      <alignment horizontal="center" wrapText="1"/>
    </xf>
    <xf numFmtId="0" fontId="158" fillId="89" borderId="44" xfId="20417" applyFont="1" applyFill="1" applyBorder="1" applyAlignment="1">
      <alignment horizontal="center" wrapText="1"/>
    </xf>
    <xf numFmtId="0" fontId="158" fillId="89" borderId="184" xfId="20417" applyFont="1" applyFill="1" applyBorder="1" applyAlignment="1">
      <alignment horizontal="right" wrapText="1"/>
    </xf>
    <xf numFmtId="0" fontId="158" fillId="89" borderId="44" xfId="20417" applyFont="1" applyFill="1" applyBorder="1" applyAlignment="1">
      <alignment horizontal="right" wrapText="1"/>
    </xf>
    <xf numFmtId="0" fontId="158" fillId="89" borderId="183" xfId="20417" applyFont="1" applyFill="1" applyBorder="1" applyAlignment="1">
      <alignment horizontal="right" wrapText="1"/>
    </xf>
    <xf numFmtId="0" fontId="158" fillId="89" borderId="93" xfId="20417" applyFont="1" applyFill="1" applyBorder="1" applyAlignment="1">
      <alignment horizontal="right" wrapText="1"/>
    </xf>
    <xf numFmtId="0" fontId="156" fillId="89" borderId="0" xfId="20398" quotePrefix="1" applyFont="1" applyFill="1" applyBorder="1" applyAlignment="1">
      <alignment horizontal="left" vertical="top" wrapText="1"/>
    </xf>
    <xf numFmtId="0" fontId="156" fillId="0" borderId="0" xfId="0" quotePrefix="1" applyFont="1" applyAlignment="1">
      <alignment vertical="top" wrapText="1"/>
    </xf>
    <xf numFmtId="164" fontId="236" fillId="0" borderId="0" xfId="0" applyNumberFormat="1" applyFont="1" applyAlignment="1">
      <alignment horizontal="right" vertical="center"/>
    </xf>
    <xf numFmtId="167" fontId="236" fillId="0" borderId="0" xfId="12427" applyNumberFormat="1" applyFont="1" applyAlignment="1">
      <alignment horizontal="right" vertical="center"/>
    </xf>
    <xf numFmtId="165" fontId="236" fillId="0" borderId="0" xfId="12422" applyNumberFormat="1" applyFont="1" applyAlignment="1">
      <alignment horizontal="right" vertical="center"/>
    </xf>
    <xf numFmtId="0" fontId="156" fillId="0" borderId="0" xfId="0" quotePrefix="1" applyFont="1" applyAlignment="1">
      <alignment horizontal="justify" vertical="top" wrapText="1"/>
    </xf>
    <xf numFmtId="17" fontId="258" fillId="0" borderId="0" xfId="20402" applyNumberFormat="1" applyFont="1" applyBorder="1" applyAlignment="1">
      <alignment horizontal="center"/>
    </xf>
    <xf numFmtId="0" fontId="259" fillId="0" borderId="0" xfId="11898" applyFont="1" applyAlignment="1">
      <alignment horizontal="center"/>
    </xf>
    <xf numFmtId="0" fontId="261" fillId="0" borderId="144" xfId="11898" applyFont="1" applyBorder="1" applyAlignment="1">
      <alignment horizontal="center"/>
    </xf>
    <xf numFmtId="0" fontId="261" fillId="0" borderId="98" xfId="11898" applyFont="1" applyBorder="1" applyAlignment="1">
      <alignment horizontal="center"/>
    </xf>
    <xf numFmtId="0" fontId="261" fillId="0" borderId="145" xfId="11898" applyFont="1" applyBorder="1" applyAlignment="1">
      <alignment horizontal="center"/>
    </xf>
    <xf numFmtId="0" fontId="266" fillId="0" borderId="0" xfId="11898" applyFont="1" applyAlignment="1">
      <alignment horizontal="left" vertical="top" wrapText="1"/>
    </xf>
    <xf numFmtId="0" fontId="267" fillId="0" borderId="0" xfId="11898" applyFont="1" applyAlignment="1">
      <alignment horizontal="center"/>
    </xf>
    <xf numFmtId="0" fontId="154" fillId="0" borderId="0" xfId="20412" applyFont="1" applyAlignment="1">
      <alignment horizontal="center"/>
    </xf>
    <xf numFmtId="0" fontId="7" fillId="0" borderId="0" xfId="20412" applyAlignment="1">
      <alignment horizontal="center"/>
    </xf>
    <xf numFmtId="0" fontId="168" fillId="72" borderId="134" xfId="0" applyFont="1" applyFill="1" applyBorder="1" applyAlignment="1">
      <alignment horizontal="center" vertical="top"/>
    </xf>
    <xf numFmtId="0" fontId="168" fillId="72" borderId="128" xfId="0" applyFont="1" applyFill="1" applyBorder="1" applyAlignment="1">
      <alignment horizontal="center" vertical="top"/>
    </xf>
    <xf numFmtId="0" fontId="168" fillId="72" borderId="76" xfId="0" applyFont="1" applyFill="1" applyBorder="1" applyAlignment="1">
      <alignment horizontal="center" wrapText="1"/>
    </xf>
    <xf numFmtId="0" fontId="168" fillId="72" borderId="77" xfId="0" applyFont="1" applyFill="1" applyBorder="1" applyAlignment="1">
      <alignment horizontal="center" wrapText="1"/>
    </xf>
    <xf numFmtId="0" fontId="168" fillId="72" borderId="63" xfId="0" applyFont="1" applyFill="1" applyBorder="1" applyAlignment="1">
      <alignment horizontal="center" wrapText="1"/>
    </xf>
  </cellXfs>
  <cellStyles count="39418">
    <cellStyle name="-" xfId="4"/>
    <cellStyle name="------------------" xfId="5"/>
    <cellStyle name=" 1" xfId="6"/>
    <cellStyle name=" 1 2" xfId="7"/>
    <cellStyle name=" 1 3" xfId="8"/>
    <cellStyle name=" 1_Volatility" xfId="9"/>
    <cellStyle name=" 10" xfId="10"/>
    <cellStyle name=" 11" xfId="11"/>
    <cellStyle name=" 12" xfId="12"/>
    <cellStyle name=" 13" xfId="13"/>
    <cellStyle name=" 14" xfId="14"/>
    <cellStyle name=" 15" xfId="15"/>
    <cellStyle name=" 16" xfId="16"/>
    <cellStyle name=" 17" xfId="17"/>
    <cellStyle name=" 18" xfId="18"/>
    <cellStyle name=" 19" xfId="19"/>
    <cellStyle name=" 2" xfId="20"/>
    <cellStyle name=" 20" xfId="21"/>
    <cellStyle name=" 21" xfId="22"/>
    <cellStyle name=" 22" xfId="23"/>
    <cellStyle name=" 23" xfId="24"/>
    <cellStyle name=" 24" xfId="25"/>
    <cellStyle name=" 25" xfId="26"/>
    <cellStyle name=" 26" xfId="27"/>
    <cellStyle name=" 27" xfId="28"/>
    <cellStyle name=" 28" xfId="29"/>
    <cellStyle name=" 29" xfId="30"/>
    <cellStyle name=" 3" xfId="31"/>
    <cellStyle name=" 30" xfId="32"/>
    <cellStyle name=" 31" xfId="33"/>
    <cellStyle name=" 32" xfId="34"/>
    <cellStyle name=" 33" xfId="35"/>
    <cellStyle name=" 34" xfId="36"/>
    <cellStyle name=" 35" xfId="37"/>
    <cellStyle name=" 36" xfId="38"/>
    <cellStyle name=" 37" xfId="39"/>
    <cellStyle name=" 38" xfId="40"/>
    <cellStyle name=" 39" xfId="41"/>
    <cellStyle name=" 4" xfId="42"/>
    <cellStyle name=" 40" xfId="43"/>
    <cellStyle name=" 41" xfId="44"/>
    <cellStyle name=" 42" xfId="45"/>
    <cellStyle name=" 43" xfId="46"/>
    <cellStyle name=" 44" xfId="47"/>
    <cellStyle name=" 45" xfId="48"/>
    <cellStyle name=" 46" xfId="49"/>
    <cellStyle name=" 47" xfId="50"/>
    <cellStyle name=" 48" xfId="51"/>
    <cellStyle name=" 49" xfId="52"/>
    <cellStyle name=" 5" xfId="53"/>
    <cellStyle name=" 50" xfId="54"/>
    <cellStyle name=" 51" xfId="55"/>
    <cellStyle name=" 52" xfId="56"/>
    <cellStyle name=" 53" xfId="57"/>
    <cellStyle name=" 54" xfId="58"/>
    <cellStyle name=" 55" xfId="59"/>
    <cellStyle name=" 56" xfId="60"/>
    <cellStyle name=" 57" xfId="61"/>
    <cellStyle name=" 58" xfId="62"/>
    <cellStyle name=" 59" xfId="63"/>
    <cellStyle name=" 6" xfId="64"/>
    <cellStyle name=" 60" xfId="65"/>
    <cellStyle name=" 61" xfId="66"/>
    <cellStyle name=" 62" xfId="67"/>
    <cellStyle name=" 63" xfId="68"/>
    <cellStyle name=" 64" xfId="69"/>
    <cellStyle name=" 65" xfId="70"/>
    <cellStyle name=" 66" xfId="71"/>
    <cellStyle name=" 67" xfId="72"/>
    <cellStyle name=" 68" xfId="73"/>
    <cellStyle name=" 69" xfId="74"/>
    <cellStyle name=" 7" xfId="75"/>
    <cellStyle name=" 70" xfId="76"/>
    <cellStyle name=" 8" xfId="77"/>
    <cellStyle name=" 9" xfId="78"/>
    <cellStyle name="_x000a_386grabber=M" xfId="79"/>
    <cellStyle name="_x000a_386grabber=M 2" xfId="80"/>
    <cellStyle name="_x0007__x000b_" xfId="81"/>
    <cellStyle name=" ✀ⰀఀĀ" xfId="82"/>
    <cellStyle name="&quot;X&quot; MEN" xfId="83"/>
    <cellStyle name="&quot;X&quot; MEN 2" xfId="84"/>
    <cellStyle name="&quot;X&quot; MEN 2 2" xfId="85"/>
    <cellStyle name="&quot;X&quot; MEN 3" xfId="86"/>
    <cellStyle name="&quot;X&quot; MEN 4" xfId="87"/>
    <cellStyle name="&quot;X&quot; MEN 5" xfId="88"/>
    <cellStyle name="#" xfId="89"/>
    <cellStyle name="#-" xfId="90"/>
    <cellStyle name="#,##0" xfId="91"/>
    <cellStyle name="#,##0 3 spaces" xfId="16220"/>
    <cellStyle name="#_Latam Comps_12.20.07" xfId="92"/>
    <cellStyle name="#_Latam Comps_12.20.07_Medley_Financial_Model_v5" xfId="93"/>
    <cellStyle name="#_Latam Comps_2.5.08_HC" xfId="94"/>
    <cellStyle name="#_Latam Comps_2.5.08_HC_Medley_Financial_Model_v5" xfId="95"/>
    <cellStyle name="#_Modelo Puerto 2007 Management Case DB 14-11 (DB) v20" xfId="96"/>
    <cellStyle name="$" xfId="97"/>
    <cellStyle name="$-" xfId="98"/>
    <cellStyle name="$ &amp; ¢" xfId="99"/>
    <cellStyle name="$ 0 decimal" xfId="16221"/>
    <cellStyle name="$ 2" xfId="100"/>
    <cellStyle name="$ 2 decimals" xfId="16222"/>
    <cellStyle name="$_12.20.04 Analysis v14" xfId="16223"/>
    <cellStyle name="$_56 Centra FO 10.4.05" xfId="16224"/>
    <cellStyle name="$_ANF Assignment 1.5" xfId="16225"/>
    <cellStyle name="$_Cheddars_IPO Model_Final_v7" xfId="16226"/>
    <cellStyle name="$_EPL LBO 5.16.05 - Mgmt IPO v6" xfId="16227"/>
    <cellStyle name="$_IPO Model_v01.0" xfId="16228"/>
    <cellStyle name="$_Model v14 (IPO)" xfId="16229"/>
    <cellStyle name="$_Model v14 (IPO) brooke" xfId="16230"/>
    <cellStyle name="$_Store Buildup v6" xfId="16231"/>
    <cellStyle name="$_YRK_LBO" xfId="16232"/>
    <cellStyle name="$0.0;($0.0)" xfId="101"/>
    <cellStyle name="$0.0;($0.0) 2" xfId="102"/>
    <cellStyle name="$000s1Place" xfId="103"/>
    <cellStyle name="$m" xfId="16233"/>
    <cellStyle name="$MMs1Place" xfId="104"/>
    <cellStyle name="$MMs2Places" xfId="105"/>
    <cellStyle name="$q" xfId="16234"/>
    <cellStyle name="$q*" xfId="16235"/>
    <cellStyle name="$q_AVP" xfId="16236"/>
    <cellStyle name="$qA" xfId="16237"/>
    <cellStyle name="$qRange" xfId="16238"/>
    <cellStyle name="$sign" xfId="16239"/>
    <cellStyle name="%" xfId="106"/>
    <cellStyle name="%-" xfId="107"/>
    <cellStyle name="% [2]" xfId="108"/>
    <cellStyle name="% Input" xfId="109"/>
    <cellStyle name="% Input 2" xfId="110"/>
    <cellStyle name="% Presentation" xfId="111"/>
    <cellStyle name="% Presentation 2" xfId="112"/>
    <cellStyle name="% Presentation 2 2" xfId="113"/>
    <cellStyle name="% Presentation 3" xfId="114"/>
    <cellStyle name="% Presentation 4" xfId="115"/>
    <cellStyle name="% Presentation 5" xfId="116"/>
    <cellStyle name="%.00" xfId="117"/>
    <cellStyle name="%_Detailed Cap Table 6 9 08" xfId="16240"/>
    <cellStyle name="%_V.C.3 2006 Forecast 4-19-06" xfId="16241"/>
    <cellStyle name="%20 - Vurgu1" xfId="16242"/>
    <cellStyle name="%20 - Vurgu2" xfId="16243"/>
    <cellStyle name="%20 - Vurgu3" xfId="16244"/>
    <cellStyle name="%20 - Vurgu4" xfId="16245"/>
    <cellStyle name="%20 - Vurgu5" xfId="16246"/>
    <cellStyle name="%20 - Vurgu6" xfId="16247"/>
    <cellStyle name="%40 - Vurgu1" xfId="16248"/>
    <cellStyle name="%40 - Vurgu2" xfId="16249"/>
    <cellStyle name="%40 - Vurgu3" xfId="16250"/>
    <cellStyle name="%40 - Vurgu4" xfId="16251"/>
    <cellStyle name="%40 - Vurgu5" xfId="16252"/>
    <cellStyle name="%40 - Vurgu6" xfId="16253"/>
    <cellStyle name="%60 - Vurgu1" xfId="16254"/>
    <cellStyle name="%60 - Vurgu2" xfId="16255"/>
    <cellStyle name="%60 - Vurgu3" xfId="16256"/>
    <cellStyle name="%60 - Vurgu4" xfId="16257"/>
    <cellStyle name="%60 - Vurgu5" xfId="16258"/>
    <cellStyle name="%60 - Vurgu6" xfId="16259"/>
    <cellStyle name="&amp;U" xfId="16260"/>
    <cellStyle name=")_מעגלים 12.95" xfId="118"/>
    <cellStyle name=")_מעגלים 12.95 2" xfId="119"/>
    <cellStyle name="******************************************" xfId="120"/>
    <cellStyle name="****************************************** 2" xfId="121"/>
    <cellStyle name="," xfId="16261"/>
    <cellStyle name=";;;" xfId="122"/>
    <cellStyle name=";;; 2" xfId="123"/>
    <cellStyle name=";;; 2 2" xfId="124"/>
    <cellStyle name=";;; 3" xfId="125"/>
    <cellStyle name=";;; 4" xfId="126"/>
    <cellStyle name=";;; 5" xfId="127"/>
    <cellStyle name="?? [0]_??" xfId="16262"/>
    <cellStyle name="???[0]_RESULTS" xfId="128"/>
    <cellStyle name="???_RESULTS" xfId="129"/>
    <cellStyle name="??_?.????" xfId="16263"/>
    <cellStyle name="\" xfId="16264"/>
    <cellStyle name="_$accounting" xfId="130"/>
    <cellStyle name="_$accounting 2" xfId="131"/>
    <cellStyle name="_%(SignOnly)" xfId="132"/>
    <cellStyle name="_%(SignOnly)_Model and Valuation - Aros 6 30 08" xfId="16265"/>
    <cellStyle name="_%(SignSpaceOnly)" xfId="133"/>
    <cellStyle name="_%(SignSpaceOnly)_Model and Valuation - Aros 6 30 08" xfId="16266"/>
    <cellStyle name="___æ_Ø_è [0.00]_Affiliate Fcst Inputs" xfId="134"/>
    <cellStyle name="___æ_Ø_è [0.00]_Affiliate Fcst Inputs 2" xfId="135"/>
    <cellStyle name="___æ_Ø_è [0.00]_Affiliate Fcst Inputs 2 2" xfId="136"/>
    <cellStyle name="___æ_Ø_è [0.00]_Affiliate Fcst Inputs 3" xfId="137"/>
    <cellStyle name="___æ_Ø_è [0.00]_Affiliate Fcst Inputs 4" xfId="138"/>
    <cellStyle name="___æ_Ø_è [0.00]_Affiliate Fcst Inputs 5" xfId="139"/>
    <cellStyle name="_~0910772" xfId="16267"/>
    <cellStyle name="_~1072145" xfId="16268"/>
    <cellStyle name="_~7037329" xfId="16269"/>
    <cellStyle name="_03 Seahawk Status Report - 1.08.07" xfId="16270"/>
    <cellStyle name="_2007 M06 On Hold On Watch Svcs Maint Jun  06-14-07" xfId="16271"/>
    <cellStyle name="_56 Centra FO 10.4.05" xfId="16272"/>
    <cellStyle name="_accounting" xfId="140"/>
    <cellStyle name="_accounting 2" xfId="141"/>
    <cellStyle name="_APT 141 101603 ver 51" xfId="142"/>
    <cellStyle name="_Backup for FY2005" xfId="16273"/>
    <cellStyle name="_Balance Sheet to E&amp;Y - HH &amp; SP" xfId="143"/>
    <cellStyle name="_Balance Sheet to E&amp;Y - HH &amp; SP_Panasas Cap Table by Investor June and Dec 2008 - updated analysis" xfId="144"/>
    <cellStyle name="_Base Valuation3.xls Chart 69_4" xfId="16274"/>
    <cellStyle name="_Base Valuation7-13" xfId="16275"/>
    <cellStyle name="_Book1" xfId="16276"/>
    <cellStyle name="-_Cash Flow" xfId="145"/>
    <cellStyle name="-_Cash Flow_EBITDA template v2" xfId="146"/>
    <cellStyle name="_Cheddars_IPO valuation v1" xfId="16277"/>
    <cellStyle name="_Column1" xfId="16278"/>
    <cellStyle name="_Column2" xfId="16279"/>
    <cellStyle name="_Column3" xfId="16280"/>
    <cellStyle name="_Column4" xfId="16281"/>
    <cellStyle name="_Column5" xfId="16282"/>
    <cellStyle name="_Column6" xfId="16283"/>
    <cellStyle name="_Comma" xfId="147"/>
    <cellStyle name="_Comma__DCF Template" xfId="148"/>
    <cellStyle name="_Comma_04 Alaska Model 2002-05-31 GS" xfId="149"/>
    <cellStyle name="_Comma_Control" xfId="150"/>
    <cellStyle name="_Comma_Dividend Template" xfId="151"/>
    <cellStyle name="_Comma_Eric CapIQ unlinked v1" xfId="152"/>
    <cellStyle name="_Comma_H-G Holdings race car v5 (change dep)" xfId="153"/>
    <cellStyle name="_Comma_lbo_long_model" xfId="154"/>
    <cellStyle name="_Comma_lbo_long_model 2" xfId="155"/>
    <cellStyle name="_Comma_Medicis WACC" xfId="156"/>
    <cellStyle name="_Comma_Meggitt AirDynamics WACC" xfId="157"/>
    <cellStyle name="_Comma_Pro-Forma Financials" xfId="158"/>
    <cellStyle name="_Comma_Pro-Forma Spin-off" xfId="159"/>
    <cellStyle name="_Comma_Revised Basic Modelv2.4" xfId="160"/>
    <cellStyle name="_Comma_Rider Henning" xfId="161"/>
    <cellStyle name="_Comma_Updated Model - CapitalIQ6 -04.20.06" xfId="162"/>
    <cellStyle name="_Comma_WACCv2" xfId="163"/>
    <cellStyle name="_Copy of Culinary Concepts 9_30_08" xfId="16284"/>
    <cellStyle name="_Currency" xfId="164"/>
    <cellStyle name="_Currency__DCF Template" xfId="165"/>
    <cellStyle name="_Currency_04 Alaska Model 2002-05-31 GS" xfId="166"/>
    <cellStyle name="_Currency_12.20.04 Analysis v14" xfId="16285"/>
    <cellStyle name="_Currency_BASF" xfId="167"/>
    <cellStyle name="_Currency_Book1" xfId="168"/>
    <cellStyle name="_Currency_Book3" xfId="169"/>
    <cellStyle name="_Currency_com_sel_bro_Eagle" xfId="170"/>
    <cellStyle name="_Currency_Control" xfId="171"/>
    <cellStyle name="_Currency_Dividend Template" xfId="172"/>
    <cellStyle name="_Currency_Eagle Financial Model" xfId="173"/>
    <cellStyle name="_Currency_Eagle-NewCastle Model 20Mar2001" xfId="174"/>
    <cellStyle name="_Currency_Eric CapIQ unlinked v1" xfId="175"/>
    <cellStyle name="_Currency_H-G Holdings race car v5 (change dep)" xfId="176"/>
    <cellStyle name="_Currency_Hokuriku Financials" xfId="177"/>
    <cellStyle name="_Currency_Indicative Valuation Summary" xfId="178"/>
    <cellStyle name="_Currency_Indicative Valuation Summary DCF Valuation" xfId="179"/>
    <cellStyle name="_Currency_INTU Comps v2" xfId="16286"/>
    <cellStyle name="_Currency_lbo_long_model" xfId="180"/>
    <cellStyle name="_Currency_lbo_long_model 2" xfId="181"/>
    <cellStyle name="_Currency_Medicis WACC" xfId="182"/>
    <cellStyle name="_Currency_Meggitt AirDynamics WACC" xfId="183"/>
    <cellStyle name="_Currency_Model 2000-09-04" xfId="184"/>
    <cellStyle name="_Currency_NK104 US Output" xfId="185"/>
    <cellStyle name="_Currency_Preliminary Valuation Summary of Seahawk" xfId="186"/>
    <cellStyle name="_Currency_Preliminary Valuation Summary of Seahawk b" xfId="187"/>
    <cellStyle name="_Currency_Pro-Forma Financials" xfId="188"/>
    <cellStyle name="_Currency_Pro-Forma Spin-off" xfId="189"/>
    <cellStyle name="_Currency_Proposed Cost Structure" xfId="190"/>
    <cellStyle name="_Currency_Revised Basic Modelv2.4" xfId="191"/>
    <cellStyle name="_Currency_Rider Henning" xfId="192"/>
    <cellStyle name="_Currency_Scaled Synergies Analysis - Mathematical Illustration - Gem as Target" xfId="193"/>
    <cellStyle name="_Currency_Scaled Synergies Analysis - Mathematical Illustration - Gem as Target_Value_Sharing" xfId="194"/>
    <cellStyle name="_Currency_Updated Model - CapitalIQ6 -04.20.06" xfId="195"/>
    <cellStyle name="_Currency_Valuation Overview" xfId="196"/>
    <cellStyle name="_Currency_valuation summary for ASP" xfId="197"/>
    <cellStyle name="_Currency_WACCv2" xfId="198"/>
    <cellStyle name="_CurrencySpace" xfId="199"/>
    <cellStyle name="_CurrencySpace__DCF Template" xfId="200"/>
    <cellStyle name="_CurrencySpace_04 Alaska Model 2002-05-31 GS" xfId="201"/>
    <cellStyle name="_CurrencySpace_Control" xfId="202"/>
    <cellStyle name="_CurrencySpace_Dividend Template" xfId="203"/>
    <cellStyle name="_CurrencySpace_Eric CapIQ unlinked v1" xfId="204"/>
    <cellStyle name="_CurrencySpace_H-G Holdings race car v5 (change dep)" xfId="205"/>
    <cellStyle name="_CurrencySpace_IPO Model_v01.0" xfId="16287"/>
    <cellStyle name="_CurrencySpace_lbo_long_model" xfId="206"/>
    <cellStyle name="_CurrencySpace_lbo_long_model 2" xfId="207"/>
    <cellStyle name="_CurrencySpace_MA Kinko's Model v5.5" xfId="16288"/>
    <cellStyle name="_CurrencySpace_Medicis WACC" xfId="208"/>
    <cellStyle name="_CurrencySpace_Meggitt AirDynamics WACC" xfId="209"/>
    <cellStyle name="_CurrencySpace_Pro-Forma Financials" xfId="210"/>
    <cellStyle name="_CurrencySpace_Pro-Forma Spin-off" xfId="211"/>
    <cellStyle name="_CurrencySpace_Revised Basic Modelv2.4" xfId="212"/>
    <cellStyle name="_CurrencySpace_Rider Henning" xfId="213"/>
    <cellStyle name="_CurrencySpace_RUBY DCF Model v42" xfId="16289"/>
    <cellStyle name="_CurrencySpace_RUBY merger v64" xfId="16290"/>
    <cellStyle name="_CurrencySpace_Updated Model - CapitalIQ6 -04.20.06" xfId="214"/>
    <cellStyle name="_CurrencySpace_valuation" xfId="16291"/>
    <cellStyle name="_CurrencySpace_WACCv2" xfId="215"/>
    <cellStyle name="_Data" xfId="16292"/>
    <cellStyle name="_date" xfId="216"/>
    <cellStyle name="_date 2" xfId="217"/>
    <cellStyle name="_DCF (G2)" xfId="218"/>
    <cellStyle name="_DCF (G2) 2" xfId="219"/>
    <cellStyle name="_DCF (G2) 3" xfId="220"/>
    <cellStyle name="_DTAs 2007 Post-Acq 3-19-08" xfId="221"/>
    <cellStyle name="_Epsilon IPO Model NEW v3" xfId="16293"/>
    <cellStyle name="_Epsilon Model 3.21.05 v.4" xfId="16294"/>
    <cellStyle name="_Epsilon Model 3.21.05 v.4_1" xfId="16295"/>
    <cellStyle name="_Epsilon Model 3.21.05 v.4_2" xfId="16296"/>
    <cellStyle name="_Epsilon Model 3.21.05 v.4_3" xfId="16297"/>
    <cellStyle name="_Epsilon Model 3.30.05 v7" xfId="16298"/>
    <cellStyle name="_Epsilon Model 3.30.05 v7_1" xfId="16299"/>
    <cellStyle name="_Epsilon Model 3.30.05 v7_2" xfId="16300"/>
    <cellStyle name="_Epsilon Model 3.30.05 v7_3" xfId="16301"/>
    <cellStyle name="_Epsilon Model 3.30.05 v7_4" xfId="16302"/>
    <cellStyle name="_Euro" xfId="222"/>
    <cellStyle name="_Euro 2" xfId="223"/>
    <cellStyle name="_Euro 2 2" xfId="224"/>
    <cellStyle name="_Euro 3" xfId="225"/>
    <cellStyle name="_Euro 4" xfId="226"/>
    <cellStyle name="_Euro 5" xfId="227"/>
    <cellStyle name="_Euro_Cable_Industry Overview5" xfId="228"/>
    <cellStyle name="_Euro_Cable_Industry Overview5 2" xfId="229"/>
    <cellStyle name="_Euro_Cable_Industry Overview5 2 2" xfId="230"/>
    <cellStyle name="_Euro_Cable_Industry Overview5 3" xfId="231"/>
    <cellStyle name="_Euro_Cable_Industry Overview5 4" xfId="232"/>
    <cellStyle name="_Euro_Cable_Industry Overview5 5" xfId="233"/>
    <cellStyle name="_Euro_Gelco Model" xfId="234"/>
    <cellStyle name="_Euro_Model and Valuation - Aros 6 30 08" xfId="16303"/>
    <cellStyle name="_Euro_Summary" xfId="235"/>
    <cellStyle name="_G2 Comps v4" xfId="236"/>
    <cellStyle name="_GBP" xfId="237"/>
    <cellStyle name="_GBP 2" xfId="238"/>
    <cellStyle name="_GBP 3" xfId="20534"/>
    <cellStyle name="_GBP 4" xfId="25757"/>
    <cellStyle name="_Header" xfId="16304"/>
    <cellStyle name="_HeaderBlue" xfId="239"/>
    <cellStyle name="_Heading" xfId="240"/>
    <cellStyle name="_Heading 2" xfId="241"/>
    <cellStyle name="_Heading_lbo_long_model" xfId="242"/>
    <cellStyle name="_Heading_lbo_long_model 2" xfId="243"/>
    <cellStyle name="_Heading_lbo_long_model 2 2" xfId="244"/>
    <cellStyle name="_Heading_lbo_long_model 3" xfId="245"/>
    <cellStyle name="_Heading_lbo_long_model 4" xfId="246"/>
    <cellStyle name="_Heading_lbo_long_model 5" xfId="247"/>
    <cellStyle name="_Heading_lbo_long_model_Anaphore 12 31 2008 Draft Analysis 02 19 2009" xfId="248"/>
    <cellStyle name="_Heading_lbo_long_model_Anaphore 12 31 2008 Draft Analysis 02 20 2009 - DM REVISED" xfId="249"/>
    <cellStyle name="_Heading_lbo_long_model_Book2" xfId="250"/>
    <cellStyle name="_Heading_lbo_long_model_Book2 2" xfId="251"/>
    <cellStyle name="_Heading_lbo_long_model_Boston Power VD 01 31 2008 Model 02 26 2008" xfId="252"/>
    <cellStyle name="_Heading_lbo_long_model_Boston Power VD 01 31 2008 Model 02 26 2008 2" xfId="253"/>
    <cellStyle name="_Heading_lbo_long_model_Boston Power VD 01 31 2008 Model 02 26 2008 2 2" xfId="254"/>
    <cellStyle name="_Heading_lbo_long_model_Boston Power VD 01 31 2008 Model 02 26 2008 3" xfId="255"/>
    <cellStyle name="_Heading_lbo_long_model_Boston Power VD 01 31 2008 Model 02 26 2008 4" xfId="256"/>
    <cellStyle name="_Heading_lbo_long_model_Boston Power VD 01 31 2008 Model 02 26 2008 5" xfId="257"/>
    <cellStyle name="_Heading_lbo_long_model_Boston Power VD 01 31 2008 Model 02 26 2008_CompanyABC Valuation Draft Model 04 21 2009" xfId="258"/>
    <cellStyle name="_Heading_lbo_long_model_Boston Power VD 01 31 2008 Model 02 26 2008_CompanyABC Valuation Draft Model 04 21 2009 2" xfId="259"/>
    <cellStyle name="_Heading_lbo_long_model_Boston Power VD 01 31 2008 Model 02 26 2008_DB" xfId="260"/>
    <cellStyle name="_Heading_lbo_long_model_Boston Power VD 01 31 2008 Model 02 26 2008_DB 2" xfId="261"/>
    <cellStyle name="_Heading_lbo_long_model_Boston Power VD 01 31 2008 Model 02 26 2008_DB 2 2" xfId="262"/>
    <cellStyle name="_Heading_lbo_long_model_Boston Power VD 01 31 2008 Model 02 26 2008_FAS 157 Model Template 04 26 2009" xfId="263"/>
    <cellStyle name="_Heading_lbo_long_model_Boston Power VD 01 31 2008 Model 02 26 2008_FAS 157 Model Template 04 26 2009 2" xfId="264"/>
    <cellStyle name="_Heading_lbo_long_model_Boston Power VD 01 31 2008 Model 02 26 2008_Miragen VD 05 31 2008 Model 05 22 2009" xfId="265"/>
    <cellStyle name="_Heading_lbo_long_model_Cap Table Inputs" xfId="266"/>
    <cellStyle name="_Heading_lbo_long_model_Cap Table Inputs 2" xfId="267"/>
    <cellStyle name="_Heading_lbo_long_model_Cap Table Inputs 2 2" xfId="268"/>
    <cellStyle name="_Heading_lbo_long_model_Cap Table Inputs 3" xfId="269"/>
    <cellStyle name="_Heading_lbo_long_model_Cap Table Inputs 4" xfId="270"/>
    <cellStyle name="_Heading_lbo_long_model_Cap Table Inputs 5" xfId="271"/>
    <cellStyle name="_Heading_lbo_long_model_Cap Table Inputs_CompanyABC Valuation Draft Model 04 21 2009" xfId="272"/>
    <cellStyle name="_Heading_lbo_long_model_Cap Table Inputs_CompanyABC Valuation Draft Model 04 21 2009 2" xfId="273"/>
    <cellStyle name="_Heading_lbo_long_model_Cap Table Inputs_DB" xfId="274"/>
    <cellStyle name="_Heading_lbo_long_model_Cap Table Inputs_DB 2" xfId="275"/>
    <cellStyle name="_Heading_lbo_long_model_Cap Table Inputs_DB 2 2" xfId="276"/>
    <cellStyle name="_Heading_lbo_long_model_Cap Table Inputs_FAS 157 Model Template 04 26 2009" xfId="277"/>
    <cellStyle name="_Heading_lbo_long_model_Cap Table Inputs_FAS 157 Model Template 04 26 2009 2" xfId="278"/>
    <cellStyle name="_Heading_lbo_long_model_Cap Table Inputs_Miragen VD 05 31 2008 Model 05 22 2009" xfId="279"/>
    <cellStyle name="_Heading_lbo_long_model_CardioSolutions 05 31 2007 Final Model 09 27 2007" xfId="280"/>
    <cellStyle name="_Heading_lbo_long_model_CardioSolutions 05 31 2007 Final Model 09 27 2007 2" xfId="281"/>
    <cellStyle name="_Heading_lbo_long_model_CardioSolutions 05 31 2007 Final Model 09 27 2007 2 2" xfId="282"/>
    <cellStyle name="_Heading_lbo_long_model_CardioSolutions 05 31 2007 Final Model 09 27 2007 3" xfId="283"/>
    <cellStyle name="_Heading_lbo_long_model_CardioSolutions 05 31 2007 Final Model 09 27 2007 4" xfId="284"/>
    <cellStyle name="_Heading_lbo_long_model_CardioSolutions 05 31 2007 Final Model 09 27 2007 5" xfId="285"/>
    <cellStyle name="_Heading_lbo_long_model_CardioSolutions 05 31 2007 Final Model 09 27 2007_CompanyABC Valuation Draft Model 04 21 2009" xfId="286"/>
    <cellStyle name="_Heading_lbo_long_model_CardioSolutions 05 31 2007 Final Model 09 27 2007_CompanyABC Valuation Draft Model 04 21 2009 2" xfId="287"/>
    <cellStyle name="_Heading_lbo_long_model_CardioSolutions 05 31 2007 Final Model 09 27 2007_DB" xfId="288"/>
    <cellStyle name="_Heading_lbo_long_model_CardioSolutions 05 31 2007 Final Model 09 27 2007_DB 2" xfId="289"/>
    <cellStyle name="_Heading_lbo_long_model_CardioSolutions 05 31 2007 Final Model 09 27 2007_DB 2 2" xfId="290"/>
    <cellStyle name="_Heading_lbo_long_model_CardioSolutions 05 31 2007 Final Model 09 27 2007_FAS 157 Model Template 04 26 2009" xfId="291"/>
    <cellStyle name="_Heading_lbo_long_model_CardioSolutions 05 31 2007 Final Model 09 27 2007_FAS 157 Model Template 04 26 2009 2" xfId="292"/>
    <cellStyle name="_Heading_lbo_long_model_CardioSolutions 05 31 2007 Final Model 09 27 2007_Miragen VD 05 31 2008 Model 05 22 2009" xfId="293"/>
    <cellStyle name="_Heading_lbo_long_model_CardioSolutions VD 05 31 08 Draft Model 07 15 2008" xfId="294"/>
    <cellStyle name="_Heading_lbo_long_model_CardioSolutions VD 05 31 08 Draft Model 07 15 2008 2" xfId="295"/>
    <cellStyle name="_Heading_lbo_long_model_CardioSolutions VD 05 31 08 Draft Model 08 06 08-u" xfId="296"/>
    <cellStyle name="_Heading_lbo_long_model_CardioSolutions VD 05 31 08 Draft Model 08 06 08-u 2" xfId="297"/>
    <cellStyle name="_Heading_lbo_long_model_CompanyABC Valuation Draft Model 04 21 2009" xfId="298"/>
    <cellStyle name="_Heading_lbo_long_model_CompanyABC Valuation Draft Model 04 21 2009 2" xfId="299"/>
    <cellStyle name="_Heading_lbo_long_model_CompanyABC Valuation Model Draft 07 07 2008" xfId="300"/>
    <cellStyle name="_Heading_lbo_long_model_CompanyABC Valuation Model Draft 07 07 2008 2" xfId="301"/>
    <cellStyle name="_Heading_lbo_long_model_CompanyABC Valuation Model Draft 08 07 2008" xfId="302"/>
    <cellStyle name="_Heading_lbo_long_model_CompanyABC Valuation Model Draft 08 07 2008 2" xfId="303"/>
    <cellStyle name="_Heading_lbo_long_model_CompanyABC Valuation Model Draft 08 25 2008" xfId="304"/>
    <cellStyle name="_Heading_lbo_long_model_CompanyABC Valuation Model Draft 08 25 2008 2" xfId="305"/>
    <cellStyle name="_Heading_lbo_long_model_CompanyABC Valuation Model Draft 09 25 2008-Team Liquidity" xfId="306"/>
    <cellStyle name="_Heading_lbo_long_model_CompanyABC Valuation Model Draft 09 25 2008-Team Liquidity 2" xfId="307"/>
    <cellStyle name="_Heading_lbo_long_model_CompanyABC Valuation Model Draft 10 01 2008" xfId="308"/>
    <cellStyle name="_Heading_lbo_long_model_CompanyABC Valuation Model Draft 10 01 2008 2" xfId="309"/>
    <cellStyle name="_Heading_lbo_long_model_CompanyABC Valuation Model Draft 10 27 2008" xfId="310"/>
    <cellStyle name="_Heading_lbo_long_model_CompanyABC Valuation Model Draft 10 27 2008 2" xfId="311"/>
    <cellStyle name="_Heading_lbo_long_model_DB" xfId="312"/>
    <cellStyle name="_Heading_lbo_long_model_DB 2" xfId="313"/>
    <cellStyle name="_Heading_lbo_long_model_EXAMPLE model C-5" xfId="314"/>
    <cellStyle name="_Heading_lbo_long_model_EXAMPLE model C-5 2" xfId="315"/>
    <cellStyle name="_Heading_lbo_long_model_FAS 157 Model Template 04 26 2009" xfId="316"/>
    <cellStyle name="_Heading_lbo_long_model_FAS 157 Model Template 04 26 2009 2" xfId="317"/>
    <cellStyle name="_Heading_lbo_long_model_Great Call VD 09 30 08 Draft Model 11 20 08" xfId="318"/>
    <cellStyle name="_Heading_lbo_long_model_Great Call VD 09 30 08 Draft Model 11 20 08 2" xfId="319"/>
    <cellStyle name="_Heading_lbo_long_model_Intermedia, Inc. VD 05 31 08 Draft Model 07 16 2008" xfId="320"/>
    <cellStyle name="_Heading_lbo_long_model_Intermedia, Inc. VD 05 31 08 Draft Model 07 16 2008 2" xfId="321"/>
    <cellStyle name="_Heading_lbo_long_model_Island Data Corporatin VD 06 30 08 Projections and Comparables 08 11 2008" xfId="322"/>
    <cellStyle name="_Heading_lbo_long_model_Island Data Corporatin VD 06 30 08 Projections and Comparables 08 11 2008 2" xfId="323"/>
    <cellStyle name="_Heading_lbo_long_model_Jentro Tech VD 03 31 2008 Model 04 10 2008" xfId="324"/>
    <cellStyle name="_Heading_lbo_long_model_Jentro Tech VD 03 31 2008 Model 04 10 2008 2" xfId="325"/>
    <cellStyle name="_Heading_lbo_long_model_Kythera Biopharmaceuticals VD 05 16 08 Draft Analysis 07 01 08" xfId="326"/>
    <cellStyle name="_Heading_lbo_long_model_Kythera Biopharmaceuticals VD 05 16 08 Draft Analysis 07 01 08 2" xfId="327"/>
    <cellStyle name="_Heading_lbo_long_model_Kythera Biopharmaceuticals VD 05 16 08 Final Model 07 20 08" xfId="328"/>
    <cellStyle name="_Heading_lbo_long_model_Kythera Biopharmaceuticals VD 05 16 08 Final Model 07 20 08 2" xfId="329"/>
    <cellStyle name="_Heading_lbo_long_model_Kythera Biopharmaceuticals, Inc. VD 5 16 2008 Draft 5 24 2008" xfId="330"/>
    <cellStyle name="_Heading_lbo_long_model_Kythera Biopharmaceuticals, Inc. VD 5 16 2008 Draft 5 24 2008 2" xfId="331"/>
    <cellStyle name="_Heading_lbo_long_model_Miragen VD 05 31 2008 Model 05 22 2009" xfId="332"/>
    <cellStyle name="_Heading_lbo_long_model_Notes" xfId="333"/>
    <cellStyle name="_Heading_lbo_long_model_Notes 2" xfId="334"/>
    <cellStyle name="_Heading_lbo_long_model_OMT VD 10 15 2008 Draft Analysis 12 17 2008.xls" xfId="335"/>
    <cellStyle name="_Heading_lbo_long_model_PubComps IPO -C-7" xfId="336"/>
    <cellStyle name="_Heading_lbo_long_model_PubComps IPO -C-7 2" xfId="337"/>
    <cellStyle name="_Heading_lbo_long_model_Tmax Soft VD 07 31 2008 Draft Model 08 20 2008" xfId="338"/>
    <cellStyle name="_Heading_lbo_long_model_Tmax Soft VD 07 31 2008 Draft Model 08 20 2008 2" xfId="339"/>
    <cellStyle name="_Heading_lbo_long_model_WACC -E-2" xfId="340"/>
    <cellStyle name="_Heading_lbo_long_model_WACC -E-2 2" xfId="341"/>
    <cellStyle name="_Heading_lbo_long_model_Xmos Limited VD 05 13 2008  Model 06 04 08" xfId="342"/>
    <cellStyle name="_Heading_lbo_long_model_Xmos Limited VD 05 13 2008  Model 06 04 08 2" xfId="343"/>
    <cellStyle name="_Heading_prestemp" xfId="344"/>
    <cellStyle name="_Heading_prestemp 2" xfId="345"/>
    <cellStyle name="_Heading_prestemp 2 2" xfId="346"/>
    <cellStyle name="_Heading_prestemp 3" xfId="347"/>
    <cellStyle name="_Heading_prestemp 4" xfId="348"/>
    <cellStyle name="_Heading_prestemp 5" xfId="349"/>
    <cellStyle name="_Heading_prestemp_Anaphore 12 31 2008 Draft Analysis 02 19 2009" xfId="350"/>
    <cellStyle name="_Heading_prestemp_Anaphore 12 31 2008 Draft Analysis 02 20 2009 - DM REVISED" xfId="351"/>
    <cellStyle name="_Heading_prestemp_Book2" xfId="352"/>
    <cellStyle name="_Heading_prestemp_Book2 2" xfId="353"/>
    <cellStyle name="_Heading_prestemp_Boston Power VD 01 31 2008 Model 02 26 2008" xfId="354"/>
    <cellStyle name="_Heading_prestemp_Boston Power VD 01 31 2008 Model 02 26 2008 2" xfId="355"/>
    <cellStyle name="_Heading_prestemp_Boston Power VD 01 31 2008 Model 02 26 2008 2 2" xfId="356"/>
    <cellStyle name="_Heading_prestemp_Boston Power VD 01 31 2008 Model 02 26 2008 3" xfId="357"/>
    <cellStyle name="_Heading_prestemp_Boston Power VD 01 31 2008 Model 02 26 2008 4" xfId="358"/>
    <cellStyle name="_Heading_prestemp_Boston Power VD 01 31 2008 Model 02 26 2008 5" xfId="359"/>
    <cellStyle name="_Heading_prestemp_Boston Power VD 01 31 2008 Model 02 26 2008_CompanyABC Valuation Draft Model 04 21 2009" xfId="360"/>
    <cellStyle name="_Heading_prestemp_Boston Power VD 01 31 2008 Model 02 26 2008_CompanyABC Valuation Draft Model 04 21 2009 2" xfId="361"/>
    <cellStyle name="_Heading_prestemp_Boston Power VD 01 31 2008 Model 02 26 2008_DB" xfId="362"/>
    <cellStyle name="_Heading_prestemp_Boston Power VD 01 31 2008 Model 02 26 2008_DB 2" xfId="363"/>
    <cellStyle name="_Heading_prestemp_Boston Power VD 01 31 2008 Model 02 26 2008_DB 2 2" xfId="364"/>
    <cellStyle name="_Heading_prestemp_Boston Power VD 01 31 2008 Model 02 26 2008_FAS 157 Model Template 04 26 2009" xfId="365"/>
    <cellStyle name="_Heading_prestemp_Boston Power VD 01 31 2008 Model 02 26 2008_FAS 157 Model Template 04 26 2009 2" xfId="366"/>
    <cellStyle name="_Heading_prestemp_Boston Power VD 01 31 2008 Model 02 26 2008_Miragen VD 05 31 2008 Model 05 22 2009" xfId="367"/>
    <cellStyle name="_Heading_prestemp_Cap Table Inputs" xfId="368"/>
    <cellStyle name="_Heading_prestemp_Cap Table Inputs 2" xfId="369"/>
    <cellStyle name="_Heading_prestemp_Cap Table Inputs 2 2" xfId="370"/>
    <cellStyle name="_Heading_prestemp_Cap Table Inputs 3" xfId="371"/>
    <cellStyle name="_Heading_prestemp_Cap Table Inputs 4" xfId="372"/>
    <cellStyle name="_Heading_prestemp_Cap Table Inputs 5" xfId="373"/>
    <cellStyle name="_Heading_prestemp_Cap Table Inputs_CompanyABC Valuation Draft Model 04 21 2009" xfId="374"/>
    <cellStyle name="_Heading_prestemp_Cap Table Inputs_CompanyABC Valuation Draft Model 04 21 2009 2" xfId="375"/>
    <cellStyle name="_Heading_prestemp_Cap Table Inputs_DB" xfId="376"/>
    <cellStyle name="_Heading_prestemp_Cap Table Inputs_DB 2" xfId="377"/>
    <cellStyle name="_Heading_prestemp_Cap Table Inputs_DB 2 2" xfId="378"/>
    <cellStyle name="_Heading_prestemp_Cap Table Inputs_FAS 157 Model Template 04 26 2009" xfId="379"/>
    <cellStyle name="_Heading_prestemp_Cap Table Inputs_FAS 157 Model Template 04 26 2009 2" xfId="380"/>
    <cellStyle name="_Heading_prestemp_Cap Table Inputs_Miragen VD 05 31 2008 Model 05 22 2009" xfId="381"/>
    <cellStyle name="_Heading_prestemp_CardioSolutions 05 31 2007 Final Model 09 27 2007" xfId="382"/>
    <cellStyle name="_Heading_prestemp_CardioSolutions 05 31 2007 Final Model 09 27 2007 2" xfId="383"/>
    <cellStyle name="_Heading_prestemp_CardioSolutions 05 31 2007 Final Model 09 27 2007 2 2" xfId="384"/>
    <cellStyle name="_Heading_prestemp_CardioSolutions 05 31 2007 Final Model 09 27 2007 3" xfId="385"/>
    <cellStyle name="_Heading_prestemp_CardioSolutions 05 31 2007 Final Model 09 27 2007 4" xfId="386"/>
    <cellStyle name="_Heading_prestemp_CardioSolutions 05 31 2007 Final Model 09 27 2007 5" xfId="387"/>
    <cellStyle name="_Heading_prestemp_CardioSolutions 05 31 2007 Final Model 09 27 2007_CompanyABC Valuation Draft Model 04 21 2009" xfId="388"/>
    <cellStyle name="_Heading_prestemp_CardioSolutions 05 31 2007 Final Model 09 27 2007_CompanyABC Valuation Draft Model 04 21 2009 2" xfId="389"/>
    <cellStyle name="_Heading_prestemp_CardioSolutions 05 31 2007 Final Model 09 27 2007_DB" xfId="390"/>
    <cellStyle name="_Heading_prestemp_CardioSolutions 05 31 2007 Final Model 09 27 2007_DB 2" xfId="391"/>
    <cellStyle name="_Heading_prestemp_CardioSolutions 05 31 2007 Final Model 09 27 2007_DB 2 2" xfId="392"/>
    <cellStyle name="_Heading_prestemp_CardioSolutions 05 31 2007 Final Model 09 27 2007_FAS 157 Model Template 04 26 2009" xfId="393"/>
    <cellStyle name="_Heading_prestemp_CardioSolutions 05 31 2007 Final Model 09 27 2007_FAS 157 Model Template 04 26 2009 2" xfId="394"/>
    <cellStyle name="_Heading_prestemp_CardioSolutions 05 31 2007 Final Model 09 27 2007_Miragen VD 05 31 2008 Model 05 22 2009" xfId="395"/>
    <cellStyle name="_Heading_prestemp_CardioSolutions VD 05 31 08 Draft Model 07 15 2008" xfId="396"/>
    <cellStyle name="_Heading_prestemp_CardioSolutions VD 05 31 08 Draft Model 07 15 2008 2" xfId="397"/>
    <cellStyle name="_Heading_prestemp_CardioSolutions VD 05 31 08 Draft Model 08 06 08-u" xfId="398"/>
    <cellStyle name="_Heading_prestemp_CardioSolutions VD 05 31 08 Draft Model 08 06 08-u 2" xfId="399"/>
    <cellStyle name="_Heading_prestemp_CompanyABC Valuation Draft Model 04 21 2009" xfId="400"/>
    <cellStyle name="_Heading_prestemp_CompanyABC Valuation Draft Model 04 21 2009 2" xfId="401"/>
    <cellStyle name="_Heading_prestemp_CompanyABC Valuation Model Draft 07 07 2008" xfId="402"/>
    <cellStyle name="_Heading_prestemp_CompanyABC Valuation Model Draft 07 07 2008 2" xfId="403"/>
    <cellStyle name="_Heading_prestemp_CompanyABC Valuation Model Draft 08 07 2008" xfId="404"/>
    <cellStyle name="_Heading_prestemp_CompanyABC Valuation Model Draft 08 07 2008 2" xfId="405"/>
    <cellStyle name="_Heading_prestemp_CompanyABC Valuation Model Draft 08 25 2008" xfId="406"/>
    <cellStyle name="_Heading_prestemp_CompanyABC Valuation Model Draft 08 25 2008 2" xfId="407"/>
    <cellStyle name="_Heading_prestemp_CompanyABC Valuation Model Draft 09 25 2008-Team Liquidity" xfId="408"/>
    <cellStyle name="_Heading_prestemp_CompanyABC Valuation Model Draft 09 25 2008-Team Liquidity 2" xfId="409"/>
    <cellStyle name="_Heading_prestemp_CompanyABC Valuation Model Draft 10 01 2008" xfId="410"/>
    <cellStyle name="_Heading_prestemp_CompanyABC Valuation Model Draft 10 01 2008 2" xfId="411"/>
    <cellStyle name="_Heading_prestemp_CompanyABC Valuation Model Draft 10 27 2008" xfId="412"/>
    <cellStyle name="_Heading_prestemp_CompanyABC Valuation Model Draft 10 27 2008 2" xfId="413"/>
    <cellStyle name="_Heading_prestemp_Cyrela - Goldzstein - Financial Model - v1" xfId="414"/>
    <cellStyle name="_Heading_prestemp_Cyrela - Goldzstein - Financial Model - v5" xfId="415"/>
    <cellStyle name="_Heading_prestemp_DB" xfId="416"/>
    <cellStyle name="_Heading_prestemp_DB 2" xfId="417"/>
    <cellStyle name="_Heading_prestemp_EXAMPLE model C-5" xfId="418"/>
    <cellStyle name="_Heading_prestemp_EXAMPLE model C-5 2" xfId="419"/>
    <cellStyle name="_Heading_prestemp_FAS 157 Model Template 04 26 2009" xfId="420"/>
    <cellStyle name="_Heading_prestemp_FAS 157 Model Template 04 26 2009 2" xfId="421"/>
    <cellStyle name="_Heading_prestemp_Gas Natural - Financial Model - April 18 2008 - v1" xfId="422"/>
    <cellStyle name="_Heading_prestemp_Gas Natural - Financial Model - April 18 2008 - v2" xfId="423"/>
    <cellStyle name="_Heading_prestemp_Gas Natural - Financial Model - May 20, 2009" xfId="424"/>
    <cellStyle name="_Heading_prestemp_Goldzstein Cyrela - Financial Model - v7" xfId="425"/>
    <cellStyle name="_Heading_prestemp_Great Call VD 09 30 08 Draft Model 11 20 08" xfId="426"/>
    <cellStyle name="_Heading_prestemp_Great Call VD 09 30 08 Draft Model 11 20 08 2" xfId="427"/>
    <cellStyle name="_Heading_prestemp_Grupo Ibmec - Financial Model - v2" xfId="428"/>
    <cellStyle name="_Heading_prestemp_Grupo Ibmec - Financial Model - v5" xfId="429"/>
    <cellStyle name="_Heading_prestemp_Independencia - Financial Model - Dec 02 2008 - v3" xfId="430"/>
    <cellStyle name="_Heading_prestemp_Independencia - Financial Model - Nov 24 2008" xfId="431"/>
    <cellStyle name="_Heading_prestemp_Intermedia, Inc. VD 05 31 08 Draft Model 07 16 2008" xfId="432"/>
    <cellStyle name="_Heading_prestemp_Intermedia, Inc. VD 05 31 08 Draft Model 07 16 2008 2" xfId="433"/>
    <cellStyle name="_Heading_prestemp_Island Data Corporatin VD 06 30 08 Projections and Comparables 08 11 2008" xfId="434"/>
    <cellStyle name="_Heading_prestemp_Island Data Corporatin VD 06 30 08 Projections and Comparables 08 11 2008 2" xfId="435"/>
    <cellStyle name="_Heading_prestemp_Jentro Tech VD 03 31 2008 Model 04 10 2008" xfId="436"/>
    <cellStyle name="_Heading_prestemp_Jentro Tech VD 03 31 2008 Model 04 10 2008 2" xfId="437"/>
    <cellStyle name="_Heading_prestemp_Kythera Biopharmaceuticals VD 05 16 08 Draft Analysis 07 01 08" xfId="438"/>
    <cellStyle name="_Heading_prestemp_Kythera Biopharmaceuticals VD 05 16 08 Draft Analysis 07 01 08 2" xfId="439"/>
    <cellStyle name="_Heading_prestemp_Kythera Biopharmaceuticals VD 05 16 08 Final Model 07 20 08" xfId="440"/>
    <cellStyle name="_Heading_prestemp_Kythera Biopharmaceuticals VD 05 16 08 Final Model 07 20 08 2" xfId="441"/>
    <cellStyle name="_Heading_prestemp_Kythera Biopharmaceuticals, Inc. VD 5 16 2008 Draft 5 24 2008" xfId="442"/>
    <cellStyle name="_Heading_prestemp_Kythera Biopharmaceuticals, Inc. VD 5 16 2008 Draft 5 24 2008 2" xfId="443"/>
    <cellStyle name="_Heading_prestemp_Medley_Financial_Model_v5" xfId="444"/>
    <cellStyle name="_Heading_prestemp_Medley_Financial_Model_v5_Ubiquiti Ownership Table" xfId="445"/>
    <cellStyle name="_Heading_prestemp_Miragen VD 05 31 2008 Model 05 22 2009" xfId="446"/>
    <cellStyle name="_Heading_prestemp_Notes" xfId="447"/>
    <cellStyle name="_Heading_prestemp_Notes 2" xfId="448"/>
    <cellStyle name="_Heading_prestemp_OMT VD 10 15 2008 Draft Analysis 12 17 2008.xls" xfId="449"/>
    <cellStyle name="_Heading_prestemp_Project Emet - Forecasts" xfId="450"/>
    <cellStyle name="_Heading_prestemp_PubComps IPO -C-7" xfId="451"/>
    <cellStyle name="_Heading_prestemp_PubComps IPO -C-7 2" xfId="452"/>
    <cellStyle name="_Heading_prestemp_Rumo_Financial_Model_05jun2009_v1" xfId="453"/>
    <cellStyle name="_Heading_prestemp_Rumo_Financial_Model_05jun2009_v4" xfId="454"/>
    <cellStyle name="_Heading_prestemp_Rumo_Financial_Model_05jun2009_v5" xfId="455"/>
    <cellStyle name="_Heading_prestemp_Rumo_Financial_Model_05jun2009_v6" xfId="456"/>
    <cellStyle name="_Heading_prestemp_SCPC_Financial_Model_10jun2009_v2" xfId="457"/>
    <cellStyle name="_Heading_prestemp_SCPC_Financial_Model_17jun2009_v5" xfId="458"/>
    <cellStyle name="_Heading_prestemp_Tmax Soft VD 07 31 2008 Draft Model 08 20 2008" xfId="459"/>
    <cellStyle name="_Heading_prestemp_Tmax Soft VD 07 31 2008 Draft Model 08 20 2008 2" xfId="460"/>
    <cellStyle name="_Heading_prestemp_WACC -E-2" xfId="461"/>
    <cellStyle name="_Heading_prestemp_WACC -E-2 2" xfId="462"/>
    <cellStyle name="_Heading_prestemp_Xmos Limited VD 05 13 2008  Model 06 04 08" xfId="463"/>
    <cellStyle name="_Heading_prestemp_Xmos Limited VD 05 13 2008  Model 06 04 08 2" xfId="464"/>
    <cellStyle name="_Headline" xfId="16305"/>
    <cellStyle name="_Hea_x0010_line" xfId="16306"/>
    <cellStyle name="_Highlight" xfId="465"/>
    <cellStyle name="_Highlight 2" xfId="466"/>
    <cellStyle name="_IPO Val 08.01.05 v1.1" xfId="16307"/>
    <cellStyle name="_laroux_2000 Reforecast Summary 6-00" xfId="16308"/>
    <cellStyle name="_laroux_April 2000 Review_Property Disclosure 2000 Reforecast 8-00" xfId="16309"/>
    <cellStyle name="_LIBOR" xfId="467"/>
    <cellStyle name="_LIBOR 2" xfId="468"/>
    <cellStyle name="_LIBOR_IRR Model" xfId="469"/>
    <cellStyle name="_LIBOR_IRR Model 2" xfId="470"/>
    <cellStyle name="_LIBOR_Mesa_Irr Grid" xfId="471"/>
    <cellStyle name="_LIBOR_Mesa_Irr Grid 2" xfId="472"/>
    <cellStyle name="_Luxury Goods Comps latest" xfId="473"/>
    <cellStyle name="_Luxury Goods Comps latest_Medley_Financial_Model_v5" xfId="474"/>
    <cellStyle name="_Luxury Goods Comps latest_Medley_Financial_Model_v5_Ubiquiti Ownership Table" xfId="475"/>
    <cellStyle name="_MemoHead" xfId="476"/>
    <cellStyle name="_MemoHead 2" xfId="477"/>
    <cellStyle name="_MemoSubHead" xfId="478"/>
    <cellStyle name="_MemoSubHead 2" xfId="479"/>
    <cellStyle name="-_Merger Overview Paste-ins" xfId="480"/>
    <cellStyle name="-_Merger Overview Paste-ins_EBITDA template v2" xfId="481"/>
    <cellStyle name="-_Merger Overview Paste-ins_Ranpak Model (10-27-05) v1.1" xfId="482"/>
    <cellStyle name="-_Merger Overview Paste-ins_Ranpak Model (10-27-05) v1.1_EBITDA template v2" xfId="483"/>
    <cellStyle name="_Model and Valuation - Aros 6 30 08" xfId="16310"/>
    <cellStyle name="_Modelo Puerto 2007 Management Case DB 14-11 (DB) v20" xfId="484"/>
    <cellStyle name="_Modelo Puerto 2007 Management Case DB 14-11 (DB) v20_Medley_Financial_Model_v5" xfId="485"/>
    <cellStyle name="_Multiple" xfId="486"/>
    <cellStyle name="_Multiple__DCF Template" xfId="487"/>
    <cellStyle name="_Multiple_04 Alaska Model 2002-05-31 GS" xfId="488"/>
    <cellStyle name="_Multiple_Cable_Industry Overview5" xfId="489"/>
    <cellStyle name="_Multiple_Control" xfId="490"/>
    <cellStyle name="_Multiple_Dividend Template" xfId="491"/>
    <cellStyle name="_Multiple_Eric CapIQ unlinked v1" xfId="492"/>
    <cellStyle name="_Multiple_Gelco Model" xfId="493"/>
    <cellStyle name="_Multiple_H-G Holdings race car v5 (change dep)" xfId="494"/>
    <cellStyle name="_Multiple_INTU Comps v2" xfId="16311"/>
    <cellStyle name="_Multiple_lbo_long_model" xfId="495"/>
    <cellStyle name="_Multiple_lbo_long_model 2" xfId="496"/>
    <cellStyle name="_Multiple_Medicis WACC" xfId="497"/>
    <cellStyle name="_Multiple_Meggitt AirDynamics WACC" xfId="498"/>
    <cellStyle name="_Multiple_Pro-Forma Financials" xfId="499"/>
    <cellStyle name="_Multiple_Pro-Forma Spin-off" xfId="500"/>
    <cellStyle name="_Multiple_Revised Basic Modelv2.4" xfId="501"/>
    <cellStyle name="_Multiple_Rider Henning" xfId="502"/>
    <cellStyle name="_Multiple_Summary" xfId="503"/>
    <cellStyle name="_Multiple_Updated Model - CapitalIQ6 -04.20.06" xfId="504"/>
    <cellStyle name="_Multiple_WACCv2" xfId="505"/>
    <cellStyle name="_Multiple_Yield Tables" xfId="506"/>
    <cellStyle name="_MultipleSpace" xfId="507"/>
    <cellStyle name="_MultipleSpace__DCF Template" xfId="508"/>
    <cellStyle name="_MultipleSpace_04 Alaska Model 2002-05-31 GS" xfId="509"/>
    <cellStyle name="_MultipleSpace_Control" xfId="510"/>
    <cellStyle name="_MultipleSpace_Dividend Template" xfId="511"/>
    <cellStyle name="_MultipleSpace_EPL LBO 5.16.05 - Mgmt IPO v6" xfId="16312"/>
    <cellStyle name="_MultipleSpace_Epsilon IPO Model NEW v3" xfId="16313"/>
    <cellStyle name="_MultipleSpace_Epsilon Model 3.30.05 v7" xfId="16314"/>
    <cellStyle name="_MultipleSpace_Eric CapIQ unlinked v1" xfId="512"/>
    <cellStyle name="_MultipleSpace_H-G Holdings race car v5 (change dep)" xfId="513"/>
    <cellStyle name="_MultipleSpace_Hist_Rev1" xfId="16315"/>
    <cellStyle name="_MultipleSpace_lbo_long_model" xfId="514"/>
    <cellStyle name="_MultipleSpace_lbo_long_model 2" xfId="515"/>
    <cellStyle name="_MultipleSpace_Medicis WACC" xfId="516"/>
    <cellStyle name="_MultipleSpace_Meggitt AirDynamics WACC" xfId="517"/>
    <cellStyle name="_MultipleSpace_Pro-Forma Financials" xfId="518"/>
    <cellStyle name="_MultipleSpace_Pro-Forma Spin-off" xfId="519"/>
    <cellStyle name="_MultipleSpace_Revised Basic Modelv2.4" xfId="520"/>
    <cellStyle name="_MultipleSpace_Rider Henning" xfId="521"/>
    <cellStyle name="_MultipleSpace_RJB Long LBO LTM" xfId="16316"/>
    <cellStyle name="_MultipleSpace_Updated Model - CapitalIQ6 -04.20.06" xfId="522"/>
    <cellStyle name="_MultipleSpace_WACCv2" xfId="523"/>
    <cellStyle name="_Nomos WACC" xfId="524"/>
    <cellStyle name="_Percent" xfId="525"/>
    <cellStyle name="_Percent_Control" xfId="526"/>
    <cellStyle name="_Percent_Rider Henning" xfId="527"/>
    <cellStyle name="_PercentReal" xfId="528"/>
    <cellStyle name="_PercentReal 2" xfId="529"/>
    <cellStyle name="_PercentReal_Gelco Model" xfId="530"/>
    <cellStyle name="_PercentReal_Gelco Model 2" xfId="531"/>
    <cellStyle name="_PercentReal_Gelco Overview_3-11-04" xfId="532"/>
    <cellStyle name="_PercentReal_Gelco Overview_3-11-04 2" xfId="533"/>
    <cellStyle name="_PercentReal_Indicative Term Sheet" xfId="534"/>
    <cellStyle name="_PercentReal_Indicative Term Sheet 2" xfId="535"/>
    <cellStyle name="_PercentReal_IRR Summary" xfId="536"/>
    <cellStyle name="_PercentReal_IRR Summary 2" xfId="537"/>
    <cellStyle name="_PercentReal_PADD" xfId="538"/>
    <cellStyle name="_PercentReal_PADD 2" xfId="539"/>
    <cellStyle name="_PercentSpace" xfId="540"/>
    <cellStyle name="_PercentSpace_Control" xfId="541"/>
    <cellStyle name="_PercentSpace_Rider Henning" xfId="542"/>
    <cellStyle name="_PMR_Val_v3" xfId="16317"/>
    <cellStyle name="_PMR_Val_v4" xfId="16318"/>
    <cellStyle name="_Projection IS  BS 2007-2010" xfId="543"/>
    <cellStyle name="_Public Equity Analysis - v1" xfId="544"/>
    <cellStyle name="_Public Equity Analysis - v1_Medley_Financial_Model_v5" xfId="545"/>
    <cellStyle name="_Pulpo 01.30.07 v.2" xfId="16319"/>
    <cellStyle name="_RangeColumns" xfId="546"/>
    <cellStyle name="_RangeColumns_East Coast Bulk Caustic 2+10" xfId="547"/>
    <cellStyle name="_RangeColumns_East Coast Bulk Caustic 2+10 2" xfId="12431"/>
    <cellStyle name="_RangeColumns_East Coast Bulk Caustic 2+10 2 10" xfId="37273"/>
    <cellStyle name="_RangeColumns_East Coast Bulk Caustic 2+10 2 11" xfId="25656"/>
    <cellStyle name="_RangeColumns_East Coast Bulk Caustic 2+10 2 12" xfId="35140"/>
    <cellStyle name="_RangeColumns_East Coast Bulk Caustic 2+10 2 13" xfId="24333"/>
    <cellStyle name="_RangeColumns_East Coast Bulk Caustic 2+10 2 2" xfId="25823"/>
    <cellStyle name="_RangeColumns_East Coast Bulk Caustic 2+10 2 3" xfId="34634"/>
    <cellStyle name="_RangeColumns_East Coast Bulk Caustic 2+10 2 4" xfId="36393"/>
    <cellStyle name="_RangeColumns_East Coast Bulk Caustic 2+10 2 5" xfId="33830"/>
    <cellStyle name="_RangeColumns_East Coast Bulk Caustic 2+10 2 6" xfId="34720"/>
    <cellStyle name="_RangeColumns_East Coast Bulk Caustic 2+10 2 7" xfId="37437"/>
    <cellStyle name="_RangeColumns_East Coast Bulk Caustic 2+10 2 8" xfId="37377"/>
    <cellStyle name="_RangeColumns_East Coast Bulk Caustic 2+10 2 9" xfId="37985"/>
    <cellStyle name="_RangeColumns_East Coast Bulk Caustic 2+10 3" xfId="20596"/>
    <cellStyle name="_RangeColumns_East Coast Bulk Caustic 2+10 4" xfId="25670"/>
    <cellStyle name="_RangeColumns_East Coast Bulk Caustic 2+10 5" xfId="37048"/>
    <cellStyle name="_RangeColumns_East Profit  Loss 1Q Review" xfId="548"/>
    <cellStyle name="_RangeColumns_East Profit  Loss 1Q Review 2" xfId="12432"/>
    <cellStyle name="_RangeColumns_East Profit  Loss 1Q Review 2 10" xfId="25127"/>
    <cellStyle name="_RangeColumns_East Profit  Loss 1Q Review 2 11" xfId="33644"/>
    <cellStyle name="_RangeColumns_East Profit  Loss 1Q Review 2 12" xfId="24387"/>
    <cellStyle name="_RangeColumns_East Profit  Loss 1Q Review 2 13" xfId="24475"/>
    <cellStyle name="_RangeColumns_East Profit  Loss 1Q Review 2 2" xfId="25824"/>
    <cellStyle name="_RangeColumns_East Profit  Loss 1Q Review 2 3" xfId="34635"/>
    <cellStyle name="_RangeColumns_East Profit  Loss 1Q Review 2 4" xfId="35182"/>
    <cellStyle name="_RangeColumns_East Profit  Loss 1Q Review 2 5" xfId="34670"/>
    <cellStyle name="_RangeColumns_East Profit  Loss 1Q Review 2 6" xfId="24863"/>
    <cellStyle name="_RangeColumns_East Profit  Loss 1Q Review 2 7" xfId="25542"/>
    <cellStyle name="_RangeColumns_East Profit  Loss 1Q Review 2 8" xfId="25722"/>
    <cellStyle name="_RangeColumns_East Profit  Loss 1Q Review 2 9" xfId="25221"/>
    <cellStyle name="_RangeColumns_East Profit  Loss 1Q Review 3" xfId="20597"/>
    <cellStyle name="_RangeColumns_East Profit  Loss 1Q Review 4" xfId="25669"/>
    <cellStyle name="_RangeColumns_East Profit  Loss 1Q Review 5" xfId="37887"/>
    <cellStyle name="_RangeData" xfId="549"/>
    <cellStyle name="_RangeData 2" xfId="12433"/>
    <cellStyle name="_RangeData 2 10" xfId="33884"/>
    <cellStyle name="_RangeData 2 11" xfId="37920"/>
    <cellStyle name="_RangeData 2 12" xfId="37505"/>
    <cellStyle name="_RangeData 2 13" xfId="38259"/>
    <cellStyle name="_RangeData 2 2" xfId="25825"/>
    <cellStyle name="_RangeData 2 3" xfId="34636"/>
    <cellStyle name="_RangeData 2 4" xfId="24857"/>
    <cellStyle name="_RangeData 2 5" xfId="25030"/>
    <cellStyle name="_RangeData 2 6" xfId="25347"/>
    <cellStyle name="_RangeData 2 7" xfId="37475"/>
    <cellStyle name="_RangeData 2 8" xfId="34073"/>
    <cellStyle name="_RangeData 2 9" xfId="37353"/>
    <cellStyle name="_RangeData 3" xfId="20598"/>
    <cellStyle name="_RangeData 4" xfId="25668"/>
    <cellStyle name="_RangeData 5" xfId="35341"/>
    <cellStyle name="_RangeData_East Coast Bulk Caustic 2+10" xfId="550"/>
    <cellStyle name="_RangeData_East Coast Bulk Caustic 2+10 2" xfId="12434"/>
    <cellStyle name="_RangeData_East Coast Bulk Caustic 2+10 2 10" xfId="34023"/>
    <cellStyle name="_RangeData_East Coast Bulk Caustic 2+10 2 11" xfId="34067"/>
    <cellStyle name="_RangeData_East Coast Bulk Caustic 2+10 2 12" xfId="38146"/>
    <cellStyle name="_RangeData_East Coast Bulk Caustic 2+10 2 13" xfId="34299"/>
    <cellStyle name="_RangeData_East Coast Bulk Caustic 2+10 2 2" xfId="25826"/>
    <cellStyle name="_RangeData_East Coast Bulk Caustic 2+10 2 3" xfId="34637"/>
    <cellStyle name="_RangeData_East Coast Bulk Caustic 2+10 2 4" xfId="36392"/>
    <cellStyle name="_RangeData_East Coast Bulk Caustic 2+10 2 5" xfId="25440"/>
    <cellStyle name="_RangeData_East Coast Bulk Caustic 2+10 2 6" xfId="35500"/>
    <cellStyle name="_RangeData_East Coast Bulk Caustic 2+10 2 7" xfId="36464"/>
    <cellStyle name="_RangeData_East Coast Bulk Caustic 2+10 2 8" xfId="35808"/>
    <cellStyle name="_RangeData_East Coast Bulk Caustic 2+10 2 9" xfId="36785"/>
    <cellStyle name="_RangeData_East Coast Bulk Caustic 2+10 3" xfId="20599"/>
    <cellStyle name="_RangeData_East Coast Bulk Caustic 2+10 4" xfId="25666"/>
    <cellStyle name="_RangeData_East Coast Bulk Caustic 2+10 5" xfId="35286"/>
    <cellStyle name="_RangeData_East Profit  Loss 1Q Review" xfId="551"/>
    <cellStyle name="_RangeData_East Profit  Loss 1Q Review 2" xfId="12435"/>
    <cellStyle name="_RangeData_East Profit  Loss 1Q Review 2 10" xfId="34986"/>
    <cellStyle name="_RangeData_East Profit  Loss 1Q Review 2 11" xfId="35837"/>
    <cellStyle name="_RangeData_East Profit  Loss 1Q Review 2 12" xfId="33944"/>
    <cellStyle name="_RangeData_East Profit  Loss 1Q Review 2 13" xfId="34034"/>
    <cellStyle name="_RangeData_East Profit  Loss 1Q Review 2 2" xfId="25827"/>
    <cellStyle name="_RangeData_East Profit  Loss 1Q Review 2 3" xfId="34638"/>
    <cellStyle name="_RangeData_East Profit  Loss 1Q Review 2 4" xfId="35181"/>
    <cellStyle name="_RangeData_East Profit  Loss 1Q Review 2 5" xfId="35026"/>
    <cellStyle name="_RangeData_East Profit  Loss 1Q Review 2 6" xfId="25232"/>
    <cellStyle name="_RangeData_East Profit  Loss 1Q Review 2 7" xfId="25064"/>
    <cellStyle name="_RangeData_East Profit  Loss 1Q Review 2 8" xfId="25632"/>
    <cellStyle name="_RangeData_East Profit  Loss 1Q Review 2 9" xfId="24940"/>
    <cellStyle name="_RangeData_East Profit  Loss 1Q Review 3" xfId="20600"/>
    <cellStyle name="_RangeData_East Profit  Loss 1Q Review 4" xfId="25665"/>
    <cellStyle name="_RangeData_East Profit  Loss 1Q Review 5" xfId="24882"/>
    <cellStyle name="_RangeProperties" xfId="552"/>
    <cellStyle name="_RangeProperties 2" xfId="12436"/>
    <cellStyle name="_RangeProperties 2 10" xfId="24773"/>
    <cellStyle name="_RangeProperties 2 11" xfId="34459"/>
    <cellStyle name="_RangeProperties 2 12" xfId="33672"/>
    <cellStyle name="_RangeProperties 2 13" xfId="20605"/>
    <cellStyle name="_RangeProperties 2 2" xfId="25828"/>
    <cellStyle name="_RangeProperties 2 3" xfId="34639"/>
    <cellStyle name="_RangeProperties 2 4" xfId="24858"/>
    <cellStyle name="_RangeProperties 2 5" xfId="33831"/>
    <cellStyle name="_RangeProperties 2 6" xfId="36270"/>
    <cellStyle name="_RangeProperties 2 7" xfId="25295"/>
    <cellStyle name="_RangeProperties 2 8" xfId="25479"/>
    <cellStyle name="_RangeProperties 2 9" xfId="25358"/>
    <cellStyle name="_RangeProperties 3" xfId="20601"/>
    <cellStyle name="_RangeProperties 4" xfId="25664"/>
    <cellStyle name="_RangeProperties 5" xfId="37886"/>
    <cellStyle name="_RangePropertiesColumns" xfId="553"/>
    <cellStyle name="_RangePropertiesColumns 2" xfId="12437"/>
    <cellStyle name="_RangePropertiesColumns 2 10" xfId="36641"/>
    <cellStyle name="_RangePropertiesColumns 2 11" xfId="35524"/>
    <cellStyle name="_RangePropertiesColumns 2 12" xfId="33955"/>
    <cellStyle name="_RangePropertiesColumns 2 13" xfId="37723"/>
    <cellStyle name="_RangePropertiesColumns 2 2" xfId="25829"/>
    <cellStyle name="_RangePropertiesColumns 2 3" xfId="34640"/>
    <cellStyle name="_RangePropertiesColumns 2 4" xfId="24859"/>
    <cellStyle name="_RangePropertiesColumns 2 5" xfId="25439"/>
    <cellStyle name="_RangePropertiesColumns 2 6" xfId="24374"/>
    <cellStyle name="_RangePropertiesColumns 2 7" xfId="34484"/>
    <cellStyle name="_RangePropertiesColumns 2 8" xfId="34056"/>
    <cellStyle name="_RangePropertiesColumns 2 9" xfId="35406"/>
    <cellStyle name="_RangePropertiesColumns 3" xfId="20602"/>
    <cellStyle name="_RangePropertiesColumns 4" xfId="25663"/>
    <cellStyle name="_RangePropertiesColumns 5" xfId="33995"/>
    <cellStyle name="_RangeRows" xfId="554"/>
    <cellStyle name="_RangeRows_East Coast Bulk Caustic 2+10" xfId="555"/>
    <cellStyle name="_RangeRows_East Coast Bulk Caustic 2+10 2" xfId="12438"/>
    <cellStyle name="_RangeRows_East Coast Bulk Caustic 2+10 2 10" xfId="24771"/>
    <cellStyle name="_RangeRows_East Coast Bulk Caustic 2+10 2 11" xfId="36873"/>
    <cellStyle name="_RangeRows_East Coast Bulk Caustic 2+10 2 12" xfId="36440"/>
    <cellStyle name="_RangeRows_East Coast Bulk Caustic 2+10 2 13" xfId="37988"/>
    <cellStyle name="_RangeRows_East Coast Bulk Caustic 2+10 2 2" xfId="25830"/>
    <cellStyle name="_RangeRows_East Coast Bulk Caustic 2+10 2 3" xfId="34641"/>
    <cellStyle name="_RangeRows_East Coast Bulk Caustic 2+10 2 4" xfId="36390"/>
    <cellStyle name="_RangeRows_East Coast Bulk Caustic 2+10 2 5" xfId="36207"/>
    <cellStyle name="_RangeRows_East Coast Bulk Caustic 2+10 2 6" xfId="24375"/>
    <cellStyle name="_RangeRows_East Coast Bulk Caustic 2+10 2 7" xfId="35569"/>
    <cellStyle name="_RangeRows_East Coast Bulk Caustic 2+10 2 8" xfId="34495"/>
    <cellStyle name="_RangeRows_East Coast Bulk Caustic 2+10 2 9" xfId="36681"/>
    <cellStyle name="_RangeRows_East Coast Bulk Caustic 2+10 3" xfId="20603"/>
    <cellStyle name="_RangeRows_East Coast Bulk Caustic 2+10 4" xfId="25662"/>
    <cellStyle name="_RangeRows_East Coast Bulk Caustic 2+10 5" xfId="25108"/>
    <cellStyle name="_RangeRows_East Profit  Loss 1Q Review" xfId="556"/>
    <cellStyle name="_RangeRows_East Profit  Loss 1Q Review 2" xfId="12439"/>
    <cellStyle name="_RangeRows_East Profit  Loss 1Q Review 2 10" xfId="35300"/>
    <cellStyle name="_RangeRows_East Profit  Loss 1Q Review 2 11" xfId="35876"/>
    <cellStyle name="_RangeRows_East Profit  Loss 1Q Review 2 12" xfId="36491"/>
    <cellStyle name="_RangeRows_East Profit  Loss 1Q Review 2 13" xfId="24328"/>
    <cellStyle name="_RangeRows_East Profit  Loss 1Q Review 2 2" xfId="25831"/>
    <cellStyle name="_RangeRows_East Profit  Loss 1Q Review 2 3" xfId="34642"/>
    <cellStyle name="_RangeRows_East Profit  Loss 1Q Review 2 4" xfId="35179"/>
    <cellStyle name="_RangeRows_East Profit  Loss 1Q Review 2 5" xfId="33832"/>
    <cellStyle name="_RangeRows_East Profit  Loss 1Q Review 2 6" xfId="34819"/>
    <cellStyle name="_RangeRows_East Profit  Loss 1Q Review 2 7" xfId="24478"/>
    <cellStyle name="_RangeRows_East Profit  Loss 1Q Review 2 8" xfId="33681"/>
    <cellStyle name="_RangeRows_East Profit  Loss 1Q Review 2 9" xfId="25657"/>
    <cellStyle name="_RangeRows_East Profit  Loss 1Q Review 3" xfId="20604"/>
    <cellStyle name="_RangeRows_East Profit  Loss 1Q Review 4" xfId="25661"/>
    <cellStyle name="_RangeRows_East Profit  Loss 1Q Review 5" xfId="24643"/>
    <cellStyle name="_RangeSlicer" xfId="557"/>
    <cellStyle name="_Revised BP 2007-2010" xfId="558"/>
    <cellStyle name="_Roster with Salary and Bonus v2" xfId="16320"/>
    <cellStyle name="_Store Buildup v6" xfId="16321"/>
    <cellStyle name="_Store Buildup v6_1" xfId="16322"/>
    <cellStyle name="_Store Buildup v6_2" xfId="16323"/>
    <cellStyle name="_Store Buildup v6_3" xfId="16324"/>
    <cellStyle name="_Store Buildup v6_4" xfId="16325"/>
    <cellStyle name="_SubHeading" xfId="559"/>
    <cellStyle name="_SubHeading 2" xfId="560"/>
    <cellStyle name="_SubHeading_lbo_long_model" xfId="561"/>
    <cellStyle name="_SubHeading_lbo_long_model 2" xfId="562"/>
    <cellStyle name="_SubHeading_lbo_long_model 2 2" xfId="563"/>
    <cellStyle name="_SubHeading_lbo_long_model 3" xfId="564"/>
    <cellStyle name="_SubHeading_lbo_long_model 4" xfId="565"/>
    <cellStyle name="_SubHeading_lbo_long_model 5" xfId="566"/>
    <cellStyle name="_SubHeading_lbo_long_model_Anaphore 12 31 2008 Draft Analysis 02 19 2009" xfId="567"/>
    <cellStyle name="_SubHeading_lbo_long_model_Anaphore 12 31 2008 Draft Analysis 02 20 2009 - DM REVISED" xfId="568"/>
    <cellStyle name="_SubHeading_lbo_long_model_Book2" xfId="569"/>
    <cellStyle name="_SubHeading_lbo_long_model_Book2 2" xfId="570"/>
    <cellStyle name="_SubHeading_lbo_long_model_Boston Power VD 01 31 2008 Model 02 26 2008" xfId="571"/>
    <cellStyle name="_SubHeading_lbo_long_model_Boston Power VD 01 31 2008 Model 02 26 2008 2" xfId="572"/>
    <cellStyle name="_SubHeading_lbo_long_model_Boston Power VD 01 31 2008 Model 02 26 2008 2 2" xfId="573"/>
    <cellStyle name="_SubHeading_lbo_long_model_Boston Power VD 01 31 2008 Model 02 26 2008 3" xfId="574"/>
    <cellStyle name="_SubHeading_lbo_long_model_Boston Power VD 01 31 2008 Model 02 26 2008 4" xfId="575"/>
    <cellStyle name="_SubHeading_lbo_long_model_Boston Power VD 01 31 2008 Model 02 26 2008 5" xfId="576"/>
    <cellStyle name="_SubHeading_lbo_long_model_Boston Power VD 01 31 2008 Model 02 26 2008_CompanyABC Valuation Draft Model 04 21 2009" xfId="577"/>
    <cellStyle name="_SubHeading_lbo_long_model_Boston Power VD 01 31 2008 Model 02 26 2008_CompanyABC Valuation Draft Model 04 21 2009 2" xfId="578"/>
    <cellStyle name="_SubHeading_lbo_long_model_Boston Power VD 01 31 2008 Model 02 26 2008_DB" xfId="579"/>
    <cellStyle name="_SubHeading_lbo_long_model_Boston Power VD 01 31 2008 Model 02 26 2008_DB 2" xfId="580"/>
    <cellStyle name="_SubHeading_lbo_long_model_Boston Power VD 01 31 2008 Model 02 26 2008_DB 2 2" xfId="581"/>
    <cellStyle name="_SubHeading_lbo_long_model_Boston Power VD 01 31 2008 Model 02 26 2008_FAS 157 Model Template 04 26 2009" xfId="582"/>
    <cellStyle name="_SubHeading_lbo_long_model_Boston Power VD 01 31 2008 Model 02 26 2008_FAS 157 Model Template 04 26 2009 2" xfId="583"/>
    <cellStyle name="_SubHeading_lbo_long_model_Boston Power VD 01 31 2008 Model 02 26 2008_Miragen VD 05 31 2008 Model 05 22 2009" xfId="584"/>
    <cellStyle name="_SubHeading_lbo_long_model_Cap Table Inputs" xfId="585"/>
    <cellStyle name="_SubHeading_lbo_long_model_Cap Table Inputs 2" xfId="586"/>
    <cellStyle name="_SubHeading_lbo_long_model_Cap Table Inputs 2 2" xfId="587"/>
    <cellStyle name="_SubHeading_lbo_long_model_Cap Table Inputs 3" xfId="588"/>
    <cellStyle name="_SubHeading_lbo_long_model_Cap Table Inputs 4" xfId="589"/>
    <cellStyle name="_SubHeading_lbo_long_model_Cap Table Inputs 5" xfId="590"/>
    <cellStyle name="_SubHeading_lbo_long_model_Cap Table Inputs_CompanyABC Valuation Draft Model 04 21 2009" xfId="591"/>
    <cellStyle name="_SubHeading_lbo_long_model_Cap Table Inputs_CompanyABC Valuation Draft Model 04 21 2009 2" xfId="592"/>
    <cellStyle name="_SubHeading_lbo_long_model_Cap Table Inputs_DB" xfId="593"/>
    <cellStyle name="_SubHeading_lbo_long_model_Cap Table Inputs_DB 2" xfId="594"/>
    <cellStyle name="_SubHeading_lbo_long_model_Cap Table Inputs_DB 2 2" xfId="595"/>
    <cellStyle name="_SubHeading_lbo_long_model_Cap Table Inputs_FAS 157 Model Template 04 26 2009" xfId="596"/>
    <cellStyle name="_SubHeading_lbo_long_model_Cap Table Inputs_FAS 157 Model Template 04 26 2009 2" xfId="597"/>
    <cellStyle name="_SubHeading_lbo_long_model_Cap Table Inputs_Miragen VD 05 31 2008 Model 05 22 2009" xfId="598"/>
    <cellStyle name="_SubHeading_lbo_long_model_CardioSolutions 05 31 2007 Final Model 09 27 2007" xfId="599"/>
    <cellStyle name="_SubHeading_lbo_long_model_CardioSolutions 05 31 2007 Final Model 09 27 2007 2" xfId="600"/>
    <cellStyle name="_SubHeading_lbo_long_model_CardioSolutions 05 31 2007 Final Model 09 27 2007 2 2" xfId="601"/>
    <cellStyle name="_SubHeading_lbo_long_model_CardioSolutions 05 31 2007 Final Model 09 27 2007 3" xfId="602"/>
    <cellStyle name="_SubHeading_lbo_long_model_CardioSolutions 05 31 2007 Final Model 09 27 2007 4" xfId="603"/>
    <cellStyle name="_SubHeading_lbo_long_model_CardioSolutions 05 31 2007 Final Model 09 27 2007 5" xfId="604"/>
    <cellStyle name="_SubHeading_lbo_long_model_CardioSolutions 05 31 2007 Final Model 09 27 2007_CompanyABC Valuation Draft Model 04 21 2009" xfId="605"/>
    <cellStyle name="_SubHeading_lbo_long_model_CardioSolutions 05 31 2007 Final Model 09 27 2007_CompanyABC Valuation Draft Model 04 21 2009 2" xfId="606"/>
    <cellStyle name="_SubHeading_lbo_long_model_CardioSolutions 05 31 2007 Final Model 09 27 2007_DB" xfId="607"/>
    <cellStyle name="_SubHeading_lbo_long_model_CardioSolutions 05 31 2007 Final Model 09 27 2007_DB 2" xfId="608"/>
    <cellStyle name="_SubHeading_lbo_long_model_CardioSolutions 05 31 2007 Final Model 09 27 2007_DB 2 2" xfId="609"/>
    <cellStyle name="_SubHeading_lbo_long_model_CardioSolutions 05 31 2007 Final Model 09 27 2007_FAS 157 Model Template 04 26 2009" xfId="610"/>
    <cellStyle name="_SubHeading_lbo_long_model_CardioSolutions 05 31 2007 Final Model 09 27 2007_FAS 157 Model Template 04 26 2009 2" xfId="611"/>
    <cellStyle name="_SubHeading_lbo_long_model_CardioSolutions 05 31 2007 Final Model 09 27 2007_Miragen VD 05 31 2008 Model 05 22 2009" xfId="612"/>
    <cellStyle name="_SubHeading_lbo_long_model_CardioSolutions VD 05 31 08 Draft Model 07 15 2008" xfId="613"/>
    <cellStyle name="_SubHeading_lbo_long_model_CardioSolutions VD 05 31 08 Draft Model 07 15 2008 2" xfId="614"/>
    <cellStyle name="_SubHeading_lbo_long_model_CardioSolutions VD 05 31 08 Draft Model 08 06 08-u" xfId="615"/>
    <cellStyle name="_SubHeading_lbo_long_model_CardioSolutions VD 05 31 08 Draft Model 08 06 08-u 2" xfId="616"/>
    <cellStyle name="_SubHeading_lbo_long_model_CompanyABC Valuation Draft Model 04 21 2009" xfId="617"/>
    <cellStyle name="_SubHeading_lbo_long_model_CompanyABC Valuation Draft Model 04 21 2009 2" xfId="618"/>
    <cellStyle name="_SubHeading_lbo_long_model_CompanyABC Valuation Model Draft 07 07 2008" xfId="619"/>
    <cellStyle name="_SubHeading_lbo_long_model_CompanyABC Valuation Model Draft 07 07 2008 2" xfId="620"/>
    <cellStyle name="_SubHeading_lbo_long_model_CompanyABC Valuation Model Draft 08 07 2008" xfId="621"/>
    <cellStyle name="_SubHeading_lbo_long_model_CompanyABC Valuation Model Draft 08 07 2008 2" xfId="622"/>
    <cellStyle name="_SubHeading_lbo_long_model_CompanyABC Valuation Model Draft 08 25 2008" xfId="623"/>
    <cellStyle name="_SubHeading_lbo_long_model_CompanyABC Valuation Model Draft 08 25 2008 2" xfId="624"/>
    <cellStyle name="_SubHeading_lbo_long_model_CompanyABC Valuation Model Draft 09 25 2008-Team Liquidity" xfId="625"/>
    <cellStyle name="_SubHeading_lbo_long_model_CompanyABC Valuation Model Draft 09 25 2008-Team Liquidity 2" xfId="626"/>
    <cellStyle name="_SubHeading_lbo_long_model_CompanyABC Valuation Model Draft 10 01 2008" xfId="627"/>
    <cellStyle name="_SubHeading_lbo_long_model_CompanyABC Valuation Model Draft 10 01 2008 2" xfId="628"/>
    <cellStyle name="_SubHeading_lbo_long_model_CompanyABC Valuation Model Draft 10 27 2008" xfId="629"/>
    <cellStyle name="_SubHeading_lbo_long_model_CompanyABC Valuation Model Draft 10 27 2008 2" xfId="630"/>
    <cellStyle name="_SubHeading_lbo_long_model_DB" xfId="631"/>
    <cellStyle name="_SubHeading_lbo_long_model_DB 2" xfId="632"/>
    <cellStyle name="_SubHeading_lbo_long_model_EXAMPLE model C-5" xfId="633"/>
    <cellStyle name="_SubHeading_lbo_long_model_EXAMPLE model C-5 2" xfId="634"/>
    <cellStyle name="_SubHeading_lbo_long_model_FAS 157 Model Template 04 26 2009" xfId="635"/>
    <cellStyle name="_SubHeading_lbo_long_model_FAS 157 Model Template 04 26 2009 2" xfId="636"/>
    <cellStyle name="_SubHeading_lbo_long_model_Great Call VD 09 30 08 Draft Model 11 20 08" xfId="637"/>
    <cellStyle name="_SubHeading_lbo_long_model_Great Call VD 09 30 08 Draft Model 11 20 08 2" xfId="638"/>
    <cellStyle name="_SubHeading_lbo_long_model_Intermedia, Inc. VD 05 31 08 Draft Model 07 16 2008" xfId="639"/>
    <cellStyle name="_SubHeading_lbo_long_model_Intermedia, Inc. VD 05 31 08 Draft Model 07 16 2008 2" xfId="640"/>
    <cellStyle name="_SubHeading_lbo_long_model_Island Data Corporatin VD 06 30 08 Projections and Comparables 08 11 2008" xfId="641"/>
    <cellStyle name="_SubHeading_lbo_long_model_Island Data Corporatin VD 06 30 08 Projections and Comparables 08 11 2008 2" xfId="642"/>
    <cellStyle name="_SubHeading_lbo_long_model_Jentro Tech VD 03 31 2008 Model 04 10 2008" xfId="643"/>
    <cellStyle name="_SubHeading_lbo_long_model_Jentro Tech VD 03 31 2008 Model 04 10 2008 2" xfId="644"/>
    <cellStyle name="_SubHeading_lbo_long_model_Kythera Biopharmaceuticals VD 05 16 08 Draft Analysis 07 01 08" xfId="645"/>
    <cellStyle name="_SubHeading_lbo_long_model_Kythera Biopharmaceuticals VD 05 16 08 Draft Analysis 07 01 08 2" xfId="646"/>
    <cellStyle name="_SubHeading_lbo_long_model_Kythera Biopharmaceuticals VD 05 16 08 Final Model 07 20 08" xfId="647"/>
    <cellStyle name="_SubHeading_lbo_long_model_Kythera Biopharmaceuticals VD 05 16 08 Final Model 07 20 08 2" xfId="648"/>
    <cellStyle name="_SubHeading_lbo_long_model_Kythera Biopharmaceuticals, Inc. VD 5 16 2008 Draft 5 24 2008" xfId="649"/>
    <cellStyle name="_SubHeading_lbo_long_model_Kythera Biopharmaceuticals, Inc. VD 5 16 2008 Draft 5 24 2008 2" xfId="650"/>
    <cellStyle name="_SubHeading_lbo_long_model_Miragen VD 05 31 2008 Model 05 22 2009" xfId="651"/>
    <cellStyle name="_SubHeading_lbo_long_model_Notes" xfId="652"/>
    <cellStyle name="_SubHeading_lbo_long_model_Notes 2" xfId="653"/>
    <cellStyle name="_SubHeading_lbo_long_model_OMT VD 10 15 2008 Draft Analysis 12 17 2008.xls" xfId="654"/>
    <cellStyle name="_SubHeading_lbo_long_model_PubComps IPO -C-7" xfId="655"/>
    <cellStyle name="_SubHeading_lbo_long_model_PubComps IPO -C-7 2" xfId="656"/>
    <cellStyle name="_SubHeading_lbo_long_model_Tmax Soft VD 07 31 2008 Draft Model 08 20 2008" xfId="657"/>
    <cellStyle name="_SubHeading_lbo_long_model_Tmax Soft VD 07 31 2008 Draft Model 08 20 2008 2" xfId="658"/>
    <cellStyle name="_SubHeading_lbo_long_model_WACC -E-2" xfId="659"/>
    <cellStyle name="_SubHeading_lbo_long_model_WACC -E-2 2" xfId="660"/>
    <cellStyle name="_SubHeading_lbo_long_model_Xmos Limited VD 05 13 2008  Model 06 04 08" xfId="661"/>
    <cellStyle name="_SubHeading_lbo_long_model_Xmos Limited VD 05 13 2008  Model 06 04 08 2" xfId="662"/>
    <cellStyle name="_SubHeading_prestemp" xfId="663"/>
    <cellStyle name="_SubHeading_prestemp 2" xfId="664"/>
    <cellStyle name="_SubHeading_prestemp 2 2" xfId="665"/>
    <cellStyle name="_SubHeading_prestemp 3" xfId="666"/>
    <cellStyle name="_SubHeading_prestemp 4" xfId="667"/>
    <cellStyle name="_SubHeading_prestemp 5" xfId="668"/>
    <cellStyle name="_SubHeading_prestemp_1" xfId="669"/>
    <cellStyle name="_SubHeading_prestemp_1_Cyrela - Goldzstein - Financial Model - v1" xfId="670"/>
    <cellStyle name="_SubHeading_prestemp_1_Cyrela - Goldzstein - Financial Model - v5" xfId="671"/>
    <cellStyle name="_SubHeading_prestemp_1_Gas Natural - Financial Model - April 18 2008 - v1" xfId="672"/>
    <cellStyle name="_SubHeading_prestemp_1_Gas Natural - Financial Model - April 18 2008 - v2" xfId="673"/>
    <cellStyle name="_SubHeading_prestemp_1_Gas Natural - Financial Model - May 20, 2009" xfId="674"/>
    <cellStyle name="_SubHeading_prestemp_1_Goldzstein Cyrela - Financial Model - v7" xfId="675"/>
    <cellStyle name="_SubHeading_prestemp_1_Grupo Ibmec - Financial Model - v2" xfId="676"/>
    <cellStyle name="_SubHeading_prestemp_1_Grupo Ibmec - Financial Model - v5" xfId="677"/>
    <cellStyle name="_SubHeading_prestemp_1_Independencia - Financial Model - Dec 02 2008 - v3" xfId="678"/>
    <cellStyle name="_SubHeading_prestemp_1_Independencia - Financial Model - Nov 24 2008" xfId="679"/>
    <cellStyle name="_SubHeading_prestemp_1_Medley_Financial_Model_v5" xfId="680"/>
    <cellStyle name="_SubHeading_prestemp_1_Medley_Financial_Model_v5_Ubiquiti Ownership Table" xfId="681"/>
    <cellStyle name="_SubHeading_prestemp_1_Project Emet - Forecasts" xfId="682"/>
    <cellStyle name="_SubHeading_prestemp_1_Rumo_Financial_Model_05jun2009_v1" xfId="683"/>
    <cellStyle name="_SubHeading_prestemp_1_Rumo_Financial_Model_05jun2009_v4" xfId="684"/>
    <cellStyle name="_SubHeading_prestemp_1_Rumo_Financial_Model_05jun2009_v5" xfId="685"/>
    <cellStyle name="_SubHeading_prestemp_1_Rumo_Financial_Model_05jun2009_v6" xfId="686"/>
    <cellStyle name="_SubHeading_prestemp_1_SCPC_Financial_Model_10jun2009_v2" xfId="687"/>
    <cellStyle name="_SubHeading_prestemp_1_SCPC_Financial_Model_17jun2009_v5" xfId="688"/>
    <cellStyle name="_SubHeading_prestemp_Anaphore 12 31 2008 Draft Analysis 02 19 2009" xfId="689"/>
    <cellStyle name="_SubHeading_prestemp_Anaphore 12 31 2008 Draft Analysis 02 20 2009 - DM REVISED" xfId="690"/>
    <cellStyle name="_SubHeading_prestemp_Book2" xfId="691"/>
    <cellStyle name="_SubHeading_prestemp_Book2 2" xfId="692"/>
    <cellStyle name="_SubHeading_prestemp_Boston Power VD 01 31 2008 Model 02 26 2008" xfId="693"/>
    <cellStyle name="_SubHeading_prestemp_Boston Power VD 01 31 2008 Model 02 26 2008 2" xfId="694"/>
    <cellStyle name="_SubHeading_prestemp_Boston Power VD 01 31 2008 Model 02 26 2008 2 2" xfId="695"/>
    <cellStyle name="_SubHeading_prestemp_Boston Power VD 01 31 2008 Model 02 26 2008 3" xfId="696"/>
    <cellStyle name="_SubHeading_prestemp_Boston Power VD 01 31 2008 Model 02 26 2008 4" xfId="697"/>
    <cellStyle name="_SubHeading_prestemp_Boston Power VD 01 31 2008 Model 02 26 2008 5" xfId="698"/>
    <cellStyle name="_SubHeading_prestemp_Boston Power VD 01 31 2008 Model 02 26 2008_CompanyABC Valuation Draft Model 04 21 2009" xfId="699"/>
    <cellStyle name="_SubHeading_prestemp_Boston Power VD 01 31 2008 Model 02 26 2008_CompanyABC Valuation Draft Model 04 21 2009 2" xfId="700"/>
    <cellStyle name="_SubHeading_prestemp_Boston Power VD 01 31 2008 Model 02 26 2008_DB" xfId="701"/>
    <cellStyle name="_SubHeading_prestemp_Boston Power VD 01 31 2008 Model 02 26 2008_DB 2" xfId="702"/>
    <cellStyle name="_SubHeading_prestemp_Boston Power VD 01 31 2008 Model 02 26 2008_DB 2 2" xfId="703"/>
    <cellStyle name="_SubHeading_prestemp_Boston Power VD 01 31 2008 Model 02 26 2008_FAS 157 Model Template 04 26 2009" xfId="704"/>
    <cellStyle name="_SubHeading_prestemp_Boston Power VD 01 31 2008 Model 02 26 2008_FAS 157 Model Template 04 26 2009 2" xfId="705"/>
    <cellStyle name="_SubHeading_prestemp_Boston Power VD 01 31 2008 Model 02 26 2008_Miragen VD 05 31 2008 Model 05 22 2009" xfId="706"/>
    <cellStyle name="_SubHeading_prestemp_Cap Table Inputs" xfId="707"/>
    <cellStyle name="_SubHeading_prestemp_Cap Table Inputs 2" xfId="708"/>
    <cellStyle name="_SubHeading_prestemp_Cap Table Inputs 2 2" xfId="709"/>
    <cellStyle name="_SubHeading_prestemp_Cap Table Inputs 3" xfId="710"/>
    <cellStyle name="_SubHeading_prestemp_Cap Table Inputs 4" xfId="711"/>
    <cellStyle name="_SubHeading_prestemp_Cap Table Inputs 5" xfId="712"/>
    <cellStyle name="_SubHeading_prestemp_Cap Table Inputs_CompanyABC Valuation Draft Model 04 21 2009" xfId="713"/>
    <cellStyle name="_SubHeading_prestemp_Cap Table Inputs_CompanyABC Valuation Draft Model 04 21 2009 2" xfId="714"/>
    <cellStyle name="_SubHeading_prestemp_Cap Table Inputs_DB" xfId="715"/>
    <cellStyle name="_SubHeading_prestemp_Cap Table Inputs_DB 2" xfId="716"/>
    <cellStyle name="_SubHeading_prestemp_Cap Table Inputs_DB 2 2" xfId="717"/>
    <cellStyle name="_SubHeading_prestemp_Cap Table Inputs_FAS 157 Model Template 04 26 2009" xfId="718"/>
    <cellStyle name="_SubHeading_prestemp_Cap Table Inputs_FAS 157 Model Template 04 26 2009 2" xfId="719"/>
    <cellStyle name="_SubHeading_prestemp_Cap Table Inputs_Miragen VD 05 31 2008 Model 05 22 2009" xfId="720"/>
    <cellStyle name="_SubHeading_prestemp_CardioSolutions 05 31 2007 Final Model 09 27 2007" xfId="721"/>
    <cellStyle name="_SubHeading_prestemp_CardioSolutions 05 31 2007 Final Model 09 27 2007 2" xfId="722"/>
    <cellStyle name="_SubHeading_prestemp_CardioSolutions 05 31 2007 Final Model 09 27 2007 2 2" xfId="723"/>
    <cellStyle name="_SubHeading_prestemp_CardioSolutions 05 31 2007 Final Model 09 27 2007 3" xfId="724"/>
    <cellStyle name="_SubHeading_prestemp_CardioSolutions 05 31 2007 Final Model 09 27 2007 4" xfId="725"/>
    <cellStyle name="_SubHeading_prestemp_CardioSolutions 05 31 2007 Final Model 09 27 2007 5" xfId="726"/>
    <cellStyle name="_SubHeading_prestemp_CardioSolutions 05 31 2007 Final Model 09 27 2007_CompanyABC Valuation Draft Model 04 21 2009" xfId="727"/>
    <cellStyle name="_SubHeading_prestemp_CardioSolutions 05 31 2007 Final Model 09 27 2007_CompanyABC Valuation Draft Model 04 21 2009 2" xfId="728"/>
    <cellStyle name="_SubHeading_prestemp_CardioSolutions 05 31 2007 Final Model 09 27 2007_DB" xfId="729"/>
    <cellStyle name="_SubHeading_prestemp_CardioSolutions 05 31 2007 Final Model 09 27 2007_DB 2" xfId="730"/>
    <cellStyle name="_SubHeading_prestemp_CardioSolutions 05 31 2007 Final Model 09 27 2007_DB 2 2" xfId="731"/>
    <cellStyle name="_SubHeading_prestemp_CardioSolutions 05 31 2007 Final Model 09 27 2007_FAS 157 Model Template 04 26 2009" xfId="732"/>
    <cellStyle name="_SubHeading_prestemp_CardioSolutions 05 31 2007 Final Model 09 27 2007_FAS 157 Model Template 04 26 2009 2" xfId="733"/>
    <cellStyle name="_SubHeading_prestemp_CardioSolutions 05 31 2007 Final Model 09 27 2007_Miragen VD 05 31 2008 Model 05 22 2009" xfId="734"/>
    <cellStyle name="_SubHeading_prestemp_CardioSolutions VD 05 31 08 Draft Model 07 15 2008" xfId="735"/>
    <cellStyle name="_SubHeading_prestemp_CardioSolutions VD 05 31 08 Draft Model 07 15 2008 2" xfId="736"/>
    <cellStyle name="_SubHeading_prestemp_CardioSolutions VD 05 31 08 Draft Model 08 06 08-u" xfId="737"/>
    <cellStyle name="_SubHeading_prestemp_CardioSolutions VD 05 31 08 Draft Model 08 06 08-u 2" xfId="738"/>
    <cellStyle name="_SubHeading_prestemp_CompanyABC Valuation Draft Model 04 21 2009" xfId="739"/>
    <cellStyle name="_SubHeading_prestemp_CompanyABC Valuation Draft Model 04 21 2009 2" xfId="740"/>
    <cellStyle name="_SubHeading_prestemp_CompanyABC Valuation Model Draft 07 07 2008" xfId="741"/>
    <cellStyle name="_SubHeading_prestemp_CompanyABC Valuation Model Draft 07 07 2008 2" xfId="742"/>
    <cellStyle name="_SubHeading_prestemp_CompanyABC Valuation Model Draft 08 07 2008" xfId="743"/>
    <cellStyle name="_SubHeading_prestemp_CompanyABC Valuation Model Draft 08 07 2008 2" xfId="744"/>
    <cellStyle name="_SubHeading_prestemp_CompanyABC Valuation Model Draft 08 25 2008" xfId="745"/>
    <cellStyle name="_SubHeading_prestemp_CompanyABC Valuation Model Draft 08 25 2008 2" xfId="746"/>
    <cellStyle name="_SubHeading_prestemp_CompanyABC Valuation Model Draft 09 25 2008-Team Liquidity" xfId="747"/>
    <cellStyle name="_SubHeading_prestemp_CompanyABC Valuation Model Draft 09 25 2008-Team Liquidity 2" xfId="748"/>
    <cellStyle name="_SubHeading_prestemp_CompanyABC Valuation Model Draft 10 01 2008" xfId="749"/>
    <cellStyle name="_SubHeading_prestemp_CompanyABC Valuation Model Draft 10 01 2008 2" xfId="750"/>
    <cellStyle name="_SubHeading_prestemp_CompanyABC Valuation Model Draft 10 27 2008" xfId="751"/>
    <cellStyle name="_SubHeading_prestemp_CompanyABC Valuation Model Draft 10 27 2008 2" xfId="752"/>
    <cellStyle name="_SubHeading_prestemp_DB" xfId="753"/>
    <cellStyle name="_SubHeading_prestemp_DB 2" xfId="754"/>
    <cellStyle name="_SubHeading_prestemp_EXAMPLE model C-5" xfId="755"/>
    <cellStyle name="_SubHeading_prestemp_EXAMPLE model C-5 2" xfId="756"/>
    <cellStyle name="_SubHeading_prestemp_FAS 157 Model Template 04 26 2009" xfId="757"/>
    <cellStyle name="_SubHeading_prestemp_FAS 157 Model Template 04 26 2009 2" xfId="758"/>
    <cellStyle name="_SubHeading_prestemp_Great Call VD 09 30 08 Draft Model 11 20 08" xfId="759"/>
    <cellStyle name="_SubHeading_prestemp_Great Call VD 09 30 08 Draft Model 11 20 08 2" xfId="760"/>
    <cellStyle name="_SubHeading_prestemp_Intermedia, Inc. VD 05 31 08 Draft Model 07 16 2008" xfId="761"/>
    <cellStyle name="_SubHeading_prestemp_Intermedia, Inc. VD 05 31 08 Draft Model 07 16 2008 2" xfId="762"/>
    <cellStyle name="_SubHeading_prestemp_Island Data Corporatin VD 06 30 08 Projections and Comparables 08 11 2008" xfId="763"/>
    <cellStyle name="_SubHeading_prestemp_Island Data Corporatin VD 06 30 08 Projections and Comparables 08 11 2008 2" xfId="764"/>
    <cellStyle name="_SubHeading_prestemp_Jentro Tech VD 03 31 2008 Model 04 10 2008" xfId="765"/>
    <cellStyle name="_SubHeading_prestemp_Jentro Tech VD 03 31 2008 Model 04 10 2008 2" xfId="766"/>
    <cellStyle name="_SubHeading_prestemp_Kythera Biopharmaceuticals VD 05 16 08 Draft Analysis 07 01 08" xfId="767"/>
    <cellStyle name="_SubHeading_prestemp_Kythera Biopharmaceuticals VD 05 16 08 Draft Analysis 07 01 08 2" xfId="768"/>
    <cellStyle name="_SubHeading_prestemp_Kythera Biopharmaceuticals VD 05 16 08 Final Model 07 20 08" xfId="769"/>
    <cellStyle name="_SubHeading_prestemp_Kythera Biopharmaceuticals VD 05 16 08 Final Model 07 20 08 2" xfId="770"/>
    <cellStyle name="_SubHeading_prestemp_Kythera Biopharmaceuticals, Inc. VD 5 16 2008 Draft 5 24 2008" xfId="771"/>
    <cellStyle name="_SubHeading_prestemp_Kythera Biopharmaceuticals, Inc. VD 5 16 2008 Draft 5 24 2008 2" xfId="772"/>
    <cellStyle name="_SubHeading_prestemp_Miragen VD 05 31 2008 Model 05 22 2009" xfId="773"/>
    <cellStyle name="_SubHeading_prestemp_Notes" xfId="774"/>
    <cellStyle name="_SubHeading_prestemp_Notes 2" xfId="775"/>
    <cellStyle name="_SubHeading_prestemp_OMT VD 10 15 2008 Draft Analysis 12 17 2008.xls" xfId="776"/>
    <cellStyle name="_SubHeading_prestemp_PubComps IPO -C-7" xfId="777"/>
    <cellStyle name="_SubHeading_prestemp_PubComps IPO -C-7 2" xfId="778"/>
    <cellStyle name="_SubHeading_prestemp_Tmax Soft VD 07 31 2008 Draft Model 08 20 2008" xfId="779"/>
    <cellStyle name="_SubHeading_prestemp_Tmax Soft VD 07 31 2008 Draft Model 08 20 2008 2" xfId="780"/>
    <cellStyle name="_SubHeading_prestemp_WACC -E-2" xfId="781"/>
    <cellStyle name="_SubHeading_prestemp_WACC -E-2 2" xfId="782"/>
    <cellStyle name="_SubHeading_prestemp_Xmos Limited VD 05 13 2008  Model 06 04 08" xfId="783"/>
    <cellStyle name="_SubHeading_prestemp_Xmos Limited VD 05 13 2008  Model 06 04 08 2" xfId="784"/>
    <cellStyle name="_Table" xfId="785"/>
    <cellStyle name="_Table 2" xfId="786"/>
    <cellStyle name="_Table__DCF Template" xfId="787"/>
    <cellStyle name="_Table__DCF Template 10" xfId="35453"/>
    <cellStyle name="_Table__DCF Template 11" xfId="36788"/>
    <cellStyle name="_Table__DCF Template 12" xfId="20606"/>
    <cellStyle name="_Table__DCF Template 13" xfId="34801"/>
    <cellStyle name="_Table__DCF Template 2" xfId="788"/>
    <cellStyle name="_Table__DCF Template 2 10" xfId="24226"/>
    <cellStyle name="_Table__DCF Template 2 11" xfId="34839"/>
    <cellStyle name="_Table__DCF Template 2 12" xfId="34507"/>
    <cellStyle name="_Table__DCF Template 2 2" xfId="16388"/>
    <cellStyle name="_Table__DCF Template 2 2 10" xfId="36470"/>
    <cellStyle name="_Table__DCF Template 2 2 11" xfId="37951"/>
    <cellStyle name="_Table__DCF Template 2 2 12" xfId="34514"/>
    <cellStyle name="_Table__DCF Template 2 2 13" xfId="24957"/>
    <cellStyle name="_Table__DCF Template 2 2 14" xfId="25636"/>
    <cellStyle name="_Table__DCF Template 2 2 15" xfId="25249"/>
    <cellStyle name="_Table__DCF Template 2 2 2" xfId="29667"/>
    <cellStyle name="_Table__DCF Template 2 2 3" xfId="35799"/>
    <cellStyle name="_Table__DCF Template 2 2 4" xfId="34830"/>
    <cellStyle name="_Table__DCF Template 2 2 5" xfId="35371"/>
    <cellStyle name="_Table__DCF Template 2 2 6" xfId="25061"/>
    <cellStyle name="_Table__DCF Template 2 2 7" xfId="24291"/>
    <cellStyle name="_Table__DCF Template 2 2 8" xfId="34396"/>
    <cellStyle name="_Table__DCF Template 2 2 9" xfId="34844"/>
    <cellStyle name="_Table__DCF Template 2 3" xfId="20629"/>
    <cellStyle name="_Table__DCF Template 2 4" xfId="25598"/>
    <cellStyle name="_Table__DCF Template 2 5" xfId="37026"/>
    <cellStyle name="_Table__DCF Template 2 6" xfId="24766"/>
    <cellStyle name="_Table__DCF Template 2 7" xfId="34467"/>
    <cellStyle name="_Table__DCF Template 2 8" xfId="24267"/>
    <cellStyle name="_Table__DCF Template 2 9" xfId="35771"/>
    <cellStyle name="_Table__DCF Template 3" xfId="16387"/>
    <cellStyle name="_Table__DCF Template 3 10" xfId="36667"/>
    <cellStyle name="_Table__DCF Template 3 11" xfId="33942"/>
    <cellStyle name="_Table__DCF Template 3 12" xfId="36363"/>
    <cellStyle name="_Table__DCF Template 3 13" xfId="36663"/>
    <cellStyle name="_Table__DCF Template 3 14" xfId="24337"/>
    <cellStyle name="_Table__DCF Template 3 15" xfId="38275"/>
    <cellStyle name="_Table__DCF Template 3 2" xfId="29666"/>
    <cellStyle name="_Table__DCF Template 3 3" xfId="35798"/>
    <cellStyle name="_Table__DCF Template 3 4" xfId="36004"/>
    <cellStyle name="_Table__DCF Template 3 5" xfId="36568"/>
    <cellStyle name="_Table__DCF Template 3 6" xfId="36379"/>
    <cellStyle name="_Table__DCF Template 3 7" xfId="36284"/>
    <cellStyle name="_Table__DCF Template 3 8" xfId="36466"/>
    <cellStyle name="_Table__DCF Template 3 9" xfId="34712"/>
    <cellStyle name="_Table__DCF Template 4" xfId="20628"/>
    <cellStyle name="_Table__DCF Template 5" xfId="33550"/>
    <cellStyle name="_Table__DCF Template 6" xfId="34489"/>
    <cellStyle name="_Table__DCF Template 7" xfId="37337"/>
    <cellStyle name="_Table__DCF Template 8" xfId="35891"/>
    <cellStyle name="_Table__DCF Template 9" xfId="37993"/>
    <cellStyle name="_Table_04 Alaska Model 2002-05-31 GS" xfId="789"/>
    <cellStyle name="_Table_04 Alaska Model 2002-05-31 GS 10" xfId="35493"/>
    <cellStyle name="_Table_04 Alaska Model 2002-05-31 GS 11" xfId="38294"/>
    <cellStyle name="_Table_04 Alaska Model 2002-05-31 GS 12" xfId="36949"/>
    <cellStyle name="_Table_04 Alaska Model 2002-05-31 GS 13" xfId="36252"/>
    <cellStyle name="_Table_04 Alaska Model 2002-05-31 GS 2" xfId="790"/>
    <cellStyle name="_Table_04 Alaska Model 2002-05-31 GS 2 10" xfId="24483"/>
    <cellStyle name="_Table_04 Alaska Model 2002-05-31 GS 2 11" xfId="34727"/>
    <cellStyle name="_Table_04 Alaska Model 2002-05-31 GS 2 12" xfId="25752"/>
    <cellStyle name="_Table_04 Alaska Model 2002-05-31 GS 2 2" xfId="16390"/>
    <cellStyle name="_Table_04 Alaska Model 2002-05-31 GS 2 2 10" xfId="36164"/>
    <cellStyle name="_Table_04 Alaska Model 2002-05-31 GS 2 2 11" xfId="36225"/>
    <cellStyle name="_Table_04 Alaska Model 2002-05-31 GS 2 2 12" xfId="25749"/>
    <cellStyle name="_Table_04 Alaska Model 2002-05-31 GS 2 2 13" xfId="36522"/>
    <cellStyle name="_Table_04 Alaska Model 2002-05-31 GS 2 2 14" xfId="25682"/>
    <cellStyle name="_Table_04 Alaska Model 2002-05-31 GS 2 2 15" xfId="34835"/>
    <cellStyle name="_Table_04 Alaska Model 2002-05-31 GS 2 2 2" xfId="29669"/>
    <cellStyle name="_Table_04 Alaska Model 2002-05-31 GS 2 2 3" xfId="35801"/>
    <cellStyle name="_Table_04 Alaska Model 2002-05-31 GS 2 2 4" xfId="36003"/>
    <cellStyle name="_Table_04 Alaska Model 2002-05-31 GS 2 2 5" xfId="35849"/>
    <cellStyle name="_Table_04 Alaska Model 2002-05-31 GS 2 2 6" xfId="35479"/>
    <cellStyle name="_Table_04 Alaska Model 2002-05-31 GS 2 2 7" xfId="34504"/>
    <cellStyle name="_Table_04 Alaska Model 2002-05-31 GS 2 2 8" xfId="24398"/>
    <cellStyle name="_Table_04 Alaska Model 2002-05-31 GS 2 2 9" xfId="37456"/>
    <cellStyle name="_Table_04 Alaska Model 2002-05-31 GS 2 3" xfId="20631"/>
    <cellStyle name="_Table_04 Alaska Model 2002-05-31 GS 2 4" xfId="25590"/>
    <cellStyle name="_Table_04 Alaska Model 2002-05-31 GS 2 5" xfId="34487"/>
    <cellStyle name="_Table_04 Alaska Model 2002-05-31 GS 2 6" xfId="36479"/>
    <cellStyle name="_Table_04 Alaska Model 2002-05-31 GS 2 7" xfId="37707"/>
    <cellStyle name="_Table_04 Alaska Model 2002-05-31 GS 2 8" xfId="25019"/>
    <cellStyle name="_Table_04 Alaska Model 2002-05-31 GS 2 9" xfId="33850"/>
    <cellStyle name="_Table_04 Alaska Model 2002-05-31 GS 3" xfId="16389"/>
    <cellStyle name="_Table_04 Alaska Model 2002-05-31 GS 3 10" xfId="24336"/>
    <cellStyle name="_Table_04 Alaska Model 2002-05-31 GS 3 11" xfId="34827"/>
    <cellStyle name="_Table_04 Alaska Model 2002-05-31 GS 3 12" xfId="34982"/>
    <cellStyle name="_Table_04 Alaska Model 2002-05-31 GS 3 13" xfId="36698"/>
    <cellStyle name="_Table_04 Alaska Model 2002-05-31 GS 3 14" xfId="35417"/>
    <cellStyle name="_Table_04 Alaska Model 2002-05-31 GS 3 15" xfId="20582"/>
    <cellStyle name="_Table_04 Alaska Model 2002-05-31 GS 3 2" xfId="29668"/>
    <cellStyle name="_Table_04 Alaska Model 2002-05-31 GS 3 3" xfId="35800"/>
    <cellStyle name="_Table_04 Alaska Model 2002-05-31 GS 3 4" xfId="25227"/>
    <cellStyle name="_Table_04 Alaska Model 2002-05-31 GS 3 5" xfId="25265"/>
    <cellStyle name="_Table_04 Alaska Model 2002-05-31 GS 3 6" xfId="24578"/>
    <cellStyle name="_Table_04 Alaska Model 2002-05-31 GS 3 7" xfId="20497"/>
    <cellStyle name="_Table_04 Alaska Model 2002-05-31 GS 3 8" xfId="37467"/>
    <cellStyle name="_Table_04 Alaska Model 2002-05-31 GS 3 9" xfId="35513"/>
    <cellStyle name="_Table_04 Alaska Model 2002-05-31 GS 4" xfId="20630"/>
    <cellStyle name="_Table_04 Alaska Model 2002-05-31 GS 5" xfId="25591"/>
    <cellStyle name="_Table_04 Alaska Model 2002-05-31 GS 6" xfId="34488"/>
    <cellStyle name="_Table_04 Alaska Model 2002-05-31 GS 7" xfId="35258"/>
    <cellStyle name="_Table_04 Alaska Model 2002-05-31 GS 8" xfId="37708"/>
    <cellStyle name="_Table_04 Alaska Model 2002-05-31 GS 9" xfId="34230"/>
    <cellStyle name="_Table_Book3" xfId="791"/>
    <cellStyle name="_Table_Dividend Template" xfId="792"/>
    <cellStyle name="_Table_Pro-Forma Financials" xfId="793"/>
    <cellStyle name="_Table_Pro-Forma Spin-off" xfId="794"/>
    <cellStyle name="_TableHead" xfId="795"/>
    <cellStyle name="_TableHead 2" xfId="796"/>
    <cellStyle name="_TableHead 3" xfId="20632"/>
    <cellStyle name="_TableHead_Cable_Industry Overview5" xfId="797"/>
    <cellStyle name="_TableHead_Cable_Industry Overview5 2" xfId="798"/>
    <cellStyle name="_TableHead_Cable_Industry Overview5 3" xfId="20633"/>
    <cellStyle name="_TableHead_Gelco Model" xfId="799"/>
    <cellStyle name="_TableHead_Gelco Model 2" xfId="800"/>
    <cellStyle name="_TableHead_Gelco Model 3" xfId="20634"/>
    <cellStyle name="_TableHead_Summary" xfId="801"/>
    <cellStyle name="_TableHead_Summary 2" xfId="802"/>
    <cellStyle name="_TableHead_Summary 3" xfId="20635"/>
    <cellStyle name="_TableHead_Yield Tables" xfId="803"/>
    <cellStyle name="_TableHead_Yield Tables 2" xfId="804"/>
    <cellStyle name="_TableHead_Yield Tables 3" xfId="20636"/>
    <cellStyle name="_TableHeading" xfId="16326"/>
    <cellStyle name="_TableHeading 2" xfId="29644"/>
    <cellStyle name="_TableRowBorder" xfId="16327"/>
    <cellStyle name="_TableRowBorder 2" xfId="29645"/>
    <cellStyle name="_TableRowHead" xfId="805"/>
    <cellStyle name="_TableRowHead 2" xfId="806"/>
    <cellStyle name="_TableRowHead_Gelco Model" xfId="807"/>
    <cellStyle name="_TableRowHead_Gelco Model 2" xfId="808"/>
    <cellStyle name="_TableRowHead_Summary" xfId="809"/>
    <cellStyle name="_TableRowHead_Summary 2" xfId="810"/>
    <cellStyle name="_TableRowHeading" xfId="16328"/>
    <cellStyle name="_TableSuperHead" xfId="811"/>
    <cellStyle name="_TableSuperHead 2" xfId="812"/>
    <cellStyle name="_TableSuperHead__DCF Template" xfId="813"/>
    <cellStyle name="_TableSuperHead_04 Alaska Model 2002-05-31 GS" xfId="814"/>
    <cellStyle name="_TableSuperHead_Book3" xfId="815"/>
    <cellStyle name="_TableSuperHead_Cable_Industry Overview5" xfId="816"/>
    <cellStyle name="_TableSuperHead_Cable_Industry Overview5 2" xfId="817"/>
    <cellStyle name="_TableSuperHead_Dividend Template" xfId="818"/>
    <cellStyle name="_TableSuperHead_Gelco Model" xfId="819"/>
    <cellStyle name="_TableSuperHead_Gelco Model 2" xfId="820"/>
    <cellStyle name="_TableSuperHead_Pro-Forma Financials" xfId="821"/>
    <cellStyle name="_TableSuperHead_Pro-Forma Spin-off" xfId="822"/>
    <cellStyle name="_TableSuperHead_Summary" xfId="823"/>
    <cellStyle name="_TableSuperHead_Summary 2" xfId="824"/>
    <cellStyle name="_TableSuperHead_Yield Tables" xfId="825"/>
    <cellStyle name="_TableSuperHead_Yield Tables 2" xfId="826"/>
    <cellStyle name="_TableSuperHeading" xfId="16329"/>
    <cellStyle name="_TableText" xfId="16330"/>
    <cellStyle name="_Tax Provision 2-1-07 sent to KPMG" xfId="827"/>
    <cellStyle name="_TDI1602 Non-Food Retail Historic Transactions 060428" xfId="828"/>
    <cellStyle name="_TDI1602 Non-Food Retail Historic Transactions 060428_Medley_Financial_Model_v5" xfId="829"/>
    <cellStyle name="_TDI2246 Chemical Comps 061019" xfId="830"/>
    <cellStyle name="_TDI2246 Chemical Comps 061019_Medley_Financial_Model_v5" xfId="831"/>
    <cellStyle name="_TDU757 Fintech Comps 070227" xfId="832"/>
    <cellStyle name="_TDU757 Fintech Comps 070227_Cyrela - Goldzstein - Financial Model - v1" xfId="833"/>
    <cellStyle name="_TDU757 Fintech Comps 070227_Cyrela - Goldzstein - Financial Model - v5" xfId="834"/>
    <cellStyle name="_TDU757 Fintech Comps 070227_Gas Natural - Financial Model - April 18 2008 - v1" xfId="835"/>
    <cellStyle name="_TDU757 Fintech Comps 070227_Gas Natural - Financial Model - April 18 2008 - v2" xfId="836"/>
    <cellStyle name="_TDU757 Fintech Comps 070227_Gas Natural - Financial Model - May 20, 2009" xfId="837"/>
    <cellStyle name="_TDU757 Fintech Comps 070227_Goldzstein Cyrela - Financial Model - v7" xfId="838"/>
    <cellStyle name="_TDU757 Fintech Comps 070227_Grupo Ibmec - Financial Model - v2" xfId="839"/>
    <cellStyle name="_TDU757 Fintech Comps 070227_Grupo Ibmec - Financial Model - v5" xfId="840"/>
    <cellStyle name="_TDU757 Fintech Comps 070227_Independencia - Financial Model - Dec 02 2008 - v3" xfId="841"/>
    <cellStyle name="_TDU757 Fintech Comps 070227_Independencia - Financial Model - Nov 24 2008" xfId="842"/>
    <cellStyle name="_TDU757 Fintech Comps 070227_Medley_Financial_Model_v5" xfId="843"/>
    <cellStyle name="_TDU757 Fintech Comps 070227_Project Emet - Forecasts" xfId="844"/>
    <cellStyle name="_TDU757 Fintech Comps 070227_Rumo_Financial_Model_05jun2009_v1" xfId="845"/>
    <cellStyle name="_TDU757 Fintech Comps 070227_Rumo_Financial_Model_05jun2009_v4" xfId="846"/>
    <cellStyle name="_TDU757 Fintech Comps 070227_Rumo_Financial_Model_05jun2009_v5" xfId="847"/>
    <cellStyle name="_TDU757 Fintech Comps 070227_Rumo_Financial_Model_05jun2009_v6" xfId="848"/>
    <cellStyle name="_TDU757 Fintech Comps 070227_SCPC_Financial_Model_10jun2009_v2" xfId="849"/>
    <cellStyle name="_TDU757 Fintech Comps 070227_SCPC_Financial_Model_17jun2009_v5" xfId="850"/>
    <cellStyle name="_TDU769 Aluminium Comps Database 070303" xfId="851"/>
    <cellStyle name="_TDU769 Aluminium Comps Database 070303_Medley_Financial_Model_v5" xfId="852"/>
    <cellStyle name="_Veeco SFAS 142 &amp; 144 - Oct 2004 - v11" xfId="853"/>
    <cellStyle name="_הלוואות" xfId="854"/>
    <cellStyle name="_הלוואות 2" xfId="855"/>
    <cellStyle name="_התחיבות שכ&quot;ד" xfId="856"/>
    <cellStyle name="_התחיבות שכ&quot;ד 2" xfId="857"/>
    <cellStyle name="_מדדים" xfId="858"/>
    <cellStyle name="_מדדים 2" xfId="859"/>
    <cellStyle name="£ BP" xfId="860"/>
    <cellStyle name="£ BP 2" xfId="861"/>
    <cellStyle name="£/GJ" xfId="16331"/>
    <cellStyle name="£/t" xfId="16332"/>
    <cellStyle name="£Currency [0]" xfId="862"/>
    <cellStyle name="£Currency [0] 2" xfId="863"/>
    <cellStyle name="£Currency [1]" xfId="864"/>
    <cellStyle name="£Currency [1] 2" xfId="865"/>
    <cellStyle name="£Currency [2]" xfId="866"/>
    <cellStyle name="£Currency [2] 2" xfId="867"/>
    <cellStyle name="£Currency [p]" xfId="868"/>
    <cellStyle name="£Currency [p] 2" xfId="869"/>
    <cellStyle name="£Currency [p2]" xfId="870"/>
    <cellStyle name="£Currency [p2] 2" xfId="871"/>
    <cellStyle name="£Pounds" xfId="872"/>
    <cellStyle name="£Pounds 2" xfId="873"/>
    <cellStyle name="¤@¯ë_P721-Spd" xfId="874"/>
    <cellStyle name="¤d¤À¦ì[0]_P721-Spd" xfId="875"/>
    <cellStyle name="¤d¤À¦ì_P721-Spd" xfId="876"/>
    <cellStyle name="¥ JY" xfId="877"/>
    <cellStyle name="¥ JY 2" xfId="878"/>
    <cellStyle name="=C:\WINNT\SYSTEM32\COMMAND.COM" xfId="879"/>
    <cellStyle name="=C:\WINNT35\SYSTEM32\COMMAND.COM" xfId="16333"/>
    <cellStyle name="°" xfId="16334"/>
    <cellStyle name="°_ENS Economic Model 070802 v4" xfId="16335"/>
    <cellStyle name="•W?_Sheet1" xfId="880"/>
    <cellStyle name="•W€_Capital Structure" xfId="881"/>
    <cellStyle name="•W_Sheet1" xfId="882"/>
    <cellStyle name="\¦ÏÝÌnCp[N" xfId="883"/>
    <cellStyle name="æØè [0.00]_Affiliate Fcst Inputs" xfId="884"/>
    <cellStyle name="W_Sheet1" xfId="885"/>
    <cellStyle name="0" xfId="886"/>
    <cellStyle name="0 2" xfId="887"/>
    <cellStyle name="0%" xfId="888"/>
    <cellStyle name="0,0" xfId="889"/>
    <cellStyle name="0,0 F" xfId="890"/>
    <cellStyle name="0,0%" xfId="891"/>
    <cellStyle name="0,0_Co&amp;Lo180800" xfId="892"/>
    <cellStyle name="0,00x" xfId="893"/>
    <cellStyle name="0,0x" xfId="894"/>
    <cellStyle name="0.0" xfId="895"/>
    <cellStyle name="0.0 NORMAL" xfId="16336"/>
    <cellStyle name="0.0 PERCENT" xfId="16337"/>
    <cellStyle name="0.0 x" xfId="896"/>
    <cellStyle name="0.0%" xfId="897"/>
    <cellStyle name="0.0_Crystal Model final" xfId="16338"/>
    <cellStyle name="0.00" xfId="898"/>
    <cellStyle name="0.00%" xfId="899"/>
    <cellStyle name="0.00_Medley_Financial_Model_v5" xfId="900"/>
    <cellStyle name="0_APT 141 101603 ver 51" xfId="901"/>
    <cellStyle name="0_APT 141 101603 ver 51 2" xfId="902"/>
    <cellStyle name="0_Medley_Financial_Model_v5" xfId="903"/>
    <cellStyle name="0_Medley_Financial_Model_v5_Ubiquiti Ownership Table" xfId="904"/>
    <cellStyle name="0_Nomos WACC" xfId="905"/>
    <cellStyle name="0_Nomos WACC 2" xfId="906"/>
    <cellStyle name="0_Nomos WACC_Boston Power VD 01 31 2008 Model 02 26 2008" xfId="907"/>
    <cellStyle name="0_Nomos WACC_Boston Power VD 01 31 2008 Model 02 26 2008 2" xfId="908"/>
    <cellStyle name="0_Nomos WACC_Boston Power VD 01 31 2008 Model 02 26 2008 2 2" xfId="909"/>
    <cellStyle name="0_Nomos WACC_Boston Power VD 01 31 2008 Model 02 26 2008 3" xfId="910"/>
    <cellStyle name="0_Nomos WACC_Boston Power VD 01 31 2008 Model 02 26 2008 4" xfId="911"/>
    <cellStyle name="0_Nomos WACC_Boston Power VD 01 31 2008 Model 02 26 2008 5" xfId="912"/>
    <cellStyle name="0_Nomos WACC_Boston Power VD 01 31 2008 Model 02 26 2008_CompanyABC Valuation Draft Model 04 21 2009" xfId="913"/>
    <cellStyle name="0_Nomos WACC_Boston Power VD 01 31 2008 Model 02 26 2008_CompanyABC Valuation Draft Model 04 21 2009 2" xfId="914"/>
    <cellStyle name="0_Nomos WACC_Boston Power VD 01 31 2008 Model 02 26 2008_DB" xfId="915"/>
    <cellStyle name="0_Nomos WACC_Boston Power VD 01 31 2008 Model 02 26 2008_DB 2" xfId="916"/>
    <cellStyle name="0_Nomos WACC_Boston Power VD 01 31 2008 Model 02 26 2008_DB 2 2" xfId="917"/>
    <cellStyle name="0_Nomos WACC_Boston Power VD 01 31 2008 Model 02 26 2008_FAS 157 Model Template 04 26 2009" xfId="918"/>
    <cellStyle name="0_Nomos WACC_Boston Power VD 01 31 2008 Model 02 26 2008_FAS 157 Model Template 04 26 2009 2" xfId="919"/>
    <cellStyle name="0_Nomos WACC_Boston Power VD 01 31 2008 Model 02 26 2008_Miragen VD 05 31 2008 Model 05 22 2009" xfId="920"/>
    <cellStyle name="0_Nomos WACC_Cap Table Inputs" xfId="921"/>
    <cellStyle name="0_Nomos WACC_Cap Table Inputs 2" xfId="922"/>
    <cellStyle name="0_Nomos WACC_Cap Table Inputs 2 2" xfId="923"/>
    <cellStyle name="0_Nomos WACC_Cap Table Inputs 3" xfId="924"/>
    <cellStyle name="0_Nomos WACC_Cap Table Inputs 4" xfId="925"/>
    <cellStyle name="0_Nomos WACC_Cap Table Inputs 5" xfId="926"/>
    <cellStyle name="0_Nomos WACC_Cap Table Inputs_CompanyABC Valuation Draft Model 04 21 2009" xfId="927"/>
    <cellStyle name="0_Nomos WACC_Cap Table Inputs_CompanyABC Valuation Draft Model 04 21 2009 2" xfId="928"/>
    <cellStyle name="0_Nomos WACC_Cap Table Inputs_DB" xfId="929"/>
    <cellStyle name="0_Nomos WACC_Cap Table Inputs_DB 2" xfId="930"/>
    <cellStyle name="0_Nomos WACC_Cap Table Inputs_DB 2 2" xfId="931"/>
    <cellStyle name="0_Nomos WACC_Cap Table Inputs_FAS 157 Model Template 04 26 2009" xfId="932"/>
    <cellStyle name="0_Nomos WACC_Cap Table Inputs_FAS 157 Model Template 04 26 2009 2" xfId="933"/>
    <cellStyle name="0_Nomos WACC_Cap Table Inputs_Miragen VD 05 31 2008 Model 05 22 2009" xfId="934"/>
    <cellStyle name="0_Nomos WACC_CardioSolutions 05 31 2007 Final Model 09 27 2007" xfId="935"/>
    <cellStyle name="0_Nomos WACC_CardioSolutions 05 31 2007 Final Model 09 27 2007 2" xfId="936"/>
    <cellStyle name="0_Nomos WACC_CardioSolutions 05 31 2007 Final Model 09 27 2007 2 2" xfId="937"/>
    <cellStyle name="0_Nomos WACC_CardioSolutions 05 31 2007 Final Model 09 27 2007 3" xfId="938"/>
    <cellStyle name="0_Nomos WACC_CardioSolutions 05 31 2007 Final Model 09 27 2007 4" xfId="939"/>
    <cellStyle name="0_Nomos WACC_CardioSolutions 05 31 2007 Final Model 09 27 2007 5" xfId="940"/>
    <cellStyle name="0_Nomos WACC_CardioSolutions 05 31 2007 Final Model 09 27 2007_CompanyABC Valuation Draft Model 04 21 2009" xfId="941"/>
    <cellStyle name="0_Nomos WACC_CardioSolutions 05 31 2007 Final Model 09 27 2007_CompanyABC Valuation Draft Model 04 21 2009 2" xfId="942"/>
    <cellStyle name="0_Nomos WACC_CardioSolutions 05 31 2007 Final Model 09 27 2007_DB" xfId="943"/>
    <cellStyle name="0_Nomos WACC_CardioSolutions 05 31 2007 Final Model 09 27 2007_DB 2" xfId="944"/>
    <cellStyle name="0_Nomos WACC_CardioSolutions 05 31 2007 Final Model 09 27 2007_DB 2 2" xfId="945"/>
    <cellStyle name="0_Nomos WACC_CardioSolutions 05 31 2007 Final Model 09 27 2007_FAS 157 Model Template 04 26 2009" xfId="946"/>
    <cellStyle name="0_Nomos WACC_CardioSolutions 05 31 2007 Final Model 09 27 2007_FAS 157 Model Template 04 26 2009 2" xfId="947"/>
    <cellStyle name="0_Nomos WACC_CardioSolutions 05 31 2007 Final Model 09 27 2007_Miragen VD 05 31 2008 Model 05 22 2009" xfId="948"/>
    <cellStyle name="0_Veeco SFAS 142 &amp; 144 - Oct 2004 - v11" xfId="949"/>
    <cellStyle name="0_Veeco SFAS 142 &amp; 144 - Oct 2004 - v11 2" xfId="950"/>
    <cellStyle name="0_Veeco SFAS 142 &amp; 144 - Oct 2004 - v11_Boston Power VD 01 31 2008 Model 02 26 2008" xfId="951"/>
    <cellStyle name="0_Veeco SFAS 142 &amp; 144 - Oct 2004 - v11_Boston Power VD 01 31 2008 Model 02 26 2008 2" xfId="952"/>
    <cellStyle name="0_Veeco SFAS 142 &amp; 144 - Oct 2004 - v11_Boston Power VD 01 31 2008 Model 02 26 2008 2 2" xfId="953"/>
    <cellStyle name="0_Veeco SFAS 142 &amp; 144 - Oct 2004 - v11_Boston Power VD 01 31 2008 Model 02 26 2008 3" xfId="954"/>
    <cellStyle name="0_Veeco SFAS 142 &amp; 144 - Oct 2004 - v11_Boston Power VD 01 31 2008 Model 02 26 2008 4" xfId="955"/>
    <cellStyle name="0_Veeco SFAS 142 &amp; 144 - Oct 2004 - v11_Boston Power VD 01 31 2008 Model 02 26 2008 5" xfId="956"/>
    <cellStyle name="0_Veeco SFAS 142 &amp; 144 - Oct 2004 - v11_Boston Power VD 01 31 2008 Model 02 26 2008_CompanyABC Valuation Draft Model 04 21 2009" xfId="957"/>
    <cellStyle name="0_Veeco SFAS 142 &amp; 144 - Oct 2004 - v11_Boston Power VD 01 31 2008 Model 02 26 2008_CompanyABC Valuation Draft Model 04 21 2009 2" xfId="958"/>
    <cellStyle name="0_Veeco SFAS 142 &amp; 144 - Oct 2004 - v11_Boston Power VD 01 31 2008 Model 02 26 2008_DB" xfId="959"/>
    <cellStyle name="0_Veeco SFAS 142 &amp; 144 - Oct 2004 - v11_Boston Power VD 01 31 2008 Model 02 26 2008_DB 2" xfId="960"/>
    <cellStyle name="0_Veeco SFAS 142 &amp; 144 - Oct 2004 - v11_Boston Power VD 01 31 2008 Model 02 26 2008_DB 2 2" xfId="961"/>
    <cellStyle name="0_Veeco SFAS 142 &amp; 144 - Oct 2004 - v11_Boston Power VD 01 31 2008 Model 02 26 2008_FAS 157 Model Template 04 26 2009" xfId="962"/>
    <cellStyle name="0_Veeco SFAS 142 &amp; 144 - Oct 2004 - v11_Boston Power VD 01 31 2008 Model 02 26 2008_FAS 157 Model Template 04 26 2009 2" xfId="963"/>
    <cellStyle name="0_Veeco SFAS 142 &amp; 144 - Oct 2004 - v11_Boston Power VD 01 31 2008 Model 02 26 2008_Miragen VD 05 31 2008 Model 05 22 2009" xfId="964"/>
    <cellStyle name="0_Veeco SFAS 142 &amp; 144 - Oct 2004 - v11_Cap Table Inputs" xfId="965"/>
    <cellStyle name="0_Veeco SFAS 142 &amp; 144 - Oct 2004 - v11_Cap Table Inputs 2" xfId="966"/>
    <cellStyle name="0_Veeco SFAS 142 &amp; 144 - Oct 2004 - v11_Cap Table Inputs 2 2" xfId="967"/>
    <cellStyle name="0_Veeco SFAS 142 &amp; 144 - Oct 2004 - v11_Cap Table Inputs 3" xfId="968"/>
    <cellStyle name="0_Veeco SFAS 142 &amp; 144 - Oct 2004 - v11_Cap Table Inputs 4" xfId="969"/>
    <cellStyle name="0_Veeco SFAS 142 &amp; 144 - Oct 2004 - v11_Cap Table Inputs 5" xfId="970"/>
    <cellStyle name="0_Veeco SFAS 142 &amp; 144 - Oct 2004 - v11_Cap Table Inputs_CompanyABC Valuation Draft Model 04 21 2009" xfId="971"/>
    <cellStyle name="0_Veeco SFAS 142 &amp; 144 - Oct 2004 - v11_Cap Table Inputs_CompanyABC Valuation Draft Model 04 21 2009 2" xfId="972"/>
    <cellStyle name="0_Veeco SFAS 142 &amp; 144 - Oct 2004 - v11_Cap Table Inputs_DB" xfId="973"/>
    <cellStyle name="0_Veeco SFAS 142 &amp; 144 - Oct 2004 - v11_Cap Table Inputs_DB 2" xfId="974"/>
    <cellStyle name="0_Veeco SFAS 142 &amp; 144 - Oct 2004 - v11_Cap Table Inputs_DB 2 2" xfId="975"/>
    <cellStyle name="0_Veeco SFAS 142 &amp; 144 - Oct 2004 - v11_Cap Table Inputs_FAS 157 Model Template 04 26 2009" xfId="976"/>
    <cellStyle name="0_Veeco SFAS 142 &amp; 144 - Oct 2004 - v11_Cap Table Inputs_FAS 157 Model Template 04 26 2009 2" xfId="977"/>
    <cellStyle name="0_Veeco SFAS 142 &amp; 144 - Oct 2004 - v11_Cap Table Inputs_Miragen VD 05 31 2008 Model 05 22 2009" xfId="978"/>
    <cellStyle name="0_Veeco SFAS 142 &amp; 144 - Oct 2004 - v11_CardioSolutions 05 31 2007 Final Model 09 27 2007" xfId="979"/>
    <cellStyle name="0_Veeco SFAS 142 &amp; 144 - Oct 2004 - v11_CardioSolutions 05 31 2007 Final Model 09 27 2007 2" xfId="980"/>
    <cellStyle name="0_Veeco SFAS 142 &amp; 144 - Oct 2004 - v11_CardioSolutions 05 31 2007 Final Model 09 27 2007 2 2" xfId="981"/>
    <cellStyle name="0_Veeco SFAS 142 &amp; 144 - Oct 2004 - v11_CardioSolutions 05 31 2007 Final Model 09 27 2007 3" xfId="982"/>
    <cellStyle name="0_Veeco SFAS 142 &amp; 144 - Oct 2004 - v11_CardioSolutions 05 31 2007 Final Model 09 27 2007 4" xfId="983"/>
    <cellStyle name="0_Veeco SFAS 142 &amp; 144 - Oct 2004 - v11_CardioSolutions 05 31 2007 Final Model 09 27 2007 5" xfId="984"/>
    <cellStyle name="0_Veeco SFAS 142 &amp; 144 - Oct 2004 - v11_CardioSolutions 05 31 2007 Final Model 09 27 2007_CompanyABC Valuation Draft Model 04 21 2009" xfId="985"/>
    <cellStyle name="0_Veeco SFAS 142 &amp; 144 - Oct 2004 - v11_CardioSolutions 05 31 2007 Final Model 09 27 2007_CompanyABC Valuation Draft Model 04 21 2009 2" xfId="986"/>
    <cellStyle name="0_Veeco SFAS 142 &amp; 144 - Oct 2004 - v11_CardioSolutions 05 31 2007 Final Model 09 27 2007_DB" xfId="987"/>
    <cellStyle name="0_Veeco SFAS 142 &amp; 144 - Oct 2004 - v11_CardioSolutions 05 31 2007 Final Model 09 27 2007_DB 2" xfId="988"/>
    <cellStyle name="0_Veeco SFAS 142 &amp; 144 - Oct 2004 - v11_CardioSolutions 05 31 2007 Final Model 09 27 2007_DB 2 2" xfId="989"/>
    <cellStyle name="0_Veeco SFAS 142 &amp; 144 - Oct 2004 - v11_CardioSolutions 05 31 2007 Final Model 09 27 2007_FAS 157 Model Template 04 26 2009" xfId="990"/>
    <cellStyle name="0_Veeco SFAS 142 &amp; 144 - Oct 2004 - v11_CardioSolutions 05 31 2007 Final Model 09 27 2007_FAS 157 Model Template 04 26 2009 2" xfId="991"/>
    <cellStyle name="0_Veeco SFAS 142 &amp; 144 - Oct 2004 - v11_CardioSolutions 05 31 2007 Final Model 09 27 2007_Miragen VD 05 31 2008 Model 05 22 2009" xfId="992"/>
    <cellStyle name="000" xfId="993"/>
    <cellStyle name="000 MF" xfId="994"/>
    <cellStyle name="000,0" xfId="995"/>
    <cellStyle name="000_Halloween version SPV" xfId="996"/>
    <cellStyle name="0000" xfId="997"/>
    <cellStyle name="000000" xfId="998"/>
    <cellStyle name="1,comma" xfId="999"/>
    <cellStyle name="1.0 TITLE" xfId="16339"/>
    <cellStyle name="1.1 TITLE" xfId="16340"/>
    <cellStyle name="1000s1Place" xfId="1000"/>
    <cellStyle name="18.xls]Mgmt" xfId="16341"/>
    <cellStyle name="1Decimal" xfId="1001"/>
    <cellStyle name="1Decimal 2" xfId="1002"/>
    <cellStyle name="1Decimal 2 2" xfId="1003"/>
    <cellStyle name="1Decimal 3" xfId="1004"/>
    <cellStyle name="1Decimal 4" xfId="1005"/>
    <cellStyle name="1Decimal 5" xfId="1006"/>
    <cellStyle name="¹éºÐÀ²_±âÅ¸" xfId="16342"/>
    <cellStyle name="1MMs1Place" xfId="1007"/>
    <cellStyle name="1MMs2Places" xfId="1008"/>
    <cellStyle name="1Normal" xfId="16343"/>
    <cellStyle name="1place" xfId="1009"/>
    <cellStyle name="2" xfId="16344"/>
    <cellStyle name="2 Decimal Places" xfId="16345"/>
    <cellStyle name="20% - Accent1 10" xfId="1010"/>
    <cellStyle name="20% - Accent1 10 10" xfId="16391"/>
    <cellStyle name="20% - Accent1 10 10 2" xfId="29670"/>
    <cellStyle name="20% - Accent1 10 11" xfId="20679"/>
    <cellStyle name="20% - Accent1 10 2" xfId="1011"/>
    <cellStyle name="20% - Accent1 10 2 2" xfId="1012"/>
    <cellStyle name="20% - Accent1 10 2 2 2" xfId="1013"/>
    <cellStyle name="20% - Accent1 10 2 2 2 2" xfId="12443"/>
    <cellStyle name="20% - Accent1 10 2 2 2 2 2" xfId="25835"/>
    <cellStyle name="20% - Accent1 10 2 2 2 3" xfId="16394"/>
    <cellStyle name="20% - Accent1 10 2 2 2 3 2" xfId="29673"/>
    <cellStyle name="20% - Accent1 10 2 2 2 4" xfId="20682"/>
    <cellStyle name="20% - Accent1 10 2 2 3" xfId="1014"/>
    <cellStyle name="20% - Accent1 10 2 2 3 2" xfId="12444"/>
    <cellStyle name="20% - Accent1 10 2 2 3 2 2" xfId="25836"/>
    <cellStyle name="20% - Accent1 10 2 2 3 3" xfId="16395"/>
    <cellStyle name="20% - Accent1 10 2 2 3 3 2" xfId="29674"/>
    <cellStyle name="20% - Accent1 10 2 2 3 4" xfId="20683"/>
    <cellStyle name="20% - Accent1 10 2 2 4" xfId="12442"/>
    <cellStyle name="20% - Accent1 10 2 2 4 2" xfId="25834"/>
    <cellStyle name="20% - Accent1 10 2 2 5" xfId="16393"/>
    <cellStyle name="20% - Accent1 10 2 2 5 2" xfId="29672"/>
    <cellStyle name="20% - Accent1 10 2 2 6" xfId="20681"/>
    <cellStyle name="20% - Accent1 10 2 3" xfId="1015"/>
    <cellStyle name="20% - Accent1 10 2 3 2" xfId="1016"/>
    <cellStyle name="20% - Accent1 10 2 3 2 2" xfId="12446"/>
    <cellStyle name="20% - Accent1 10 2 3 2 2 2" xfId="25838"/>
    <cellStyle name="20% - Accent1 10 2 3 2 3" xfId="16397"/>
    <cellStyle name="20% - Accent1 10 2 3 2 3 2" xfId="29676"/>
    <cellStyle name="20% - Accent1 10 2 3 2 4" xfId="20685"/>
    <cellStyle name="20% - Accent1 10 2 3 3" xfId="1017"/>
    <cellStyle name="20% - Accent1 10 2 3 3 2" xfId="12447"/>
    <cellStyle name="20% - Accent1 10 2 3 3 2 2" xfId="25839"/>
    <cellStyle name="20% - Accent1 10 2 3 3 3" xfId="16398"/>
    <cellStyle name="20% - Accent1 10 2 3 3 3 2" xfId="29677"/>
    <cellStyle name="20% - Accent1 10 2 3 3 4" xfId="20686"/>
    <cellStyle name="20% - Accent1 10 2 3 4" xfId="12445"/>
    <cellStyle name="20% - Accent1 10 2 3 4 2" xfId="25837"/>
    <cellStyle name="20% - Accent1 10 2 3 5" xfId="16396"/>
    <cellStyle name="20% - Accent1 10 2 3 5 2" xfId="29675"/>
    <cellStyle name="20% - Accent1 10 2 3 6" xfId="20684"/>
    <cellStyle name="20% - Accent1 10 2 4" xfId="1018"/>
    <cellStyle name="20% - Accent1 10 2 4 2" xfId="1019"/>
    <cellStyle name="20% - Accent1 10 2 4 2 2" xfId="12449"/>
    <cellStyle name="20% - Accent1 10 2 4 2 2 2" xfId="25841"/>
    <cellStyle name="20% - Accent1 10 2 4 2 3" xfId="16400"/>
    <cellStyle name="20% - Accent1 10 2 4 2 3 2" xfId="29679"/>
    <cellStyle name="20% - Accent1 10 2 4 2 4" xfId="20688"/>
    <cellStyle name="20% - Accent1 10 2 4 3" xfId="1020"/>
    <cellStyle name="20% - Accent1 10 2 4 3 2" xfId="12450"/>
    <cellStyle name="20% - Accent1 10 2 4 3 2 2" xfId="25842"/>
    <cellStyle name="20% - Accent1 10 2 4 3 3" xfId="16401"/>
    <cellStyle name="20% - Accent1 10 2 4 3 3 2" xfId="29680"/>
    <cellStyle name="20% - Accent1 10 2 4 3 4" xfId="20689"/>
    <cellStyle name="20% - Accent1 10 2 4 4" xfId="12448"/>
    <cellStyle name="20% - Accent1 10 2 4 4 2" xfId="25840"/>
    <cellStyle name="20% - Accent1 10 2 4 5" xfId="16399"/>
    <cellStyle name="20% - Accent1 10 2 4 5 2" xfId="29678"/>
    <cellStyle name="20% - Accent1 10 2 4 6" xfId="20687"/>
    <cellStyle name="20% - Accent1 10 2 5" xfId="1021"/>
    <cellStyle name="20% - Accent1 10 2 5 2" xfId="12451"/>
    <cellStyle name="20% - Accent1 10 2 5 2 2" xfId="25843"/>
    <cellStyle name="20% - Accent1 10 2 5 3" xfId="16402"/>
    <cellStyle name="20% - Accent1 10 2 5 3 2" xfId="29681"/>
    <cellStyle name="20% - Accent1 10 2 5 4" xfId="20690"/>
    <cellStyle name="20% - Accent1 10 2 6" xfId="1022"/>
    <cellStyle name="20% - Accent1 10 2 6 2" xfId="12452"/>
    <cellStyle name="20% - Accent1 10 2 6 2 2" xfId="25844"/>
    <cellStyle name="20% - Accent1 10 2 6 3" xfId="16403"/>
    <cellStyle name="20% - Accent1 10 2 6 3 2" xfId="29682"/>
    <cellStyle name="20% - Accent1 10 2 6 4" xfId="20691"/>
    <cellStyle name="20% - Accent1 10 2 7" xfId="12441"/>
    <cellStyle name="20% - Accent1 10 2 7 2" xfId="25833"/>
    <cellStyle name="20% - Accent1 10 2 8" xfId="16392"/>
    <cellStyle name="20% - Accent1 10 2 8 2" xfId="29671"/>
    <cellStyle name="20% - Accent1 10 2 9" xfId="20680"/>
    <cellStyle name="20% - Accent1 10 2_Volatility" xfId="1023"/>
    <cellStyle name="20% - Accent1 10 3" xfId="1024"/>
    <cellStyle name="20% - Accent1 10 3 2" xfId="1025"/>
    <cellStyle name="20% - Accent1 10 3 2 2" xfId="1026"/>
    <cellStyle name="20% - Accent1 10 3 2 2 2" xfId="12455"/>
    <cellStyle name="20% - Accent1 10 3 2 2 2 2" xfId="25847"/>
    <cellStyle name="20% - Accent1 10 3 2 2 3" xfId="16406"/>
    <cellStyle name="20% - Accent1 10 3 2 2 3 2" xfId="29685"/>
    <cellStyle name="20% - Accent1 10 3 2 2 4" xfId="20694"/>
    <cellStyle name="20% - Accent1 10 3 2 3" xfId="1027"/>
    <cellStyle name="20% - Accent1 10 3 2 3 2" xfId="12456"/>
    <cellStyle name="20% - Accent1 10 3 2 3 2 2" xfId="25848"/>
    <cellStyle name="20% - Accent1 10 3 2 3 3" xfId="16407"/>
    <cellStyle name="20% - Accent1 10 3 2 3 3 2" xfId="29686"/>
    <cellStyle name="20% - Accent1 10 3 2 3 4" xfId="20695"/>
    <cellStyle name="20% - Accent1 10 3 2 4" xfId="12454"/>
    <cellStyle name="20% - Accent1 10 3 2 4 2" xfId="25846"/>
    <cellStyle name="20% - Accent1 10 3 2 5" xfId="16405"/>
    <cellStyle name="20% - Accent1 10 3 2 5 2" xfId="29684"/>
    <cellStyle name="20% - Accent1 10 3 2 6" xfId="20693"/>
    <cellStyle name="20% - Accent1 10 3 3" xfId="1028"/>
    <cellStyle name="20% - Accent1 10 3 3 2" xfId="1029"/>
    <cellStyle name="20% - Accent1 10 3 3 2 2" xfId="12458"/>
    <cellStyle name="20% - Accent1 10 3 3 2 2 2" xfId="25850"/>
    <cellStyle name="20% - Accent1 10 3 3 2 3" xfId="16409"/>
    <cellStyle name="20% - Accent1 10 3 3 2 3 2" xfId="29688"/>
    <cellStyle name="20% - Accent1 10 3 3 2 4" xfId="20697"/>
    <cellStyle name="20% - Accent1 10 3 3 3" xfId="1030"/>
    <cellStyle name="20% - Accent1 10 3 3 3 2" xfId="12459"/>
    <cellStyle name="20% - Accent1 10 3 3 3 2 2" xfId="25851"/>
    <cellStyle name="20% - Accent1 10 3 3 3 3" xfId="16410"/>
    <cellStyle name="20% - Accent1 10 3 3 3 3 2" xfId="29689"/>
    <cellStyle name="20% - Accent1 10 3 3 3 4" xfId="20698"/>
    <cellStyle name="20% - Accent1 10 3 3 4" xfId="12457"/>
    <cellStyle name="20% - Accent1 10 3 3 4 2" xfId="25849"/>
    <cellStyle name="20% - Accent1 10 3 3 5" xfId="16408"/>
    <cellStyle name="20% - Accent1 10 3 3 5 2" xfId="29687"/>
    <cellStyle name="20% - Accent1 10 3 3 6" xfId="20696"/>
    <cellStyle name="20% - Accent1 10 3 4" xfId="1031"/>
    <cellStyle name="20% - Accent1 10 3 4 2" xfId="12460"/>
    <cellStyle name="20% - Accent1 10 3 4 2 2" xfId="25852"/>
    <cellStyle name="20% - Accent1 10 3 4 3" xfId="16411"/>
    <cellStyle name="20% - Accent1 10 3 4 3 2" xfId="29690"/>
    <cellStyle name="20% - Accent1 10 3 4 4" xfId="20699"/>
    <cellStyle name="20% - Accent1 10 3 5" xfId="1032"/>
    <cellStyle name="20% - Accent1 10 3 5 2" xfId="12461"/>
    <cellStyle name="20% - Accent1 10 3 5 2 2" xfId="25853"/>
    <cellStyle name="20% - Accent1 10 3 5 3" xfId="16412"/>
    <cellStyle name="20% - Accent1 10 3 5 3 2" xfId="29691"/>
    <cellStyle name="20% - Accent1 10 3 5 4" xfId="20700"/>
    <cellStyle name="20% - Accent1 10 3 6" xfId="12453"/>
    <cellStyle name="20% - Accent1 10 3 6 2" xfId="25845"/>
    <cellStyle name="20% - Accent1 10 3 7" xfId="16404"/>
    <cellStyle name="20% - Accent1 10 3 7 2" xfId="29683"/>
    <cellStyle name="20% - Accent1 10 3 8" xfId="20692"/>
    <cellStyle name="20% - Accent1 10 3_Volatility" xfId="1033"/>
    <cellStyle name="20% - Accent1 10 4" xfId="1034"/>
    <cellStyle name="20% - Accent1 10 4 2" xfId="1035"/>
    <cellStyle name="20% - Accent1 10 4 2 2" xfId="12463"/>
    <cellStyle name="20% - Accent1 10 4 2 2 2" xfId="25855"/>
    <cellStyle name="20% - Accent1 10 4 2 3" xfId="16414"/>
    <cellStyle name="20% - Accent1 10 4 2 3 2" xfId="29693"/>
    <cellStyle name="20% - Accent1 10 4 2 4" xfId="20702"/>
    <cellStyle name="20% - Accent1 10 4 3" xfId="1036"/>
    <cellStyle name="20% - Accent1 10 4 3 2" xfId="12464"/>
    <cellStyle name="20% - Accent1 10 4 3 2 2" xfId="25856"/>
    <cellStyle name="20% - Accent1 10 4 3 3" xfId="16415"/>
    <cellStyle name="20% - Accent1 10 4 3 3 2" xfId="29694"/>
    <cellStyle name="20% - Accent1 10 4 3 4" xfId="20703"/>
    <cellStyle name="20% - Accent1 10 4 4" xfId="12462"/>
    <cellStyle name="20% - Accent1 10 4 4 2" xfId="25854"/>
    <cellStyle name="20% - Accent1 10 4 5" xfId="16413"/>
    <cellStyle name="20% - Accent1 10 4 5 2" xfId="29692"/>
    <cellStyle name="20% - Accent1 10 4 6" xfId="20701"/>
    <cellStyle name="20% - Accent1 10 5" xfId="1037"/>
    <cellStyle name="20% - Accent1 10 5 2" xfId="1038"/>
    <cellStyle name="20% - Accent1 10 5 2 2" xfId="12466"/>
    <cellStyle name="20% - Accent1 10 5 2 2 2" xfId="25858"/>
    <cellStyle name="20% - Accent1 10 5 2 3" xfId="16417"/>
    <cellStyle name="20% - Accent1 10 5 2 3 2" xfId="29696"/>
    <cellStyle name="20% - Accent1 10 5 2 4" xfId="20705"/>
    <cellStyle name="20% - Accent1 10 5 3" xfId="1039"/>
    <cellStyle name="20% - Accent1 10 5 3 2" xfId="12467"/>
    <cellStyle name="20% - Accent1 10 5 3 2 2" xfId="25859"/>
    <cellStyle name="20% - Accent1 10 5 3 3" xfId="16418"/>
    <cellStyle name="20% - Accent1 10 5 3 3 2" xfId="29697"/>
    <cellStyle name="20% - Accent1 10 5 3 4" xfId="20706"/>
    <cellStyle name="20% - Accent1 10 5 4" xfId="12465"/>
    <cellStyle name="20% - Accent1 10 5 4 2" xfId="25857"/>
    <cellStyle name="20% - Accent1 10 5 5" xfId="16416"/>
    <cellStyle name="20% - Accent1 10 5 5 2" xfId="29695"/>
    <cellStyle name="20% - Accent1 10 5 6" xfId="20704"/>
    <cellStyle name="20% - Accent1 10 6" xfId="1040"/>
    <cellStyle name="20% - Accent1 10 6 2" xfId="1041"/>
    <cellStyle name="20% - Accent1 10 6 2 2" xfId="12469"/>
    <cellStyle name="20% - Accent1 10 6 2 2 2" xfId="25861"/>
    <cellStyle name="20% - Accent1 10 6 2 3" xfId="16420"/>
    <cellStyle name="20% - Accent1 10 6 2 3 2" xfId="29699"/>
    <cellStyle name="20% - Accent1 10 6 2 4" xfId="20708"/>
    <cellStyle name="20% - Accent1 10 6 3" xfId="1042"/>
    <cellStyle name="20% - Accent1 10 6 3 2" xfId="12470"/>
    <cellStyle name="20% - Accent1 10 6 3 2 2" xfId="25862"/>
    <cellStyle name="20% - Accent1 10 6 3 3" xfId="16421"/>
    <cellStyle name="20% - Accent1 10 6 3 3 2" xfId="29700"/>
    <cellStyle name="20% - Accent1 10 6 3 4" xfId="20709"/>
    <cellStyle name="20% - Accent1 10 6 4" xfId="12468"/>
    <cellStyle name="20% - Accent1 10 6 4 2" xfId="25860"/>
    <cellStyle name="20% - Accent1 10 6 5" xfId="16419"/>
    <cellStyle name="20% - Accent1 10 6 5 2" xfId="29698"/>
    <cellStyle name="20% - Accent1 10 6 6" xfId="20707"/>
    <cellStyle name="20% - Accent1 10 7" xfId="1043"/>
    <cellStyle name="20% - Accent1 10 7 2" xfId="12471"/>
    <cellStyle name="20% - Accent1 10 7 2 2" xfId="25863"/>
    <cellStyle name="20% - Accent1 10 7 3" xfId="16422"/>
    <cellStyle name="20% - Accent1 10 7 3 2" xfId="29701"/>
    <cellStyle name="20% - Accent1 10 7 4" xfId="20710"/>
    <cellStyle name="20% - Accent1 10 8" xfId="1044"/>
    <cellStyle name="20% - Accent1 10 8 2" xfId="12472"/>
    <cellStyle name="20% - Accent1 10 8 2 2" xfId="25864"/>
    <cellStyle name="20% - Accent1 10 8 3" xfId="16423"/>
    <cellStyle name="20% - Accent1 10 8 3 2" xfId="29702"/>
    <cellStyle name="20% - Accent1 10 8 4" xfId="20711"/>
    <cellStyle name="20% - Accent1 10 9" xfId="12440"/>
    <cellStyle name="20% - Accent1 10 9 2" xfId="25832"/>
    <cellStyle name="20% - Accent1 10_Volatility" xfId="1045"/>
    <cellStyle name="20% - Accent1 11" xfId="1046"/>
    <cellStyle name="20% - Accent1 11 10" xfId="16424"/>
    <cellStyle name="20% - Accent1 11 10 2" xfId="29703"/>
    <cellStyle name="20% - Accent1 11 11" xfId="20712"/>
    <cellStyle name="20% - Accent1 11 2" xfId="1047"/>
    <cellStyle name="20% - Accent1 11 2 2" xfId="1048"/>
    <cellStyle name="20% - Accent1 11 2 2 2" xfId="1049"/>
    <cellStyle name="20% - Accent1 11 2 2 2 2" xfId="12476"/>
    <cellStyle name="20% - Accent1 11 2 2 2 2 2" xfId="25868"/>
    <cellStyle name="20% - Accent1 11 2 2 2 3" xfId="16427"/>
    <cellStyle name="20% - Accent1 11 2 2 2 3 2" xfId="29706"/>
    <cellStyle name="20% - Accent1 11 2 2 2 4" xfId="20715"/>
    <cellStyle name="20% - Accent1 11 2 2 3" xfId="1050"/>
    <cellStyle name="20% - Accent1 11 2 2 3 2" xfId="12477"/>
    <cellStyle name="20% - Accent1 11 2 2 3 2 2" xfId="25869"/>
    <cellStyle name="20% - Accent1 11 2 2 3 3" xfId="16428"/>
    <cellStyle name="20% - Accent1 11 2 2 3 3 2" xfId="29707"/>
    <cellStyle name="20% - Accent1 11 2 2 3 4" xfId="20716"/>
    <cellStyle name="20% - Accent1 11 2 2 4" xfId="12475"/>
    <cellStyle name="20% - Accent1 11 2 2 4 2" xfId="25867"/>
    <cellStyle name="20% - Accent1 11 2 2 5" xfId="16426"/>
    <cellStyle name="20% - Accent1 11 2 2 5 2" xfId="29705"/>
    <cellStyle name="20% - Accent1 11 2 2 6" xfId="20714"/>
    <cellStyle name="20% - Accent1 11 2 3" xfId="1051"/>
    <cellStyle name="20% - Accent1 11 2 3 2" xfId="1052"/>
    <cellStyle name="20% - Accent1 11 2 3 2 2" xfId="12479"/>
    <cellStyle name="20% - Accent1 11 2 3 2 2 2" xfId="25871"/>
    <cellStyle name="20% - Accent1 11 2 3 2 3" xfId="16430"/>
    <cellStyle name="20% - Accent1 11 2 3 2 3 2" xfId="29709"/>
    <cellStyle name="20% - Accent1 11 2 3 2 4" xfId="20718"/>
    <cellStyle name="20% - Accent1 11 2 3 3" xfId="1053"/>
    <cellStyle name="20% - Accent1 11 2 3 3 2" xfId="12480"/>
    <cellStyle name="20% - Accent1 11 2 3 3 2 2" xfId="25872"/>
    <cellStyle name="20% - Accent1 11 2 3 3 3" xfId="16431"/>
    <cellStyle name="20% - Accent1 11 2 3 3 3 2" xfId="29710"/>
    <cellStyle name="20% - Accent1 11 2 3 3 4" xfId="20719"/>
    <cellStyle name="20% - Accent1 11 2 3 4" xfId="12478"/>
    <cellStyle name="20% - Accent1 11 2 3 4 2" xfId="25870"/>
    <cellStyle name="20% - Accent1 11 2 3 5" xfId="16429"/>
    <cellStyle name="20% - Accent1 11 2 3 5 2" xfId="29708"/>
    <cellStyle name="20% - Accent1 11 2 3 6" xfId="20717"/>
    <cellStyle name="20% - Accent1 11 2 4" xfId="1054"/>
    <cellStyle name="20% - Accent1 11 2 4 2" xfId="1055"/>
    <cellStyle name="20% - Accent1 11 2 4 2 2" xfId="12482"/>
    <cellStyle name="20% - Accent1 11 2 4 2 2 2" xfId="25874"/>
    <cellStyle name="20% - Accent1 11 2 4 2 3" xfId="16433"/>
    <cellStyle name="20% - Accent1 11 2 4 2 3 2" xfId="29712"/>
    <cellStyle name="20% - Accent1 11 2 4 2 4" xfId="20721"/>
    <cellStyle name="20% - Accent1 11 2 4 3" xfId="1056"/>
    <cellStyle name="20% - Accent1 11 2 4 3 2" xfId="12483"/>
    <cellStyle name="20% - Accent1 11 2 4 3 2 2" xfId="25875"/>
    <cellStyle name="20% - Accent1 11 2 4 3 3" xfId="16434"/>
    <cellStyle name="20% - Accent1 11 2 4 3 3 2" xfId="29713"/>
    <cellStyle name="20% - Accent1 11 2 4 3 4" xfId="20722"/>
    <cellStyle name="20% - Accent1 11 2 4 4" xfId="12481"/>
    <cellStyle name="20% - Accent1 11 2 4 4 2" xfId="25873"/>
    <cellStyle name="20% - Accent1 11 2 4 5" xfId="16432"/>
    <cellStyle name="20% - Accent1 11 2 4 5 2" xfId="29711"/>
    <cellStyle name="20% - Accent1 11 2 4 6" xfId="20720"/>
    <cellStyle name="20% - Accent1 11 2 5" xfId="1057"/>
    <cellStyle name="20% - Accent1 11 2 5 2" xfId="12484"/>
    <cellStyle name="20% - Accent1 11 2 5 2 2" xfId="25876"/>
    <cellStyle name="20% - Accent1 11 2 5 3" xfId="16435"/>
    <cellStyle name="20% - Accent1 11 2 5 3 2" xfId="29714"/>
    <cellStyle name="20% - Accent1 11 2 5 4" xfId="20723"/>
    <cellStyle name="20% - Accent1 11 2 6" xfId="1058"/>
    <cellStyle name="20% - Accent1 11 2 6 2" xfId="12485"/>
    <cellStyle name="20% - Accent1 11 2 6 2 2" xfId="25877"/>
    <cellStyle name="20% - Accent1 11 2 6 3" xfId="16436"/>
    <cellStyle name="20% - Accent1 11 2 6 3 2" xfId="29715"/>
    <cellStyle name="20% - Accent1 11 2 6 4" xfId="20724"/>
    <cellStyle name="20% - Accent1 11 2 7" xfId="12474"/>
    <cellStyle name="20% - Accent1 11 2 7 2" xfId="25866"/>
    <cellStyle name="20% - Accent1 11 2 8" xfId="16425"/>
    <cellStyle name="20% - Accent1 11 2 8 2" xfId="29704"/>
    <cellStyle name="20% - Accent1 11 2 9" xfId="20713"/>
    <cellStyle name="20% - Accent1 11 2_Volatility" xfId="1059"/>
    <cellStyle name="20% - Accent1 11 3" xfId="1060"/>
    <cellStyle name="20% - Accent1 11 3 2" xfId="1061"/>
    <cellStyle name="20% - Accent1 11 3 2 2" xfId="1062"/>
    <cellStyle name="20% - Accent1 11 3 2 2 2" xfId="12488"/>
    <cellStyle name="20% - Accent1 11 3 2 2 2 2" xfId="25880"/>
    <cellStyle name="20% - Accent1 11 3 2 2 3" xfId="16439"/>
    <cellStyle name="20% - Accent1 11 3 2 2 3 2" xfId="29718"/>
    <cellStyle name="20% - Accent1 11 3 2 2 4" xfId="20727"/>
    <cellStyle name="20% - Accent1 11 3 2 3" xfId="1063"/>
    <cellStyle name="20% - Accent1 11 3 2 3 2" xfId="12489"/>
    <cellStyle name="20% - Accent1 11 3 2 3 2 2" xfId="25881"/>
    <cellStyle name="20% - Accent1 11 3 2 3 3" xfId="16440"/>
    <cellStyle name="20% - Accent1 11 3 2 3 3 2" xfId="29719"/>
    <cellStyle name="20% - Accent1 11 3 2 3 4" xfId="20728"/>
    <cellStyle name="20% - Accent1 11 3 2 4" xfId="12487"/>
    <cellStyle name="20% - Accent1 11 3 2 4 2" xfId="25879"/>
    <cellStyle name="20% - Accent1 11 3 2 5" xfId="16438"/>
    <cellStyle name="20% - Accent1 11 3 2 5 2" xfId="29717"/>
    <cellStyle name="20% - Accent1 11 3 2 6" xfId="20726"/>
    <cellStyle name="20% - Accent1 11 3 3" xfId="1064"/>
    <cellStyle name="20% - Accent1 11 3 3 2" xfId="1065"/>
    <cellStyle name="20% - Accent1 11 3 3 2 2" xfId="12491"/>
    <cellStyle name="20% - Accent1 11 3 3 2 2 2" xfId="25883"/>
    <cellStyle name="20% - Accent1 11 3 3 2 3" xfId="16442"/>
    <cellStyle name="20% - Accent1 11 3 3 2 3 2" xfId="29721"/>
    <cellStyle name="20% - Accent1 11 3 3 2 4" xfId="20730"/>
    <cellStyle name="20% - Accent1 11 3 3 3" xfId="1066"/>
    <cellStyle name="20% - Accent1 11 3 3 3 2" xfId="12492"/>
    <cellStyle name="20% - Accent1 11 3 3 3 2 2" xfId="25884"/>
    <cellStyle name="20% - Accent1 11 3 3 3 3" xfId="16443"/>
    <cellStyle name="20% - Accent1 11 3 3 3 3 2" xfId="29722"/>
    <cellStyle name="20% - Accent1 11 3 3 3 4" xfId="20731"/>
    <cellStyle name="20% - Accent1 11 3 3 4" xfId="12490"/>
    <cellStyle name="20% - Accent1 11 3 3 4 2" xfId="25882"/>
    <cellStyle name="20% - Accent1 11 3 3 5" xfId="16441"/>
    <cellStyle name="20% - Accent1 11 3 3 5 2" xfId="29720"/>
    <cellStyle name="20% - Accent1 11 3 3 6" xfId="20729"/>
    <cellStyle name="20% - Accent1 11 3 4" xfId="1067"/>
    <cellStyle name="20% - Accent1 11 3 4 2" xfId="12493"/>
    <cellStyle name="20% - Accent1 11 3 4 2 2" xfId="25885"/>
    <cellStyle name="20% - Accent1 11 3 4 3" xfId="16444"/>
    <cellStyle name="20% - Accent1 11 3 4 3 2" xfId="29723"/>
    <cellStyle name="20% - Accent1 11 3 4 4" xfId="20732"/>
    <cellStyle name="20% - Accent1 11 3 5" xfId="1068"/>
    <cellStyle name="20% - Accent1 11 3 5 2" xfId="12494"/>
    <cellStyle name="20% - Accent1 11 3 5 2 2" xfId="25886"/>
    <cellStyle name="20% - Accent1 11 3 5 3" xfId="16445"/>
    <cellStyle name="20% - Accent1 11 3 5 3 2" xfId="29724"/>
    <cellStyle name="20% - Accent1 11 3 5 4" xfId="20733"/>
    <cellStyle name="20% - Accent1 11 3 6" xfId="12486"/>
    <cellStyle name="20% - Accent1 11 3 6 2" xfId="25878"/>
    <cellStyle name="20% - Accent1 11 3 7" xfId="16437"/>
    <cellStyle name="20% - Accent1 11 3 7 2" xfId="29716"/>
    <cellStyle name="20% - Accent1 11 3 8" xfId="20725"/>
    <cellStyle name="20% - Accent1 11 3_Volatility" xfId="1069"/>
    <cellStyle name="20% - Accent1 11 4" xfId="1070"/>
    <cellStyle name="20% - Accent1 11 4 2" xfId="1071"/>
    <cellStyle name="20% - Accent1 11 4 2 2" xfId="12496"/>
    <cellStyle name="20% - Accent1 11 4 2 2 2" xfId="25888"/>
    <cellStyle name="20% - Accent1 11 4 2 3" xfId="16447"/>
    <cellStyle name="20% - Accent1 11 4 2 3 2" xfId="29726"/>
    <cellStyle name="20% - Accent1 11 4 2 4" xfId="20735"/>
    <cellStyle name="20% - Accent1 11 4 3" xfId="1072"/>
    <cellStyle name="20% - Accent1 11 4 3 2" xfId="12497"/>
    <cellStyle name="20% - Accent1 11 4 3 2 2" xfId="25889"/>
    <cellStyle name="20% - Accent1 11 4 3 3" xfId="16448"/>
    <cellStyle name="20% - Accent1 11 4 3 3 2" xfId="29727"/>
    <cellStyle name="20% - Accent1 11 4 3 4" xfId="20736"/>
    <cellStyle name="20% - Accent1 11 4 4" xfId="12495"/>
    <cellStyle name="20% - Accent1 11 4 4 2" xfId="25887"/>
    <cellStyle name="20% - Accent1 11 4 5" xfId="16446"/>
    <cellStyle name="20% - Accent1 11 4 5 2" xfId="29725"/>
    <cellStyle name="20% - Accent1 11 4 6" xfId="20734"/>
    <cellStyle name="20% - Accent1 11 5" xfId="1073"/>
    <cellStyle name="20% - Accent1 11 5 2" xfId="1074"/>
    <cellStyle name="20% - Accent1 11 5 2 2" xfId="12499"/>
    <cellStyle name="20% - Accent1 11 5 2 2 2" xfId="25891"/>
    <cellStyle name="20% - Accent1 11 5 2 3" xfId="16450"/>
    <cellStyle name="20% - Accent1 11 5 2 3 2" xfId="29729"/>
    <cellStyle name="20% - Accent1 11 5 2 4" xfId="20738"/>
    <cellStyle name="20% - Accent1 11 5 3" xfId="1075"/>
    <cellStyle name="20% - Accent1 11 5 3 2" xfId="12500"/>
    <cellStyle name="20% - Accent1 11 5 3 2 2" xfId="25892"/>
    <cellStyle name="20% - Accent1 11 5 3 3" xfId="16451"/>
    <cellStyle name="20% - Accent1 11 5 3 3 2" xfId="29730"/>
    <cellStyle name="20% - Accent1 11 5 3 4" xfId="20739"/>
    <cellStyle name="20% - Accent1 11 5 4" xfId="12498"/>
    <cellStyle name="20% - Accent1 11 5 4 2" xfId="25890"/>
    <cellStyle name="20% - Accent1 11 5 5" xfId="16449"/>
    <cellStyle name="20% - Accent1 11 5 5 2" xfId="29728"/>
    <cellStyle name="20% - Accent1 11 5 6" xfId="20737"/>
    <cellStyle name="20% - Accent1 11 6" xfId="1076"/>
    <cellStyle name="20% - Accent1 11 6 2" xfId="1077"/>
    <cellStyle name="20% - Accent1 11 6 2 2" xfId="12502"/>
    <cellStyle name="20% - Accent1 11 6 2 2 2" xfId="25894"/>
    <cellStyle name="20% - Accent1 11 6 2 3" xfId="16453"/>
    <cellStyle name="20% - Accent1 11 6 2 3 2" xfId="29732"/>
    <cellStyle name="20% - Accent1 11 6 2 4" xfId="20741"/>
    <cellStyle name="20% - Accent1 11 6 3" xfId="1078"/>
    <cellStyle name="20% - Accent1 11 6 3 2" xfId="12503"/>
    <cellStyle name="20% - Accent1 11 6 3 2 2" xfId="25895"/>
    <cellStyle name="20% - Accent1 11 6 3 3" xfId="16454"/>
    <cellStyle name="20% - Accent1 11 6 3 3 2" xfId="29733"/>
    <cellStyle name="20% - Accent1 11 6 3 4" xfId="20742"/>
    <cellStyle name="20% - Accent1 11 6 4" xfId="12501"/>
    <cellStyle name="20% - Accent1 11 6 4 2" xfId="25893"/>
    <cellStyle name="20% - Accent1 11 6 5" xfId="16452"/>
    <cellStyle name="20% - Accent1 11 6 5 2" xfId="29731"/>
    <cellStyle name="20% - Accent1 11 6 6" xfId="20740"/>
    <cellStyle name="20% - Accent1 11 7" xfId="1079"/>
    <cellStyle name="20% - Accent1 11 7 2" xfId="12504"/>
    <cellStyle name="20% - Accent1 11 7 2 2" xfId="25896"/>
    <cellStyle name="20% - Accent1 11 7 3" xfId="16455"/>
    <cellStyle name="20% - Accent1 11 7 3 2" xfId="29734"/>
    <cellStyle name="20% - Accent1 11 7 4" xfId="20743"/>
    <cellStyle name="20% - Accent1 11 8" xfId="1080"/>
    <cellStyle name="20% - Accent1 11 8 2" xfId="12505"/>
    <cellStyle name="20% - Accent1 11 8 2 2" xfId="25897"/>
    <cellStyle name="20% - Accent1 11 8 3" xfId="16456"/>
    <cellStyle name="20% - Accent1 11 8 3 2" xfId="29735"/>
    <cellStyle name="20% - Accent1 11 8 4" xfId="20744"/>
    <cellStyle name="20% - Accent1 11 9" xfId="12473"/>
    <cellStyle name="20% - Accent1 11 9 2" xfId="25865"/>
    <cellStyle name="20% - Accent1 11_Volatility" xfId="1081"/>
    <cellStyle name="20% - Accent1 12" xfId="1082"/>
    <cellStyle name="20% - Accent1 12 10" xfId="16457"/>
    <cellStyle name="20% - Accent1 12 10 2" xfId="29736"/>
    <cellStyle name="20% - Accent1 12 11" xfId="20745"/>
    <cellStyle name="20% - Accent1 12 2" xfId="1083"/>
    <cellStyle name="20% - Accent1 12 2 2" xfId="1084"/>
    <cellStyle name="20% - Accent1 12 2 2 2" xfId="1085"/>
    <cellStyle name="20% - Accent1 12 2 2 2 2" xfId="12509"/>
    <cellStyle name="20% - Accent1 12 2 2 2 2 2" xfId="25901"/>
    <cellStyle name="20% - Accent1 12 2 2 2 3" xfId="16460"/>
    <cellStyle name="20% - Accent1 12 2 2 2 3 2" xfId="29739"/>
    <cellStyle name="20% - Accent1 12 2 2 2 4" xfId="20748"/>
    <cellStyle name="20% - Accent1 12 2 2 3" xfId="1086"/>
    <cellStyle name="20% - Accent1 12 2 2 3 2" xfId="12510"/>
    <cellStyle name="20% - Accent1 12 2 2 3 2 2" xfId="25902"/>
    <cellStyle name="20% - Accent1 12 2 2 3 3" xfId="16461"/>
    <cellStyle name="20% - Accent1 12 2 2 3 3 2" xfId="29740"/>
    <cellStyle name="20% - Accent1 12 2 2 3 4" xfId="20749"/>
    <cellStyle name="20% - Accent1 12 2 2 4" xfId="12508"/>
    <cellStyle name="20% - Accent1 12 2 2 4 2" xfId="25900"/>
    <cellStyle name="20% - Accent1 12 2 2 5" xfId="16459"/>
    <cellStyle name="20% - Accent1 12 2 2 5 2" xfId="29738"/>
    <cellStyle name="20% - Accent1 12 2 2 6" xfId="20747"/>
    <cellStyle name="20% - Accent1 12 2 3" xfId="1087"/>
    <cellStyle name="20% - Accent1 12 2 3 2" xfId="1088"/>
    <cellStyle name="20% - Accent1 12 2 3 2 2" xfId="12512"/>
    <cellStyle name="20% - Accent1 12 2 3 2 2 2" xfId="25904"/>
    <cellStyle name="20% - Accent1 12 2 3 2 3" xfId="16463"/>
    <cellStyle name="20% - Accent1 12 2 3 2 3 2" xfId="29742"/>
    <cellStyle name="20% - Accent1 12 2 3 2 4" xfId="20751"/>
    <cellStyle name="20% - Accent1 12 2 3 3" xfId="1089"/>
    <cellStyle name="20% - Accent1 12 2 3 3 2" xfId="12513"/>
    <cellStyle name="20% - Accent1 12 2 3 3 2 2" xfId="25905"/>
    <cellStyle name="20% - Accent1 12 2 3 3 3" xfId="16464"/>
    <cellStyle name="20% - Accent1 12 2 3 3 3 2" xfId="29743"/>
    <cellStyle name="20% - Accent1 12 2 3 3 4" xfId="20752"/>
    <cellStyle name="20% - Accent1 12 2 3 4" xfId="12511"/>
    <cellStyle name="20% - Accent1 12 2 3 4 2" xfId="25903"/>
    <cellStyle name="20% - Accent1 12 2 3 5" xfId="16462"/>
    <cellStyle name="20% - Accent1 12 2 3 5 2" xfId="29741"/>
    <cellStyle name="20% - Accent1 12 2 3 6" xfId="20750"/>
    <cellStyle name="20% - Accent1 12 2 4" xfId="1090"/>
    <cellStyle name="20% - Accent1 12 2 4 2" xfId="1091"/>
    <cellStyle name="20% - Accent1 12 2 4 2 2" xfId="12515"/>
    <cellStyle name="20% - Accent1 12 2 4 2 2 2" xfId="25907"/>
    <cellStyle name="20% - Accent1 12 2 4 2 3" xfId="16466"/>
    <cellStyle name="20% - Accent1 12 2 4 2 3 2" xfId="29745"/>
    <cellStyle name="20% - Accent1 12 2 4 2 4" xfId="20754"/>
    <cellStyle name="20% - Accent1 12 2 4 3" xfId="1092"/>
    <cellStyle name="20% - Accent1 12 2 4 3 2" xfId="12516"/>
    <cellStyle name="20% - Accent1 12 2 4 3 2 2" xfId="25908"/>
    <cellStyle name="20% - Accent1 12 2 4 3 3" xfId="16467"/>
    <cellStyle name="20% - Accent1 12 2 4 3 3 2" xfId="29746"/>
    <cellStyle name="20% - Accent1 12 2 4 3 4" xfId="20755"/>
    <cellStyle name="20% - Accent1 12 2 4 4" xfId="12514"/>
    <cellStyle name="20% - Accent1 12 2 4 4 2" xfId="25906"/>
    <cellStyle name="20% - Accent1 12 2 4 5" xfId="16465"/>
    <cellStyle name="20% - Accent1 12 2 4 5 2" xfId="29744"/>
    <cellStyle name="20% - Accent1 12 2 4 6" xfId="20753"/>
    <cellStyle name="20% - Accent1 12 2 5" xfId="1093"/>
    <cellStyle name="20% - Accent1 12 2 5 2" xfId="12517"/>
    <cellStyle name="20% - Accent1 12 2 5 2 2" xfId="25909"/>
    <cellStyle name="20% - Accent1 12 2 5 3" xfId="16468"/>
    <cellStyle name="20% - Accent1 12 2 5 3 2" xfId="29747"/>
    <cellStyle name="20% - Accent1 12 2 5 4" xfId="20756"/>
    <cellStyle name="20% - Accent1 12 2 6" xfId="1094"/>
    <cellStyle name="20% - Accent1 12 2 6 2" xfId="12518"/>
    <cellStyle name="20% - Accent1 12 2 6 2 2" xfId="25910"/>
    <cellStyle name="20% - Accent1 12 2 6 3" xfId="16469"/>
    <cellStyle name="20% - Accent1 12 2 6 3 2" xfId="29748"/>
    <cellStyle name="20% - Accent1 12 2 6 4" xfId="20757"/>
    <cellStyle name="20% - Accent1 12 2 7" xfId="12507"/>
    <cellStyle name="20% - Accent1 12 2 7 2" xfId="25899"/>
    <cellStyle name="20% - Accent1 12 2 8" xfId="16458"/>
    <cellStyle name="20% - Accent1 12 2 8 2" xfId="29737"/>
    <cellStyle name="20% - Accent1 12 2 9" xfId="20746"/>
    <cellStyle name="20% - Accent1 12 2_Volatility" xfId="1095"/>
    <cellStyle name="20% - Accent1 12 3" xfId="1096"/>
    <cellStyle name="20% - Accent1 12 3 2" xfId="1097"/>
    <cellStyle name="20% - Accent1 12 3 2 2" xfId="1098"/>
    <cellStyle name="20% - Accent1 12 3 2 2 2" xfId="12521"/>
    <cellStyle name="20% - Accent1 12 3 2 2 2 2" xfId="25913"/>
    <cellStyle name="20% - Accent1 12 3 2 2 3" xfId="16472"/>
    <cellStyle name="20% - Accent1 12 3 2 2 3 2" xfId="29751"/>
    <cellStyle name="20% - Accent1 12 3 2 2 4" xfId="20760"/>
    <cellStyle name="20% - Accent1 12 3 2 3" xfId="1099"/>
    <cellStyle name="20% - Accent1 12 3 2 3 2" xfId="12522"/>
    <cellStyle name="20% - Accent1 12 3 2 3 2 2" xfId="25914"/>
    <cellStyle name="20% - Accent1 12 3 2 3 3" xfId="16473"/>
    <cellStyle name="20% - Accent1 12 3 2 3 3 2" xfId="29752"/>
    <cellStyle name="20% - Accent1 12 3 2 3 4" xfId="20761"/>
    <cellStyle name="20% - Accent1 12 3 2 4" xfId="12520"/>
    <cellStyle name="20% - Accent1 12 3 2 4 2" xfId="25912"/>
    <cellStyle name="20% - Accent1 12 3 2 5" xfId="16471"/>
    <cellStyle name="20% - Accent1 12 3 2 5 2" xfId="29750"/>
    <cellStyle name="20% - Accent1 12 3 2 6" xfId="20759"/>
    <cellStyle name="20% - Accent1 12 3 3" xfId="1100"/>
    <cellStyle name="20% - Accent1 12 3 3 2" xfId="1101"/>
    <cellStyle name="20% - Accent1 12 3 3 2 2" xfId="12524"/>
    <cellStyle name="20% - Accent1 12 3 3 2 2 2" xfId="25916"/>
    <cellStyle name="20% - Accent1 12 3 3 2 3" xfId="16475"/>
    <cellStyle name="20% - Accent1 12 3 3 2 3 2" xfId="29754"/>
    <cellStyle name="20% - Accent1 12 3 3 2 4" xfId="20763"/>
    <cellStyle name="20% - Accent1 12 3 3 3" xfId="1102"/>
    <cellStyle name="20% - Accent1 12 3 3 3 2" xfId="12525"/>
    <cellStyle name="20% - Accent1 12 3 3 3 2 2" xfId="25917"/>
    <cellStyle name="20% - Accent1 12 3 3 3 3" xfId="16476"/>
    <cellStyle name="20% - Accent1 12 3 3 3 3 2" xfId="29755"/>
    <cellStyle name="20% - Accent1 12 3 3 3 4" xfId="20764"/>
    <cellStyle name="20% - Accent1 12 3 3 4" xfId="12523"/>
    <cellStyle name="20% - Accent1 12 3 3 4 2" xfId="25915"/>
    <cellStyle name="20% - Accent1 12 3 3 5" xfId="16474"/>
    <cellStyle name="20% - Accent1 12 3 3 5 2" xfId="29753"/>
    <cellStyle name="20% - Accent1 12 3 3 6" xfId="20762"/>
    <cellStyle name="20% - Accent1 12 3 4" xfId="1103"/>
    <cellStyle name="20% - Accent1 12 3 4 2" xfId="12526"/>
    <cellStyle name="20% - Accent1 12 3 4 2 2" xfId="25918"/>
    <cellStyle name="20% - Accent1 12 3 4 3" xfId="16477"/>
    <cellStyle name="20% - Accent1 12 3 4 3 2" xfId="29756"/>
    <cellStyle name="20% - Accent1 12 3 4 4" xfId="20765"/>
    <cellStyle name="20% - Accent1 12 3 5" xfId="1104"/>
    <cellStyle name="20% - Accent1 12 3 5 2" xfId="12527"/>
    <cellStyle name="20% - Accent1 12 3 5 2 2" xfId="25919"/>
    <cellStyle name="20% - Accent1 12 3 5 3" xfId="16478"/>
    <cellStyle name="20% - Accent1 12 3 5 3 2" xfId="29757"/>
    <cellStyle name="20% - Accent1 12 3 5 4" xfId="20766"/>
    <cellStyle name="20% - Accent1 12 3 6" xfId="12519"/>
    <cellStyle name="20% - Accent1 12 3 6 2" xfId="25911"/>
    <cellStyle name="20% - Accent1 12 3 7" xfId="16470"/>
    <cellStyle name="20% - Accent1 12 3 7 2" xfId="29749"/>
    <cellStyle name="20% - Accent1 12 3 8" xfId="20758"/>
    <cellStyle name="20% - Accent1 12 3_Volatility" xfId="1105"/>
    <cellStyle name="20% - Accent1 12 4" xfId="1106"/>
    <cellStyle name="20% - Accent1 12 4 2" xfId="1107"/>
    <cellStyle name="20% - Accent1 12 4 2 2" xfId="12529"/>
    <cellStyle name="20% - Accent1 12 4 2 2 2" xfId="25921"/>
    <cellStyle name="20% - Accent1 12 4 2 3" xfId="16480"/>
    <cellStyle name="20% - Accent1 12 4 2 3 2" xfId="29759"/>
    <cellStyle name="20% - Accent1 12 4 2 4" xfId="20768"/>
    <cellStyle name="20% - Accent1 12 4 3" xfId="1108"/>
    <cellStyle name="20% - Accent1 12 4 3 2" xfId="12530"/>
    <cellStyle name="20% - Accent1 12 4 3 2 2" xfId="25922"/>
    <cellStyle name="20% - Accent1 12 4 3 3" xfId="16481"/>
    <cellStyle name="20% - Accent1 12 4 3 3 2" xfId="29760"/>
    <cellStyle name="20% - Accent1 12 4 3 4" xfId="20769"/>
    <cellStyle name="20% - Accent1 12 4 4" xfId="12528"/>
    <cellStyle name="20% - Accent1 12 4 4 2" xfId="25920"/>
    <cellStyle name="20% - Accent1 12 4 5" xfId="16479"/>
    <cellStyle name="20% - Accent1 12 4 5 2" xfId="29758"/>
    <cellStyle name="20% - Accent1 12 4 6" xfId="20767"/>
    <cellStyle name="20% - Accent1 12 5" xfId="1109"/>
    <cellStyle name="20% - Accent1 12 5 2" xfId="1110"/>
    <cellStyle name="20% - Accent1 12 5 2 2" xfId="12532"/>
    <cellStyle name="20% - Accent1 12 5 2 2 2" xfId="25924"/>
    <cellStyle name="20% - Accent1 12 5 2 3" xfId="16483"/>
    <cellStyle name="20% - Accent1 12 5 2 3 2" xfId="29762"/>
    <cellStyle name="20% - Accent1 12 5 2 4" xfId="20771"/>
    <cellStyle name="20% - Accent1 12 5 3" xfId="1111"/>
    <cellStyle name="20% - Accent1 12 5 3 2" xfId="12533"/>
    <cellStyle name="20% - Accent1 12 5 3 2 2" xfId="25925"/>
    <cellStyle name="20% - Accent1 12 5 3 3" xfId="16484"/>
    <cellStyle name="20% - Accent1 12 5 3 3 2" xfId="29763"/>
    <cellStyle name="20% - Accent1 12 5 3 4" xfId="20772"/>
    <cellStyle name="20% - Accent1 12 5 4" xfId="12531"/>
    <cellStyle name="20% - Accent1 12 5 4 2" xfId="25923"/>
    <cellStyle name="20% - Accent1 12 5 5" xfId="16482"/>
    <cellStyle name="20% - Accent1 12 5 5 2" xfId="29761"/>
    <cellStyle name="20% - Accent1 12 5 6" xfId="20770"/>
    <cellStyle name="20% - Accent1 12 6" xfId="1112"/>
    <cellStyle name="20% - Accent1 12 6 2" xfId="1113"/>
    <cellStyle name="20% - Accent1 12 6 2 2" xfId="12535"/>
    <cellStyle name="20% - Accent1 12 6 2 2 2" xfId="25927"/>
    <cellStyle name="20% - Accent1 12 6 2 3" xfId="16486"/>
    <cellStyle name="20% - Accent1 12 6 2 3 2" xfId="29765"/>
    <cellStyle name="20% - Accent1 12 6 2 4" xfId="20774"/>
    <cellStyle name="20% - Accent1 12 6 3" xfId="1114"/>
    <cellStyle name="20% - Accent1 12 6 3 2" xfId="12536"/>
    <cellStyle name="20% - Accent1 12 6 3 2 2" xfId="25928"/>
    <cellStyle name="20% - Accent1 12 6 3 3" xfId="16487"/>
    <cellStyle name="20% - Accent1 12 6 3 3 2" xfId="29766"/>
    <cellStyle name="20% - Accent1 12 6 3 4" xfId="20775"/>
    <cellStyle name="20% - Accent1 12 6 4" xfId="12534"/>
    <cellStyle name="20% - Accent1 12 6 4 2" xfId="25926"/>
    <cellStyle name="20% - Accent1 12 6 5" xfId="16485"/>
    <cellStyle name="20% - Accent1 12 6 5 2" xfId="29764"/>
    <cellStyle name="20% - Accent1 12 6 6" xfId="20773"/>
    <cellStyle name="20% - Accent1 12 7" xfId="1115"/>
    <cellStyle name="20% - Accent1 12 7 2" xfId="12537"/>
    <cellStyle name="20% - Accent1 12 7 2 2" xfId="25929"/>
    <cellStyle name="20% - Accent1 12 7 3" xfId="16488"/>
    <cellStyle name="20% - Accent1 12 7 3 2" xfId="29767"/>
    <cellStyle name="20% - Accent1 12 7 4" xfId="20776"/>
    <cellStyle name="20% - Accent1 12 8" xfId="1116"/>
    <cellStyle name="20% - Accent1 12 8 2" xfId="12538"/>
    <cellStyle name="20% - Accent1 12 8 2 2" xfId="25930"/>
    <cellStyle name="20% - Accent1 12 8 3" xfId="16489"/>
    <cellStyle name="20% - Accent1 12 8 3 2" xfId="29768"/>
    <cellStyle name="20% - Accent1 12 8 4" xfId="20777"/>
    <cellStyle name="20% - Accent1 12 9" xfId="12506"/>
    <cellStyle name="20% - Accent1 12 9 2" xfId="25898"/>
    <cellStyle name="20% - Accent1 12_Volatility" xfId="1117"/>
    <cellStyle name="20% - Accent1 13" xfId="1118"/>
    <cellStyle name="20% - Accent1 13 10" xfId="16490"/>
    <cellStyle name="20% - Accent1 13 10 2" xfId="29769"/>
    <cellStyle name="20% - Accent1 13 11" xfId="20778"/>
    <cellStyle name="20% - Accent1 13 2" xfId="1119"/>
    <cellStyle name="20% - Accent1 13 2 2" xfId="1120"/>
    <cellStyle name="20% - Accent1 13 2 2 2" xfId="1121"/>
    <cellStyle name="20% - Accent1 13 2 2 2 2" xfId="12542"/>
    <cellStyle name="20% - Accent1 13 2 2 2 2 2" xfId="25934"/>
    <cellStyle name="20% - Accent1 13 2 2 2 3" xfId="16493"/>
    <cellStyle name="20% - Accent1 13 2 2 2 3 2" xfId="29772"/>
    <cellStyle name="20% - Accent1 13 2 2 2 4" xfId="20781"/>
    <cellStyle name="20% - Accent1 13 2 2 3" xfId="1122"/>
    <cellStyle name="20% - Accent1 13 2 2 3 2" xfId="12543"/>
    <cellStyle name="20% - Accent1 13 2 2 3 2 2" xfId="25935"/>
    <cellStyle name="20% - Accent1 13 2 2 3 3" xfId="16494"/>
    <cellStyle name="20% - Accent1 13 2 2 3 3 2" xfId="29773"/>
    <cellStyle name="20% - Accent1 13 2 2 3 4" xfId="20782"/>
    <cellStyle name="20% - Accent1 13 2 2 4" xfId="12541"/>
    <cellStyle name="20% - Accent1 13 2 2 4 2" xfId="25933"/>
    <cellStyle name="20% - Accent1 13 2 2 5" xfId="16492"/>
    <cellStyle name="20% - Accent1 13 2 2 5 2" xfId="29771"/>
    <cellStyle name="20% - Accent1 13 2 2 6" xfId="20780"/>
    <cellStyle name="20% - Accent1 13 2 3" xfId="1123"/>
    <cellStyle name="20% - Accent1 13 2 3 2" xfId="1124"/>
    <cellStyle name="20% - Accent1 13 2 3 2 2" xfId="12545"/>
    <cellStyle name="20% - Accent1 13 2 3 2 2 2" xfId="25937"/>
    <cellStyle name="20% - Accent1 13 2 3 2 3" xfId="16496"/>
    <cellStyle name="20% - Accent1 13 2 3 2 3 2" xfId="29775"/>
    <cellStyle name="20% - Accent1 13 2 3 2 4" xfId="20784"/>
    <cellStyle name="20% - Accent1 13 2 3 3" xfId="1125"/>
    <cellStyle name="20% - Accent1 13 2 3 3 2" xfId="12546"/>
    <cellStyle name="20% - Accent1 13 2 3 3 2 2" xfId="25938"/>
    <cellStyle name="20% - Accent1 13 2 3 3 3" xfId="16497"/>
    <cellStyle name="20% - Accent1 13 2 3 3 3 2" xfId="29776"/>
    <cellStyle name="20% - Accent1 13 2 3 3 4" xfId="20785"/>
    <cellStyle name="20% - Accent1 13 2 3 4" xfId="12544"/>
    <cellStyle name="20% - Accent1 13 2 3 4 2" xfId="25936"/>
    <cellStyle name="20% - Accent1 13 2 3 5" xfId="16495"/>
    <cellStyle name="20% - Accent1 13 2 3 5 2" xfId="29774"/>
    <cellStyle name="20% - Accent1 13 2 3 6" xfId="20783"/>
    <cellStyle name="20% - Accent1 13 2 4" xfId="1126"/>
    <cellStyle name="20% - Accent1 13 2 4 2" xfId="1127"/>
    <cellStyle name="20% - Accent1 13 2 4 2 2" xfId="12548"/>
    <cellStyle name="20% - Accent1 13 2 4 2 2 2" xfId="25940"/>
    <cellStyle name="20% - Accent1 13 2 4 2 3" xfId="16499"/>
    <cellStyle name="20% - Accent1 13 2 4 2 3 2" xfId="29778"/>
    <cellStyle name="20% - Accent1 13 2 4 2 4" xfId="20787"/>
    <cellStyle name="20% - Accent1 13 2 4 3" xfId="1128"/>
    <cellStyle name="20% - Accent1 13 2 4 3 2" xfId="12549"/>
    <cellStyle name="20% - Accent1 13 2 4 3 2 2" xfId="25941"/>
    <cellStyle name="20% - Accent1 13 2 4 3 3" xfId="16500"/>
    <cellStyle name="20% - Accent1 13 2 4 3 3 2" xfId="29779"/>
    <cellStyle name="20% - Accent1 13 2 4 3 4" xfId="20788"/>
    <cellStyle name="20% - Accent1 13 2 4 4" xfId="12547"/>
    <cellStyle name="20% - Accent1 13 2 4 4 2" xfId="25939"/>
    <cellStyle name="20% - Accent1 13 2 4 5" xfId="16498"/>
    <cellStyle name="20% - Accent1 13 2 4 5 2" xfId="29777"/>
    <cellStyle name="20% - Accent1 13 2 4 6" xfId="20786"/>
    <cellStyle name="20% - Accent1 13 2 5" xfId="1129"/>
    <cellStyle name="20% - Accent1 13 2 5 2" xfId="12550"/>
    <cellStyle name="20% - Accent1 13 2 5 2 2" xfId="25942"/>
    <cellStyle name="20% - Accent1 13 2 5 3" xfId="16501"/>
    <cellStyle name="20% - Accent1 13 2 5 3 2" xfId="29780"/>
    <cellStyle name="20% - Accent1 13 2 5 4" xfId="20789"/>
    <cellStyle name="20% - Accent1 13 2 6" xfId="1130"/>
    <cellStyle name="20% - Accent1 13 2 6 2" xfId="12551"/>
    <cellStyle name="20% - Accent1 13 2 6 2 2" xfId="25943"/>
    <cellStyle name="20% - Accent1 13 2 6 3" xfId="16502"/>
    <cellStyle name="20% - Accent1 13 2 6 3 2" xfId="29781"/>
    <cellStyle name="20% - Accent1 13 2 6 4" xfId="20790"/>
    <cellStyle name="20% - Accent1 13 2 7" xfId="12540"/>
    <cellStyle name="20% - Accent1 13 2 7 2" xfId="25932"/>
    <cellStyle name="20% - Accent1 13 2 8" xfId="16491"/>
    <cellStyle name="20% - Accent1 13 2 8 2" xfId="29770"/>
    <cellStyle name="20% - Accent1 13 2 9" xfId="20779"/>
    <cellStyle name="20% - Accent1 13 2_Volatility" xfId="1131"/>
    <cellStyle name="20% - Accent1 13 3" xfId="1132"/>
    <cellStyle name="20% - Accent1 13 3 2" xfId="1133"/>
    <cellStyle name="20% - Accent1 13 3 2 2" xfId="1134"/>
    <cellStyle name="20% - Accent1 13 3 2 2 2" xfId="12554"/>
    <cellStyle name="20% - Accent1 13 3 2 2 2 2" xfId="25946"/>
    <cellStyle name="20% - Accent1 13 3 2 2 3" xfId="16505"/>
    <cellStyle name="20% - Accent1 13 3 2 2 3 2" xfId="29784"/>
    <cellStyle name="20% - Accent1 13 3 2 2 4" xfId="20793"/>
    <cellStyle name="20% - Accent1 13 3 2 3" xfId="1135"/>
    <cellStyle name="20% - Accent1 13 3 2 3 2" xfId="12555"/>
    <cellStyle name="20% - Accent1 13 3 2 3 2 2" xfId="25947"/>
    <cellStyle name="20% - Accent1 13 3 2 3 3" xfId="16506"/>
    <cellStyle name="20% - Accent1 13 3 2 3 3 2" xfId="29785"/>
    <cellStyle name="20% - Accent1 13 3 2 3 4" xfId="20794"/>
    <cellStyle name="20% - Accent1 13 3 2 4" xfId="12553"/>
    <cellStyle name="20% - Accent1 13 3 2 4 2" xfId="25945"/>
    <cellStyle name="20% - Accent1 13 3 2 5" xfId="16504"/>
    <cellStyle name="20% - Accent1 13 3 2 5 2" xfId="29783"/>
    <cellStyle name="20% - Accent1 13 3 2 6" xfId="20792"/>
    <cellStyle name="20% - Accent1 13 3 3" xfId="1136"/>
    <cellStyle name="20% - Accent1 13 3 3 2" xfId="1137"/>
    <cellStyle name="20% - Accent1 13 3 3 2 2" xfId="12557"/>
    <cellStyle name="20% - Accent1 13 3 3 2 2 2" xfId="25949"/>
    <cellStyle name="20% - Accent1 13 3 3 2 3" xfId="16508"/>
    <cellStyle name="20% - Accent1 13 3 3 2 3 2" xfId="29787"/>
    <cellStyle name="20% - Accent1 13 3 3 2 4" xfId="20796"/>
    <cellStyle name="20% - Accent1 13 3 3 3" xfId="1138"/>
    <cellStyle name="20% - Accent1 13 3 3 3 2" xfId="12558"/>
    <cellStyle name="20% - Accent1 13 3 3 3 2 2" xfId="25950"/>
    <cellStyle name="20% - Accent1 13 3 3 3 3" xfId="16509"/>
    <cellStyle name="20% - Accent1 13 3 3 3 3 2" xfId="29788"/>
    <cellStyle name="20% - Accent1 13 3 3 3 4" xfId="20797"/>
    <cellStyle name="20% - Accent1 13 3 3 4" xfId="12556"/>
    <cellStyle name="20% - Accent1 13 3 3 4 2" xfId="25948"/>
    <cellStyle name="20% - Accent1 13 3 3 5" xfId="16507"/>
    <cellStyle name="20% - Accent1 13 3 3 5 2" xfId="29786"/>
    <cellStyle name="20% - Accent1 13 3 3 6" xfId="20795"/>
    <cellStyle name="20% - Accent1 13 3 4" xfId="1139"/>
    <cellStyle name="20% - Accent1 13 3 4 2" xfId="12559"/>
    <cellStyle name="20% - Accent1 13 3 4 2 2" xfId="25951"/>
    <cellStyle name="20% - Accent1 13 3 4 3" xfId="16510"/>
    <cellStyle name="20% - Accent1 13 3 4 3 2" xfId="29789"/>
    <cellStyle name="20% - Accent1 13 3 4 4" xfId="20798"/>
    <cellStyle name="20% - Accent1 13 3 5" xfId="1140"/>
    <cellStyle name="20% - Accent1 13 3 5 2" xfId="12560"/>
    <cellStyle name="20% - Accent1 13 3 5 2 2" xfId="25952"/>
    <cellStyle name="20% - Accent1 13 3 5 3" xfId="16511"/>
    <cellStyle name="20% - Accent1 13 3 5 3 2" xfId="29790"/>
    <cellStyle name="20% - Accent1 13 3 5 4" xfId="20799"/>
    <cellStyle name="20% - Accent1 13 3 6" xfId="12552"/>
    <cellStyle name="20% - Accent1 13 3 6 2" xfId="25944"/>
    <cellStyle name="20% - Accent1 13 3 7" xfId="16503"/>
    <cellStyle name="20% - Accent1 13 3 7 2" xfId="29782"/>
    <cellStyle name="20% - Accent1 13 3 8" xfId="20791"/>
    <cellStyle name="20% - Accent1 13 3_Volatility" xfId="1141"/>
    <cellStyle name="20% - Accent1 13 4" xfId="1142"/>
    <cellStyle name="20% - Accent1 13 4 2" xfId="1143"/>
    <cellStyle name="20% - Accent1 13 4 2 2" xfId="12562"/>
    <cellStyle name="20% - Accent1 13 4 2 2 2" xfId="25954"/>
    <cellStyle name="20% - Accent1 13 4 2 3" xfId="16513"/>
    <cellStyle name="20% - Accent1 13 4 2 3 2" xfId="29792"/>
    <cellStyle name="20% - Accent1 13 4 2 4" xfId="20801"/>
    <cellStyle name="20% - Accent1 13 4 3" xfId="1144"/>
    <cellStyle name="20% - Accent1 13 4 3 2" xfId="12563"/>
    <cellStyle name="20% - Accent1 13 4 3 2 2" xfId="25955"/>
    <cellStyle name="20% - Accent1 13 4 3 3" xfId="16514"/>
    <cellStyle name="20% - Accent1 13 4 3 3 2" xfId="29793"/>
    <cellStyle name="20% - Accent1 13 4 3 4" xfId="20802"/>
    <cellStyle name="20% - Accent1 13 4 4" xfId="12561"/>
    <cellStyle name="20% - Accent1 13 4 4 2" xfId="25953"/>
    <cellStyle name="20% - Accent1 13 4 5" xfId="16512"/>
    <cellStyle name="20% - Accent1 13 4 5 2" xfId="29791"/>
    <cellStyle name="20% - Accent1 13 4 6" xfId="20800"/>
    <cellStyle name="20% - Accent1 13 5" xfId="1145"/>
    <cellStyle name="20% - Accent1 13 5 2" xfId="1146"/>
    <cellStyle name="20% - Accent1 13 5 2 2" xfId="12565"/>
    <cellStyle name="20% - Accent1 13 5 2 2 2" xfId="25957"/>
    <cellStyle name="20% - Accent1 13 5 2 3" xfId="16516"/>
    <cellStyle name="20% - Accent1 13 5 2 3 2" xfId="29795"/>
    <cellStyle name="20% - Accent1 13 5 2 4" xfId="20804"/>
    <cellStyle name="20% - Accent1 13 5 3" xfId="1147"/>
    <cellStyle name="20% - Accent1 13 5 3 2" xfId="12566"/>
    <cellStyle name="20% - Accent1 13 5 3 2 2" xfId="25958"/>
    <cellStyle name="20% - Accent1 13 5 3 3" xfId="16517"/>
    <cellStyle name="20% - Accent1 13 5 3 3 2" xfId="29796"/>
    <cellStyle name="20% - Accent1 13 5 3 4" xfId="20805"/>
    <cellStyle name="20% - Accent1 13 5 4" xfId="12564"/>
    <cellStyle name="20% - Accent1 13 5 4 2" xfId="25956"/>
    <cellStyle name="20% - Accent1 13 5 5" xfId="16515"/>
    <cellStyle name="20% - Accent1 13 5 5 2" xfId="29794"/>
    <cellStyle name="20% - Accent1 13 5 6" xfId="20803"/>
    <cellStyle name="20% - Accent1 13 6" xfId="1148"/>
    <cellStyle name="20% - Accent1 13 6 2" xfId="1149"/>
    <cellStyle name="20% - Accent1 13 6 2 2" xfId="12568"/>
    <cellStyle name="20% - Accent1 13 6 2 2 2" xfId="25960"/>
    <cellStyle name="20% - Accent1 13 6 2 3" xfId="16519"/>
    <cellStyle name="20% - Accent1 13 6 2 3 2" xfId="29798"/>
    <cellStyle name="20% - Accent1 13 6 2 4" xfId="20807"/>
    <cellStyle name="20% - Accent1 13 6 3" xfId="1150"/>
    <cellStyle name="20% - Accent1 13 6 3 2" xfId="12569"/>
    <cellStyle name="20% - Accent1 13 6 3 2 2" xfId="25961"/>
    <cellStyle name="20% - Accent1 13 6 3 3" xfId="16520"/>
    <cellStyle name="20% - Accent1 13 6 3 3 2" xfId="29799"/>
    <cellStyle name="20% - Accent1 13 6 3 4" xfId="20808"/>
    <cellStyle name="20% - Accent1 13 6 4" xfId="12567"/>
    <cellStyle name="20% - Accent1 13 6 4 2" xfId="25959"/>
    <cellStyle name="20% - Accent1 13 6 5" xfId="16518"/>
    <cellStyle name="20% - Accent1 13 6 5 2" xfId="29797"/>
    <cellStyle name="20% - Accent1 13 6 6" xfId="20806"/>
    <cellStyle name="20% - Accent1 13 7" xfId="1151"/>
    <cellStyle name="20% - Accent1 13 7 2" xfId="12570"/>
    <cellStyle name="20% - Accent1 13 7 2 2" xfId="25962"/>
    <cellStyle name="20% - Accent1 13 7 3" xfId="16521"/>
    <cellStyle name="20% - Accent1 13 7 3 2" xfId="29800"/>
    <cellStyle name="20% - Accent1 13 7 4" xfId="20809"/>
    <cellStyle name="20% - Accent1 13 8" xfId="1152"/>
    <cellStyle name="20% - Accent1 13 8 2" xfId="12571"/>
    <cellStyle name="20% - Accent1 13 8 2 2" xfId="25963"/>
    <cellStyle name="20% - Accent1 13 8 3" xfId="16522"/>
    <cellStyle name="20% - Accent1 13 8 3 2" xfId="29801"/>
    <cellStyle name="20% - Accent1 13 8 4" xfId="20810"/>
    <cellStyle name="20% - Accent1 13 9" xfId="12539"/>
    <cellStyle name="20% - Accent1 13 9 2" xfId="25931"/>
    <cellStyle name="20% - Accent1 13_Volatility" xfId="1153"/>
    <cellStyle name="20% - Accent1 14" xfId="1154"/>
    <cellStyle name="20% - Accent1 14 10" xfId="16523"/>
    <cellStyle name="20% - Accent1 14 10 2" xfId="29802"/>
    <cellStyle name="20% - Accent1 14 11" xfId="20811"/>
    <cellStyle name="20% - Accent1 14 2" xfId="1155"/>
    <cellStyle name="20% - Accent1 14 2 2" xfId="1156"/>
    <cellStyle name="20% - Accent1 14 2 2 2" xfId="1157"/>
    <cellStyle name="20% - Accent1 14 2 2 2 2" xfId="12575"/>
    <cellStyle name="20% - Accent1 14 2 2 2 2 2" xfId="25967"/>
    <cellStyle name="20% - Accent1 14 2 2 2 3" xfId="16526"/>
    <cellStyle name="20% - Accent1 14 2 2 2 3 2" xfId="29805"/>
    <cellStyle name="20% - Accent1 14 2 2 2 4" xfId="20814"/>
    <cellStyle name="20% - Accent1 14 2 2 3" xfId="1158"/>
    <cellStyle name="20% - Accent1 14 2 2 3 2" xfId="12576"/>
    <cellStyle name="20% - Accent1 14 2 2 3 2 2" xfId="25968"/>
    <cellStyle name="20% - Accent1 14 2 2 3 3" xfId="16527"/>
    <cellStyle name="20% - Accent1 14 2 2 3 3 2" xfId="29806"/>
    <cellStyle name="20% - Accent1 14 2 2 3 4" xfId="20815"/>
    <cellStyle name="20% - Accent1 14 2 2 4" xfId="12574"/>
    <cellStyle name="20% - Accent1 14 2 2 4 2" xfId="25966"/>
    <cellStyle name="20% - Accent1 14 2 2 5" xfId="16525"/>
    <cellStyle name="20% - Accent1 14 2 2 5 2" xfId="29804"/>
    <cellStyle name="20% - Accent1 14 2 2 6" xfId="20813"/>
    <cellStyle name="20% - Accent1 14 2 3" xfId="1159"/>
    <cellStyle name="20% - Accent1 14 2 3 2" xfId="1160"/>
    <cellStyle name="20% - Accent1 14 2 3 2 2" xfId="12578"/>
    <cellStyle name="20% - Accent1 14 2 3 2 2 2" xfId="25970"/>
    <cellStyle name="20% - Accent1 14 2 3 2 3" xfId="16529"/>
    <cellStyle name="20% - Accent1 14 2 3 2 3 2" xfId="29808"/>
    <cellStyle name="20% - Accent1 14 2 3 2 4" xfId="20817"/>
    <cellStyle name="20% - Accent1 14 2 3 3" xfId="1161"/>
    <cellStyle name="20% - Accent1 14 2 3 3 2" xfId="12579"/>
    <cellStyle name="20% - Accent1 14 2 3 3 2 2" xfId="25971"/>
    <cellStyle name="20% - Accent1 14 2 3 3 3" xfId="16530"/>
    <cellStyle name="20% - Accent1 14 2 3 3 3 2" xfId="29809"/>
    <cellStyle name="20% - Accent1 14 2 3 3 4" xfId="20818"/>
    <cellStyle name="20% - Accent1 14 2 3 4" xfId="12577"/>
    <cellStyle name="20% - Accent1 14 2 3 4 2" xfId="25969"/>
    <cellStyle name="20% - Accent1 14 2 3 5" xfId="16528"/>
    <cellStyle name="20% - Accent1 14 2 3 5 2" xfId="29807"/>
    <cellStyle name="20% - Accent1 14 2 3 6" xfId="20816"/>
    <cellStyle name="20% - Accent1 14 2 4" xfId="1162"/>
    <cellStyle name="20% - Accent1 14 2 4 2" xfId="1163"/>
    <cellStyle name="20% - Accent1 14 2 4 2 2" xfId="12581"/>
    <cellStyle name="20% - Accent1 14 2 4 2 2 2" xfId="25973"/>
    <cellStyle name="20% - Accent1 14 2 4 2 3" xfId="16532"/>
    <cellStyle name="20% - Accent1 14 2 4 2 3 2" xfId="29811"/>
    <cellStyle name="20% - Accent1 14 2 4 2 4" xfId="20820"/>
    <cellStyle name="20% - Accent1 14 2 4 3" xfId="1164"/>
    <cellStyle name="20% - Accent1 14 2 4 3 2" xfId="12582"/>
    <cellStyle name="20% - Accent1 14 2 4 3 2 2" xfId="25974"/>
    <cellStyle name="20% - Accent1 14 2 4 3 3" xfId="16533"/>
    <cellStyle name="20% - Accent1 14 2 4 3 3 2" xfId="29812"/>
    <cellStyle name="20% - Accent1 14 2 4 3 4" xfId="20821"/>
    <cellStyle name="20% - Accent1 14 2 4 4" xfId="12580"/>
    <cellStyle name="20% - Accent1 14 2 4 4 2" xfId="25972"/>
    <cellStyle name="20% - Accent1 14 2 4 5" xfId="16531"/>
    <cellStyle name="20% - Accent1 14 2 4 5 2" xfId="29810"/>
    <cellStyle name="20% - Accent1 14 2 4 6" xfId="20819"/>
    <cellStyle name="20% - Accent1 14 2 5" xfId="1165"/>
    <cellStyle name="20% - Accent1 14 2 5 2" xfId="12583"/>
    <cellStyle name="20% - Accent1 14 2 5 2 2" xfId="25975"/>
    <cellStyle name="20% - Accent1 14 2 5 3" xfId="16534"/>
    <cellStyle name="20% - Accent1 14 2 5 3 2" xfId="29813"/>
    <cellStyle name="20% - Accent1 14 2 5 4" xfId="20822"/>
    <cellStyle name="20% - Accent1 14 2 6" xfId="1166"/>
    <cellStyle name="20% - Accent1 14 2 6 2" xfId="12584"/>
    <cellStyle name="20% - Accent1 14 2 6 2 2" xfId="25976"/>
    <cellStyle name="20% - Accent1 14 2 6 3" xfId="16535"/>
    <cellStyle name="20% - Accent1 14 2 6 3 2" xfId="29814"/>
    <cellStyle name="20% - Accent1 14 2 6 4" xfId="20823"/>
    <cellStyle name="20% - Accent1 14 2 7" xfId="12573"/>
    <cellStyle name="20% - Accent1 14 2 7 2" xfId="25965"/>
    <cellStyle name="20% - Accent1 14 2 8" xfId="16524"/>
    <cellStyle name="20% - Accent1 14 2 8 2" xfId="29803"/>
    <cellStyle name="20% - Accent1 14 2 9" xfId="20812"/>
    <cellStyle name="20% - Accent1 14 2_Volatility" xfId="1167"/>
    <cellStyle name="20% - Accent1 14 3" xfId="1168"/>
    <cellStyle name="20% - Accent1 14 3 2" xfId="1169"/>
    <cellStyle name="20% - Accent1 14 3 2 2" xfId="1170"/>
    <cellStyle name="20% - Accent1 14 3 2 2 2" xfId="12587"/>
    <cellStyle name="20% - Accent1 14 3 2 2 2 2" xfId="25979"/>
    <cellStyle name="20% - Accent1 14 3 2 2 3" xfId="16538"/>
    <cellStyle name="20% - Accent1 14 3 2 2 3 2" xfId="29817"/>
    <cellStyle name="20% - Accent1 14 3 2 2 4" xfId="20826"/>
    <cellStyle name="20% - Accent1 14 3 2 3" xfId="1171"/>
    <cellStyle name="20% - Accent1 14 3 2 3 2" xfId="12588"/>
    <cellStyle name="20% - Accent1 14 3 2 3 2 2" xfId="25980"/>
    <cellStyle name="20% - Accent1 14 3 2 3 3" xfId="16539"/>
    <cellStyle name="20% - Accent1 14 3 2 3 3 2" xfId="29818"/>
    <cellStyle name="20% - Accent1 14 3 2 3 4" xfId="20827"/>
    <cellStyle name="20% - Accent1 14 3 2 4" xfId="12586"/>
    <cellStyle name="20% - Accent1 14 3 2 4 2" xfId="25978"/>
    <cellStyle name="20% - Accent1 14 3 2 5" xfId="16537"/>
    <cellStyle name="20% - Accent1 14 3 2 5 2" xfId="29816"/>
    <cellStyle name="20% - Accent1 14 3 2 6" xfId="20825"/>
    <cellStyle name="20% - Accent1 14 3 3" xfId="1172"/>
    <cellStyle name="20% - Accent1 14 3 3 2" xfId="1173"/>
    <cellStyle name="20% - Accent1 14 3 3 2 2" xfId="12590"/>
    <cellStyle name="20% - Accent1 14 3 3 2 2 2" xfId="25982"/>
    <cellStyle name="20% - Accent1 14 3 3 2 3" xfId="16541"/>
    <cellStyle name="20% - Accent1 14 3 3 2 3 2" xfId="29820"/>
    <cellStyle name="20% - Accent1 14 3 3 2 4" xfId="20829"/>
    <cellStyle name="20% - Accent1 14 3 3 3" xfId="1174"/>
    <cellStyle name="20% - Accent1 14 3 3 3 2" xfId="12591"/>
    <cellStyle name="20% - Accent1 14 3 3 3 2 2" xfId="25983"/>
    <cellStyle name="20% - Accent1 14 3 3 3 3" xfId="16542"/>
    <cellStyle name="20% - Accent1 14 3 3 3 3 2" xfId="29821"/>
    <cellStyle name="20% - Accent1 14 3 3 3 4" xfId="20830"/>
    <cellStyle name="20% - Accent1 14 3 3 4" xfId="12589"/>
    <cellStyle name="20% - Accent1 14 3 3 4 2" xfId="25981"/>
    <cellStyle name="20% - Accent1 14 3 3 5" xfId="16540"/>
    <cellStyle name="20% - Accent1 14 3 3 5 2" xfId="29819"/>
    <cellStyle name="20% - Accent1 14 3 3 6" xfId="20828"/>
    <cellStyle name="20% - Accent1 14 3 4" xfId="1175"/>
    <cellStyle name="20% - Accent1 14 3 4 2" xfId="12592"/>
    <cellStyle name="20% - Accent1 14 3 4 2 2" xfId="25984"/>
    <cellStyle name="20% - Accent1 14 3 4 3" xfId="16543"/>
    <cellStyle name="20% - Accent1 14 3 4 3 2" xfId="29822"/>
    <cellStyle name="20% - Accent1 14 3 4 4" xfId="20831"/>
    <cellStyle name="20% - Accent1 14 3 5" xfId="1176"/>
    <cellStyle name="20% - Accent1 14 3 5 2" xfId="12593"/>
    <cellStyle name="20% - Accent1 14 3 5 2 2" xfId="25985"/>
    <cellStyle name="20% - Accent1 14 3 5 3" xfId="16544"/>
    <cellStyle name="20% - Accent1 14 3 5 3 2" xfId="29823"/>
    <cellStyle name="20% - Accent1 14 3 5 4" xfId="20832"/>
    <cellStyle name="20% - Accent1 14 3 6" xfId="12585"/>
    <cellStyle name="20% - Accent1 14 3 6 2" xfId="25977"/>
    <cellStyle name="20% - Accent1 14 3 7" xfId="16536"/>
    <cellStyle name="20% - Accent1 14 3 7 2" xfId="29815"/>
    <cellStyle name="20% - Accent1 14 3 8" xfId="20824"/>
    <cellStyle name="20% - Accent1 14 3_Volatility" xfId="1177"/>
    <cellStyle name="20% - Accent1 14 4" xfId="1178"/>
    <cellStyle name="20% - Accent1 14 4 2" xfId="1179"/>
    <cellStyle name="20% - Accent1 14 4 2 2" xfId="12595"/>
    <cellStyle name="20% - Accent1 14 4 2 2 2" xfId="25987"/>
    <cellStyle name="20% - Accent1 14 4 2 3" xfId="16546"/>
    <cellStyle name="20% - Accent1 14 4 2 3 2" xfId="29825"/>
    <cellStyle name="20% - Accent1 14 4 2 4" xfId="20834"/>
    <cellStyle name="20% - Accent1 14 4 3" xfId="1180"/>
    <cellStyle name="20% - Accent1 14 4 3 2" xfId="12596"/>
    <cellStyle name="20% - Accent1 14 4 3 2 2" xfId="25988"/>
    <cellStyle name="20% - Accent1 14 4 3 3" xfId="16547"/>
    <cellStyle name="20% - Accent1 14 4 3 3 2" xfId="29826"/>
    <cellStyle name="20% - Accent1 14 4 3 4" xfId="20835"/>
    <cellStyle name="20% - Accent1 14 4 4" xfId="12594"/>
    <cellStyle name="20% - Accent1 14 4 4 2" xfId="25986"/>
    <cellStyle name="20% - Accent1 14 4 5" xfId="16545"/>
    <cellStyle name="20% - Accent1 14 4 5 2" xfId="29824"/>
    <cellStyle name="20% - Accent1 14 4 6" xfId="20833"/>
    <cellStyle name="20% - Accent1 14 5" xfId="1181"/>
    <cellStyle name="20% - Accent1 14 5 2" xfId="1182"/>
    <cellStyle name="20% - Accent1 14 5 2 2" xfId="12598"/>
    <cellStyle name="20% - Accent1 14 5 2 2 2" xfId="25990"/>
    <cellStyle name="20% - Accent1 14 5 2 3" xfId="16549"/>
    <cellStyle name="20% - Accent1 14 5 2 3 2" xfId="29828"/>
    <cellStyle name="20% - Accent1 14 5 2 4" xfId="20837"/>
    <cellStyle name="20% - Accent1 14 5 3" xfId="1183"/>
    <cellStyle name="20% - Accent1 14 5 3 2" xfId="12599"/>
    <cellStyle name="20% - Accent1 14 5 3 2 2" xfId="25991"/>
    <cellStyle name="20% - Accent1 14 5 3 3" xfId="16550"/>
    <cellStyle name="20% - Accent1 14 5 3 3 2" xfId="29829"/>
    <cellStyle name="20% - Accent1 14 5 3 4" xfId="20838"/>
    <cellStyle name="20% - Accent1 14 5 4" xfId="12597"/>
    <cellStyle name="20% - Accent1 14 5 4 2" xfId="25989"/>
    <cellStyle name="20% - Accent1 14 5 5" xfId="16548"/>
    <cellStyle name="20% - Accent1 14 5 5 2" xfId="29827"/>
    <cellStyle name="20% - Accent1 14 5 6" xfId="20836"/>
    <cellStyle name="20% - Accent1 14 6" xfId="1184"/>
    <cellStyle name="20% - Accent1 14 6 2" xfId="1185"/>
    <cellStyle name="20% - Accent1 14 6 2 2" xfId="12601"/>
    <cellStyle name="20% - Accent1 14 6 2 2 2" xfId="25993"/>
    <cellStyle name="20% - Accent1 14 6 2 3" xfId="16552"/>
    <cellStyle name="20% - Accent1 14 6 2 3 2" xfId="29831"/>
    <cellStyle name="20% - Accent1 14 6 2 4" xfId="20840"/>
    <cellStyle name="20% - Accent1 14 6 3" xfId="1186"/>
    <cellStyle name="20% - Accent1 14 6 3 2" xfId="12602"/>
    <cellStyle name="20% - Accent1 14 6 3 2 2" xfId="25994"/>
    <cellStyle name="20% - Accent1 14 6 3 3" xfId="16553"/>
    <cellStyle name="20% - Accent1 14 6 3 3 2" xfId="29832"/>
    <cellStyle name="20% - Accent1 14 6 3 4" xfId="20841"/>
    <cellStyle name="20% - Accent1 14 6 4" xfId="12600"/>
    <cellStyle name="20% - Accent1 14 6 4 2" xfId="25992"/>
    <cellStyle name="20% - Accent1 14 6 5" xfId="16551"/>
    <cellStyle name="20% - Accent1 14 6 5 2" xfId="29830"/>
    <cellStyle name="20% - Accent1 14 6 6" xfId="20839"/>
    <cellStyle name="20% - Accent1 14 7" xfId="1187"/>
    <cellStyle name="20% - Accent1 14 7 2" xfId="12603"/>
    <cellStyle name="20% - Accent1 14 7 2 2" xfId="25995"/>
    <cellStyle name="20% - Accent1 14 7 3" xfId="16554"/>
    <cellStyle name="20% - Accent1 14 7 3 2" xfId="29833"/>
    <cellStyle name="20% - Accent1 14 7 4" xfId="20842"/>
    <cellStyle name="20% - Accent1 14 8" xfId="1188"/>
    <cellStyle name="20% - Accent1 14 8 2" xfId="12604"/>
    <cellStyle name="20% - Accent1 14 8 2 2" xfId="25996"/>
    <cellStyle name="20% - Accent1 14 8 3" xfId="16555"/>
    <cellStyle name="20% - Accent1 14 8 3 2" xfId="29834"/>
    <cellStyle name="20% - Accent1 14 8 4" xfId="20843"/>
    <cellStyle name="20% - Accent1 14 9" xfId="12572"/>
    <cellStyle name="20% - Accent1 14 9 2" xfId="25964"/>
    <cellStyle name="20% - Accent1 14_Volatility" xfId="1189"/>
    <cellStyle name="20% - Accent1 15" xfId="1190"/>
    <cellStyle name="20% - Accent1 15 10" xfId="16556"/>
    <cellStyle name="20% - Accent1 15 10 2" xfId="29835"/>
    <cellStyle name="20% - Accent1 15 11" xfId="20844"/>
    <cellStyle name="20% - Accent1 15 2" xfId="1191"/>
    <cellStyle name="20% - Accent1 15 2 2" xfId="1192"/>
    <cellStyle name="20% - Accent1 15 2 2 2" xfId="1193"/>
    <cellStyle name="20% - Accent1 15 2 2 2 2" xfId="12608"/>
    <cellStyle name="20% - Accent1 15 2 2 2 2 2" xfId="26000"/>
    <cellStyle name="20% - Accent1 15 2 2 2 3" xfId="16559"/>
    <cellStyle name="20% - Accent1 15 2 2 2 3 2" xfId="29838"/>
    <cellStyle name="20% - Accent1 15 2 2 2 4" xfId="20847"/>
    <cellStyle name="20% - Accent1 15 2 2 3" xfId="1194"/>
    <cellStyle name="20% - Accent1 15 2 2 3 2" xfId="12609"/>
    <cellStyle name="20% - Accent1 15 2 2 3 2 2" xfId="26001"/>
    <cellStyle name="20% - Accent1 15 2 2 3 3" xfId="16560"/>
    <cellStyle name="20% - Accent1 15 2 2 3 3 2" xfId="29839"/>
    <cellStyle name="20% - Accent1 15 2 2 3 4" xfId="20848"/>
    <cellStyle name="20% - Accent1 15 2 2 4" xfId="12607"/>
    <cellStyle name="20% - Accent1 15 2 2 4 2" xfId="25999"/>
    <cellStyle name="20% - Accent1 15 2 2 5" xfId="16558"/>
    <cellStyle name="20% - Accent1 15 2 2 5 2" xfId="29837"/>
    <cellStyle name="20% - Accent1 15 2 2 6" xfId="20846"/>
    <cellStyle name="20% - Accent1 15 2 3" xfId="1195"/>
    <cellStyle name="20% - Accent1 15 2 3 2" xfId="1196"/>
    <cellStyle name="20% - Accent1 15 2 3 2 2" xfId="12611"/>
    <cellStyle name="20% - Accent1 15 2 3 2 2 2" xfId="26003"/>
    <cellStyle name="20% - Accent1 15 2 3 2 3" xfId="16562"/>
    <cellStyle name="20% - Accent1 15 2 3 2 3 2" xfId="29841"/>
    <cellStyle name="20% - Accent1 15 2 3 2 4" xfId="20850"/>
    <cellStyle name="20% - Accent1 15 2 3 3" xfId="1197"/>
    <cellStyle name="20% - Accent1 15 2 3 3 2" xfId="12612"/>
    <cellStyle name="20% - Accent1 15 2 3 3 2 2" xfId="26004"/>
    <cellStyle name="20% - Accent1 15 2 3 3 3" xfId="16563"/>
    <cellStyle name="20% - Accent1 15 2 3 3 3 2" xfId="29842"/>
    <cellStyle name="20% - Accent1 15 2 3 3 4" xfId="20851"/>
    <cellStyle name="20% - Accent1 15 2 3 4" xfId="12610"/>
    <cellStyle name="20% - Accent1 15 2 3 4 2" xfId="26002"/>
    <cellStyle name="20% - Accent1 15 2 3 5" xfId="16561"/>
    <cellStyle name="20% - Accent1 15 2 3 5 2" xfId="29840"/>
    <cellStyle name="20% - Accent1 15 2 3 6" xfId="20849"/>
    <cellStyle name="20% - Accent1 15 2 4" xfId="1198"/>
    <cellStyle name="20% - Accent1 15 2 4 2" xfId="1199"/>
    <cellStyle name="20% - Accent1 15 2 4 2 2" xfId="12614"/>
    <cellStyle name="20% - Accent1 15 2 4 2 2 2" xfId="26006"/>
    <cellStyle name="20% - Accent1 15 2 4 2 3" xfId="16565"/>
    <cellStyle name="20% - Accent1 15 2 4 2 3 2" xfId="29844"/>
    <cellStyle name="20% - Accent1 15 2 4 2 4" xfId="20853"/>
    <cellStyle name="20% - Accent1 15 2 4 3" xfId="1200"/>
    <cellStyle name="20% - Accent1 15 2 4 3 2" xfId="12615"/>
    <cellStyle name="20% - Accent1 15 2 4 3 2 2" xfId="26007"/>
    <cellStyle name="20% - Accent1 15 2 4 3 3" xfId="16566"/>
    <cellStyle name="20% - Accent1 15 2 4 3 3 2" xfId="29845"/>
    <cellStyle name="20% - Accent1 15 2 4 3 4" xfId="20854"/>
    <cellStyle name="20% - Accent1 15 2 4 4" xfId="12613"/>
    <cellStyle name="20% - Accent1 15 2 4 4 2" xfId="26005"/>
    <cellStyle name="20% - Accent1 15 2 4 5" xfId="16564"/>
    <cellStyle name="20% - Accent1 15 2 4 5 2" xfId="29843"/>
    <cellStyle name="20% - Accent1 15 2 4 6" xfId="20852"/>
    <cellStyle name="20% - Accent1 15 2 5" xfId="1201"/>
    <cellStyle name="20% - Accent1 15 2 5 2" xfId="12616"/>
    <cellStyle name="20% - Accent1 15 2 5 2 2" xfId="26008"/>
    <cellStyle name="20% - Accent1 15 2 5 3" xfId="16567"/>
    <cellStyle name="20% - Accent1 15 2 5 3 2" xfId="29846"/>
    <cellStyle name="20% - Accent1 15 2 5 4" xfId="20855"/>
    <cellStyle name="20% - Accent1 15 2 6" xfId="1202"/>
    <cellStyle name="20% - Accent1 15 2 6 2" xfId="12617"/>
    <cellStyle name="20% - Accent1 15 2 6 2 2" xfId="26009"/>
    <cellStyle name="20% - Accent1 15 2 6 3" xfId="16568"/>
    <cellStyle name="20% - Accent1 15 2 6 3 2" xfId="29847"/>
    <cellStyle name="20% - Accent1 15 2 6 4" xfId="20856"/>
    <cellStyle name="20% - Accent1 15 2 7" xfId="12606"/>
    <cellStyle name="20% - Accent1 15 2 7 2" xfId="25998"/>
    <cellStyle name="20% - Accent1 15 2 8" xfId="16557"/>
    <cellStyle name="20% - Accent1 15 2 8 2" xfId="29836"/>
    <cellStyle name="20% - Accent1 15 2 9" xfId="20845"/>
    <cellStyle name="20% - Accent1 15 2_Volatility" xfId="1203"/>
    <cellStyle name="20% - Accent1 15 3" xfId="1204"/>
    <cellStyle name="20% - Accent1 15 3 2" xfId="1205"/>
    <cellStyle name="20% - Accent1 15 3 2 2" xfId="1206"/>
    <cellStyle name="20% - Accent1 15 3 2 2 2" xfId="12620"/>
    <cellStyle name="20% - Accent1 15 3 2 2 2 2" xfId="26012"/>
    <cellStyle name="20% - Accent1 15 3 2 2 3" xfId="16571"/>
    <cellStyle name="20% - Accent1 15 3 2 2 3 2" xfId="29850"/>
    <cellStyle name="20% - Accent1 15 3 2 2 4" xfId="20859"/>
    <cellStyle name="20% - Accent1 15 3 2 3" xfId="1207"/>
    <cellStyle name="20% - Accent1 15 3 2 3 2" xfId="12621"/>
    <cellStyle name="20% - Accent1 15 3 2 3 2 2" xfId="26013"/>
    <cellStyle name="20% - Accent1 15 3 2 3 3" xfId="16572"/>
    <cellStyle name="20% - Accent1 15 3 2 3 3 2" xfId="29851"/>
    <cellStyle name="20% - Accent1 15 3 2 3 4" xfId="20860"/>
    <cellStyle name="20% - Accent1 15 3 2 4" xfId="12619"/>
    <cellStyle name="20% - Accent1 15 3 2 4 2" xfId="26011"/>
    <cellStyle name="20% - Accent1 15 3 2 5" xfId="16570"/>
    <cellStyle name="20% - Accent1 15 3 2 5 2" xfId="29849"/>
    <cellStyle name="20% - Accent1 15 3 2 6" xfId="20858"/>
    <cellStyle name="20% - Accent1 15 3 3" xfId="1208"/>
    <cellStyle name="20% - Accent1 15 3 3 2" xfId="1209"/>
    <cellStyle name="20% - Accent1 15 3 3 2 2" xfId="12623"/>
    <cellStyle name="20% - Accent1 15 3 3 2 2 2" xfId="26015"/>
    <cellStyle name="20% - Accent1 15 3 3 2 3" xfId="16574"/>
    <cellStyle name="20% - Accent1 15 3 3 2 3 2" xfId="29853"/>
    <cellStyle name="20% - Accent1 15 3 3 2 4" xfId="20862"/>
    <cellStyle name="20% - Accent1 15 3 3 3" xfId="1210"/>
    <cellStyle name="20% - Accent1 15 3 3 3 2" xfId="12624"/>
    <cellStyle name="20% - Accent1 15 3 3 3 2 2" xfId="26016"/>
    <cellStyle name="20% - Accent1 15 3 3 3 3" xfId="16575"/>
    <cellStyle name="20% - Accent1 15 3 3 3 3 2" xfId="29854"/>
    <cellStyle name="20% - Accent1 15 3 3 3 4" xfId="20863"/>
    <cellStyle name="20% - Accent1 15 3 3 4" xfId="12622"/>
    <cellStyle name="20% - Accent1 15 3 3 4 2" xfId="26014"/>
    <cellStyle name="20% - Accent1 15 3 3 5" xfId="16573"/>
    <cellStyle name="20% - Accent1 15 3 3 5 2" xfId="29852"/>
    <cellStyle name="20% - Accent1 15 3 3 6" xfId="20861"/>
    <cellStyle name="20% - Accent1 15 3 4" xfId="1211"/>
    <cellStyle name="20% - Accent1 15 3 4 2" xfId="12625"/>
    <cellStyle name="20% - Accent1 15 3 4 2 2" xfId="26017"/>
    <cellStyle name="20% - Accent1 15 3 4 3" xfId="16576"/>
    <cellStyle name="20% - Accent1 15 3 4 3 2" xfId="29855"/>
    <cellStyle name="20% - Accent1 15 3 4 4" xfId="20864"/>
    <cellStyle name="20% - Accent1 15 3 5" xfId="1212"/>
    <cellStyle name="20% - Accent1 15 3 5 2" xfId="12626"/>
    <cellStyle name="20% - Accent1 15 3 5 2 2" xfId="26018"/>
    <cellStyle name="20% - Accent1 15 3 5 3" xfId="16577"/>
    <cellStyle name="20% - Accent1 15 3 5 3 2" xfId="29856"/>
    <cellStyle name="20% - Accent1 15 3 5 4" xfId="20865"/>
    <cellStyle name="20% - Accent1 15 3 6" xfId="12618"/>
    <cellStyle name="20% - Accent1 15 3 6 2" xfId="26010"/>
    <cellStyle name="20% - Accent1 15 3 7" xfId="16569"/>
    <cellStyle name="20% - Accent1 15 3 7 2" xfId="29848"/>
    <cellStyle name="20% - Accent1 15 3 8" xfId="20857"/>
    <cellStyle name="20% - Accent1 15 3_Volatility" xfId="1213"/>
    <cellStyle name="20% - Accent1 15 4" xfId="1214"/>
    <cellStyle name="20% - Accent1 15 4 2" xfId="1215"/>
    <cellStyle name="20% - Accent1 15 4 2 2" xfId="12628"/>
    <cellStyle name="20% - Accent1 15 4 2 2 2" xfId="26020"/>
    <cellStyle name="20% - Accent1 15 4 2 3" xfId="16579"/>
    <cellStyle name="20% - Accent1 15 4 2 3 2" xfId="29858"/>
    <cellStyle name="20% - Accent1 15 4 2 4" xfId="20867"/>
    <cellStyle name="20% - Accent1 15 4 3" xfId="1216"/>
    <cellStyle name="20% - Accent1 15 4 3 2" xfId="12629"/>
    <cellStyle name="20% - Accent1 15 4 3 2 2" xfId="26021"/>
    <cellStyle name="20% - Accent1 15 4 3 3" xfId="16580"/>
    <cellStyle name="20% - Accent1 15 4 3 3 2" xfId="29859"/>
    <cellStyle name="20% - Accent1 15 4 3 4" xfId="20868"/>
    <cellStyle name="20% - Accent1 15 4 4" xfId="12627"/>
    <cellStyle name="20% - Accent1 15 4 4 2" xfId="26019"/>
    <cellStyle name="20% - Accent1 15 4 5" xfId="16578"/>
    <cellStyle name="20% - Accent1 15 4 5 2" xfId="29857"/>
    <cellStyle name="20% - Accent1 15 4 6" xfId="20866"/>
    <cellStyle name="20% - Accent1 15 5" xfId="1217"/>
    <cellStyle name="20% - Accent1 15 5 2" xfId="1218"/>
    <cellStyle name="20% - Accent1 15 5 2 2" xfId="12631"/>
    <cellStyle name="20% - Accent1 15 5 2 2 2" xfId="26023"/>
    <cellStyle name="20% - Accent1 15 5 2 3" xfId="16582"/>
    <cellStyle name="20% - Accent1 15 5 2 3 2" xfId="29861"/>
    <cellStyle name="20% - Accent1 15 5 2 4" xfId="20870"/>
    <cellStyle name="20% - Accent1 15 5 3" xfId="1219"/>
    <cellStyle name="20% - Accent1 15 5 3 2" xfId="12632"/>
    <cellStyle name="20% - Accent1 15 5 3 2 2" xfId="26024"/>
    <cellStyle name="20% - Accent1 15 5 3 3" xfId="16583"/>
    <cellStyle name="20% - Accent1 15 5 3 3 2" xfId="29862"/>
    <cellStyle name="20% - Accent1 15 5 3 4" xfId="20871"/>
    <cellStyle name="20% - Accent1 15 5 4" xfId="12630"/>
    <cellStyle name="20% - Accent1 15 5 4 2" xfId="26022"/>
    <cellStyle name="20% - Accent1 15 5 5" xfId="16581"/>
    <cellStyle name="20% - Accent1 15 5 5 2" xfId="29860"/>
    <cellStyle name="20% - Accent1 15 5 6" xfId="20869"/>
    <cellStyle name="20% - Accent1 15 6" xfId="1220"/>
    <cellStyle name="20% - Accent1 15 6 2" xfId="1221"/>
    <cellStyle name="20% - Accent1 15 6 2 2" xfId="12634"/>
    <cellStyle name="20% - Accent1 15 6 2 2 2" xfId="26026"/>
    <cellStyle name="20% - Accent1 15 6 2 3" xfId="16585"/>
    <cellStyle name="20% - Accent1 15 6 2 3 2" xfId="29864"/>
    <cellStyle name="20% - Accent1 15 6 2 4" xfId="20873"/>
    <cellStyle name="20% - Accent1 15 6 3" xfId="1222"/>
    <cellStyle name="20% - Accent1 15 6 3 2" xfId="12635"/>
    <cellStyle name="20% - Accent1 15 6 3 2 2" xfId="26027"/>
    <cellStyle name="20% - Accent1 15 6 3 3" xfId="16586"/>
    <cellStyle name="20% - Accent1 15 6 3 3 2" xfId="29865"/>
    <cellStyle name="20% - Accent1 15 6 3 4" xfId="20874"/>
    <cellStyle name="20% - Accent1 15 6 4" xfId="12633"/>
    <cellStyle name="20% - Accent1 15 6 4 2" xfId="26025"/>
    <cellStyle name="20% - Accent1 15 6 5" xfId="16584"/>
    <cellStyle name="20% - Accent1 15 6 5 2" xfId="29863"/>
    <cellStyle name="20% - Accent1 15 6 6" xfId="20872"/>
    <cellStyle name="20% - Accent1 15 7" xfId="1223"/>
    <cellStyle name="20% - Accent1 15 7 2" xfId="12636"/>
    <cellStyle name="20% - Accent1 15 7 2 2" xfId="26028"/>
    <cellStyle name="20% - Accent1 15 7 3" xfId="16587"/>
    <cellStyle name="20% - Accent1 15 7 3 2" xfId="29866"/>
    <cellStyle name="20% - Accent1 15 7 4" xfId="20875"/>
    <cellStyle name="20% - Accent1 15 8" xfId="1224"/>
    <cellStyle name="20% - Accent1 15 8 2" xfId="12637"/>
    <cellStyle name="20% - Accent1 15 8 2 2" xfId="26029"/>
    <cellStyle name="20% - Accent1 15 8 3" xfId="16588"/>
    <cellStyle name="20% - Accent1 15 8 3 2" xfId="29867"/>
    <cellStyle name="20% - Accent1 15 8 4" xfId="20876"/>
    <cellStyle name="20% - Accent1 15 9" xfId="12605"/>
    <cellStyle name="20% - Accent1 15 9 2" xfId="25997"/>
    <cellStyle name="20% - Accent1 15_Volatility" xfId="1225"/>
    <cellStyle name="20% - Accent1 16" xfId="1226"/>
    <cellStyle name="20% - Accent1 16 2" xfId="12638"/>
    <cellStyle name="20% - Accent1 16 2 2" xfId="26030"/>
    <cellStyle name="20% - Accent1 16 3" xfId="16589"/>
    <cellStyle name="20% - Accent1 16 3 2" xfId="29868"/>
    <cellStyle name="20% - Accent1 16 4" xfId="20877"/>
    <cellStyle name="20% - Accent1 17" xfId="1227"/>
    <cellStyle name="20% - Accent1 17 2" xfId="12639"/>
    <cellStyle name="20% - Accent1 17 2 2" xfId="26031"/>
    <cellStyle name="20% - Accent1 17 3" xfId="16590"/>
    <cellStyle name="20% - Accent1 17 3 2" xfId="29869"/>
    <cellStyle name="20% - Accent1 17 4" xfId="20878"/>
    <cellStyle name="20% - Accent1 18" xfId="1228"/>
    <cellStyle name="20% - Accent1 18 2" xfId="12640"/>
    <cellStyle name="20% - Accent1 18 2 2" xfId="26032"/>
    <cellStyle name="20% - Accent1 18 3" xfId="16591"/>
    <cellStyle name="20% - Accent1 18 3 2" xfId="29870"/>
    <cellStyle name="20% - Accent1 18 4" xfId="20879"/>
    <cellStyle name="20% - Accent1 19" xfId="1229"/>
    <cellStyle name="20% - Accent1 19 2" xfId="12641"/>
    <cellStyle name="20% - Accent1 19 2 2" xfId="26033"/>
    <cellStyle name="20% - Accent1 19 3" xfId="16592"/>
    <cellStyle name="20% - Accent1 19 3 2" xfId="29871"/>
    <cellStyle name="20% - Accent1 19 4" xfId="20880"/>
    <cellStyle name="20% - Accent1 2" xfId="1230"/>
    <cellStyle name="20% - Accent1 2 10" xfId="16593"/>
    <cellStyle name="20% - Accent1 2 10 2" xfId="29872"/>
    <cellStyle name="20% - Accent1 2 11" xfId="20881"/>
    <cellStyle name="20% - Accent1 2 2" xfId="1231"/>
    <cellStyle name="20% - Accent1 2 2 2" xfId="1232"/>
    <cellStyle name="20% - Accent1 2 2 2 2" xfId="1233"/>
    <cellStyle name="20% - Accent1 2 2 2 2 2" xfId="12645"/>
    <cellStyle name="20% - Accent1 2 2 2 2 2 2" xfId="26037"/>
    <cellStyle name="20% - Accent1 2 2 2 2 3" xfId="16596"/>
    <cellStyle name="20% - Accent1 2 2 2 2 3 2" xfId="29875"/>
    <cellStyle name="20% - Accent1 2 2 2 2 4" xfId="20884"/>
    <cellStyle name="20% - Accent1 2 2 2 3" xfId="1234"/>
    <cellStyle name="20% - Accent1 2 2 2 3 2" xfId="12646"/>
    <cellStyle name="20% - Accent1 2 2 2 3 2 2" xfId="26038"/>
    <cellStyle name="20% - Accent1 2 2 2 3 3" xfId="16597"/>
    <cellStyle name="20% - Accent1 2 2 2 3 3 2" xfId="29876"/>
    <cellStyle name="20% - Accent1 2 2 2 3 4" xfId="20885"/>
    <cellStyle name="20% - Accent1 2 2 2 4" xfId="12644"/>
    <cellStyle name="20% - Accent1 2 2 2 4 2" xfId="26036"/>
    <cellStyle name="20% - Accent1 2 2 2 5" xfId="16595"/>
    <cellStyle name="20% - Accent1 2 2 2 5 2" xfId="29874"/>
    <cellStyle name="20% - Accent1 2 2 2 6" xfId="20883"/>
    <cellStyle name="20% - Accent1 2 2 3" xfId="1235"/>
    <cellStyle name="20% - Accent1 2 2 3 2" xfId="1236"/>
    <cellStyle name="20% - Accent1 2 2 3 2 2" xfId="12648"/>
    <cellStyle name="20% - Accent1 2 2 3 2 2 2" xfId="26040"/>
    <cellStyle name="20% - Accent1 2 2 3 2 3" xfId="16599"/>
    <cellStyle name="20% - Accent1 2 2 3 2 3 2" xfId="29878"/>
    <cellStyle name="20% - Accent1 2 2 3 2 4" xfId="20887"/>
    <cellStyle name="20% - Accent1 2 2 3 3" xfId="1237"/>
    <cellStyle name="20% - Accent1 2 2 3 3 2" xfId="12649"/>
    <cellStyle name="20% - Accent1 2 2 3 3 2 2" xfId="26041"/>
    <cellStyle name="20% - Accent1 2 2 3 3 3" xfId="16600"/>
    <cellStyle name="20% - Accent1 2 2 3 3 3 2" xfId="29879"/>
    <cellStyle name="20% - Accent1 2 2 3 3 4" xfId="20888"/>
    <cellStyle name="20% - Accent1 2 2 3 4" xfId="12647"/>
    <cellStyle name="20% - Accent1 2 2 3 4 2" xfId="26039"/>
    <cellStyle name="20% - Accent1 2 2 3 5" xfId="16598"/>
    <cellStyle name="20% - Accent1 2 2 3 5 2" xfId="29877"/>
    <cellStyle name="20% - Accent1 2 2 3 6" xfId="20886"/>
    <cellStyle name="20% - Accent1 2 2 4" xfId="1238"/>
    <cellStyle name="20% - Accent1 2 2 4 2" xfId="1239"/>
    <cellStyle name="20% - Accent1 2 2 4 2 2" xfId="12651"/>
    <cellStyle name="20% - Accent1 2 2 4 2 2 2" xfId="26043"/>
    <cellStyle name="20% - Accent1 2 2 4 2 3" xfId="16602"/>
    <cellStyle name="20% - Accent1 2 2 4 2 3 2" xfId="29881"/>
    <cellStyle name="20% - Accent1 2 2 4 2 4" xfId="20890"/>
    <cellStyle name="20% - Accent1 2 2 4 3" xfId="1240"/>
    <cellStyle name="20% - Accent1 2 2 4 3 2" xfId="12652"/>
    <cellStyle name="20% - Accent1 2 2 4 3 2 2" xfId="26044"/>
    <cellStyle name="20% - Accent1 2 2 4 3 3" xfId="16603"/>
    <cellStyle name="20% - Accent1 2 2 4 3 3 2" xfId="29882"/>
    <cellStyle name="20% - Accent1 2 2 4 3 4" xfId="20891"/>
    <cellStyle name="20% - Accent1 2 2 4 4" xfId="12650"/>
    <cellStyle name="20% - Accent1 2 2 4 4 2" xfId="26042"/>
    <cellStyle name="20% - Accent1 2 2 4 5" xfId="16601"/>
    <cellStyle name="20% - Accent1 2 2 4 5 2" xfId="29880"/>
    <cellStyle name="20% - Accent1 2 2 4 6" xfId="20889"/>
    <cellStyle name="20% - Accent1 2 2 5" xfId="1241"/>
    <cellStyle name="20% - Accent1 2 2 5 2" xfId="12653"/>
    <cellStyle name="20% - Accent1 2 2 5 2 2" xfId="26045"/>
    <cellStyle name="20% - Accent1 2 2 5 3" xfId="16604"/>
    <cellStyle name="20% - Accent1 2 2 5 3 2" xfId="29883"/>
    <cellStyle name="20% - Accent1 2 2 5 4" xfId="20892"/>
    <cellStyle name="20% - Accent1 2 2 6" xfId="1242"/>
    <cellStyle name="20% - Accent1 2 2 6 2" xfId="12654"/>
    <cellStyle name="20% - Accent1 2 2 6 2 2" xfId="26046"/>
    <cellStyle name="20% - Accent1 2 2 6 3" xfId="16605"/>
    <cellStyle name="20% - Accent1 2 2 6 3 2" xfId="29884"/>
    <cellStyle name="20% - Accent1 2 2 6 4" xfId="20893"/>
    <cellStyle name="20% - Accent1 2 2 7" xfId="12643"/>
    <cellStyle name="20% - Accent1 2 2 7 2" xfId="26035"/>
    <cellStyle name="20% - Accent1 2 2 8" xfId="16594"/>
    <cellStyle name="20% - Accent1 2 2 8 2" xfId="29873"/>
    <cellStyle name="20% - Accent1 2 2 9" xfId="20882"/>
    <cellStyle name="20% - Accent1 2 2_Volatility" xfId="1243"/>
    <cellStyle name="20% - Accent1 2 3" xfId="1244"/>
    <cellStyle name="20% - Accent1 2 3 2" xfId="1245"/>
    <cellStyle name="20% - Accent1 2 3 2 2" xfId="1246"/>
    <cellStyle name="20% - Accent1 2 3 2 2 2" xfId="12657"/>
    <cellStyle name="20% - Accent1 2 3 2 2 2 2" xfId="26049"/>
    <cellStyle name="20% - Accent1 2 3 2 2 3" xfId="16608"/>
    <cellStyle name="20% - Accent1 2 3 2 2 3 2" xfId="29887"/>
    <cellStyle name="20% - Accent1 2 3 2 2 4" xfId="20896"/>
    <cellStyle name="20% - Accent1 2 3 2 3" xfId="1247"/>
    <cellStyle name="20% - Accent1 2 3 2 3 2" xfId="12658"/>
    <cellStyle name="20% - Accent1 2 3 2 3 2 2" xfId="26050"/>
    <cellStyle name="20% - Accent1 2 3 2 3 3" xfId="16609"/>
    <cellStyle name="20% - Accent1 2 3 2 3 3 2" xfId="29888"/>
    <cellStyle name="20% - Accent1 2 3 2 3 4" xfId="20897"/>
    <cellStyle name="20% - Accent1 2 3 2 4" xfId="12656"/>
    <cellStyle name="20% - Accent1 2 3 2 4 2" xfId="26048"/>
    <cellStyle name="20% - Accent1 2 3 2 5" xfId="16607"/>
    <cellStyle name="20% - Accent1 2 3 2 5 2" xfId="29886"/>
    <cellStyle name="20% - Accent1 2 3 2 6" xfId="20895"/>
    <cellStyle name="20% - Accent1 2 3 3" xfId="1248"/>
    <cellStyle name="20% - Accent1 2 3 3 2" xfId="1249"/>
    <cellStyle name="20% - Accent1 2 3 3 2 2" xfId="12660"/>
    <cellStyle name="20% - Accent1 2 3 3 2 2 2" xfId="26052"/>
    <cellStyle name="20% - Accent1 2 3 3 2 3" xfId="16611"/>
    <cellStyle name="20% - Accent1 2 3 3 2 3 2" xfId="29890"/>
    <cellStyle name="20% - Accent1 2 3 3 2 4" xfId="20899"/>
    <cellStyle name="20% - Accent1 2 3 3 3" xfId="1250"/>
    <cellStyle name="20% - Accent1 2 3 3 3 2" xfId="12661"/>
    <cellStyle name="20% - Accent1 2 3 3 3 2 2" xfId="26053"/>
    <cellStyle name="20% - Accent1 2 3 3 3 3" xfId="16612"/>
    <cellStyle name="20% - Accent1 2 3 3 3 3 2" xfId="29891"/>
    <cellStyle name="20% - Accent1 2 3 3 3 4" xfId="20900"/>
    <cellStyle name="20% - Accent1 2 3 3 4" xfId="12659"/>
    <cellStyle name="20% - Accent1 2 3 3 4 2" xfId="26051"/>
    <cellStyle name="20% - Accent1 2 3 3 5" xfId="16610"/>
    <cellStyle name="20% - Accent1 2 3 3 5 2" xfId="29889"/>
    <cellStyle name="20% - Accent1 2 3 3 6" xfId="20898"/>
    <cellStyle name="20% - Accent1 2 3 4" xfId="1251"/>
    <cellStyle name="20% - Accent1 2 3 4 2" xfId="12662"/>
    <cellStyle name="20% - Accent1 2 3 4 2 2" xfId="26054"/>
    <cellStyle name="20% - Accent1 2 3 4 3" xfId="16613"/>
    <cellStyle name="20% - Accent1 2 3 4 3 2" xfId="29892"/>
    <cellStyle name="20% - Accent1 2 3 4 4" xfId="20901"/>
    <cellStyle name="20% - Accent1 2 3 5" xfId="1252"/>
    <cellStyle name="20% - Accent1 2 3 5 2" xfId="12663"/>
    <cellStyle name="20% - Accent1 2 3 5 2 2" xfId="26055"/>
    <cellStyle name="20% - Accent1 2 3 5 3" xfId="16614"/>
    <cellStyle name="20% - Accent1 2 3 5 3 2" xfId="29893"/>
    <cellStyle name="20% - Accent1 2 3 5 4" xfId="20902"/>
    <cellStyle name="20% - Accent1 2 3 6" xfId="12655"/>
    <cellStyle name="20% - Accent1 2 3 6 2" xfId="26047"/>
    <cellStyle name="20% - Accent1 2 3 7" xfId="16606"/>
    <cellStyle name="20% - Accent1 2 3 7 2" xfId="29885"/>
    <cellStyle name="20% - Accent1 2 3 8" xfId="20894"/>
    <cellStyle name="20% - Accent1 2 3_Volatility" xfId="1253"/>
    <cellStyle name="20% - Accent1 2 4" xfId="1254"/>
    <cellStyle name="20% - Accent1 2 4 2" xfId="1255"/>
    <cellStyle name="20% - Accent1 2 4 2 2" xfId="12665"/>
    <cellStyle name="20% - Accent1 2 4 2 2 2" xfId="26057"/>
    <cellStyle name="20% - Accent1 2 4 2 3" xfId="16616"/>
    <cellStyle name="20% - Accent1 2 4 2 3 2" xfId="29895"/>
    <cellStyle name="20% - Accent1 2 4 2 4" xfId="20904"/>
    <cellStyle name="20% - Accent1 2 4 3" xfId="1256"/>
    <cellStyle name="20% - Accent1 2 4 3 2" xfId="12666"/>
    <cellStyle name="20% - Accent1 2 4 3 2 2" xfId="26058"/>
    <cellStyle name="20% - Accent1 2 4 3 3" xfId="16617"/>
    <cellStyle name="20% - Accent1 2 4 3 3 2" xfId="29896"/>
    <cellStyle name="20% - Accent1 2 4 3 4" xfId="20905"/>
    <cellStyle name="20% - Accent1 2 4 4" xfId="12664"/>
    <cellStyle name="20% - Accent1 2 4 4 2" xfId="26056"/>
    <cellStyle name="20% - Accent1 2 4 5" xfId="16615"/>
    <cellStyle name="20% - Accent1 2 4 5 2" xfId="29894"/>
    <cellStyle name="20% - Accent1 2 4 6" xfId="20903"/>
    <cellStyle name="20% - Accent1 2 5" xfId="1257"/>
    <cellStyle name="20% - Accent1 2 5 2" xfId="1258"/>
    <cellStyle name="20% - Accent1 2 5 2 2" xfId="12668"/>
    <cellStyle name="20% - Accent1 2 5 2 2 2" xfId="26060"/>
    <cellStyle name="20% - Accent1 2 5 2 3" xfId="16619"/>
    <cellStyle name="20% - Accent1 2 5 2 3 2" xfId="29898"/>
    <cellStyle name="20% - Accent1 2 5 2 4" xfId="20907"/>
    <cellStyle name="20% - Accent1 2 5 3" xfId="1259"/>
    <cellStyle name="20% - Accent1 2 5 3 2" xfId="12669"/>
    <cellStyle name="20% - Accent1 2 5 3 2 2" xfId="26061"/>
    <cellStyle name="20% - Accent1 2 5 3 3" xfId="16620"/>
    <cellStyle name="20% - Accent1 2 5 3 3 2" xfId="29899"/>
    <cellStyle name="20% - Accent1 2 5 3 4" xfId="20908"/>
    <cellStyle name="20% - Accent1 2 5 4" xfId="12667"/>
    <cellStyle name="20% - Accent1 2 5 4 2" xfId="26059"/>
    <cellStyle name="20% - Accent1 2 5 5" xfId="16618"/>
    <cellStyle name="20% - Accent1 2 5 5 2" xfId="29897"/>
    <cellStyle name="20% - Accent1 2 5 6" xfId="20906"/>
    <cellStyle name="20% - Accent1 2 6" xfId="1260"/>
    <cellStyle name="20% - Accent1 2 6 2" xfId="1261"/>
    <cellStyle name="20% - Accent1 2 6 2 2" xfId="12671"/>
    <cellStyle name="20% - Accent1 2 6 2 2 2" xfId="26063"/>
    <cellStyle name="20% - Accent1 2 6 2 3" xfId="16622"/>
    <cellStyle name="20% - Accent1 2 6 2 3 2" xfId="29901"/>
    <cellStyle name="20% - Accent1 2 6 2 4" xfId="20910"/>
    <cellStyle name="20% - Accent1 2 6 3" xfId="1262"/>
    <cellStyle name="20% - Accent1 2 6 3 2" xfId="12672"/>
    <cellStyle name="20% - Accent1 2 6 3 2 2" xfId="26064"/>
    <cellStyle name="20% - Accent1 2 6 3 3" xfId="16623"/>
    <cellStyle name="20% - Accent1 2 6 3 3 2" xfId="29902"/>
    <cellStyle name="20% - Accent1 2 6 3 4" xfId="20911"/>
    <cellStyle name="20% - Accent1 2 6 4" xfId="12670"/>
    <cellStyle name="20% - Accent1 2 6 4 2" xfId="26062"/>
    <cellStyle name="20% - Accent1 2 6 5" xfId="16621"/>
    <cellStyle name="20% - Accent1 2 6 5 2" xfId="29900"/>
    <cellStyle name="20% - Accent1 2 6 6" xfId="20909"/>
    <cellStyle name="20% - Accent1 2 7" xfId="1263"/>
    <cellStyle name="20% - Accent1 2 7 2" xfId="12673"/>
    <cellStyle name="20% - Accent1 2 7 2 2" xfId="26065"/>
    <cellStyle name="20% - Accent1 2 7 3" xfId="16624"/>
    <cellStyle name="20% - Accent1 2 7 3 2" xfId="29903"/>
    <cellStyle name="20% - Accent1 2 7 4" xfId="20912"/>
    <cellStyle name="20% - Accent1 2 8" xfId="1264"/>
    <cellStyle name="20% - Accent1 2 8 2" xfId="12674"/>
    <cellStyle name="20% - Accent1 2 8 2 2" xfId="26066"/>
    <cellStyle name="20% - Accent1 2 8 3" xfId="16625"/>
    <cellStyle name="20% - Accent1 2 8 3 2" xfId="29904"/>
    <cellStyle name="20% - Accent1 2 8 4" xfId="20913"/>
    <cellStyle name="20% - Accent1 2 9" xfId="12642"/>
    <cellStyle name="20% - Accent1 2 9 2" xfId="26034"/>
    <cellStyle name="20% - Accent1 2_Volatility" xfId="1265"/>
    <cellStyle name="20% - Accent1 3" xfId="1266"/>
    <cellStyle name="20% - Accent1 3 10" xfId="16626"/>
    <cellStyle name="20% - Accent1 3 10 2" xfId="29905"/>
    <cellStyle name="20% - Accent1 3 11" xfId="20914"/>
    <cellStyle name="20% - Accent1 3 2" xfId="1267"/>
    <cellStyle name="20% - Accent1 3 2 2" xfId="1268"/>
    <cellStyle name="20% - Accent1 3 2 2 2" xfId="1269"/>
    <cellStyle name="20% - Accent1 3 2 2 2 2" xfId="12678"/>
    <cellStyle name="20% - Accent1 3 2 2 2 2 2" xfId="26070"/>
    <cellStyle name="20% - Accent1 3 2 2 2 3" xfId="16629"/>
    <cellStyle name="20% - Accent1 3 2 2 2 3 2" xfId="29908"/>
    <cellStyle name="20% - Accent1 3 2 2 2 4" xfId="20917"/>
    <cellStyle name="20% - Accent1 3 2 2 3" xfId="1270"/>
    <cellStyle name="20% - Accent1 3 2 2 3 2" xfId="12679"/>
    <cellStyle name="20% - Accent1 3 2 2 3 2 2" xfId="26071"/>
    <cellStyle name="20% - Accent1 3 2 2 3 3" xfId="16630"/>
    <cellStyle name="20% - Accent1 3 2 2 3 3 2" xfId="29909"/>
    <cellStyle name="20% - Accent1 3 2 2 3 4" xfId="20918"/>
    <cellStyle name="20% - Accent1 3 2 2 4" xfId="12677"/>
    <cellStyle name="20% - Accent1 3 2 2 4 2" xfId="26069"/>
    <cellStyle name="20% - Accent1 3 2 2 5" xfId="16628"/>
    <cellStyle name="20% - Accent1 3 2 2 5 2" xfId="29907"/>
    <cellStyle name="20% - Accent1 3 2 2 6" xfId="20916"/>
    <cellStyle name="20% - Accent1 3 2 3" xfId="1271"/>
    <cellStyle name="20% - Accent1 3 2 3 2" xfId="1272"/>
    <cellStyle name="20% - Accent1 3 2 3 2 2" xfId="12681"/>
    <cellStyle name="20% - Accent1 3 2 3 2 2 2" xfId="26073"/>
    <cellStyle name="20% - Accent1 3 2 3 2 3" xfId="16632"/>
    <cellStyle name="20% - Accent1 3 2 3 2 3 2" xfId="29911"/>
    <cellStyle name="20% - Accent1 3 2 3 2 4" xfId="20920"/>
    <cellStyle name="20% - Accent1 3 2 3 3" xfId="1273"/>
    <cellStyle name="20% - Accent1 3 2 3 3 2" xfId="12682"/>
    <cellStyle name="20% - Accent1 3 2 3 3 2 2" xfId="26074"/>
    <cellStyle name="20% - Accent1 3 2 3 3 3" xfId="16633"/>
    <cellStyle name="20% - Accent1 3 2 3 3 3 2" xfId="29912"/>
    <cellStyle name="20% - Accent1 3 2 3 3 4" xfId="20921"/>
    <cellStyle name="20% - Accent1 3 2 3 4" xfId="12680"/>
    <cellStyle name="20% - Accent1 3 2 3 4 2" xfId="26072"/>
    <cellStyle name="20% - Accent1 3 2 3 5" xfId="16631"/>
    <cellStyle name="20% - Accent1 3 2 3 5 2" xfId="29910"/>
    <cellStyle name="20% - Accent1 3 2 3 6" xfId="20919"/>
    <cellStyle name="20% - Accent1 3 2 4" xfId="1274"/>
    <cellStyle name="20% - Accent1 3 2 4 2" xfId="1275"/>
    <cellStyle name="20% - Accent1 3 2 4 2 2" xfId="12684"/>
    <cellStyle name="20% - Accent1 3 2 4 2 2 2" xfId="26076"/>
    <cellStyle name="20% - Accent1 3 2 4 2 3" xfId="16635"/>
    <cellStyle name="20% - Accent1 3 2 4 2 3 2" xfId="29914"/>
    <cellStyle name="20% - Accent1 3 2 4 2 4" xfId="20923"/>
    <cellStyle name="20% - Accent1 3 2 4 3" xfId="1276"/>
    <cellStyle name="20% - Accent1 3 2 4 3 2" xfId="12685"/>
    <cellStyle name="20% - Accent1 3 2 4 3 2 2" xfId="26077"/>
    <cellStyle name="20% - Accent1 3 2 4 3 3" xfId="16636"/>
    <cellStyle name="20% - Accent1 3 2 4 3 3 2" xfId="29915"/>
    <cellStyle name="20% - Accent1 3 2 4 3 4" xfId="20924"/>
    <cellStyle name="20% - Accent1 3 2 4 4" xfId="12683"/>
    <cellStyle name="20% - Accent1 3 2 4 4 2" xfId="26075"/>
    <cellStyle name="20% - Accent1 3 2 4 5" xfId="16634"/>
    <cellStyle name="20% - Accent1 3 2 4 5 2" xfId="29913"/>
    <cellStyle name="20% - Accent1 3 2 4 6" xfId="20922"/>
    <cellStyle name="20% - Accent1 3 2 5" xfId="1277"/>
    <cellStyle name="20% - Accent1 3 2 5 2" xfId="12686"/>
    <cellStyle name="20% - Accent1 3 2 5 2 2" xfId="26078"/>
    <cellStyle name="20% - Accent1 3 2 5 3" xfId="16637"/>
    <cellStyle name="20% - Accent1 3 2 5 3 2" xfId="29916"/>
    <cellStyle name="20% - Accent1 3 2 5 4" xfId="20925"/>
    <cellStyle name="20% - Accent1 3 2 6" xfId="1278"/>
    <cellStyle name="20% - Accent1 3 2 6 2" xfId="12687"/>
    <cellStyle name="20% - Accent1 3 2 6 2 2" xfId="26079"/>
    <cellStyle name="20% - Accent1 3 2 6 3" xfId="16638"/>
    <cellStyle name="20% - Accent1 3 2 6 3 2" xfId="29917"/>
    <cellStyle name="20% - Accent1 3 2 6 4" xfId="20926"/>
    <cellStyle name="20% - Accent1 3 2 7" xfId="12676"/>
    <cellStyle name="20% - Accent1 3 2 7 2" xfId="26068"/>
    <cellStyle name="20% - Accent1 3 2 8" xfId="16627"/>
    <cellStyle name="20% - Accent1 3 2 8 2" xfId="29906"/>
    <cellStyle name="20% - Accent1 3 2 9" xfId="20915"/>
    <cellStyle name="20% - Accent1 3 2_Volatility" xfId="1279"/>
    <cellStyle name="20% - Accent1 3 3" xfId="1280"/>
    <cellStyle name="20% - Accent1 3 3 2" xfId="1281"/>
    <cellStyle name="20% - Accent1 3 3 2 2" xfId="1282"/>
    <cellStyle name="20% - Accent1 3 3 2 2 2" xfId="12690"/>
    <cellStyle name="20% - Accent1 3 3 2 2 2 2" xfId="26082"/>
    <cellStyle name="20% - Accent1 3 3 2 2 3" xfId="16641"/>
    <cellStyle name="20% - Accent1 3 3 2 2 3 2" xfId="29920"/>
    <cellStyle name="20% - Accent1 3 3 2 2 4" xfId="20929"/>
    <cellStyle name="20% - Accent1 3 3 2 3" xfId="1283"/>
    <cellStyle name="20% - Accent1 3 3 2 3 2" xfId="12691"/>
    <cellStyle name="20% - Accent1 3 3 2 3 2 2" xfId="26083"/>
    <cellStyle name="20% - Accent1 3 3 2 3 3" xfId="16642"/>
    <cellStyle name="20% - Accent1 3 3 2 3 3 2" xfId="29921"/>
    <cellStyle name="20% - Accent1 3 3 2 3 4" xfId="20930"/>
    <cellStyle name="20% - Accent1 3 3 2 4" xfId="12689"/>
    <cellStyle name="20% - Accent1 3 3 2 4 2" xfId="26081"/>
    <cellStyle name="20% - Accent1 3 3 2 5" xfId="16640"/>
    <cellStyle name="20% - Accent1 3 3 2 5 2" xfId="29919"/>
    <cellStyle name="20% - Accent1 3 3 2 6" xfId="20928"/>
    <cellStyle name="20% - Accent1 3 3 3" xfId="1284"/>
    <cellStyle name="20% - Accent1 3 3 3 2" xfId="1285"/>
    <cellStyle name="20% - Accent1 3 3 3 2 2" xfId="12693"/>
    <cellStyle name="20% - Accent1 3 3 3 2 2 2" xfId="26085"/>
    <cellStyle name="20% - Accent1 3 3 3 2 3" xfId="16644"/>
    <cellStyle name="20% - Accent1 3 3 3 2 3 2" xfId="29923"/>
    <cellStyle name="20% - Accent1 3 3 3 2 4" xfId="20932"/>
    <cellStyle name="20% - Accent1 3 3 3 3" xfId="1286"/>
    <cellStyle name="20% - Accent1 3 3 3 3 2" xfId="12694"/>
    <cellStyle name="20% - Accent1 3 3 3 3 2 2" xfId="26086"/>
    <cellStyle name="20% - Accent1 3 3 3 3 3" xfId="16645"/>
    <cellStyle name="20% - Accent1 3 3 3 3 3 2" xfId="29924"/>
    <cellStyle name="20% - Accent1 3 3 3 3 4" xfId="20933"/>
    <cellStyle name="20% - Accent1 3 3 3 4" xfId="12692"/>
    <cellStyle name="20% - Accent1 3 3 3 4 2" xfId="26084"/>
    <cellStyle name="20% - Accent1 3 3 3 5" xfId="16643"/>
    <cellStyle name="20% - Accent1 3 3 3 5 2" xfId="29922"/>
    <cellStyle name="20% - Accent1 3 3 3 6" xfId="20931"/>
    <cellStyle name="20% - Accent1 3 3 4" xfId="1287"/>
    <cellStyle name="20% - Accent1 3 3 4 2" xfId="12695"/>
    <cellStyle name="20% - Accent1 3 3 4 2 2" xfId="26087"/>
    <cellStyle name="20% - Accent1 3 3 4 3" xfId="16646"/>
    <cellStyle name="20% - Accent1 3 3 4 3 2" xfId="29925"/>
    <cellStyle name="20% - Accent1 3 3 4 4" xfId="20934"/>
    <cellStyle name="20% - Accent1 3 3 5" xfId="1288"/>
    <cellStyle name="20% - Accent1 3 3 5 2" xfId="12696"/>
    <cellStyle name="20% - Accent1 3 3 5 2 2" xfId="26088"/>
    <cellStyle name="20% - Accent1 3 3 5 3" xfId="16647"/>
    <cellStyle name="20% - Accent1 3 3 5 3 2" xfId="29926"/>
    <cellStyle name="20% - Accent1 3 3 5 4" xfId="20935"/>
    <cellStyle name="20% - Accent1 3 3 6" xfId="12688"/>
    <cellStyle name="20% - Accent1 3 3 6 2" xfId="26080"/>
    <cellStyle name="20% - Accent1 3 3 7" xfId="16639"/>
    <cellStyle name="20% - Accent1 3 3 7 2" xfId="29918"/>
    <cellStyle name="20% - Accent1 3 3 8" xfId="20927"/>
    <cellStyle name="20% - Accent1 3 3_Volatility" xfId="1289"/>
    <cellStyle name="20% - Accent1 3 4" xfId="1290"/>
    <cellStyle name="20% - Accent1 3 4 2" xfId="1291"/>
    <cellStyle name="20% - Accent1 3 4 2 2" xfId="12698"/>
    <cellStyle name="20% - Accent1 3 4 2 2 2" xfId="26090"/>
    <cellStyle name="20% - Accent1 3 4 2 3" xfId="16649"/>
    <cellStyle name="20% - Accent1 3 4 2 3 2" xfId="29928"/>
    <cellStyle name="20% - Accent1 3 4 2 4" xfId="20937"/>
    <cellStyle name="20% - Accent1 3 4 3" xfId="1292"/>
    <cellStyle name="20% - Accent1 3 4 3 2" xfId="12699"/>
    <cellStyle name="20% - Accent1 3 4 3 2 2" xfId="26091"/>
    <cellStyle name="20% - Accent1 3 4 3 3" xfId="16650"/>
    <cellStyle name="20% - Accent1 3 4 3 3 2" xfId="29929"/>
    <cellStyle name="20% - Accent1 3 4 3 4" xfId="20938"/>
    <cellStyle name="20% - Accent1 3 4 4" xfId="12697"/>
    <cellStyle name="20% - Accent1 3 4 4 2" xfId="26089"/>
    <cellStyle name="20% - Accent1 3 4 5" xfId="16648"/>
    <cellStyle name="20% - Accent1 3 4 5 2" xfId="29927"/>
    <cellStyle name="20% - Accent1 3 4 6" xfId="20936"/>
    <cellStyle name="20% - Accent1 3 5" xfId="1293"/>
    <cellStyle name="20% - Accent1 3 5 2" xfId="1294"/>
    <cellStyle name="20% - Accent1 3 5 2 2" xfId="12701"/>
    <cellStyle name="20% - Accent1 3 5 2 2 2" xfId="26093"/>
    <cellStyle name="20% - Accent1 3 5 2 3" xfId="16652"/>
    <cellStyle name="20% - Accent1 3 5 2 3 2" xfId="29931"/>
    <cellStyle name="20% - Accent1 3 5 2 4" xfId="20940"/>
    <cellStyle name="20% - Accent1 3 5 3" xfId="1295"/>
    <cellStyle name="20% - Accent1 3 5 3 2" xfId="12702"/>
    <cellStyle name="20% - Accent1 3 5 3 2 2" xfId="26094"/>
    <cellStyle name="20% - Accent1 3 5 3 3" xfId="16653"/>
    <cellStyle name="20% - Accent1 3 5 3 3 2" xfId="29932"/>
    <cellStyle name="20% - Accent1 3 5 3 4" xfId="20941"/>
    <cellStyle name="20% - Accent1 3 5 4" xfId="12700"/>
    <cellStyle name="20% - Accent1 3 5 4 2" xfId="26092"/>
    <cellStyle name="20% - Accent1 3 5 5" xfId="16651"/>
    <cellStyle name="20% - Accent1 3 5 5 2" xfId="29930"/>
    <cellStyle name="20% - Accent1 3 5 6" xfId="20939"/>
    <cellStyle name="20% - Accent1 3 6" xfId="1296"/>
    <cellStyle name="20% - Accent1 3 6 2" xfId="1297"/>
    <cellStyle name="20% - Accent1 3 6 2 2" xfId="12704"/>
    <cellStyle name="20% - Accent1 3 6 2 2 2" xfId="26096"/>
    <cellStyle name="20% - Accent1 3 6 2 3" xfId="16655"/>
    <cellStyle name="20% - Accent1 3 6 2 3 2" xfId="29934"/>
    <cellStyle name="20% - Accent1 3 6 2 4" xfId="20943"/>
    <cellStyle name="20% - Accent1 3 6 3" xfId="1298"/>
    <cellStyle name="20% - Accent1 3 6 3 2" xfId="12705"/>
    <cellStyle name="20% - Accent1 3 6 3 2 2" xfId="26097"/>
    <cellStyle name="20% - Accent1 3 6 3 3" xfId="16656"/>
    <cellStyle name="20% - Accent1 3 6 3 3 2" xfId="29935"/>
    <cellStyle name="20% - Accent1 3 6 3 4" xfId="20944"/>
    <cellStyle name="20% - Accent1 3 6 4" xfId="12703"/>
    <cellStyle name="20% - Accent1 3 6 4 2" xfId="26095"/>
    <cellStyle name="20% - Accent1 3 6 5" xfId="16654"/>
    <cellStyle name="20% - Accent1 3 6 5 2" xfId="29933"/>
    <cellStyle name="20% - Accent1 3 6 6" xfId="20942"/>
    <cellStyle name="20% - Accent1 3 7" xfId="1299"/>
    <cellStyle name="20% - Accent1 3 7 2" xfId="12706"/>
    <cellStyle name="20% - Accent1 3 7 2 2" xfId="26098"/>
    <cellStyle name="20% - Accent1 3 7 3" xfId="16657"/>
    <cellStyle name="20% - Accent1 3 7 3 2" xfId="29936"/>
    <cellStyle name="20% - Accent1 3 7 4" xfId="20945"/>
    <cellStyle name="20% - Accent1 3 8" xfId="1300"/>
    <cellStyle name="20% - Accent1 3 8 2" xfId="12707"/>
    <cellStyle name="20% - Accent1 3 8 2 2" xfId="26099"/>
    <cellStyle name="20% - Accent1 3 8 3" xfId="16658"/>
    <cellStyle name="20% - Accent1 3 8 3 2" xfId="29937"/>
    <cellStyle name="20% - Accent1 3 8 4" xfId="20946"/>
    <cellStyle name="20% - Accent1 3 9" xfId="12675"/>
    <cellStyle name="20% - Accent1 3 9 2" xfId="26067"/>
    <cellStyle name="20% - Accent1 3_Volatility" xfId="1301"/>
    <cellStyle name="20% - Accent1 4" xfId="1302"/>
    <cellStyle name="20% - Accent1 4 10" xfId="16659"/>
    <cellStyle name="20% - Accent1 4 10 2" xfId="29938"/>
    <cellStyle name="20% - Accent1 4 11" xfId="20947"/>
    <cellStyle name="20% - Accent1 4 2" xfId="1303"/>
    <cellStyle name="20% - Accent1 4 2 2" xfId="1304"/>
    <cellStyle name="20% - Accent1 4 2 2 2" xfId="1305"/>
    <cellStyle name="20% - Accent1 4 2 2 2 2" xfId="12711"/>
    <cellStyle name="20% - Accent1 4 2 2 2 2 2" xfId="26103"/>
    <cellStyle name="20% - Accent1 4 2 2 2 3" xfId="16662"/>
    <cellStyle name="20% - Accent1 4 2 2 2 3 2" xfId="29941"/>
    <cellStyle name="20% - Accent1 4 2 2 2 4" xfId="20950"/>
    <cellStyle name="20% - Accent1 4 2 2 3" xfId="1306"/>
    <cellStyle name="20% - Accent1 4 2 2 3 2" xfId="12712"/>
    <cellStyle name="20% - Accent1 4 2 2 3 2 2" xfId="26104"/>
    <cellStyle name="20% - Accent1 4 2 2 3 3" xfId="16663"/>
    <cellStyle name="20% - Accent1 4 2 2 3 3 2" xfId="29942"/>
    <cellStyle name="20% - Accent1 4 2 2 3 4" xfId="20951"/>
    <cellStyle name="20% - Accent1 4 2 2 4" xfId="12710"/>
    <cellStyle name="20% - Accent1 4 2 2 4 2" xfId="26102"/>
    <cellStyle name="20% - Accent1 4 2 2 5" xfId="16661"/>
    <cellStyle name="20% - Accent1 4 2 2 5 2" xfId="29940"/>
    <cellStyle name="20% - Accent1 4 2 2 6" xfId="20949"/>
    <cellStyle name="20% - Accent1 4 2 3" xfId="1307"/>
    <cellStyle name="20% - Accent1 4 2 3 2" xfId="1308"/>
    <cellStyle name="20% - Accent1 4 2 3 2 2" xfId="12714"/>
    <cellStyle name="20% - Accent1 4 2 3 2 2 2" xfId="26106"/>
    <cellStyle name="20% - Accent1 4 2 3 2 3" xfId="16665"/>
    <cellStyle name="20% - Accent1 4 2 3 2 3 2" xfId="29944"/>
    <cellStyle name="20% - Accent1 4 2 3 2 4" xfId="20953"/>
    <cellStyle name="20% - Accent1 4 2 3 3" xfId="1309"/>
    <cellStyle name="20% - Accent1 4 2 3 3 2" xfId="12715"/>
    <cellStyle name="20% - Accent1 4 2 3 3 2 2" xfId="26107"/>
    <cellStyle name="20% - Accent1 4 2 3 3 3" xfId="16666"/>
    <cellStyle name="20% - Accent1 4 2 3 3 3 2" xfId="29945"/>
    <cellStyle name="20% - Accent1 4 2 3 3 4" xfId="20954"/>
    <cellStyle name="20% - Accent1 4 2 3 4" xfId="12713"/>
    <cellStyle name="20% - Accent1 4 2 3 4 2" xfId="26105"/>
    <cellStyle name="20% - Accent1 4 2 3 5" xfId="16664"/>
    <cellStyle name="20% - Accent1 4 2 3 5 2" xfId="29943"/>
    <cellStyle name="20% - Accent1 4 2 3 6" xfId="20952"/>
    <cellStyle name="20% - Accent1 4 2 4" xfId="1310"/>
    <cellStyle name="20% - Accent1 4 2 4 2" xfId="1311"/>
    <cellStyle name="20% - Accent1 4 2 4 2 2" xfId="12717"/>
    <cellStyle name="20% - Accent1 4 2 4 2 2 2" xfId="26109"/>
    <cellStyle name="20% - Accent1 4 2 4 2 3" xfId="16668"/>
    <cellStyle name="20% - Accent1 4 2 4 2 3 2" xfId="29947"/>
    <cellStyle name="20% - Accent1 4 2 4 2 4" xfId="20956"/>
    <cellStyle name="20% - Accent1 4 2 4 3" xfId="1312"/>
    <cellStyle name="20% - Accent1 4 2 4 3 2" xfId="12718"/>
    <cellStyle name="20% - Accent1 4 2 4 3 2 2" xfId="26110"/>
    <cellStyle name="20% - Accent1 4 2 4 3 3" xfId="16669"/>
    <cellStyle name="20% - Accent1 4 2 4 3 3 2" xfId="29948"/>
    <cellStyle name="20% - Accent1 4 2 4 3 4" xfId="20957"/>
    <cellStyle name="20% - Accent1 4 2 4 4" xfId="12716"/>
    <cellStyle name="20% - Accent1 4 2 4 4 2" xfId="26108"/>
    <cellStyle name="20% - Accent1 4 2 4 5" xfId="16667"/>
    <cellStyle name="20% - Accent1 4 2 4 5 2" xfId="29946"/>
    <cellStyle name="20% - Accent1 4 2 4 6" xfId="20955"/>
    <cellStyle name="20% - Accent1 4 2 5" xfId="1313"/>
    <cellStyle name="20% - Accent1 4 2 5 2" xfId="12719"/>
    <cellStyle name="20% - Accent1 4 2 5 2 2" xfId="26111"/>
    <cellStyle name="20% - Accent1 4 2 5 3" xfId="16670"/>
    <cellStyle name="20% - Accent1 4 2 5 3 2" xfId="29949"/>
    <cellStyle name="20% - Accent1 4 2 5 4" xfId="20958"/>
    <cellStyle name="20% - Accent1 4 2 6" xfId="1314"/>
    <cellStyle name="20% - Accent1 4 2 6 2" xfId="12720"/>
    <cellStyle name="20% - Accent1 4 2 6 2 2" xfId="26112"/>
    <cellStyle name="20% - Accent1 4 2 6 3" xfId="16671"/>
    <cellStyle name="20% - Accent1 4 2 6 3 2" xfId="29950"/>
    <cellStyle name="20% - Accent1 4 2 6 4" xfId="20959"/>
    <cellStyle name="20% - Accent1 4 2 7" xfId="12709"/>
    <cellStyle name="20% - Accent1 4 2 7 2" xfId="26101"/>
    <cellStyle name="20% - Accent1 4 2 8" xfId="16660"/>
    <cellStyle name="20% - Accent1 4 2 8 2" xfId="29939"/>
    <cellStyle name="20% - Accent1 4 2 9" xfId="20948"/>
    <cellStyle name="20% - Accent1 4 2_Volatility" xfId="1315"/>
    <cellStyle name="20% - Accent1 4 3" xfId="1316"/>
    <cellStyle name="20% - Accent1 4 3 2" xfId="1317"/>
    <cellStyle name="20% - Accent1 4 3 2 2" xfId="1318"/>
    <cellStyle name="20% - Accent1 4 3 2 2 2" xfId="12723"/>
    <cellStyle name="20% - Accent1 4 3 2 2 2 2" xfId="26115"/>
    <cellStyle name="20% - Accent1 4 3 2 2 3" xfId="16674"/>
    <cellStyle name="20% - Accent1 4 3 2 2 3 2" xfId="29953"/>
    <cellStyle name="20% - Accent1 4 3 2 2 4" xfId="20962"/>
    <cellStyle name="20% - Accent1 4 3 2 3" xfId="1319"/>
    <cellStyle name="20% - Accent1 4 3 2 3 2" xfId="12724"/>
    <cellStyle name="20% - Accent1 4 3 2 3 2 2" xfId="26116"/>
    <cellStyle name="20% - Accent1 4 3 2 3 3" xfId="16675"/>
    <cellStyle name="20% - Accent1 4 3 2 3 3 2" xfId="29954"/>
    <cellStyle name="20% - Accent1 4 3 2 3 4" xfId="20963"/>
    <cellStyle name="20% - Accent1 4 3 2 4" xfId="12722"/>
    <cellStyle name="20% - Accent1 4 3 2 4 2" xfId="26114"/>
    <cellStyle name="20% - Accent1 4 3 2 5" xfId="16673"/>
    <cellStyle name="20% - Accent1 4 3 2 5 2" xfId="29952"/>
    <cellStyle name="20% - Accent1 4 3 2 6" xfId="20961"/>
    <cellStyle name="20% - Accent1 4 3 3" xfId="1320"/>
    <cellStyle name="20% - Accent1 4 3 3 2" xfId="1321"/>
    <cellStyle name="20% - Accent1 4 3 3 2 2" xfId="12726"/>
    <cellStyle name="20% - Accent1 4 3 3 2 2 2" xfId="26118"/>
    <cellStyle name="20% - Accent1 4 3 3 2 3" xfId="16677"/>
    <cellStyle name="20% - Accent1 4 3 3 2 3 2" xfId="29956"/>
    <cellStyle name="20% - Accent1 4 3 3 2 4" xfId="20965"/>
    <cellStyle name="20% - Accent1 4 3 3 3" xfId="1322"/>
    <cellStyle name="20% - Accent1 4 3 3 3 2" xfId="12727"/>
    <cellStyle name="20% - Accent1 4 3 3 3 2 2" xfId="26119"/>
    <cellStyle name="20% - Accent1 4 3 3 3 3" xfId="16678"/>
    <cellStyle name="20% - Accent1 4 3 3 3 3 2" xfId="29957"/>
    <cellStyle name="20% - Accent1 4 3 3 3 4" xfId="20966"/>
    <cellStyle name="20% - Accent1 4 3 3 4" xfId="12725"/>
    <cellStyle name="20% - Accent1 4 3 3 4 2" xfId="26117"/>
    <cellStyle name="20% - Accent1 4 3 3 5" xfId="16676"/>
    <cellStyle name="20% - Accent1 4 3 3 5 2" xfId="29955"/>
    <cellStyle name="20% - Accent1 4 3 3 6" xfId="20964"/>
    <cellStyle name="20% - Accent1 4 3 4" xfId="1323"/>
    <cellStyle name="20% - Accent1 4 3 4 2" xfId="12728"/>
    <cellStyle name="20% - Accent1 4 3 4 2 2" xfId="26120"/>
    <cellStyle name="20% - Accent1 4 3 4 3" xfId="16679"/>
    <cellStyle name="20% - Accent1 4 3 4 3 2" xfId="29958"/>
    <cellStyle name="20% - Accent1 4 3 4 4" xfId="20967"/>
    <cellStyle name="20% - Accent1 4 3 5" xfId="1324"/>
    <cellStyle name="20% - Accent1 4 3 5 2" xfId="12729"/>
    <cellStyle name="20% - Accent1 4 3 5 2 2" xfId="26121"/>
    <cellStyle name="20% - Accent1 4 3 5 3" xfId="16680"/>
    <cellStyle name="20% - Accent1 4 3 5 3 2" xfId="29959"/>
    <cellStyle name="20% - Accent1 4 3 5 4" xfId="20968"/>
    <cellStyle name="20% - Accent1 4 3 6" xfId="12721"/>
    <cellStyle name="20% - Accent1 4 3 6 2" xfId="26113"/>
    <cellStyle name="20% - Accent1 4 3 7" xfId="16672"/>
    <cellStyle name="20% - Accent1 4 3 7 2" xfId="29951"/>
    <cellStyle name="20% - Accent1 4 3 8" xfId="20960"/>
    <cellStyle name="20% - Accent1 4 3_Volatility" xfId="1325"/>
    <cellStyle name="20% - Accent1 4 4" xfId="1326"/>
    <cellStyle name="20% - Accent1 4 4 2" xfId="1327"/>
    <cellStyle name="20% - Accent1 4 4 2 2" xfId="12731"/>
    <cellStyle name="20% - Accent1 4 4 2 2 2" xfId="26123"/>
    <cellStyle name="20% - Accent1 4 4 2 3" xfId="16682"/>
    <cellStyle name="20% - Accent1 4 4 2 3 2" xfId="29961"/>
    <cellStyle name="20% - Accent1 4 4 2 4" xfId="20970"/>
    <cellStyle name="20% - Accent1 4 4 3" xfId="1328"/>
    <cellStyle name="20% - Accent1 4 4 3 2" xfId="12732"/>
    <cellStyle name="20% - Accent1 4 4 3 2 2" xfId="26124"/>
    <cellStyle name="20% - Accent1 4 4 3 3" xfId="16683"/>
    <cellStyle name="20% - Accent1 4 4 3 3 2" xfId="29962"/>
    <cellStyle name="20% - Accent1 4 4 3 4" xfId="20971"/>
    <cellStyle name="20% - Accent1 4 4 4" xfId="12730"/>
    <cellStyle name="20% - Accent1 4 4 4 2" xfId="26122"/>
    <cellStyle name="20% - Accent1 4 4 5" xfId="16681"/>
    <cellStyle name="20% - Accent1 4 4 5 2" xfId="29960"/>
    <cellStyle name="20% - Accent1 4 4 6" xfId="20969"/>
    <cellStyle name="20% - Accent1 4 5" xfId="1329"/>
    <cellStyle name="20% - Accent1 4 5 2" xfId="1330"/>
    <cellStyle name="20% - Accent1 4 5 2 2" xfId="12734"/>
    <cellStyle name="20% - Accent1 4 5 2 2 2" xfId="26126"/>
    <cellStyle name="20% - Accent1 4 5 2 3" xfId="16685"/>
    <cellStyle name="20% - Accent1 4 5 2 3 2" xfId="29964"/>
    <cellStyle name="20% - Accent1 4 5 2 4" xfId="20973"/>
    <cellStyle name="20% - Accent1 4 5 3" xfId="1331"/>
    <cellStyle name="20% - Accent1 4 5 3 2" xfId="12735"/>
    <cellStyle name="20% - Accent1 4 5 3 2 2" xfId="26127"/>
    <cellStyle name="20% - Accent1 4 5 3 3" xfId="16686"/>
    <cellStyle name="20% - Accent1 4 5 3 3 2" xfId="29965"/>
    <cellStyle name="20% - Accent1 4 5 3 4" xfId="20974"/>
    <cellStyle name="20% - Accent1 4 5 4" xfId="12733"/>
    <cellStyle name="20% - Accent1 4 5 4 2" xfId="26125"/>
    <cellStyle name="20% - Accent1 4 5 5" xfId="16684"/>
    <cellStyle name="20% - Accent1 4 5 5 2" xfId="29963"/>
    <cellStyle name="20% - Accent1 4 5 6" xfId="20972"/>
    <cellStyle name="20% - Accent1 4 6" xfId="1332"/>
    <cellStyle name="20% - Accent1 4 6 2" xfId="1333"/>
    <cellStyle name="20% - Accent1 4 6 2 2" xfId="12737"/>
    <cellStyle name="20% - Accent1 4 6 2 2 2" xfId="26129"/>
    <cellStyle name="20% - Accent1 4 6 2 3" xfId="16688"/>
    <cellStyle name="20% - Accent1 4 6 2 3 2" xfId="29967"/>
    <cellStyle name="20% - Accent1 4 6 2 4" xfId="20976"/>
    <cellStyle name="20% - Accent1 4 6 3" xfId="1334"/>
    <cellStyle name="20% - Accent1 4 6 3 2" xfId="12738"/>
    <cellStyle name="20% - Accent1 4 6 3 2 2" xfId="26130"/>
    <cellStyle name="20% - Accent1 4 6 3 3" xfId="16689"/>
    <cellStyle name="20% - Accent1 4 6 3 3 2" xfId="29968"/>
    <cellStyle name="20% - Accent1 4 6 3 4" xfId="20977"/>
    <cellStyle name="20% - Accent1 4 6 4" xfId="12736"/>
    <cellStyle name="20% - Accent1 4 6 4 2" xfId="26128"/>
    <cellStyle name="20% - Accent1 4 6 5" xfId="16687"/>
    <cellStyle name="20% - Accent1 4 6 5 2" xfId="29966"/>
    <cellStyle name="20% - Accent1 4 6 6" xfId="20975"/>
    <cellStyle name="20% - Accent1 4 7" xfId="1335"/>
    <cellStyle name="20% - Accent1 4 7 2" xfId="12739"/>
    <cellStyle name="20% - Accent1 4 7 2 2" xfId="26131"/>
    <cellStyle name="20% - Accent1 4 7 3" xfId="16690"/>
    <cellStyle name="20% - Accent1 4 7 3 2" xfId="29969"/>
    <cellStyle name="20% - Accent1 4 7 4" xfId="20978"/>
    <cellStyle name="20% - Accent1 4 8" xfId="1336"/>
    <cellStyle name="20% - Accent1 4 8 2" xfId="12740"/>
    <cellStyle name="20% - Accent1 4 8 2 2" xfId="26132"/>
    <cellStyle name="20% - Accent1 4 8 3" xfId="16691"/>
    <cellStyle name="20% - Accent1 4 8 3 2" xfId="29970"/>
    <cellStyle name="20% - Accent1 4 8 4" xfId="20979"/>
    <cellStyle name="20% - Accent1 4 9" xfId="12708"/>
    <cellStyle name="20% - Accent1 4 9 2" xfId="26100"/>
    <cellStyle name="20% - Accent1 4_Volatility" xfId="1337"/>
    <cellStyle name="20% - Accent1 5" xfId="1338"/>
    <cellStyle name="20% - Accent1 5 10" xfId="16692"/>
    <cellStyle name="20% - Accent1 5 10 2" xfId="29971"/>
    <cellStyle name="20% - Accent1 5 11" xfId="20980"/>
    <cellStyle name="20% - Accent1 5 2" xfId="1339"/>
    <cellStyle name="20% - Accent1 5 2 2" xfId="1340"/>
    <cellStyle name="20% - Accent1 5 2 2 2" xfId="1341"/>
    <cellStyle name="20% - Accent1 5 2 2 2 2" xfId="12744"/>
    <cellStyle name="20% - Accent1 5 2 2 2 2 2" xfId="26136"/>
    <cellStyle name="20% - Accent1 5 2 2 2 3" xfId="16695"/>
    <cellStyle name="20% - Accent1 5 2 2 2 3 2" xfId="29974"/>
    <cellStyle name="20% - Accent1 5 2 2 2 4" xfId="20983"/>
    <cellStyle name="20% - Accent1 5 2 2 3" xfId="1342"/>
    <cellStyle name="20% - Accent1 5 2 2 3 2" xfId="12745"/>
    <cellStyle name="20% - Accent1 5 2 2 3 2 2" xfId="26137"/>
    <cellStyle name="20% - Accent1 5 2 2 3 3" xfId="16696"/>
    <cellStyle name="20% - Accent1 5 2 2 3 3 2" xfId="29975"/>
    <cellStyle name="20% - Accent1 5 2 2 3 4" xfId="20984"/>
    <cellStyle name="20% - Accent1 5 2 2 4" xfId="12743"/>
    <cellStyle name="20% - Accent1 5 2 2 4 2" xfId="26135"/>
    <cellStyle name="20% - Accent1 5 2 2 5" xfId="16694"/>
    <cellStyle name="20% - Accent1 5 2 2 5 2" xfId="29973"/>
    <cellStyle name="20% - Accent1 5 2 2 6" xfId="20982"/>
    <cellStyle name="20% - Accent1 5 2 3" xfId="1343"/>
    <cellStyle name="20% - Accent1 5 2 3 2" xfId="1344"/>
    <cellStyle name="20% - Accent1 5 2 3 2 2" xfId="12747"/>
    <cellStyle name="20% - Accent1 5 2 3 2 2 2" xfId="26139"/>
    <cellStyle name="20% - Accent1 5 2 3 2 3" xfId="16698"/>
    <cellStyle name="20% - Accent1 5 2 3 2 3 2" xfId="29977"/>
    <cellStyle name="20% - Accent1 5 2 3 2 4" xfId="20986"/>
    <cellStyle name="20% - Accent1 5 2 3 3" xfId="1345"/>
    <cellStyle name="20% - Accent1 5 2 3 3 2" xfId="12748"/>
    <cellStyle name="20% - Accent1 5 2 3 3 2 2" xfId="26140"/>
    <cellStyle name="20% - Accent1 5 2 3 3 3" xfId="16699"/>
    <cellStyle name="20% - Accent1 5 2 3 3 3 2" xfId="29978"/>
    <cellStyle name="20% - Accent1 5 2 3 3 4" xfId="20987"/>
    <cellStyle name="20% - Accent1 5 2 3 4" xfId="12746"/>
    <cellStyle name="20% - Accent1 5 2 3 4 2" xfId="26138"/>
    <cellStyle name="20% - Accent1 5 2 3 5" xfId="16697"/>
    <cellStyle name="20% - Accent1 5 2 3 5 2" xfId="29976"/>
    <cellStyle name="20% - Accent1 5 2 3 6" xfId="20985"/>
    <cellStyle name="20% - Accent1 5 2 4" xfId="1346"/>
    <cellStyle name="20% - Accent1 5 2 4 2" xfId="1347"/>
    <cellStyle name="20% - Accent1 5 2 4 2 2" xfId="12750"/>
    <cellStyle name="20% - Accent1 5 2 4 2 2 2" xfId="26142"/>
    <cellStyle name="20% - Accent1 5 2 4 2 3" xfId="16701"/>
    <cellStyle name="20% - Accent1 5 2 4 2 3 2" xfId="29980"/>
    <cellStyle name="20% - Accent1 5 2 4 2 4" xfId="20989"/>
    <cellStyle name="20% - Accent1 5 2 4 3" xfId="1348"/>
    <cellStyle name="20% - Accent1 5 2 4 3 2" xfId="12751"/>
    <cellStyle name="20% - Accent1 5 2 4 3 2 2" xfId="26143"/>
    <cellStyle name="20% - Accent1 5 2 4 3 3" xfId="16702"/>
    <cellStyle name="20% - Accent1 5 2 4 3 3 2" xfId="29981"/>
    <cellStyle name="20% - Accent1 5 2 4 3 4" xfId="20990"/>
    <cellStyle name="20% - Accent1 5 2 4 4" xfId="12749"/>
    <cellStyle name="20% - Accent1 5 2 4 4 2" xfId="26141"/>
    <cellStyle name="20% - Accent1 5 2 4 5" xfId="16700"/>
    <cellStyle name="20% - Accent1 5 2 4 5 2" xfId="29979"/>
    <cellStyle name="20% - Accent1 5 2 4 6" xfId="20988"/>
    <cellStyle name="20% - Accent1 5 2 5" xfId="1349"/>
    <cellStyle name="20% - Accent1 5 2 5 2" xfId="12752"/>
    <cellStyle name="20% - Accent1 5 2 5 2 2" xfId="26144"/>
    <cellStyle name="20% - Accent1 5 2 5 3" xfId="16703"/>
    <cellStyle name="20% - Accent1 5 2 5 3 2" xfId="29982"/>
    <cellStyle name="20% - Accent1 5 2 5 4" xfId="20991"/>
    <cellStyle name="20% - Accent1 5 2 6" xfId="1350"/>
    <cellStyle name="20% - Accent1 5 2 6 2" xfId="12753"/>
    <cellStyle name="20% - Accent1 5 2 6 2 2" xfId="26145"/>
    <cellStyle name="20% - Accent1 5 2 6 3" xfId="16704"/>
    <cellStyle name="20% - Accent1 5 2 6 3 2" xfId="29983"/>
    <cellStyle name="20% - Accent1 5 2 6 4" xfId="20992"/>
    <cellStyle name="20% - Accent1 5 2 7" xfId="12742"/>
    <cellStyle name="20% - Accent1 5 2 7 2" xfId="26134"/>
    <cellStyle name="20% - Accent1 5 2 8" xfId="16693"/>
    <cellStyle name="20% - Accent1 5 2 8 2" xfId="29972"/>
    <cellStyle name="20% - Accent1 5 2 9" xfId="20981"/>
    <cellStyle name="20% - Accent1 5 2_Volatility" xfId="1351"/>
    <cellStyle name="20% - Accent1 5 3" xfId="1352"/>
    <cellStyle name="20% - Accent1 5 3 2" xfId="1353"/>
    <cellStyle name="20% - Accent1 5 3 2 2" xfId="1354"/>
    <cellStyle name="20% - Accent1 5 3 2 2 2" xfId="12756"/>
    <cellStyle name="20% - Accent1 5 3 2 2 2 2" xfId="26148"/>
    <cellStyle name="20% - Accent1 5 3 2 2 3" xfId="16707"/>
    <cellStyle name="20% - Accent1 5 3 2 2 3 2" xfId="29986"/>
    <cellStyle name="20% - Accent1 5 3 2 2 4" xfId="20995"/>
    <cellStyle name="20% - Accent1 5 3 2 3" xfId="1355"/>
    <cellStyle name="20% - Accent1 5 3 2 3 2" xfId="12757"/>
    <cellStyle name="20% - Accent1 5 3 2 3 2 2" xfId="26149"/>
    <cellStyle name="20% - Accent1 5 3 2 3 3" xfId="16708"/>
    <cellStyle name="20% - Accent1 5 3 2 3 3 2" xfId="29987"/>
    <cellStyle name="20% - Accent1 5 3 2 3 4" xfId="20996"/>
    <cellStyle name="20% - Accent1 5 3 2 4" xfId="12755"/>
    <cellStyle name="20% - Accent1 5 3 2 4 2" xfId="26147"/>
    <cellStyle name="20% - Accent1 5 3 2 5" xfId="16706"/>
    <cellStyle name="20% - Accent1 5 3 2 5 2" xfId="29985"/>
    <cellStyle name="20% - Accent1 5 3 2 6" xfId="20994"/>
    <cellStyle name="20% - Accent1 5 3 3" xfId="1356"/>
    <cellStyle name="20% - Accent1 5 3 3 2" xfId="1357"/>
    <cellStyle name="20% - Accent1 5 3 3 2 2" xfId="12759"/>
    <cellStyle name="20% - Accent1 5 3 3 2 2 2" xfId="26151"/>
    <cellStyle name="20% - Accent1 5 3 3 2 3" xfId="16710"/>
    <cellStyle name="20% - Accent1 5 3 3 2 3 2" xfId="29989"/>
    <cellStyle name="20% - Accent1 5 3 3 2 4" xfId="20998"/>
    <cellStyle name="20% - Accent1 5 3 3 3" xfId="1358"/>
    <cellStyle name="20% - Accent1 5 3 3 3 2" xfId="12760"/>
    <cellStyle name="20% - Accent1 5 3 3 3 2 2" xfId="26152"/>
    <cellStyle name="20% - Accent1 5 3 3 3 3" xfId="16711"/>
    <cellStyle name="20% - Accent1 5 3 3 3 3 2" xfId="29990"/>
    <cellStyle name="20% - Accent1 5 3 3 3 4" xfId="20999"/>
    <cellStyle name="20% - Accent1 5 3 3 4" xfId="12758"/>
    <cellStyle name="20% - Accent1 5 3 3 4 2" xfId="26150"/>
    <cellStyle name="20% - Accent1 5 3 3 5" xfId="16709"/>
    <cellStyle name="20% - Accent1 5 3 3 5 2" xfId="29988"/>
    <cellStyle name="20% - Accent1 5 3 3 6" xfId="20997"/>
    <cellStyle name="20% - Accent1 5 3 4" xfId="1359"/>
    <cellStyle name="20% - Accent1 5 3 4 2" xfId="12761"/>
    <cellStyle name="20% - Accent1 5 3 4 2 2" xfId="26153"/>
    <cellStyle name="20% - Accent1 5 3 4 3" xfId="16712"/>
    <cellStyle name="20% - Accent1 5 3 4 3 2" xfId="29991"/>
    <cellStyle name="20% - Accent1 5 3 4 4" xfId="21000"/>
    <cellStyle name="20% - Accent1 5 3 5" xfId="1360"/>
    <cellStyle name="20% - Accent1 5 3 5 2" xfId="12762"/>
    <cellStyle name="20% - Accent1 5 3 5 2 2" xfId="26154"/>
    <cellStyle name="20% - Accent1 5 3 5 3" xfId="16713"/>
    <cellStyle name="20% - Accent1 5 3 5 3 2" xfId="29992"/>
    <cellStyle name="20% - Accent1 5 3 5 4" xfId="21001"/>
    <cellStyle name="20% - Accent1 5 3 6" xfId="12754"/>
    <cellStyle name="20% - Accent1 5 3 6 2" xfId="26146"/>
    <cellStyle name="20% - Accent1 5 3 7" xfId="16705"/>
    <cellStyle name="20% - Accent1 5 3 7 2" xfId="29984"/>
    <cellStyle name="20% - Accent1 5 3 8" xfId="20993"/>
    <cellStyle name="20% - Accent1 5 3_Volatility" xfId="1361"/>
    <cellStyle name="20% - Accent1 5 4" xfId="1362"/>
    <cellStyle name="20% - Accent1 5 4 2" xfId="1363"/>
    <cellStyle name="20% - Accent1 5 4 2 2" xfId="12764"/>
    <cellStyle name="20% - Accent1 5 4 2 2 2" xfId="26156"/>
    <cellStyle name="20% - Accent1 5 4 2 3" xfId="16715"/>
    <cellStyle name="20% - Accent1 5 4 2 3 2" xfId="29994"/>
    <cellStyle name="20% - Accent1 5 4 2 4" xfId="21003"/>
    <cellStyle name="20% - Accent1 5 4 3" xfId="1364"/>
    <cellStyle name="20% - Accent1 5 4 3 2" xfId="12765"/>
    <cellStyle name="20% - Accent1 5 4 3 2 2" xfId="26157"/>
    <cellStyle name="20% - Accent1 5 4 3 3" xfId="16716"/>
    <cellStyle name="20% - Accent1 5 4 3 3 2" xfId="29995"/>
    <cellStyle name="20% - Accent1 5 4 3 4" xfId="21004"/>
    <cellStyle name="20% - Accent1 5 4 4" xfId="12763"/>
    <cellStyle name="20% - Accent1 5 4 4 2" xfId="26155"/>
    <cellStyle name="20% - Accent1 5 4 5" xfId="16714"/>
    <cellStyle name="20% - Accent1 5 4 5 2" xfId="29993"/>
    <cellStyle name="20% - Accent1 5 4 6" xfId="21002"/>
    <cellStyle name="20% - Accent1 5 5" xfId="1365"/>
    <cellStyle name="20% - Accent1 5 5 2" xfId="1366"/>
    <cellStyle name="20% - Accent1 5 5 2 2" xfId="12767"/>
    <cellStyle name="20% - Accent1 5 5 2 2 2" xfId="26159"/>
    <cellStyle name="20% - Accent1 5 5 2 3" xfId="16718"/>
    <cellStyle name="20% - Accent1 5 5 2 3 2" xfId="29997"/>
    <cellStyle name="20% - Accent1 5 5 2 4" xfId="21006"/>
    <cellStyle name="20% - Accent1 5 5 3" xfId="1367"/>
    <cellStyle name="20% - Accent1 5 5 3 2" xfId="12768"/>
    <cellStyle name="20% - Accent1 5 5 3 2 2" xfId="26160"/>
    <cellStyle name="20% - Accent1 5 5 3 3" xfId="16719"/>
    <cellStyle name="20% - Accent1 5 5 3 3 2" xfId="29998"/>
    <cellStyle name="20% - Accent1 5 5 3 4" xfId="21007"/>
    <cellStyle name="20% - Accent1 5 5 4" xfId="12766"/>
    <cellStyle name="20% - Accent1 5 5 4 2" xfId="26158"/>
    <cellStyle name="20% - Accent1 5 5 5" xfId="16717"/>
    <cellStyle name="20% - Accent1 5 5 5 2" xfId="29996"/>
    <cellStyle name="20% - Accent1 5 5 6" xfId="21005"/>
    <cellStyle name="20% - Accent1 5 6" xfId="1368"/>
    <cellStyle name="20% - Accent1 5 6 2" xfId="1369"/>
    <cellStyle name="20% - Accent1 5 6 2 2" xfId="12770"/>
    <cellStyle name="20% - Accent1 5 6 2 2 2" xfId="26162"/>
    <cellStyle name="20% - Accent1 5 6 2 3" xfId="16721"/>
    <cellStyle name="20% - Accent1 5 6 2 3 2" xfId="30000"/>
    <cellStyle name="20% - Accent1 5 6 2 4" xfId="21009"/>
    <cellStyle name="20% - Accent1 5 6 3" xfId="1370"/>
    <cellStyle name="20% - Accent1 5 6 3 2" xfId="12771"/>
    <cellStyle name="20% - Accent1 5 6 3 2 2" xfId="26163"/>
    <cellStyle name="20% - Accent1 5 6 3 3" xfId="16722"/>
    <cellStyle name="20% - Accent1 5 6 3 3 2" xfId="30001"/>
    <cellStyle name="20% - Accent1 5 6 3 4" xfId="21010"/>
    <cellStyle name="20% - Accent1 5 6 4" xfId="12769"/>
    <cellStyle name="20% - Accent1 5 6 4 2" xfId="26161"/>
    <cellStyle name="20% - Accent1 5 6 5" xfId="16720"/>
    <cellStyle name="20% - Accent1 5 6 5 2" xfId="29999"/>
    <cellStyle name="20% - Accent1 5 6 6" xfId="21008"/>
    <cellStyle name="20% - Accent1 5 7" xfId="1371"/>
    <cellStyle name="20% - Accent1 5 7 2" xfId="12772"/>
    <cellStyle name="20% - Accent1 5 7 2 2" xfId="26164"/>
    <cellStyle name="20% - Accent1 5 7 3" xfId="16723"/>
    <cellStyle name="20% - Accent1 5 7 3 2" xfId="30002"/>
    <cellStyle name="20% - Accent1 5 7 4" xfId="21011"/>
    <cellStyle name="20% - Accent1 5 8" xfId="1372"/>
    <cellStyle name="20% - Accent1 5 8 2" xfId="12773"/>
    <cellStyle name="20% - Accent1 5 8 2 2" xfId="26165"/>
    <cellStyle name="20% - Accent1 5 8 3" xfId="16724"/>
    <cellStyle name="20% - Accent1 5 8 3 2" xfId="30003"/>
    <cellStyle name="20% - Accent1 5 8 4" xfId="21012"/>
    <cellStyle name="20% - Accent1 5 9" xfId="12741"/>
    <cellStyle name="20% - Accent1 5 9 2" xfId="26133"/>
    <cellStyle name="20% - Accent1 5_Volatility" xfId="1373"/>
    <cellStyle name="20% - Accent1 6" xfId="1374"/>
    <cellStyle name="20% - Accent1 6 10" xfId="16725"/>
    <cellStyle name="20% - Accent1 6 10 2" xfId="30004"/>
    <cellStyle name="20% - Accent1 6 11" xfId="21013"/>
    <cellStyle name="20% - Accent1 6 2" xfId="1375"/>
    <cellStyle name="20% - Accent1 6 2 2" xfId="1376"/>
    <cellStyle name="20% - Accent1 6 2 2 2" xfId="1377"/>
    <cellStyle name="20% - Accent1 6 2 2 2 2" xfId="12777"/>
    <cellStyle name="20% - Accent1 6 2 2 2 2 2" xfId="26169"/>
    <cellStyle name="20% - Accent1 6 2 2 2 3" xfId="16728"/>
    <cellStyle name="20% - Accent1 6 2 2 2 3 2" xfId="30007"/>
    <cellStyle name="20% - Accent1 6 2 2 2 4" xfId="21016"/>
    <cellStyle name="20% - Accent1 6 2 2 3" xfId="1378"/>
    <cellStyle name="20% - Accent1 6 2 2 3 2" xfId="12778"/>
    <cellStyle name="20% - Accent1 6 2 2 3 2 2" xfId="26170"/>
    <cellStyle name="20% - Accent1 6 2 2 3 3" xfId="16729"/>
    <cellStyle name="20% - Accent1 6 2 2 3 3 2" xfId="30008"/>
    <cellStyle name="20% - Accent1 6 2 2 3 4" xfId="21017"/>
    <cellStyle name="20% - Accent1 6 2 2 4" xfId="12776"/>
    <cellStyle name="20% - Accent1 6 2 2 4 2" xfId="26168"/>
    <cellStyle name="20% - Accent1 6 2 2 5" xfId="16727"/>
    <cellStyle name="20% - Accent1 6 2 2 5 2" xfId="30006"/>
    <cellStyle name="20% - Accent1 6 2 2 6" xfId="21015"/>
    <cellStyle name="20% - Accent1 6 2 3" xfId="1379"/>
    <cellStyle name="20% - Accent1 6 2 3 2" xfId="1380"/>
    <cellStyle name="20% - Accent1 6 2 3 2 2" xfId="12780"/>
    <cellStyle name="20% - Accent1 6 2 3 2 2 2" xfId="26172"/>
    <cellStyle name="20% - Accent1 6 2 3 2 3" xfId="16731"/>
    <cellStyle name="20% - Accent1 6 2 3 2 3 2" xfId="30010"/>
    <cellStyle name="20% - Accent1 6 2 3 2 4" xfId="21019"/>
    <cellStyle name="20% - Accent1 6 2 3 3" xfId="1381"/>
    <cellStyle name="20% - Accent1 6 2 3 3 2" xfId="12781"/>
    <cellStyle name="20% - Accent1 6 2 3 3 2 2" xfId="26173"/>
    <cellStyle name="20% - Accent1 6 2 3 3 3" xfId="16732"/>
    <cellStyle name="20% - Accent1 6 2 3 3 3 2" xfId="30011"/>
    <cellStyle name="20% - Accent1 6 2 3 3 4" xfId="21020"/>
    <cellStyle name="20% - Accent1 6 2 3 4" xfId="12779"/>
    <cellStyle name="20% - Accent1 6 2 3 4 2" xfId="26171"/>
    <cellStyle name="20% - Accent1 6 2 3 5" xfId="16730"/>
    <cellStyle name="20% - Accent1 6 2 3 5 2" xfId="30009"/>
    <cellStyle name="20% - Accent1 6 2 3 6" xfId="21018"/>
    <cellStyle name="20% - Accent1 6 2 4" xfId="1382"/>
    <cellStyle name="20% - Accent1 6 2 4 2" xfId="1383"/>
    <cellStyle name="20% - Accent1 6 2 4 2 2" xfId="12783"/>
    <cellStyle name="20% - Accent1 6 2 4 2 2 2" xfId="26175"/>
    <cellStyle name="20% - Accent1 6 2 4 2 3" xfId="16734"/>
    <cellStyle name="20% - Accent1 6 2 4 2 3 2" xfId="30013"/>
    <cellStyle name="20% - Accent1 6 2 4 2 4" xfId="21022"/>
    <cellStyle name="20% - Accent1 6 2 4 3" xfId="1384"/>
    <cellStyle name="20% - Accent1 6 2 4 3 2" xfId="12784"/>
    <cellStyle name="20% - Accent1 6 2 4 3 2 2" xfId="26176"/>
    <cellStyle name="20% - Accent1 6 2 4 3 3" xfId="16735"/>
    <cellStyle name="20% - Accent1 6 2 4 3 3 2" xfId="30014"/>
    <cellStyle name="20% - Accent1 6 2 4 3 4" xfId="21023"/>
    <cellStyle name="20% - Accent1 6 2 4 4" xfId="12782"/>
    <cellStyle name="20% - Accent1 6 2 4 4 2" xfId="26174"/>
    <cellStyle name="20% - Accent1 6 2 4 5" xfId="16733"/>
    <cellStyle name="20% - Accent1 6 2 4 5 2" xfId="30012"/>
    <cellStyle name="20% - Accent1 6 2 4 6" xfId="21021"/>
    <cellStyle name="20% - Accent1 6 2 5" xfId="1385"/>
    <cellStyle name="20% - Accent1 6 2 5 2" xfId="12785"/>
    <cellStyle name="20% - Accent1 6 2 5 2 2" xfId="26177"/>
    <cellStyle name="20% - Accent1 6 2 5 3" xfId="16736"/>
    <cellStyle name="20% - Accent1 6 2 5 3 2" xfId="30015"/>
    <cellStyle name="20% - Accent1 6 2 5 4" xfId="21024"/>
    <cellStyle name="20% - Accent1 6 2 6" xfId="1386"/>
    <cellStyle name="20% - Accent1 6 2 6 2" xfId="12786"/>
    <cellStyle name="20% - Accent1 6 2 6 2 2" xfId="26178"/>
    <cellStyle name="20% - Accent1 6 2 6 3" xfId="16737"/>
    <cellStyle name="20% - Accent1 6 2 6 3 2" xfId="30016"/>
    <cellStyle name="20% - Accent1 6 2 6 4" xfId="21025"/>
    <cellStyle name="20% - Accent1 6 2 7" xfId="12775"/>
    <cellStyle name="20% - Accent1 6 2 7 2" xfId="26167"/>
    <cellStyle name="20% - Accent1 6 2 8" xfId="16726"/>
    <cellStyle name="20% - Accent1 6 2 8 2" xfId="30005"/>
    <cellStyle name="20% - Accent1 6 2 9" xfId="21014"/>
    <cellStyle name="20% - Accent1 6 2_Volatility" xfId="1387"/>
    <cellStyle name="20% - Accent1 6 3" xfId="1388"/>
    <cellStyle name="20% - Accent1 6 3 2" xfId="1389"/>
    <cellStyle name="20% - Accent1 6 3 2 2" xfId="1390"/>
    <cellStyle name="20% - Accent1 6 3 2 2 2" xfId="12789"/>
    <cellStyle name="20% - Accent1 6 3 2 2 2 2" xfId="26181"/>
    <cellStyle name="20% - Accent1 6 3 2 2 3" xfId="16740"/>
    <cellStyle name="20% - Accent1 6 3 2 2 3 2" xfId="30019"/>
    <cellStyle name="20% - Accent1 6 3 2 2 4" xfId="21028"/>
    <cellStyle name="20% - Accent1 6 3 2 3" xfId="1391"/>
    <cellStyle name="20% - Accent1 6 3 2 3 2" xfId="12790"/>
    <cellStyle name="20% - Accent1 6 3 2 3 2 2" xfId="26182"/>
    <cellStyle name="20% - Accent1 6 3 2 3 3" xfId="16741"/>
    <cellStyle name="20% - Accent1 6 3 2 3 3 2" xfId="30020"/>
    <cellStyle name="20% - Accent1 6 3 2 3 4" xfId="21029"/>
    <cellStyle name="20% - Accent1 6 3 2 4" xfId="12788"/>
    <cellStyle name="20% - Accent1 6 3 2 4 2" xfId="26180"/>
    <cellStyle name="20% - Accent1 6 3 2 5" xfId="16739"/>
    <cellStyle name="20% - Accent1 6 3 2 5 2" xfId="30018"/>
    <cellStyle name="20% - Accent1 6 3 2 6" xfId="21027"/>
    <cellStyle name="20% - Accent1 6 3 3" xfId="1392"/>
    <cellStyle name="20% - Accent1 6 3 3 2" xfId="1393"/>
    <cellStyle name="20% - Accent1 6 3 3 2 2" xfId="12792"/>
    <cellStyle name="20% - Accent1 6 3 3 2 2 2" xfId="26184"/>
    <cellStyle name="20% - Accent1 6 3 3 2 3" xfId="16743"/>
    <cellStyle name="20% - Accent1 6 3 3 2 3 2" xfId="30022"/>
    <cellStyle name="20% - Accent1 6 3 3 2 4" xfId="21031"/>
    <cellStyle name="20% - Accent1 6 3 3 3" xfId="1394"/>
    <cellStyle name="20% - Accent1 6 3 3 3 2" xfId="12793"/>
    <cellStyle name="20% - Accent1 6 3 3 3 2 2" xfId="26185"/>
    <cellStyle name="20% - Accent1 6 3 3 3 3" xfId="16744"/>
    <cellStyle name="20% - Accent1 6 3 3 3 3 2" xfId="30023"/>
    <cellStyle name="20% - Accent1 6 3 3 3 4" xfId="21032"/>
    <cellStyle name="20% - Accent1 6 3 3 4" xfId="12791"/>
    <cellStyle name="20% - Accent1 6 3 3 4 2" xfId="26183"/>
    <cellStyle name="20% - Accent1 6 3 3 5" xfId="16742"/>
    <cellStyle name="20% - Accent1 6 3 3 5 2" xfId="30021"/>
    <cellStyle name="20% - Accent1 6 3 3 6" xfId="21030"/>
    <cellStyle name="20% - Accent1 6 3 4" xfId="1395"/>
    <cellStyle name="20% - Accent1 6 3 4 2" xfId="12794"/>
    <cellStyle name="20% - Accent1 6 3 4 2 2" xfId="26186"/>
    <cellStyle name="20% - Accent1 6 3 4 3" xfId="16745"/>
    <cellStyle name="20% - Accent1 6 3 4 3 2" xfId="30024"/>
    <cellStyle name="20% - Accent1 6 3 4 4" xfId="21033"/>
    <cellStyle name="20% - Accent1 6 3 5" xfId="1396"/>
    <cellStyle name="20% - Accent1 6 3 5 2" xfId="12795"/>
    <cellStyle name="20% - Accent1 6 3 5 2 2" xfId="26187"/>
    <cellStyle name="20% - Accent1 6 3 5 3" xfId="16746"/>
    <cellStyle name="20% - Accent1 6 3 5 3 2" xfId="30025"/>
    <cellStyle name="20% - Accent1 6 3 5 4" xfId="21034"/>
    <cellStyle name="20% - Accent1 6 3 6" xfId="12787"/>
    <cellStyle name="20% - Accent1 6 3 6 2" xfId="26179"/>
    <cellStyle name="20% - Accent1 6 3 7" xfId="16738"/>
    <cellStyle name="20% - Accent1 6 3 7 2" xfId="30017"/>
    <cellStyle name="20% - Accent1 6 3 8" xfId="21026"/>
    <cellStyle name="20% - Accent1 6 3_Volatility" xfId="1397"/>
    <cellStyle name="20% - Accent1 6 4" xfId="1398"/>
    <cellStyle name="20% - Accent1 6 4 2" xfId="1399"/>
    <cellStyle name="20% - Accent1 6 4 2 2" xfId="12797"/>
    <cellStyle name="20% - Accent1 6 4 2 2 2" xfId="26189"/>
    <cellStyle name="20% - Accent1 6 4 2 3" xfId="16748"/>
    <cellStyle name="20% - Accent1 6 4 2 3 2" xfId="30027"/>
    <cellStyle name="20% - Accent1 6 4 2 4" xfId="21036"/>
    <cellStyle name="20% - Accent1 6 4 3" xfId="1400"/>
    <cellStyle name="20% - Accent1 6 4 3 2" xfId="12798"/>
    <cellStyle name="20% - Accent1 6 4 3 2 2" xfId="26190"/>
    <cellStyle name="20% - Accent1 6 4 3 3" xfId="16749"/>
    <cellStyle name="20% - Accent1 6 4 3 3 2" xfId="30028"/>
    <cellStyle name="20% - Accent1 6 4 3 4" xfId="21037"/>
    <cellStyle name="20% - Accent1 6 4 4" xfId="12796"/>
    <cellStyle name="20% - Accent1 6 4 4 2" xfId="26188"/>
    <cellStyle name="20% - Accent1 6 4 5" xfId="16747"/>
    <cellStyle name="20% - Accent1 6 4 5 2" xfId="30026"/>
    <cellStyle name="20% - Accent1 6 4 6" xfId="21035"/>
    <cellStyle name="20% - Accent1 6 5" xfId="1401"/>
    <cellStyle name="20% - Accent1 6 5 2" xfId="1402"/>
    <cellStyle name="20% - Accent1 6 5 2 2" xfId="12800"/>
    <cellStyle name="20% - Accent1 6 5 2 2 2" xfId="26192"/>
    <cellStyle name="20% - Accent1 6 5 2 3" xfId="16751"/>
    <cellStyle name="20% - Accent1 6 5 2 3 2" xfId="30030"/>
    <cellStyle name="20% - Accent1 6 5 2 4" xfId="21039"/>
    <cellStyle name="20% - Accent1 6 5 3" xfId="1403"/>
    <cellStyle name="20% - Accent1 6 5 3 2" xfId="12801"/>
    <cellStyle name="20% - Accent1 6 5 3 2 2" xfId="26193"/>
    <cellStyle name="20% - Accent1 6 5 3 3" xfId="16752"/>
    <cellStyle name="20% - Accent1 6 5 3 3 2" xfId="30031"/>
    <cellStyle name="20% - Accent1 6 5 3 4" xfId="21040"/>
    <cellStyle name="20% - Accent1 6 5 4" xfId="12799"/>
    <cellStyle name="20% - Accent1 6 5 4 2" xfId="26191"/>
    <cellStyle name="20% - Accent1 6 5 5" xfId="16750"/>
    <cellStyle name="20% - Accent1 6 5 5 2" xfId="30029"/>
    <cellStyle name="20% - Accent1 6 5 6" xfId="21038"/>
    <cellStyle name="20% - Accent1 6 6" xfId="1404"/>
    <cellStyle name="20% - Accent1 6 6 2" xfId="1405"/>
    <cellStyle name="20% - Accent1 6 6 2 2" xfId="12803"/>
    <cellStyle name="20% - Accent1 6 6 2 2 2" xfId="26195"/>
    <cellStyle name="20% - Accent1 6 6 2 3" xfId="16754"/>
    <cellStyle name="20% - Accent1 6 6 2 3 2" xfId="30033"/>
    <cellStyle name="20% - Accent1 6 6 2 4" xfId="21042"/>
    <cellStyle name="20% - Accent1 6 6 3" xfId="1406"/>
    <cellStyle name="20% - Accent1 6 6 3 2" xfId="12804"/>
    <cellStyle name="20% - Accent1 6 6 3 2 2" xfId="26196"/>
    <cellStyle name="20% - Accent1 6 6 3 3" xfId="16755"/>
    <cellStyle name="20% - Accent1 6 6 3 3 2" xfId="30034"/>
    <cellStyle name="20% - Accent1 6 6 3 4" xfId="21043"/>
    <cellStyle name="20% - Accent1 6 6 4" xfId="12802"/>
    <cellStyle name="20% - Accent1 6 6 4 2" xfId="26194"/>
    <cellStyle name="20% - Accent1 6 6 5" xfId="16753"/>
    <cellStyle name="20% - Accent1 6 6 5 2" xfId="30032"/>
    <cellStyle name="20% - Accent1 6 6 6" xfId="21041"/>
    <cellStyle name="20% - Accent1 6 7" xfId="1407"/>
    <cellStyle name="20% - Accent1 6 7 2" xfId="12805"/>
    <cellStyle name="20% - Accent1 6 7 2 2" xfId="26197"/>
    <cellStyle name="20% - Accent1 6 7 3" xfId="16756"/>
    <cellStyle name="20% - Accent1 6 7 3 2" xfId="30035"/>
    <cellStyle name="20% - Accent1 6 7 4" xfId="21044"/>
    <cellStyle name="20% - Accent1 6 8" xfId="1408"/>
    <cellStyle name="20% - Accent1 6 8 2" xfId="12806"/>
    <cellStyle name="20% - Accent1 6 8 2 2" xfId="26198"/>
    <cellStyle name="20% - Accent1 6 8 3" xfId="16757"/>
    <cellStyle name="20% - Accent1 6 8 3 2" xfId="30036"/>
    <cellStyle name="20% - Accent1 6 8 4" xfId="21045"/>
    <cellStyle name="20% - Accent1 6 9" xfId="12774"/>
    <cellStyle name="20% - Accent1 6 9 2" xfId="26166"/>
    <cellStyle name="20% - Accent1 6_Volatility" xfId="1409"/>
    <cellStyle name="20% - Accent1 7" xfId="1410"/>
    <cellStyle name="20% - Accent1 7 10" xfId="16758"/>
    <cellStyle name="20% - Accent1 7 10 2" xfId="30037"/>
    <cellStyle name="20% - Accent1 7 11" xfId="21046"/>
    <cellStyle name="20% - Accent1 7 2" xfId="1411"/>
    <cellStyle name="20% - Accent1 7 2 2" xfId="1412"/>
    <cellStyle name="20% - Accent1 7 2 2 2" xfId="1413"/>
    <cellStyle name="20% - Accent1 7 2 2 2 2" xfId="12810"/>
    <cellStyle name="20% - Accent1 7 2 2 2 2 2" xfId="26202"/>
    <cellStyle name="20% - Accent1 7 2 2 2 3" xfId="16761"/>
    <cellStyle name="20% - Accent1 7 2 2 2 3 2" xfId="30040"/>
    <cellStyle name="20% - Accent1 7 2 2 2 4" xfId="21049"/>
    <cellStyle name="20% - Accent1 7 2 2 3" xfId="1414"/>
    <cellStyle name="20% - Accent1 7 2 2 3 2" xfId="12811"/>
    <cellStyle name="20% - Accent1 7 2 2 3 2 2" xfId="26203"/>
    <cellStyle name="20% - Accent1 7 2 2 3 3" xfId="16762"/>
    <cellStyle name="20% - Accent1 7 2 2 3 3 2" xfId="30041"/>
    <cellStyle name="20% - Accent1 7 2 2 3 4" xfId="21050"/>
    <cellStyle name="20% - Accent1 7 2 2 4" xfId="12809"/>
    <cellStyle name="20% - Accent1 7 2 2 4 2" xfId="26201"/>
    <cellStyle name="20% - Accent1 7 2 2 5" xfId="16760"/>
    <cellStyle name="20% - Accent1 7 2 2 5 2" xfId="30039"/>
    <cellStyle name="20% - Accent1 7 2 2 6" xfId="21048"/>
    <cellStyle name="20% - Accent1 7 2 3" xfId="1415"/>
    <cellStyle name="20% - Accent1 7 2 3 2" xfId="1416"/>
    <cellStyle name="20% - Accent1 7 2 3 2 2" xfId="12813"/>
    <cellStyle name="20% - Accent1 7 2 3 2 2 2" xfId="26205"/>
    <cellStyle name="20% - Accent1 7 2 3 2 3" xfId="16764"/>
    <cellStyle name="20% - Accent1 7 2 3 2 3 2" xfId="30043"/>
    <cellStyle name="20% - Accent1 7 2 3 2 4" xfId="21052"/>
    <cellStyle name="20% - Accent1 7 2 3 3" xfId="1417"/>
    <cellStyle name="20% - Accent1 7 2 3 3 2" xfId="12814"/>
    <cellStyle name="20% - Accent1 7 2 3 3 2 2" xfId="26206"/>
    <cellStyle name="20% - Accent1 7 2 3 3 3" xfId="16765"/>
    <cellStyle name="20% - Accent1 7 2 3 3 3 2" xfId="30044"/>
    <cellStyle name="20% - Accent1 7 2 3 3 4" xfId="21053"/>
    <cellStyle name="20% - Accent1 7 2 3 4" xfId="12812"/>
    <cellStyle name="20% - Accent1 7 2 3 4 2" xfId="26204"/>
    <cellStyle name="20% - Accent1 7 2 3 5" xfId="16763"/>
    <cellStyle name="20% - Accent1 7 2 3 5 2" xfId="30042"/>
    <cellStyle name="20% - Accent1 7 2 3 6" xfId="21051"/>
    <cellStyle name="20% - Accent1 7 2 4" xfId="1418"/>
    <cellStyle name="20% - Accent1 7 2 4 2" xfId="1419"/>
    <cellStyle name="20% - Accent1 7 2 4 2 2" xfId="12816"/>
    <cellStyle name="20% - Accent1 7 2 4 2 2 2" xfId="26208"/>
    <cellStyle name="20% - Accent1 7 2 4 2 3" xfId="16767"/>
    <cellStyle name="20% - Accent1 7 2 4 2 3 2" xfId="30046"/>
    <cellStyle name="20% - Accent1 7 2 4 2 4" xfId="21055"/>
    <cellStyle name="20% - Accent1 7 2 4 3" xfId="1420"/>
    <cellStyle name="20% - Accent1 7 2 4 3 2" xfId="12817"/>
    <cellStyle name="20% - Accent1 7 2 4 3 2 2" xfId="26209"/>
    <cellStyle name="20% - Accent1 7 2 4 3 3" xfId="16768"/>
    <cellStyle name="20% - Accent1 7 2 4 3 3 2" xfId="30047"/>
    <cellStyle name="20% - Accent1 7 2 4 3 4" xfId="21056"/>
    <cellStyle name="20% - Accent1 7 2 4 4" xfId="12815"/>
    <cellStyle name="20% - Accent1 7 2 4 4 2" xfId="26207"/>
    <cellStyle name="20% - Accent1 7 2 4 5" xfId="16766"/>
    <cellStyle name="20% - Accent1 7 2 4 5 2" xfId="30045"/>
    <cellStyle name="20% - Accent1 7 2 4 6" xfId="21054"/>
    <cellStyle name="20% - Accent1 7 2 5" xfId="1421"/>
    <cellStyle name="20% - Accent1 7 2 5 2" xfId="12818"/>
    <cellStyle name="20% - Accent1 7 2 5 2 2" xfId="26210"/>
    <cellStyle name="20% - Accent1 7 2 5 3" xfId="16769"/>
    <cellStyle name="20% - Accent1 7 2 5 3 2" xfId="30048"/>
    <cellStyle name="20% - Accent1 7 2 5 4" xfId="21057"/>
    <cellStyle name="20% - Accent1 7 2 6" xfId="1422"/>
    <cellStyle name="20% - Accent1 7 2 6 2" xfId="12819"/>
    <cellStyle name="20% - Accent1 7 2 6 2 2" xfId="26211"/>
    <cellStyle name="20% - Accent1 7 2 6 3" xfId="16770"/>
    <cellStyle name="20% - Accent1 7 2 6 3 2" xfId="30049"/>
    <cellStyle name="20% - Accent1 7 2 6 4" xfId="21058"/>
    <cellStyle name="20% - Accent1 7 2 7" xfId="12808"/>
    <cellStyle name="20% - Accent1 7 2 7 2" xfId="26200"/>
    <cellStyle name="20% - Accent1 7 2 8" xfId="16759"/>
    <cellStyle name="20% - Accent1 7 2 8 2" xfId="30038"/>
    <cellStyle name="20% - Accent1 7 2 9" xfId="21047"/>
    <cellStyle name="20% - Accent1 7 2_Volatility" xfId="1423"/>
    <cellStyle name="20% - Accent1 7 3" xfId="1424"/>
    <cellStyle name="20% - Accent1 7 3 2" xfId="1425"/>
    <cellStyle name="20% - Accent1 7 3 2 2" xfId="1426"/>
    <cellStyle name="20% - Accent1 7 3 2 2 2" xfId="12822"/>
    <cellStyle name="20% - Accent1 7 3 2 2 2 2" xfId="26214"/>
    <cellStyle name="20% - Accent1 7 3 2 2 3" xfId="16773"/>
    <cellStyle name="20% - Accent1 7 3 2 2 3 2" xfId="30052"/>
    <cellStyle name="20% - Accent1 7 3 2 2 4" xfId="21061"/>
    <cellStyle name="20% - Accent1 7 3 2 3" xfId="1427"/>
    <cellStyle name="20% - Accent1 7 3 2 3 2" xfId="12823"/>
    <cellStyle name="20% - Accent1 7 3 2 3 2 2" xfId="26215"/>
    <cellStyle name="20% - Accent1 7 3 2 3 3" xfId="16774"/>
    <cellStyle name="20% - Accent1 7 3 2 3 3 2" xfId="30053"/>
    <cellStyle name="20% - Accent1 7 3 2 3 4" xfId="21062"/>
    <cellStyle name="20% - Accent1 7 3 2 4" xfId="12821"/>
    <cellStyle name="20% - Accent1 7 3 2 4 2" xfId="26213"/>
    <cellStyle name="20% - Accent1 7 3 2 5" xfId="16772"/>
    <cellStyle name="20% - Accent1 7 3 2 5 2" xfId="30051"/>
    <cellStyle name="20% - Accent1 7 3 2 6" xfId="21060"/>
    <cellStyle name="20% - Accent1 7 3 3" xfId="1428"/>
    <cellStyle name="20% - Accent1 7 3 3 2" xfId="1429"/>
    <cellStyle name="20% - Accent1 7 3 3 2 2" xfId="12825"/>
    <cellStyle name="20% - Accent1 7 3 3 2 2 2" xfId="26217"/>
    <cellStyle name="20% - Accent1 7 3 3 2 3" xfId="16776"/>
    <cellStyle name="20% - Accent1 7 3 3 2 3 2" xfId="30055"/>
    <cellStyle name="20% - Accent1 7 3 3 2 4" xfId="21064"/>
    <cellStyle name="20% - Accent1 7 3 3 3" xfId="1430"/>
    <cellStyle name="20% - Accent1 7 3 3 3 2" xfId="12826"/>
    <cellStyle name="20% - Accent1 7 3 3 3 2 2" xfId="26218"/>
    <cellStyle name="20% - Accent1 7 3 3 3 3" xfId="16777"/>
    <cellStyle name="20% - Accent1 7 3 3 3 3 2" xfId="30056"/>
    <cellStyle name="20% - Accent1 7 3 3 3 4" xfId="21065"/>
    <cellStyle name="20% - Accent1 7 3 3 4" xfId="12824"/>
    <cellStyle name="20% - Accent1 7 3 3 4 2" xfId="26216"/>
    <cellStyle name="20% - Accent1 7 3 3 5" xfId="16775"/>
    <cellStyle name="20% - Accent1 7 3 3 5 2" xfId="30054"/>
    <cellStyle name="20% - Accent1 7 3 3 6" xfId="21063"/>
    <cellStyle name="20% - Accent1 7 3 4" xfId="1431"/>
    <cellStyle name="20% - Accent1 7 3 4 2" xfId="12827"/>
    <cellStyle name="20% - Accent1 7 3 4 2 2" xfId="26219"/>
    <cellStyle name="20% - Accent1 7 3 4 3" xfId="16778"/>
    <cellStyle name="20% - Accent1 7 3 4 3 2" xfId="30057"/>
    <cellStyle name="20% - Accent1 7 3 4 4" xfId="21066"/>
    <cellStyle name="20% - Accent1 7 3 5" xfId="1432"/>
    <cellStyle name="20% - Accent1 7 3 5 2" xfId="12828"/>
    <cellStyle name="20% - Accent1 7 3 5 2 2" xfId="26220"/>
    <cellStyle name="20% - Accent1 7 3 5 3" xfId="16779"/>
    <cellStyle name="20% - Accent1 7 3 5 3 2" xfId="30058"/>
    <cellStyle name="20% - Accent1 7 3 5 4" xfId="21067"/>
    <cellStyle name="20% - Accent1 7 3 6" xfId="12820"/>
    <cellStyle name="20% - Accent1 7 3 6 2" xfId="26212"/>
    <cellStyle name="20% - Accent1 7 3 7" xfId="16771"/>
    <cellStyle name="20% - Accent1 7 3 7 2" xfId="30050"/>
    <cellStyle name="20% - Accent1 7 3 8" xfId="21059"/>
    <cellStyle name="20% - Accent1 7 3_Volatility" xfId="1433"/>
    <cellStyle name="20% - Accent1 7 4" xfId="1434"/>
    <cellStyle name="20% - Accent1 7 4 2" xfId="1435"/>
    <cellStyle name="20% - Accent1 7 4 2 2" xfId="12830"/>
    <cellStyle name="20% - Accent1 7 4 2 2 2" xfId="26222"/>
    <cellStyle name="20% - Accent1 7 4 2 3" xfId="16781"/>
    <cellStyle name="20% - Accent1 7 4 2 3 2" xfId="30060"/>
    <cellStyle name="20% - Accent1 7 4 2 4" xfId="21069"/>
    <cellStyle name="20% - Accent1 7 4 3" xfId="1436"/>
    <cellStyle name="20% - Accent1 7 4 3 2" xfId="12831"/>
    <cellStyle name="20% - Accent1 7 4 3 2 2" xfId="26223"/>
    <cellStyle name="20% - Accent1 7 4 3 3" xfId="16782"/>
    <cellStyle name="20% - Accent1 7 4 3 3 2" xfId="30061"/>
    <cellStyle name="20% - Accent1 7 4 3 4" xfId="21070"/>
    <cellStyle name="20% - Accent1 7 4 4" xfId="12829"/>
    <cellStyle name="20% - Accent1 7 4 4 2" xfId="26221"/>
    <cellStyle name="20% - Accent1 7 4 5" xfId="16780"/>
    <cellStyle name="20% - Accent1 7 4 5 2" xfId="30059"/>
    <cellStyle name="20% - Accent1 7 4 6" xfId="21068"/>
    <cellStyle name="20% - Accent1 7 5" xfId="1437"/>
    <cellStyle name="20% - Accent1 7 5 2" xfId="1438"/>
    <cellStyle name="20% - Accent1 7 5 2 2" xfId="12833"/>
    <cellStyle name="20% - Accent1 7 5 2 2 2" xfId="26225"/>
    <cellStyle name="20% - Accent1 7 5 2 3" xfId="16784"/>
    <cellStyle name="20% - Accent1 7 5 2 3 2" xfId="30063"/>
    <cellStyle name="20% - Accent1 7 5 2 4" xfId="21072"/>
    <cellStyle name="20% - Accent1 7 5 3" xfId="1439"/>
    <cellStyle name="20% - Accent1 7 5 3 2" xfId="12834"/>
    <cellStyle name="20% - Accent1 7 5 3 2 2" xfId="26226"/>
    <cellStyle name="20% - Accent1 7 5 3 3" xfId="16785"/>
    <cellStyle name="20% - Accent1 7 5 3 3 2" xfId="30064"/>
    <cellStyle name="20% - Accent1 7 5 3 4" xfId="21073"/>
    <cellStyle name="20% - Accent1 7 5 4" xfId="12832"/>
    <cellStyle name="20% - Accent1 7 5 4 2" xfId="26224"/>
    <cellStyle name="20% - Accent1 7 5 5" xfId="16783"/>
    <cellStyle name="20% - Accent1 7 5 5 2" xfId="30062"/>
    <cellStyle name="20% - Accent1 7 5 6" xfId="21071"/>
    <cellStyle name="20% - Accent1 7 6" xfId="1440"/>
    <cellStyle name="20% - Accent1 7 6 2" xfId="1441"/>
    <cellStyle name="20% - Accent1 7 6 2 2" xfId="12836"/>
    <cellStyle name="20% - Accent1 7 6 2 2 2" xfId="26228"/>
    <cellStyle name="20% - Accent1 7 6 2 3" xfId="16787"/>
    <cellStyle name="20% - Accent1 7 6 2 3 2" xfId="30066"/>
    <cellStyle name="20% - Accent1 7 6 2 4" xfId="21075"/>
    <cellStyle name="20% - Accent1 7 6 3" xfId="1442"/>
    <cellStyle name="20% - Accent1 7 6 3 2" xfId="12837"/>
    <cellStyle name="20% - Accent1 7 6 3 2 2" xfId="26229"/>
    <cellStyle name="20% - Accent1 7 6 3 3" xfId="16788"/>
    <cellStyle name="20% - Accent1 7 6 3 3 2" xfId="30067"/>
    <cellStyle name="20% - Accent1 7 6 3 4" xfId="21076"/>
    <cellStyle name="20% - Accent1 7 6 4" xfId="12835"/>
    <cellStyle name="20% - Accent1 7 6 4 2" xfId="26227"/>
    <cellStyle name="20% - Accent1 7 6 5" xfId="16786"/>
    <cellStyle name="20% - Accent1 7 6 5 2" xfId="30065"/>
    <cellStyle name="20% - Accent1 7 6 6" xfId="21074"/>
    <cellStyle name="20% - Accent1 7 7" xfId="1443"/>
    <cellStyle name="20% - Accent1 7 7 2" xfId="12838"/>
    <cellStyle name="20% - Accent1 7 7 2 2" xfId="26230"/>
    <cellStyle name="20% - Accent1 7 7 3" xfId="16789"/>
    <cellStyle name="20% - Accent1 7 7 3 2" xfId="30068"/>
    <cellStyle name="20% - Accent1 7 7 4" xfId="21077"/>
    <cellStyle name="20% - Accent1 7 8" xfId="1444"/>
    <cellStyle name="20% - Accent1 7 8 2" xfId="12839"/>
    <cellStyle name="20% - Accent1 7 8 2 2" xfId="26231"/>
    <cellStyle name="20% - Accent1 7 8 3" xfId="16790"/>
    <cellStyle name="20% - Accent1 7 8 3 2" xfId="30069"/>
    <cellStyle name="20% - Accent1 7 8 4" xfId="21078"/>
    <cellStyle name="20% - Accent1 7 9" xfId="12807"/>
    <cellStyle name="20% - Accent1 7 9 2" xfId="26199"/>
    <cellStyle name="20% - Accent1 7_Volatility" xfId="1445"/>
    <cellStyle name="20% - Accent1 8" xfId="1446"/>
    <cellStyle name="20% - Accent1 8 10" xfId="16791"/>
    <cellStyle name="20% - Accent1 8 10 2" xfId="30070"/>
    <cellStyle name="20% - Accent1 8 11" xfId="21079"/>
    <cellStyle name="20% - Accent1 8 2" xfId="1447"/>
    <cellStyle name="20% - Accent1 8 2 2" xfId="1448"/>
    <cellStyle name="20% - Accent1 8 2 2 2" xfId="1449"/>
    <cellStyle name="20% - Accent1 8 2 2 2 2" xfId="12843"/>
    <cellStyle name="20% - Accent1 8 2 2 2 2 2" xfId="26235"/>
    <cellStyle name="20% - Accent1 8 2 2 2 3" xfId="16794"/>
    <cellStyle name="20% - Accent1 8 2 2 2 3 2" xfId="30073"/>
    <cellStyle name="20% - Accent1 8 2 2 2 4" xfId="21082"/>
    <cellStyle name="20% - Accent1 8 2 2 3" xfId="1450"/>
    <cellStyle name="20% - Accent1 8 2 2 3 2" xfId="12844"/>
    <cellStyle name="20% - Accent1 8 2 2 3 2 2" xfId="26236"/>
    <cellStyle name="20% - Accent1 8 2 2 3 3" xfId="16795"/>
    <cellStyle name="20% - Accent1 8 2 2 3 3 2" xfId="30074"/>
    <cellStyle name="20% - Accent1 8 2 2 3 4" xfId="21083"/>
    <cellStyle name="20% - Accent1 8 2 2 4" xfId="12842"/>
    <cellStyle name="20% - Accent1 8 2 2 4 2" xfId="26234"/>
    <cellStyle name="20% - Accent1 8 2 2 5" xfId="16793"/>
    <cellStyle name="20% - Accent1 8 2 2 5 2" xfId="30072"/>
    <cellStyle name="20% - Accent1 8 2 2 6" xfId="21081"/>
    <cellStyle name="20% - Accent1 8 2 3" xfId="1451"/>
    <cellStyle name="20% - Accent1 8 2 3 2" xfId="1452"/>
    <cellStyle name="20% - Accent1 8 2 3 2 2" xfId="12846"/>
    <cellStyle name="20% - Accent1 8 2 3 2 2 2" xfId="26238"/>
    <cellStyle name="20% - Accent1 8 2 3 2 3" xfId="16797"/>
    <cellStyle name="20% - Accent1 8 2 3 2 3 2" xfId="30076"/>
    <cellStyle name="20% - Accent1 8 2 3 2 4" xfId="21085"/>
    <cellStyle name="20% - Accent1 8 2 3 3" xfId="1453"/>
    <cellStyle name="20% - Accent1 8 2 3 3 2" xfId="12847"/>
    <cellStyle name="20% - Accent1 8 2 3 3 2 2" xfId="26239"/>
    <cellStyle name="20% - Accent1 8 2 3 3 3" xfId="16798"/>
    <cellStyle name="20% - Accent1 8 2 3 3 3 2" xfId="30077"/>
    <cellStyle name="20% - Accent1 8 2 3 3 4" xfId="21086"/>
    <cellStyle name="20% - Accent1 8 2 3 4" xfId="12845"/>
    <cellStyle name="20% - Accent1 8 2 3 4 2" xfId="26237"/>
    <cellStyle name="20% - Accent1 8 2 3 5" xfId="16796"/>
    <cellStyle name="20% - Accent1 8 2 3 5 2" xfId="30075"/>
    <cellStyle name="20% - Accent1 8 2 3 6" xfId="21084"/>
    <cellStyle name="20% - Accent1 8 2 4" xfId="1454"/>
    <cellStyle name="20% - Accent1 8 2 4 2" xfId="1455"/>
    <cellStyle name="20% - Accent1 8 2 4 2 2" xfId="12849"/>
    <cellStyle name="20% - Accent1 8 2 4 2 2 2" xfId="26241"/>
    <cellStyle name="20% - Accent1 8 2 4 2 3" xfId="16800"/>
    <cellStyle name="20% - Accent1 8 2 4 2 3 2" xfId="30079"/>
    <cellStyle name="20% - Accent1 8 2 4 2 4" xfId="21088"/>
    <cellStyle name="20% - Accent1 8 2 4 3" xfId="1456"/>
    <cellStyle name="20% - Accent1 8 2 4 3 2" xfId="12850"/>
    <cellStyle name="20% - Accent1 8 2 4 3 2 2" xfId="26242"/>
    <cellStyle name="20% - Accent1 8 2 4 3 3" xfId="16801"/>
    <cellStyle name="20% - Accent1 8 2 4 3 3 2" xfId="30080"/>
    <cellStyle name="20% - Accent1 8 2 4 3 4" xfId="21089"/>
    <cellStyle name="20% - Accent1 8 2 4 4" xfId="12848"/>
    <cellStyle name="20% - Accent1 8 2 4 4 2" xfId="26240"/>
    <cellStyle name="20% - Accent1 8 2 4 5" xfId="16799"/>
    <cellStyle name="20% - Accent1 8 2 4 5 2" xfId="30078"/>
    <cellStyle name="20% - Accent1 8 2 4 6" xfId="21087"/>
    <cellStyle name="20% - Accent1 8 2 5" xfId="1457"/>
    <cellStyle name="20% - Accent1 8 2 5 2" xfId="12851"/>
    <cellStyle name="20% - Accent1 8 2 5 2 2" xfId="26243"/>
    <cellStyle name="20% - Accent1 8 2 5 3" xfId="16802"/>
    <cellStyle name="20% - Accent1 8 2 5 3 2" xfId="30081"/>
    <cellStyle name="20% - Accent1 8 2 5 4" xfId="21090"/>
    <cellStyle name="20% - Accent1 8 2 6" xfId="1458"/>
    <cellStyle name="20% - Accent1 8 2 6 2" xfId="12852"/>
    <cellStyle name="20% - Accent1 8 2 6 2 2" xfId="26244"/>
    <cellStyle name="20% - Accent1 8 2 6 3" xfId="16803"/>
    <cellStyle name="20% - Accent1 8 2 6 3 2" xfId="30082"/>
    <cellStyle name="20% - Accent1 8 2 6 4" xfId="21091"/>
    <cellStyle name="20% - Accent1 8 2 7" xfId="12841"/>
    <cellStyle name="20% - Accent1 8 2 7 2" xfId="26233"/>
    <cellStyle name="20% - Accent1 8 2 8" xfId="16792"/>
    <cellStyle name="20% - Accent1 8 2 8 2" xfId="30071"/>
    <cellStyle name="20% - Accent1 8 2 9" xfId="21080"/>
    <cellStyle name="20% - Accent1 8 2_Volatility" xfId="1459"/>
    <cellStyle name="20% - Accent1 8 3" xfId="1460"/>
    <cellStyle name="20% - Accent1 8 3 2" xfId="1461"/>
    <cellStyle name="20% - Accent1 8 3 2 2" xfId="1462"/>
    <cellStyle name="20% - Accent1 8 3 2 2 2" xfId="12855"/>
    <cellStyle name="20% - Accent1 8 3 2 2 2 2" xfId="26247"/>
    <cellStyle name="20% - Accent1 8 3 2 2 3" xfId="16806"/>
    <cellStyle name="20% - Accent1 8 3 2 2 3 2" xfId="30085"/>
    <cellStyle name="20% - Accent1 8 3 2 2 4" xfId="21094"/>
    <cellStyle name="20% - Accent1 8 3 2 3" xfId="1463"/>
    <cellStyle name="20% - Accent1 8 3 2 3 2" xfId="12856"/>
    <cellStyle name="20% - Accent1 8 3 2 3 2 2" xfId="26248"/>
    <cellStyle name="20% - Accent1 8 3 2 3 3" xfId="16807"/>
    <cellStyle name="20% - Accent1 8 3 2 3 3 2" xfId="30086"/>
    <cellStyle name="20% - Accent1 8 3 2 3 4" xfId="21095"/>
    <cellStyle name="20% - Accent1 8 3 2 4" xfId="12854"/>
    <cellStyle name="20% - Accent1 8 3 2 4 2" xfId="26246"/>
    <cellStyle name="20% - Accent1 8 3 2 5" xfId="16805"/>
    <cellStyle name="20% - Accent1 8 3 2 5 2" xfId="30084"/>
    <cellStyle name="20% - Accent1 8 3 2 6" xfId="21093"/>
    <cellStyle name="20% - Accent1 8 3 3" xfId="1464"/>
    <cellStyle name="20% - Accent1 8 3 3 2" xfId="1465"/>
    <cellStyle name="20% - Accent1 8 3 3 2 2" xfId="12858"/>
    <cellStyle name="20% - Accent1 8 3 3 2 2 2" xfId="26250"/>
    <cellStyle name="20% - Accent1 8 3 3 2 3" xfId="16809"/>
    <cellStyle name="20% - Accent1 8 3 3 2 3 2" xfId="30088"/>
    <cellStyle name="20% - Accent1 8 3 3 2 4" xfId="21097"/>
    <cellStyle name="20% - Accent1 8 3 3 3" xfId="1466"/>
    <cellStyle name="20% - Accent1 8 3 3 3 2" xfId="12859"/>
    <cellStyle name="20% - Accent1 8 3 3 3 2 2" xfId="26251"/>
    <cellStyle name="20% - Accent1 8 3 3 3 3" xfId="16810"/>
    <cellStyle name="20% - Accent1 8 3 3 3 3 2" xfId="30089"/>
    <cellStyle name="20% - Accent1 8 3 3 3 4" xfId="21098"/>
    <cellStyle name="20% - Accent1 8 3 3 4" xfId="12857"/>
    <cellStyle name="20% - Accent1 8 3 3 4 2" xfId="26249"/>
    <cellStyle name="20% - Accent1 8 3 3 5" xfId="16808"/>
    <cellStyle name="20% - Accent1 8 3 3 5 2" xfId="30087"/>
    <cellStyle name="20% - Accent1 8 3 3 6" xfId="21096"/>
    <cellStyle name="20% - Accent1 8 3 4" xfId="1467"/>
    <cellStyle name="20% - Accent1 8 3 4 2" xfId="12860"/>
    <cellStyle name="20% - Accent1 8 3 4 2 2" xfId="26252"/>
    <cellStyle name="20% - Accent1 8 3 4 3" xfId="16811"/>
    <cellStyle name="20% - Accent1 8 3 4 3 2" xfId="30090"/>
    <cellStyle name="20% - Accent1 8 3 4 4" xfId="21099"/>
    <cellStyle name="20% - Accent1 8 3 5" xfId="1468"/>
    <cellStyle name="20% - Accent1 8 3 5 2" xfId="12861"/>
    <cellStyle name="20% - Accent1 8 3 5 2 2" xfId="26253"/>
    <cellStyle name="20% - Accent1 8 3 5 3" xfId="16812"/>
    <cellStyle name="20% - Accent1 8 3 5 3 2" xfId="30091"/>
    <cellStyle name="20% - Accent1 8 3 5 4" xfId="21100"/>
    <cellStyle name="20% - Accent1 8 3 6" xfId="12853"/>
    <cellStyle name="20% - Accent1 8 3 6 2" xfId="26245"/>
    <cellStyle name="20% - Accent1 8 3 7" xfId="16804"/>
    <cellStyle name="20% - Accent1 8 3 7 2" xfId="30083"/>
    <cellStyle name="20% - Accent1 8 3 8" xfId="21092"/>
    <cellStyle name="20% - Accent1 8 3_Volatility" xfId="1469"/>
    <cellStyle name="20% - Accent1 8 4" xfId="1470"/>
    <cellStyle name="20% - Accent1 8 4 2" xfId="1471"/>
    <cellStyle name="20% - Accent1 8 4 2 2" xfId="12863"/>
    <cellStyle name="20% - Accent1 8 4 2 2 2" xfId="26255"/>
    <cellStyle name="20% - Accent1 8 4 2 3" xfId="16814"/>
    <cellStyle name="20% - Accent1 8 4 2 3 2" xfId="30093"/>
    <cellStyle name="20% - Accent1 8 4 2 4" xfId="21102"/>
    <cellStyle name="20% - Accent1 8 4 3" xfId="1472"/>
    <cellStyle name="20% - Accent1 8 4 3 2" xfId="12864"/>
    <cellStyle name="20% - Accent1 8 4 3 2 2" xfId="26256"/>
    <cellStyle name="20% - Accent1 8 4 3 3" xfId="16815"/>
    <cellStyle name="20% - Accent1 8 4 3 3 2" xfId="30094"/>
    <cellStyle name="20% - Accent1 8 4 3 4" xfId="21103"/>
    <cellStyle name="20% - Accent1 8 4 4" xfId="12862"/>
    <cellStyle name="20% - Accent1 8 4 4 2" xfId="26254"/>
    <cellStyle name="20% - Accent1 8 4 5" xfId="16813"/>
    <cellStyle name="20% - Accent1 8 4 5 2" xfId="30092"/>
    <cellStyle name="20% - Accent1 8 4 6" xfId="21101"/>
    <cellStyle name="20% - Accent1 8 5" xfId="1473"/>
    <cellStyle name="20% - Accent1 8 5 2" xfId="1474"/>
    <cellStyle name="20% - Accent1 8 5 2 2" xfId="12866"/>
    <cellStyle name="20% - Accent1 8 5 2 2 2" xfId="26258"/>
    <cellStyle name="20% - Accent1 8 5 2 3" xfId="16817"/>
    <cellStyle name="20% - Accent1 8 5 2 3 2" xfId="30096"/>
    <cellStyle name="20% - Accent1 8 5 2 4" xfId="21105"/>
    <cellStyle name="20% - Accent1 8 5 3" xfId="1475"/>
    <cellStyle name="20% - Accent1 8 5 3 2" xfId="12867"/>
    <cellStyle name="20% - Accent1 8 5 3 2 2" xfId="26259"/>
    <cellStyle name="20% - Accent1 8 5 3 3" xfId="16818"/>
    <cellStyle name="20% - Accent1 8 5 3 3 2" xfId="30097"/>
    <cellStyle name="20% - Accent1 8 5 3 4" xfId="21106"/>
    <cellStyle name="20% - Accent1 8 5 4" xfId="12865"/>
    <cellStyle name="20% - Accent1 8 5 4 2" xfId="26257"/>
    <cellStyle name="20% - Accent1 8 5 5" xfId="16816"/>
    <cellStyle name="20% - Accent1 8 5 5 2" xfId="30095"/>
    <cellStyle name="20% - Accent1 8 5 6" xfId="21104"/>
    <cellStyle name="20% - Accent1 8 6" xfId="1476"/>
    <cellStyle name="20% - Accent1 8 6 2" xfId="1477"/>
    <cellStyle name="20% - Accent1 8 6 2 2" xfId="12869"/>
    <cellStyle name="20% - Accent1 8 6 2 2 2" xfId="26261"/>
    <cellStyle name="20% - Accent1 8 6 2 3" xfId="16820"/>
    <cellStyle name="20% - Accent1 8 6 2 3 2" xfId="30099"/>
    <cellStyle name="20% - Accent1 8 6 2 4" xfId="21108"/>
    <cellStyle name="20% - Accent1 8 6 3" xfId="1478"/>
    <cellStyle name="20% - Accent1 8 6 3 2" xfId="12870"/>
    <cellStyle name="20% - Accent1 8 6 3 2 2" xfId="26262"/>
    <cellStyle name="20% - Accent1 8 6 3 3" xfId="16821"/>
    <cellStyle name="20% - Accent1 8 6 3 3 2" xfId="30100"/>
    <cellStyle name="20% - Accent1 8 6 3 4" xfId="21109"/>
    <cellStyle name="20% - Accent1 8 6 4" xfId="12868"/>
    <cellStyle name="20% - Accent1 8 6 4 2" xfId="26260"/>
    <cellStyle name="20% - Accent1 8 6 5" xfId="16819"/>
    <cellStyle name="20% - Accent1 8 6 5 2" xfId="30098"/>
    <cellStyle name="20% - Accent1 8 6 6" xfId="21107"/>
    <cellStyle name="20% - Accent1 8 7" xfId="1479"/>
    <cellStyle name="20% - Accent1 8 7 2" xfId="12871"/>
    <cellStyle name="20% - Accent1 8 7 2 2" xfId="26263"/>
    <cellStyle name="20% - Accent1 8 7 3" xfId="16822"/>
    <cellStyle name="20% - Accent1 8 7 3 2" xfId="30101"/>
    <cellStyle name="20% - Accent1 8 7 4" xfId="21110"/>
    <cellStyle name="20% - Accent1 8 8" xfId="1480"/>
    <cellStyle name="20% - Accent1 8 8 2" xfId="12872"/>
    <cellStyle name="20% - Accent1 8 8 2 2" xfId="26264"/>
    <cellStyle name="20% - Accent1 8 8 3" xfId="16823"/>
    <cellStyle name="20% - Accent1 8 8 3 2" xfId="30102"/>
    <cellStyle name="20% - Accent1 8 8 4" xfId="21111"/>
    <cellStyle name="20% - Accent1 8 9" xfId="12840"/>
    <cellStyle name="20% - Accent1 8 9 2" xfId="26232"/>
    <cellStyle name="20% - Accent1 8_Volatility" xfId="1481"/>
    <cellStyle name="20% - Accent1 9" xfId="1482"/>
    <cellStyle name="20% - Accent1 9 10" xfId="16824"/>
    <cellStyle name="20% - Accent1 9 10 2" xfId="30103"/>
    <cellStyle name="20% - Accent1 9 11" xfId="21112"/>
    <cellStyle name="20% - Accent1 9 2" xfId="1483"/>
    <cellStyle name="20% - Accent1 9 2 2" xfId="1484"/>
    <cellStyle name="20% - Accent1 9 2 2 2" xfId="1485"/>
    <cellStyle name="20% - Accent1 9 2 2 2 2" xfId="12876"/>
    <cellStyle name="20% - Accent1 9 2 2 2 2 2" xfId="26268"/>
    <cellStyle name="20% - Accent1 9 2 2 2 3" xfId="16827"/>
    <cellStyle name="20% - Accent1 9 2 2 2 3 2" xfId="30106"/>
    <cellStyle name="20% - Accent1 9 2 2 2 4" xfId="21115"/>
    <cellStyle name="20% - Accent1 9 2 2 3" xfId="1486"/>
    <cellStyle name="20% - Accent1 9 2 2 3 2" xfId="12877"/>
    <cellStyle name="20% - Accent1 9 2 2 3 2 2" xfId="26269"/>
    <cellStyle name="20% - Accent1 9 2 2 3 3" xfId="16828"/>
    <cellStyle name="20% - Accent1 9 2 2 3 3 2" xfId="30107"/>
    <cellStyle name="20% - Accent1 9 2 2 3 4" xfId="21116"/>
    <cellStyle name="20% - Accent1 9 2 2 4" xfId="12875"/>
    <cellStyle name="20% - Accent1 9 2 2 4 2" xfId="26267"/>
    <cellStyle name="20% - Accent1 9 2 2 5" xfId="16826"/>
    <cellStyle name="20% - Accent1 9 2 2 5 2" xfId="30105"/>
    <cellStyle name="20% - Accent1 9 2 2 6" xfId="21114"/>
    <cellStyle name="20% - Accent1 9 2 3" xfId="1487"/>
    <cellStyle name="20% - Accent1 9 2 3 2" xfId="1488"/>
    <cellStyle name="20% - Accent1 9 2 3 2 2" xfId="12879"/>
    <cellStyle name="20% - Accent1 9 2 3 2 2 2" xfId="26271"/>
    <cellStyle name="20% - Accent1 9 2 3 2 3" xfId="16830"/>
    <cellStyle name="20% - Accent1 9 2 3 2 3 2" xfId="30109"/>
    <cellStyle name="20% - Accent1 9 2 3 2 4" xfId="21118"/>
    <cellStyle name="20% - Accent1 9 2 3 3" xfId="1489"/>
    <cellStyle name="20% - Accent1 9 2 3 3 2" xfId="12880"/>
    <cellStyle name="20% - Accent1 9 2 3 3 2 2" xfId="26272"/>
    <cellStyle name="20% - Accent1 9 2 3 3 3" xfId="16831"/>
    <cellStyle name="20% - Accent1 9 2 3 3 3 2" xfId="30110"/>
    <cellStyle name="20% - Accent1 9 2 3 3 4" xfId="21119"/>
    <cellStyle name="20% - Accent1 9 2 3 4" xfId="12878"/>
    <cellStyle name="20% - Accent1 9 2 3 4 2" xfId="26270"/>
    <cellStyle name="20% - Accent1 9 2 3 5" xfId="16829"/>
    <cellStyle name="20% - Accent1 9 2 3 5 2" xfId="30108"/>
    <cellStyle name="20% - Accent1 9 2 3 6" xfId="21117"/>
    <cellStyle name="20% - Accent1 9 2 4" xfId="1490"/>
    <cellStyle name="20% - Accent1 9 2 4 2" xfId="1491"/>
    <cellStyle name="20% - Accent1 9 2 4 2 2" xfId="12882"/>
    <cellStyle name="20% - Accent1 9 2 4 2 2 2" xfId="26274"/>
    <cellStyle name="20% - Accent1 9 2 4 2 3" xfId="16833"/>
    <cellStyle name="20% - Accent1 9 2 4 2 3 2" xfId="30112"/>
    <cellStyle name="20% - Accent1 9 2 4 2 4" xfId="21121"/>
    <cellStyle name="20% - Accent1 9 2 4 3" xfId="1492"/>
    <cellStyle name="20% - Accent1 9 2 4 3 2" xfId="12883"/>
    <cellStyle name="20% - Accent1 9 2 4 3 2 2" xfId="26275"/>
    <cellStyle name="20% - Accent1 9 2 4 3 3" xfId="16834"/>
    <cellStyle name="20% - Accent1 9 2 4 3 3 2" xfId="30113"/>
    <cellStyle name="20% - Accent1 9 2 4 3 4" xfId="21122"/>
    <cellStyle name="20% - Accent1 9 2 4 4" xfId="12881"/>
    <cellStyle name="20% - Accent1 9 2 4 4 2" xfId="26273"/>
    <cellStyle name="20% - Accent1 9 2 4 5" xfId="16832"/>
    <cellStyle name="20% - Accent1 9 2 4 5 2" xfId="30111"/>
    <cellStyle name="20% - Accent1 9 2 4 6" xfId="21120"/>
    <cellStyle name="20% - Accent1 9 2 5" xfId="1493"/>
    <cellStyle name="20% - Accent1 9 2 5 2" xfId="12884"/>
    <cellStyle name="20% - Accent1 9 2 5 2 2" xfId="26276"/>
    <cellStyle name="20% - Accent1 9 2 5 3" xfId="16835"/>
    <cellStyle name="20% - Accent1 9 2 5 3 2" xfId="30114"/>
    <cellStyle name="20% - Accent1 9 2 5 4" xfId="21123"/>
    <cellStyle name="20% - Accent1 9 2 6" xfId="1494"/>
    <cellStyle name="20% - Accent1 9 2 6 2" xfId="12885"/>
    <cellStyle name="20% - Accent1 9 2 6 2 2" xfId="26277"/>
    <cellStyle name="20% - Accent1 9 2 6 3" xfId="16836"/>
    <cellStyle name="20% - Accent1 9 2 6 3 2" xfId="30115"/>
    <cellStyle name="20% - Accent1 9 2 6 4" xfId="21124"/>
    <cellStyle name="20% - Accent1 9 2 7" xfId="12874"/>
    <cellStyle name="20% - Accent1 9 2 7 2" xfId="26266"/>
    <cellStyle name="20% - Accent1 9 2 8" xfId="16825"/>
    <cellStyle name="20% - Accent1 9 2 8 2" xfId="30104"/>
    <cellStyle name="20% - Accent1 9 2 9" xfId="21113"/>
    <cellStyle name="20% - Accent1 9 2_Volatility" xfId="1495"/>
    <cellStyle name="20% - Accent1 9 3" xfId="1496"/>
    <cellStyle name="20% - Accent1 9 3 2" xfId="1497"/>
    <cellStyle name="20% - Accent1 9 3 2 2" xfId="1498"/>
    <cellStyle name="20% - Accent1 9 3 2 2 2" xfId="12888"/>
    <cellStyle name="20% - Accent1 9 3 2 2 2 2" xfId="26280"/>
    <cellStyle name="20% - Accent1 9 3 2 2 3" xfId="16839"/>
    <cellStyle name="20% - Accent1 9 3 2 2 3 2" xfId="30118"/>
    <cellStyle name="20% - Accent1 9 3 2 2 4" xfId="21127"/>
    <cellStyle name="20% - Accent1 9 3 2 3" xfId="1499"/>
    <cellStyle name="20% - Accent1 9 3 2 3 2" xfId="12889"/>
    <cellStyle name="20% - Accent1 9 3 2 3 2 2" xfId="26281"/>
    <cellStyle name="20% - Accent1 9 3 2 3 3" xfId="16840"/>
    <cellStyle name="20% - Accent1 9 3 2 3 3 2" xfId="30119"/>
    <cellStyle name="20% - Accent1 9 3 2 3 4" xfId="21128"/>
    <cellStyle name="20% - Accent1 9 3 2 4" xfId="12887"/>
    <cellStyle name="20% - Accent1 9 3 2 4 2" xfId="26279"/>
    <cellStyle name="20% - Accent1 9 3 2 5" xfId="16838"/>
    <cellStyle name="20% - Accent1 9 3 2 5 2" xfId="30117"/>
    <cellStyle name="20% - Accent1 9 3 2 6" xfId="21126"/>
    <cellStyle name="20% - Accent1 9 3 3" xfId="1500"/>
    <cellStyle name="20% - Accent1 9 3 3 2" xfId="1501"/>
    <cellStyle name="20% - Accent1 9 3 3 2 2" xfId="12891"/>
    <cellStyle name="20% - Accent1 9 3 3 2 2 2" xfId="26283"/>
    <cellStyle name="20% - Accent1 9 3 3 2 3" xfId="16842"/>
    <cellStyle name="20% - Accent1 9 3 3 2 3 2" xfId="30121"/>
    <cellStyle name="20% - Accent1 9 3 3 2 4" xfId="21130"/>
    <cellStyle name="20% - Accent1 9 3 3 3" xfId="1502"/>
    <cellStyle name="20% - Accent1 9 3 3 3 2" xfId="12892"/>
    <cellStyle name="20% - Accent1 9 3 3 3 2 2" xfId="26284"/>
    <cellStyle name="20% - Accent1 9 3 3 3 3" xfId="16843"/>
    <cellStyle name="20% - Accent1 9 3 3 3 3 2" xfId="30122"/>
    <cellStyle name="20% - Accent1 9 3 3 3 4" xfId="21131"/>
    <cellStyle name="20% - Accent1 9 3 3 4" xfId="12890"/>
    <cellStyle name="20% - Accent1 9 3 3 4 2" xfId="26282"/>
    <cellStyle name="20% - Accent1 9 3 3 5" xfId="16841"/>
    <cellStyle name="20% - Accent1 9 3 3 5 2" xfId="30120"/>
    <cellStyle name="20% - Accent1 9 3 3 6" xfId="21129"/>
    <cellStyle name="20% - Accent1 9 3 4" xfId="1503"/>
    <cellStyle name="20% - Accent1 9 3 4 2" xfId="12893"/>
    <cellStyle name="20% - Accent1 9 3 4 2 2" xfId="26285"/>
    <cellStyle name="20% - Accent1 9 3 4 3" xfId="16844"/>
    <cellStyle name="20% - Accent1 9 3 4 3 2" xfId="30123"/>
    <cellStyle name="20% - Accent1 9 3 4 4" xfId="21132"/>
    <cellStyle name="20% - Accent1 9 3 5" xfId="1504"/>
    <cellStyle name="20% - Accent1 9 3 5 2" xfId="12894"/>
    <cellStyle name="20% - Accent1 9 3 5 2 2" xfId="26286"/>
    <cellStyle name="20% - Accent1 9 3 5 3" xfId="16845"/>
    <cellStyle name="20% - Accent1 9 3 5 3 2" xfId="30124"/>
    <cellStyle name="20% - Accent1 9 3 5 4" xfId="21133"/>
    <cellStyle name="20% - Accent1 9 3 6" xfId="12886"/>
    <cellStyle name="20% - Accent1 9 3 6 2" xfId="26278"/>
    <cellStyle name="20% - Accent1 9 3 7" xfId="16837"/>
    <cellStyle name="20% - Accent1 9 3 7 2" xfId="30116"/>
    <cellStyle name="20% - Accent1 9 3 8" xfId="21125"/>
    <cellStyle name="20% - Accent1 9 3_Volatility" xfId="1505"/>
    <cellStyle name="20% - Accent1 9 4" xfId="1506"/>
    <cellStyle name="20% - Accent1 9 4 2" xfId="1507"/>
    <cellStyle name="20% - Accent1 9 4 2 2" xfId="12896"/>
    <cellStyle name="20% - Accent1 9 4 2 2 2" xfId="26288"/>
    <cellStyle name="20% - Accent1 9 4 2 3" xfId="16847"/>
    <cellStyle name="20% - Accent1 9 4 2 3 2" xfId="30126"/>
    <cellStyle name="20% - Accent1 9 4 2 4" xfId="21135"/>
    <cellStyle name="20% - Accent1 9 4 3" xfId="1508"/>
    <cellStyle name="20% - Accent1 9 4 3 2" xfId="12897"/>
    <cellStyle name="20% - Accent1 9 4 3 2 2" xfId="26289"/>
    <cellStyle name="20% - Accent1 9 4 3 3" xfId="16848"/>
    <cellStyle name="20% - Accent1 9 4 3 3 2" xfId="30127"/>
    <cellStyle name="20% - Accent1 9 4 3 4" xfId="21136"/>
    <cellStyle name="20% - Accent1 9 4 4" xfId="12895"/>
    <cellStyle name="20% - Accent1 9 4 4 2" xfId="26287"/>
    <cellStyle name="20% - Accent1 9 4 5" xfId="16846"/>
    <cellStyle name="20% - Accent1 9 4 5 2" xfId="30125"/>
    <cellStyle name="20% - Accent1 9 4 6" xfId="21134"/>
    <cellStyle name="20% - Accent1 9 5" xfId="1509"/>
    <cellStyle name="20% - Accent1 9 5 2" xfId="1510"/>
    <cellStyle name="20% - Accent1 9 5 2 2" xfId="12899"/>
    <cellStyle name="20% - Accent1 9 5 2 2 2" xfId="26291"/>
    <cellStyle name="20% - Accent1 9 5 2 3" xfId="16850"/>
    <cellStyle name="20% - Accent1 9 5 2 3 2" xfId="30129"/>
    <cellStyle name="20% - Accent1 9 5 2 4" xfId="21138"/>
    <cellStyle name="20% - Accent1 9 5 3" xfId="1511"/>
    <cellStyle name="20% - Accent1 9 5 3 2" xfId="12900"/>
    <cellStyle name="20% - Accent1 9 5 3 2 2" xfId="26292"/>
    <cellStyle name="20% - Accent1 9 5 3 3" xfId="16851"/>
    <cellStyle name="20% - Accent1 9 5 3 3 2" xfId="30130"/>
    <cellStyle name="20% - Accent1 9 5 3 4" xfId="21139"/>
    <cellStyle name="20% - Accent1 9 5 4" xfId="12898"/>
    <cellStyle name="20% - Accent1 9 5 4 2" xfId="26290"/>
    <cellStyle name="20% - Accent1 9 5 5" xfId="16849"/>
    <cellStyle name="20% - Accent1 9 5 5 2" xfId="30128"/>
    <cellStyle name="20% - Accent1 9 5 6" xfId="21137"/>
    <cellStyle name="20% - Accent1 9 6" xfId="1512"/>
    <cellStyle name="20% - Accent1 9 6 2" xfId="1513"/>
    <cellStyle name="20% - Accent1 9 6 2 2" xfId="12902"/>
    <cellStyle name="20% - Accent1 9 6 2 2 2" xfId="26294"/>
    <cellStyle name="20% - Accent1 9 6 2 3" xfId="16853"/>
    <cellStyle name="20% - Accent1 9 6 2 3 2" xfId="30132"/>
    <cellStyle name="20% - Accent1 9 6 2 4" xfId="21141"/>
    <cellStyle name="20% - Accent1 9 6 3" xfId="1514"/>
    <cellStyle name="20% - Accent1 9 6 3 2" xfId="12903"/>
    <cellStyle name="20% - Accent1 9 6 3 2 2" xfId="26295"/>
    <cellStyle name="20% - Accent1 9 6 3 3" xfId="16854"/>
    <cellStyle name="20% - Accent1 9 6 3 3 2" xfId="30133"/>
    <cellStyle name="20% - Accent1 9 6 3 4" xfId="21142"/>
    <cellStyle name="20% - Accent1 9 6 4" xfId="12901"/>
    <cellStyle name="20% - Accent1 9 6 4 2" xfId="26293"/>
    <cellStyle name="20% - Accent1 9 6 5" xfId="16852"/>
    <cellStyle name="20% - Accent1 9 6 5 2" xfId="30131"/>
    <cellStyle name="20% - Accent1 9 6 6" xfId="21140"/>
    <cellStyle name="20% - Accent1 9 7" xfId="1515"/>
    <cellStyle name="20% - Accent1 9 7 2" xfId="12904"/>
    <cellStyle name="20% - Accent1 9 7 2 2" xfId="26296"/>
    <cellStyle name="20% - Accent1 9 7 3" xfId="16855"/>
    <cellStyle name="20% - Accent1 9 7 3 2" xfId="30134"/>
    <cellStyle name="20% - Accent1 9 7 4" xfId="21143"/>
    <cellStyle name="20% - Accent1 9 8" xfId="1516"/>
    <cellStyle name="20% - Accent1 9 8 2" xfId="12905"/>
    <cellStyle name="20% - Accent1 9 8 2 2" xfId="26297"/>
    <cellStyle name="20% - Accent1 9 8 3" xfId="16856"/>
    <cellStyle name="20% - Accent1 9 8 3 2" xfId="30135"/>
    <cellStyle name="20% - Accent1 9 8 4" xfId="21144"/>
    <cellStyle name="20% - Accent1 9 9" xfId="12873"/>
    <cellStyle name="20% - Accent1 9 9 2" xfId="26265"/>
    <cellStyle name="20% - Accent1 9_Volatility" xfId="1517"/>
    <cellStyle name="20% - Accent2 10" xfId="1518"/>
    <cellStyle name="20% - Accent2 10 10" xfId="16857"/>
    <cellStyle name="20% - Accent2 10 10 2" xfId="30136"/>
    <cellStyle name="20% - Accent2 10 11" xfId="21145"/>
    <cellStyle name="20% - Accent2 10 2" xfId="1519"/>
    <cellStyle name="20% - Accent2 10 2 2" xfId="1520"/>
    <cellStyle name="20% - Accent2 10 2 2 2" xfId="1521"/>
    <cellStyle name="20% - Accent2 10 2 2 2 2" xfId="12909"/>
    <cellStyle name="20% - Accent2 10 2 2 2 2 2" xfId="26301"/>
    <cellStyle name="20% - Accent2 10 2 2 2 3" xfId="16860"/>
    <cellStyle name="20% - Accent2 10 2 2 2 3 2" xfId="30139"/>
    <cellStyle name="20% - Accent2 10 2 2 2 4" xfId="21148"/>
    <cellStyle name="20% - Accent2 10 2 2 3" xfId="1522"/>
    <cellStyle name="20% - Accent2 10 2 2 3 2" xfId="12910"/>
    <cellStyle name="20% - Accent2 10 2 2 3 2 2" xfId="26302"/>
    <cellStyle name="20% - Accent2 10 2 2 3 3" xfId="16861"/>
    <cellStyle name="20% - Accent2 10 2 2 3 3 2" xfId="30140"/>
    <cellStyle name="20% - Accent2 10 2 2 3 4" xfId="21149"/>
    <cellStyle name="20% - Accent2 10 2 2 4" xfId="12908"/>
    <cellStyle name="20% - Accent2 10 2 2 4 2" xfId="26300"/>
    <cellStyle name="20% - Accent2 10 2 2 5" xfId="16859"/>
    <cellStyle name="20% - Accent2 10 2 2 5 2" xfId="30138"/>
    <cellStyle name="20% - Accent2 10 2 2 6" xfId="21147"/>
    <cellStyle name="20% - Accent2 10 2 3" xfId="1523"/>
    <cellStyle name="20% - Accent2 10 2 3 2" xfId="1524"/>
    <cellStyle name="20% - Accent2 10 2 3 2 2" xfId="12912"/>
    <cellStyle name="20% - Accent2 10 2 3 2 2 2" xfId="26304"/>
    <cellStyle name="20% - Accent2 10 2 3 2 3" xfId="16863"/>
    <cellStyle name="20% - Accent2 10 2 3 2 3 2" xfId="30142"/>
    <cellStyle name="20% - Accent2 10 2 3 2 4" xfId="21151"/>
    <cellStyle name="20% - Accent2 10 2 3 3" xfId="1525"/>
    <cellStyle name="20% - Accent2 10 2 3 3 2" xfId="12913"/>
    <cellStyle name="20% - Accent2 10 2 3 3 2 2" xfId="26305"/>
    <cellStyle name="20% - Accent2 10 2 3 3 3" xfId="16864"/>
    <cellStyle name="20% - Accent2 10 2 3 3 3 2" xfId="30143"/>
    <cellStyle name="20% - Accent2 10 2 3 3 4" xfId="21152"/>
    <cellStyle name="20% - Accent2 10 2 3 4" xfId="12911"/>
    <cellStyle name="20% - Accent2 10 2 3 4 2" xfId="26303"/>
    <cellStyle name="20% - Accent2 10 2 3 5" xfId="16862"/>
    <cellStyle name="20% - Accent2 10 2 3 5 2" xfId="30141"/>
    <cellStyle name="20% - Accent2 10 2 3 6" xfId="21150"/>
    <cellStyle name="20% - Accent2 10 2 4" xfId="1526"/>
    <cellStyle name="20% - Accent2 10 2 4 2" xfId="1527"/>
    <cellStyle name="20% - Accent2 10 2 4 2 2" xfId="12915"/>
    <cellStyle name="20% - Accent2 10 2 4 2 2 2" xfId="26307"/>
    <cellStyle name="20% - Accent2 10 2 4 2 3" xfId="16866"/>
    <cellStyle name="20% - Accent2 10 2 4 2 3 2" xfId="30145"/>
    <cellStyle name="20% - Accent2 10 2 4 2 4" xfId="21154"/>
    <cellStyle name="20% - Accent2 10 2 4 3" xfId="1528"/>
    <cellStyle name="20% - Accent2 10 2 4 3 2" xfId="12916"/>
    <cellStyle name="20% - Accent2 10 2 4 3 2 2" xfId="26308"/>
    <cellStyle name="20% - Accent2 10 2 4 3 3" xfId="16867"/>
    <cellStyle name="20% - Accent2 10 2 4 3 3 2" xfId="30146"/>
    <cellStyle name="20% - Accent2 10 2 4 3 4" xfId="21155"/>
    <cellStyle name="20% - Accent2 10 2 4 4" xfId="12914"/>
    <cellStyle name="20% - Accent2 10 2 4 4 2" xfId="26306"/>
    <cellStyle name="20% - Accent2 10 2 4 5" xfId="16865"/>
    <cellStyle name="20% - Accent2 10 2 4 5 2" xfId="30144"/>
    <cellStyle name="20% - Accent2 10 2 4 6" xfId="21153"/>
    <cellStyle name="20% - Accent2 10 2 5" xfId="1529"/>
    <cellStyle name="20% - Accent2 10 2 5 2" xfId="12917"/>
    <cellStyle name="20% - Accent2 10 2 5 2 2" xfId="26309"/>
    <cellStyle name="20% - Accent2 10 2 5 3" xfId="16868"/>
    <cellStyle name="20% - Accent2 10 2 5 3 2" xfId="30147"/>
    <cellStyle name="20% - Accent2 10 2 5 4" xfId="21156"/>
    <cellStyle name="20% - Accent2 10 2 6" xfId="1530"/>
    <cellStyle name="20% - Accent2 10 2 6 2" xfId="12918"/>
    <cellStyle name="20% - Accent2 10 2 6 2 2" xfId="26310"/>
    <cellStyle name="20% - Accent2 10 2 6 3" xfId="16869"/>
    <cellStyle name="20% - Accent2 10 2 6 3 2" xfId="30148"/>
    <cellStyle name="20% - Accent2 10 2 6 4" xfId="21157"/>
    <cellStyle name="20% - Accent2 10 2 7" xfId="12907"/>
    <cellStyle name="20% - Accent2 10 2 7 2" xfId="26299"/>
    <cellStyle name="20% - Accent2 10 2 8" xfId="16858"/>
    <cellStyle name="20% - Accent2 10 2 8 2" xfId="30137"/>
    <cellStyle name="20% - Accent2 10 2 9" xfId="21146"/>
    <cellStyle name="20% - Accent2 10 2_Volatility" xfId="1531"/>
    <cellStyle name="20% - Accent2 10 3" xfId="1532"/>
    <cellStyle name="20% - Accent2 10 3 2" xfId="1533"/>
    <cellStyle name="20% - Accent2 10 3 2 2" xfId="1534"/>
    <cellStyle name="20% - Accent2 10 3 2 2 2" xfId="12921"/>
    <cellStyle name="20% - Accent2 10 3 2 2 2 2" xfId="26313"/>
    <cellStyle name="20% - Accent2 10 3 2 2 3" xfId="16872"/>
    <cellStyle name="20% - Accent2 10 3 2 2 3 2" xfId="30151"/>
    <cellStyle name="20% - Accent2 10 3 2 2 4" xfId="21160"/>
    <cellStyle name="20% - Accent2 10 3 2 3" xfId="1535"/>
    <cellStyle name="20% - Accent2 10 3 2 3 2" xfId="12922"/>
    <cellStyle name="20% - Accent2 10 3 2 3 2 2" xfId="26314"/>
    <cellStyle name="20% - Accent2 10 3 2 3 3" xfId="16873"/>
    <cellStyle name="20% - Accent2 10 3 2 3 3 2" xfId="30152"/>
    <cellStyle name="20% - Accent2 10 3 2 3 4" xfId="21161"/>
    <cellStyle name="20% - Accent2 10 3 2 4" xfId="12920"/>
    <cellStyle name="20% - Accent2 10 3 2 4 2" xfId="26312"/>
    <cellStyle name="20% - Accent2 10 3 2 5" xfId="16871"/>
    <cellStyle name="20% - Accent2 10 3 2 5 2" xfId="30150"/>
    <cellStyle name="20% - Accent2 10 3 2 6" xfId="21159"/>
    <cellStyle name="20% - Accent2 10 3 3" xfId="1536"/>
    <cellStyle name="20% - Accent2 10 3 3 2" xfId="1537"/>
    <cellStyle name="20% - Accent2 10 3 3 2 2" xfId="12924"/>
    <cellStyle name="20% - Accent2 10 3 3 2 2 2" xfId="26316"/>
    <cellStyle name="20% - Accent2 10 3 3 2 3" xfId="16875"/>
    <cellStyle name="20% - Accent2 10 3 3 2 3 2" xfId="30154"/>
    <cellStyle name="20% - Accent2 10 3 3 2 4" xfId="21163"/>
    <cellStyle name="20% - Accent2 10 3 3 3" xfId="1538"/>
    <cellStyle name="20% - Accent2 10 3 3 3 2" xfId="12925"/>
    <cellStyle name="20% - Accent2 10 3 3 3 2 2" xfId="26317"/>
    <cellStyle name="20% - Accent2 10 3 3 3 3" xfId="16876"/>
    <cellStyle name="20% - Accent2 10 3 3 3 3 2" xfId="30155"/>
    <cellStyle name="20% - Accent2 10 3 3 3 4" xfId="21164"/>
    <cellStyle name="20% - Accent2 10 3 3 4" xfId="12923"/>
    <cellStyle name="20% - Accent2 10 3 3 4 2" xfId="26315"/>
    <cellStyle name="20% - Accent2 10 3 3 5" xfId="16874"/>
    <cellStyle name="20% - Accent2 10 3 3 5 2" xfId="30153"/>
    <cellStyle name="20% - Accent2 10 3 3 6" xfId="21162"/>
    <cellStyle name="20% - Accent2 10 3 4" xfId="1539"/>
    <cellStyle name="20% - Accent2 10 3 4 2" xfId="12926"/>
    <cellStyle name="20% - Accent2 10 3 4 2 2" xfId="26318"/>
    <cellStyle name="20% - Accent2 10 3 4 3" xfId="16877"/>
    <cellStyle name="20% - Accent2 10 3 4 3 2" xfId="30156"/>
    <cellStyle name="20% - Accent2 10 3 4 4" xfId="21165"/>
    <cellStyle name="20% - Accent2 10 3 5" xfId="1540"/>
    <cellStyle name="20% - Accent2 10 3 5 2" xfId="12927"/>
    <cellStyle name="20% - Accent2 10 3 5 2 2" xfId="26319"/>
    <cellStyle name="20% - Accent2 10 3 5 3" xfId="16878"/>
    <cellStyle name="20% - Accent2 10 3 5 3 2" xfId="30157"/>
    <cellStyle name="20% - Accent2 10 3 5 4" xfId="21166"/>
    <cellStyle name="20% - Accent2 10 3 6" xfId="12919"/>
    <cellStyle name="20% - Accent2 10 3 6 2" xfId="26311"/>
    <cellStyle name="20% - Accent2 10 3 7" xfId="16870"/>
    <cellStyle name="20% - Accent2 10 3 7 2" xfId="30149"/>
    <cellStyle name="20% - Accent2 10 3 8" xfId="21158"/>
    <cellStyle name="20% - Accent2 10 3_Volatility" xfId="1541"/>
    <cellStyle name="20% - Accent2 10 4" xfId="1542"/>
    <cellStyle name="20% - Accent2 10 4 2" xfId="1543"/>
    <cellStyle name="20% - Accent2 10 4 2 2" xfId="12929"/>
    <cellStyle name="20% - Accent2 10 4 2 2 2" xfId="26321"/>
    <cellStyle name="20% - Accent2 10 4 2 3" xfId="16880"/>
    <cellStyle name="20% - Accent2 10 4 2 3 2" xfId="30159"/>
    <cellStyle name="20% - Accent2 10 4 2 4" xfId="21168"/>
    <cellStyle name="20% - Accent2 10 4 3" xfId="1544"/>
    <cellStyle name="20% - Accent2 10 4 3 2" xfId="12930"/>
    <cellStyle name="20% - Accent2 10 4 3 2 2" xfId="26322"/>
    <cellStyle name="20% - Accent2 10 4 3 3" xfId="16881"/>
    <cellStyle name="20% - Accent2 10 4 3 3 2" xfId="30160"/>
    <cellStyle name="20% - Accent2 10 4 3 4" xfId="21169"/>
    <cellStyle name="20% - Accent2 10 4 4" xfId="12928"/>
    <cellStyle name="20% - Accent2 10 4 4 2" xfId="26320"/>
    <cellStyle name="20% - Accent2 10 4 5" xfId="16879"/>
    <cellStyle name="20% - Accent2 10 4 5 2" xfId="30158"/>
    <cellStyle name="20% - Accent2 10 4 6" xfId="21167"/>
    <cellStyle name="20% - Accent2 10 5" xfId="1545"/>
    <cellStyle name="20% - Accent2 10 5 2" xfId="1546"/>
    <cellStyle name="20% - Accent2 10 5 2 2" xfId="12932"/>
    <cellStyle name="20% - Accent2 10 5 2 2 2" xfId="26324"/>
    <cellStyle name="20% - Accent2 10 5 2 3" xfId="16883"/>
    <cellStyle name="20% - Accent2 10 5 2 3 2" xfId="30162"/>
    <cellStyle name="20% - Accent2 10 5 2 4" xfId="21171"/>
    <cellStyle name="20% - Accent2 10 5 3" xfId="1547"/>
    <cellStyle name="20% - Accent2 10 5 3 2" xfId="12933"/>
    <cellStyle name="20% - Accent2 10 5 3 2 2" xfId="26325"/>
    <cellStyle name="20% - Accent2 10 5 3 3" xfId="16884"/>
    <cellStyle name="20% - Accent2 10 5 3 3 2" xfId="30163"/>
    <cellStyle name="20% - Accent2 10 5 3 4" xfId="21172"/>
    <cellStyle name="20% - Accent2 10 5 4" xfId="12931"/>
    <cellStyle name="20% - Accent2 10 5 4 2" xfId="26323"/>
    <cellStyle name="20% - Accent2 10 5 5" xfId="16882"/>
    <cellStyle name="20% - Accent2 10 5 5 2" xfId="30161"/>
    <cellStyle name="20% - Accent2 10 5 6" xfId="21170"/>
    <cellStyle name="20% - Accent2 10 6" xfId="1548"/>
    <cellStyle name="20% - Accent2 10 6 2" xfId="1549"/>
    <cellStyle name="20% - Accent2 10 6 2 2" xfId="12935"/>
    <cellStyle name="20% - Accent2 10 6 2 2 2" xfId="26327"/>
    <cellStyle name="20% - Accent2 10 6 2 3" xfId="16886"/>
    <cellStyle name="20% - Accent2 10 6 2 3 2" xfId="30165"/>
    <cellStyle name="20% - Accent2 10 6 2 4" xfId="21174"/>
    <cellStyle name="20% - Accent2 10 6 3" xfId="1550"/>
    <cellStyle name="20% - Accent2 10 6 3 2" xfId="12936"/>
    <cellStyle name="20% - Accent2 10 6 3 2 2" xfId="26328"/>
    <cellStyle name="20% - Accent2 10 6 3 3" xfId="16887"/>
    <cellStyle name="20% - Accent2 10 6 3 3 2" xfId="30166"/>
    <cellStyle name="20% - Accent2 10 6 3 4" xfId="21175"/>
    <cellStyle name="20% - Accent2 10 6 4" xfId="12934"/>
    <cellStyle name="20% - Accent2 10 6 4 2" xfId="26326"/>
    <cellStyle name="20% - Accent2 10 6 5" xfId="16885"/>
    <cellStyle name="20% - Accent2 10 6 5 2" xfId="30164"/>
    <cellStyle name="20% - Accent2 10 6 6" xfId="21173"/>
    <cellStyle name="20% - Accent2 10 7" xfId="1551"/>
    <cellStyle name="20% - Accent2 10 7 2" xfId="12937"/>
    <cellStyle name="20% - Accent2 10 7 2 2" xfId="26329"/>
    <cellStyle name="20% - Accent2 10 7 3" xfId="16888"/>
    <cellStyle name="20% - Accent2 10 7 3 2" xfId="30167"/>
    <cellStyle name="20% - Accent2 10 7 4" xfId="21176"/>
    <cellStyle name="20% - Accent2 10 8" xfId="1552"/>
    <cellStyle name="20% - Accent2 10 8 2" xfId="12938"/>
    <cellStyle name="20% - Accent2 10 8 2 2" xfId="26330"/>
    <cellStyle name="20% - Accent2 10 8 3" xfId="16889"/>
    <cellStyle name="20% - Accent2 10 8 3 2" xfId="30168"/>
    <cellStyle name="20% - Accent2 10 8 4" xfId="21177"/>
    <cellStyle name="20% - Accent2 10 9" xfId="12906"/>
    <cellStyle name="20% - Accent2 10 9 2" xfId="26298"/>
    <cellStyle name="20% - Accent2 10_Volatility" xfId="1553"/>
    <cellStyle name="20% - Accent2 11" xfId="1554"/>
    <cellStyle name="20% - Accent2 11 10" xfId="16890"/>
    <cellStyle name="20% - Accent2 11 10 2" xfId="30169"/>
    <cellStyle name="20% - Accent2 11 11" xfId="21178"/>
    <cellStyle name="20% - Accent2 11 2" xfId="1555"/>
    <cellStyle name="20% - Accent2 11 2 2" xfId="1556"/>
    <cellStyle name="20% - Accent2 11 2 2 2" xfId="1557"/>
    <cellStyle name="20% - Accent2 11 2 2 2 2" xfId="12942"/>
    <cellStyle name="20% - Accent2 11 2 2 2 2 2" xfId="26334"/>
    <cellStyle name="20% - Accent2 11 2 2 2 3" xfId="16893"/>
    <cellStyle name="20% - Accent2 11 2 2 2 3 2" xfId="30172"/>
    <cellStyle name="20% - Accent2 11 2 2 2 4" xfId="21181"/>
    <cellStyle name="20% - Accent2 11 2 2 3" xfId="1558"/>
    <cellStyle name="20% - Accent2 11 2 2 3 2" xfId="12943"/>
    <cellStyle name="20% - Accent2 11 2 2 3 2 2" xfId="26335"/>
    <cellStyle name="20% - Accent2 11 2 2 3 3" xfId="16894"/>
    <cellStyle name="20% - Accent2 11 2 2 3 3 2" xfId="30173"/>
    <cellStyle name="20% - Accent2 11 2 2 3 4" xfId="21182"/>
    <cellStyle name="20% - Accent2 11 2 2 4" xfId="12941"/>
    <cellStyle name="20% - Accent2 11 2 2 4 2" xfId="26333"/>
    <cellStyle name="20% - Accent2 11 2 2 5" xfId="16892"/>
    <cellStyle name="20% - Accent2 11 2 2 5 2" xfId="30171"/>
    <cellStyle name="20% - Accent2 11 2 2 6" xfId="21180"/>
    <cellStyle name="20% - Accent2 11 2 3" xfId="1559"/>
    <cellStyle name="20% - Accent2 11 2 3 2" xfId="1560"/>
    <cellStyle name="20% - Accent2 11 2 3 2 2" xfId="12945"/>
    <cellStyle name="20% - Accent2 11 2 3 2 2 2" xfId="26337"/>
    <cellStyle name="20% - Accent2 11 2 3 2 3" xfId="16896"/>
    <cellStyle name="20% - Accent2 11 2 3 2 3 2" xfId="30175"/>
    <cellStyle name="20% - Accent2 11 2 3 2 4" xfId="21184"/>
    <cellStyle name="20% - Accent2 11 2 3 3" xfId="1561"/>
    <cellStyle name="20% - Accent2 11 2 3 3 2" xfId="12946"/>
    <cellStyle name="20% - Accent2 11 2 3 3 2 2" xfId="26338"/>
    <cellStyle name="20% - Accent2 11 2 3 3 3" xfId="16897"/>
    <cellStyle name="20% - Accent2 11 2 3 3 3 2" xfId="30176"/>
    <cellStyle name="20% - Accent2 11 2 3 3 4" xfId="21185"/>
    <cellStyle name="20% - Accent2 11 2 3 4" xfId="12944"/>
    <cellStyle name="20% - Accent2 11 2 3 4 2" xfId="26336"/>
    <cellStyle name="20% - Accent2 11 2 3 5" xfId="16895"/>
    <cellStyle name="20% - Accent2 11 2 3 5 2" xfId="30174"/>
    <cellStyle name="20% - Accent2 11 2 3 6" xfId="21183"/>
    <cellStyle name="20% - Accent2 11 2 4" xfId="1562"/>
    <cellStyle name="20% - Accent2 11 2 4 2" xfId="1563"/>
    <cellStyle name="20% - Accent2 11 2 4 2 2" xfId="12948"/>
    <cellStyle name="20% - Accent2 11 2 4 2 2 2" xfId="26340"/>
    <cellStyle name="20% - Accent2 11 2 4 2 3" xfId="16899"/>
    <cellStyle name="20% - Accent2 11 2 4 2 3 2" xfId="30178"/>
    <cellStyle name="20% - Accent2 11 2 4 2 4" xfId="21187"/>
    <cellStyle name="20% - Accent2 11 2 4 3" xfId="1564"/>
    <cellStyle name="20% - Accent2 11 2 4 3 2" xfId="12949"/>
    <cellStyle name="20% - Accent2 11 2 4 3 2 2" xfId="26341"/>
    <cellStyle name="20% - Accent2 11 2 4 3 3" xfId="16900"/>
    <cellStyle name="20% - Accent2 11 2 4 3 3 2" xfId="30179"/>
    <cellStyle name="20% - Accent2 11 2 4 3 4" xfId="21188"/>
    <cellStyle name="20% - Accent2 11 2 4 4" xfId="12947"/>
    <cellStyle name="20% - Accent2 11 2 4 4 2" xfId="26339"/>
    <cellStyle name="20% - Accent2 11 2 4 5" xfId="16898"/>
    <cellStyle name="20% - Accent2 11 2 4 5 2" xfId="30177"/>
    <cellStyle name="20% - Accent2 11 2 4 6" xfId="21186"/>
    <cellStyle name="20% - Accent2 11 2 5" xfId="1565"/>
    <cellStyle name="20% - Accent2 11 2 5 2" xfId="12950"/>
    <cellStyle name="20% - Accent2 11 2 5 2 2" xfId="26342"/>
    <cellStyle name="20% - Accent2 11 2 5 3" xfId="16901"/>
    <cellStyle name="20% - Accent2 11 2 5 3 2" xfId="30180"/>
    <cellStyle name="20% - Accent2 11 2 5 4" xfId="21189"/>
    <cellStyle name="20% - Accent2 11 2 6" xfId="1566"/>
    <cellStyle name="20% - Accent2 11 2 6 2" xfId="12951"/>
    <cellStyle name="20% - Accent2 11 2 6 2 2" xfId="26343"/>
    <cellStyle name="20% - Accent2 11 2 6 3" xfId="16902"/>
    <cellStyle name="20% - Accent2 11 2 6 3 2" xfId="30181"/>
    <cellStyle name="20% - Accent2 11 2 6 4" xfId="21190"/>
    <cellStyle name="20% - Accent2 11 2 7" xfId="12940"/>
    <cellStyle name="20% - Accent2 11 2 7 2" xfId="26332"/>
    <cellStyle name="20% - Accent2 11 2 8" xfId="16891"/>
    <cellStyle name="20% - Accent2 11 2 8 2" xfId="30170"/>
    <cellStyle name="20% - Accent2 11 2 9" xfId="21179"/>
    <cellStyle name="20% - Accent2 11 2_Volatility" xfId="1567"/>
    <cellStyle name="20% - Accent2 11 3" xfId="1568"/>
    <cellStyle name="20% - Accent2 11 3 2" xfId="1569"/>
    <cellStyle name="20% - Accent2 11 3 2 2" xfId="1570"/>
    <cellStyle name="20% - Accent2 11 3 2 2 2" xfId="12954"/>
    <cellStyle name="20% - Accent2 11 3 2 2 2 2" xfId="26346"/>
    <cellStyle name="20% - Accent2 11 3 2 2 3" xfId="16905"/>
    <cellStyle name="20% - Accent2 11 3 2 2 3 2" xfId="30184"/>
    <cellStyle name="20% - Accent2 11 3 2 2 4" xfId="21193"/>
    <cellStyle name="20% - Accent2 11 3 2 3" xfId="1571"/>
    <cellStyle name="20% - Accent2 11 3 2 3 2" xfId="12955"/>
    <cellStyle name="20% - Accent2 11 3 2 3 2 2" xfId="26347"/>
    <cellStyle name="20% - Accent2 11 3 2 3 3" xfId="16906"/>
    <cellStyle name="20% - Accent2 11 3 2 3 3 2" xfId="30185"/>
    <cellStyle name="20% - Accent2 11 3 2 3 4" xfId="21194"/>
    <cellStyle name="20% - Accent2 11 3 2 4" xfId="12953"/>
    <cellStyle name="20% - Accent2 11 3 2 4 2" xfId="26345"/>
    <cellStyle name="20% - Accent2 11 3 2 5" xfId="16904"/>
    <cellStyle name="20% - Accent2 11 3 2 5 2" xfId="30183"/>
    <cellStyle name="20% - Accent2 11 3 2 6" xfId="21192"/>
    <cellStyle name="20% - Accent2 11 3 3" xfId="1572"/>
    <cellStyle name="20% - Accent2 11 3 3 2" xfId="1573"/>
    <cellStyle name="20% - Accent2 11 3 3 2 2" xfId="12957"/>
    <cellStyle name="20% - Accent2 11 3 3 2 2 2" xfId="26349"/>
    <cellStyle name="20% - Accent2 11 3 3 2 3" xfId="16908"/>
    <cellStyle name="20% - Accent2 11 3 3 2 3 2" xfId="30187"/>
    <cellStyle name="20% - Accent2 11 3 3 2 4" xfId="21196"/>
    <cellStyle name="20% - Accent2 11 3 3 3" xfId="1574"/>
    <cellStyle name="20% - Accent2 11 3 3 3 2" xfId="12958"/>
    <cellStyle name="20% - Accent2 11 3 3 3 2 2" xfId="26350"/>
    <cellStyle name="20% - Accent2 11 3 3 3 3" xfId="16909"/>
    <cellStyle name="20% - Accent2 11 3 3 3 3 2" xfId="30188"/>
    <cellStyle name="20% - Accent2 11 3 3 3 4" xfId="21197"/>
    <cellStyle name="20% - Accent2 11 3 3 4" xfId="12956"/>
    <cellStyle name="20% - Accent2 11 3 3 4 2" xfId="26348"/>
    <cellStyle name="20% - Accent2 11 3 3 5" xfId="16907"/>
    <cellStyle name="20% - Accent2 11 3 3 5 2" xfId="30186"/>
    <cellStyle name="20% - Accent2 11 3 3 6" xfId="21195"/>
    <cellStyle name="20% - Accent2 11 3 4" xfId="1575"/>
    <cellStyle name="20% - Accent2 11 3 4 2" xfId="12959"/>
    <cellStyle name="20% - Accent2 11 3 4 2 2" xfId="26351"/>
    <cellStyle name="20% - Accent2 11 3 4 3" xfId="16910"/>
    <cellStyle name="20% - Accent2 11 3 4 3 2" xfId="30189"/>
    <cellStyle name="20% - Accent2 11 3 4 4" xfId="21198"/>
    <cellStyle name="20% - Accent2 11 3 5" xfId="1576"/>
    <cellStyle name="20% - Accent2 11 3 5 2" xfId="12960"/>
    <cellStyle name="20% - Accent2 11 3 5 2 2" xfId="26352"/>
    <cellStyle name="20% - Accent2 11 3 5 3" xfId="16911"/>
    <cellStyle name="20% - Accent2 11 3 5 3 2" xfId="30190"/>
    <cellStyle name="20% - Accent2 11 3 5 4" xfId="21199"/>
    <cellStyle name="20% - Accent2 11 3 6" xfId="12952"/>
    <cellStyle name="20% - Accent2 11 3 6 2" xfId="26344"/>
    <cellStyle name="20% - Accent2 11 3 7" xfId="16903"/>
    <cellStyle name="20% - Accent2 11 3 7 2" xfId="30182"/>
    <cellStyle name="20% - Accent2 11 3 8" xfId="21191"/>
    <cellStyle name="20% - Accent2 11 3_Volatility" xfId="1577"/>
    <cellStyle name="20% - Accent2 11 4" xfId="1578"/>
    <cellStyle name="20% - Accent2 11 4 2" xfId="1579"/>
    <cellStyle name="20% - Accent2 11 4 2 2" xfId="12962"/>
    <cellStyle name="20% - Accent2 11 4 2 2 2" xfId="26354"/>
    <cellStyle name="20% - Accent2 11 4 2 3" xfId="16913"/>
    <cellStyle name="20% - Accent2 11 4 2 3 2" xfId="30192"/>
    <cellStyle name="20% - Accent2 11 4 2 4" xfId="21201"/>
    <cellStyle name="20% - Accent2 11 4 3" xfId="1580"/>
    <cellStyle name="20% - Accent2 11 4 3 2" xfId="12963"/>
    <cellStyle name="20% - Accent2 11 4 3 2 2" xfId="26355"/>
    <cellStyle name="20% - Accent2 11 4 3 3" xfId="16914"/>
    <cellStyle name="20% - Accent2 11 4 3 3 2" xfId="30193"/>
    <cellStyle name="20% - Accent2 11 4 3 4" xfId="21202"/>
    <cellStyle name="20% - Accent2 11 4 4" xfId="12961"/>
    <cellStyle name="20% - Accent2 11 4 4 2" xfId="26353"/>
    <cellStyle name="20% - Accent2 11 4 5" xfId="16912"/>
    <cellStyle name="20% - Accent2 11 4 5 2" xfId="30191"/>
    <cellStyle name="20% - Accent2 11 4 6" xfId="21200"/>
    <cellStyle name="20% - Accent2 11 5" xfId="1581"/>
    <cellStyle name="20% - Accent2 11 5 2" xfId="1582"/>
    <cellStyle name="20% - Accent2 11 5 2 2" xfId="12965"/>
    <cellStyle name="20% - Accent2 11 5 2 2 2" xfId="26357"/>
    <cellStyle name="20% - Accent2 11 5 2 3" xfId="16916"/>
    <cellStyle name="20% - Accent2 11 5 2 3 2" xfId="30195"/>
    <cellStyle name="20% - Accent2 11 5 2 4" xfId="21204"/>
    <cellStyle name="20% - Accent2 11 5 3" xfId="1583"/>
    <cellStyle name="20% - Accent2 11 5 3 2" xfId="12966"/>
    <cellStyle name="20% - Accent2 11 5 3 2 2" xfId="26358"/>
    <cellStyle name="20% - Accent2 11 5 3 3" xfId="16917"/>
    <cellStyle name="20% - Accent2 11 5 3 3 2" xfId="30196"/>
    <cellStyle name="20% - Accent2 11 5 3 4" xfId="21205"/>
    <cellStyle name="20% - Accent2 11 5 4" xfId="12964"/>
    <cellStyle name="20% - Accent2 11 5 4 2" xfId="26356"/>
    <cellStyle name="20% - Accent2 11 5 5" xfId="16915"/>
    <cellStyle name="20% - Accent2 11 5 5 2" xfId="30194"/>
    <cellStyle name="20% - Accent2 11 5 6" xfId="21203"/>
    <cellStyle name="20% - Accent2 11 6" xfId="1584"/>
    <cellStyle name="20% - Accent2 11 6 2" xfId="1585"/>
    <cellStyle name="20% - Accent2 11 6 2 2" xfId="12968"/>
    <cellStyle name="20% - Accent2 11 6 2 2 2" xfId="26360"/>
    <cellStyle name="20% - Accent2 11 6 2 3" xfId="16919"/>
    <cellStyle name="20% - Accent2 11 6 2 3 2" xfId="30198"/>
    <cellStyle name="20% - Accent2 11 6 2 4" xfId="21207"/>
    <cellStyle name="20% - Accent2 11 6 3" xfId="1586"/>
    <cellStyle name="20% - Accent2 11 6 3 2" xfId="12969"/>
    <cellStyle name="20% - Accent2 11 6 3 2 2" xfId="26361"/>
    <cellStyle name="20% - Accent2 11 6 3 3" xfId="16920"/>
    <cellStyle name="20% - Accent2 11 6 3 3 2" xfId="30199"/>
    <cellStyle name="20% - Accent2 11 6 3 4" xfId="21208"/>
    <cellStyle name="20% - Accent2 11 6 4" xfId="12967"/>
    <cellStyle name="20% - Accent2 11 6 4 2" xfId="26359"/>
    <cellStyle name="20% - Accent2 11 6 5" xfId="16918"/>
    <cellStyle name="20% - Accent2 11 6 5 2" xfId="30197"/>
    <cellStyle name="20% - Accent2 11 6 6" xfId="21206"/>
    <cellStyle name="20% - Accent2 11 7" xfId="1587"/>
    <cellStyle name="20% - Accent2 11 7 2" xfId="12970"/>
    <cellStyle name="20% - Accent2 11 7 2 2" xfId="26362"/>
    <cellStyle name="20% - Accent2 11 7 3" xfId="16921"/>
    <cellStyle name="20% - Accent2 11 7 3 2" xfId="30200"/>
    <cellStyle name="20% - Accent2 11 7 4" xfId="21209"/>
    <cellStyle name="20% - Accent2 11 8" xfId="1588"/>
    <cellStyle name="20% - Accent2 11 8 2" xfId="12971"/>
    <cellStyle name="20% - Accent2 11 8 2 2" xfId="26363"/>
    <cellStyle name="20% - Accent2 11 8 3" xfId="16922"/>
    <cellStyle name="20% - Accent2 11 8 3 2" xfId="30201"/>
    <cellStyle name="20% - Accent2 11 8 4" xfId="21210"/>
    <cellStyle name="20% - Accent2 11 9" xfId="12939"/>
    <cellStyle name="20% - Accent2 11 9 2" xfId="26331"/>
    <cellStyle name="20% - Accent2 11_Volatility" xfId="1589"/>
    <cellStyle name="20% - Accent2 12" xfId="1590"/>
    <cellStyle name="20% - Accent2 12 10" xfId="16923"/>
    <cellStyle name="20% - Accent2 12 10 2" xfId="30202"/>
    <cellStyle name="20% - Accent2 12 11" xfId="21211"/>
    <cellStyle name="20% - Accent2 12 2" xfId="1591"/>
    <cellStyle name="20% - Accent2 12 2 2" xfId="1592"/>
    <cellStyle name="20% - Accent2 12 2 2 2" xfId="1593"/>
    <cellStyle name="20% - Accent2 12 2 2 2 2" xfId="12975"/>
    <cellStyle name="20% - Accent2 12 2 2 2 2 2" xfId="26367"/>
    <cellStyle name="20% - Accent2 12 2 2 2 3" xfId="16926"/>
    <cellStyle name="20% - Accent2 12 2 2 2 3 2" xfId="30205"/>
    <cellStyle name="20% - Accent2 12 2 2 2 4" xfId="21214"/>
    <cellStyle name="20% - Accent2 12 2 2 3" xfId="1594"/>
    <cellStyle name="20% - Accent2 12 2 2 3 2" xfId="12976"/>
    <cellStyle name="20% - Accent2 12 2 2 3 2 2" xfId="26368"/>
    <cellStyle name="20% - Accent2 12 2 2 3 3" xfId="16927"/>
    <cellStyle name="20% - Accent2 12 2 2 3 3 2" xfId="30206"/>
    <cellStyle name="20% - Accent2 12 2 2 3 4" xfId="21215"/>
    <cellStyle name="20% - Accent2 12 2 2 4" xfId="12974"/>
    <cellStyle name="20% - Accent2 12 2 2 4 2" xfId="26366"/>
    <cellStyle name="20% - Accent2 12 2 2 5" xfId="16925"/>
    <cellStyle name="20% - Accent2 12 2 2 5 2" xfId="30204"/>
    <cellStyle name="20% - Accent2 12 2 2 6" xfId="21213"/>
    <cellStyle name="20% - Accent2 12 2 3" xfId="1595"/>
    <cellStyle name="20% - Accent2 12 2 3 2" xfId="1596"/>
    <cellStyle name="20% - Accent2 12 2 3 2 2" xfId="12978"/>
    <cellStyle name="20% - Accent2 12 2 3 2 2 2" xfId="26370"/>
    <cellStyle name="20% - Accent2 12 2 3 2 3" xfId="16929"/>
    <cellStyle name="20% - Accent2 12 2 3 2 3 2" xfId="30208"/>
    <cellStyle name="20% - Accent2 12 2 3 2 4" xfId="21217"/>
    <cellStyle name="20% - Accent2 12 2 3 3" xfId="1597"/>
    <cellStyle name="20% - Accent2 12 2 3 3 2" xfId="12979"/>
    <cellStyle name="20% - Accent2 12 2 3 3 2 2" xfId="26371"/>
    <cellStyle name="20% - Accent2 12 2 3 3 3" xfId="16930"/>
    <cellStyle name="20% - Accent2 12 2 3 3 3 2" xfId="30209"/>
    <cellStyle name="20% - Accent2 12 2 3 3 4" xfId="21218"/>
    <cellStyle name="20% - Accent2 12 2 3 4" xfId="12977"/>
    <cellStyle name="20% - Accent2 12 2 3 4 2" xfId="26369"/>
    <cellStyle name="20% - Accent2 12 2 3 5" xfId="16928"/>
    <cellStyle name="20% - Accent2 12 2 3 5 2" xfId="30207"/>
    <cellStyle name="20% - Accent2 12 2 3 6" xfId="21216"/>
    <cellStyle name="20% - Accent2 12 2 4" xfId="1598"/>
    <cellStyle name="20% - Accent2 12 2 4 2" xfId="1599"/>
    <cellStyle name="20% - Accent2 12 2 4 2 2" xfId="12981"/>
    <cellStyle name="20% - Accent2 12 2 4 2 2 2" xfId="26373"/>
    <cellStyle name="20% - Accent2 12 2 4 2 3" xfId="16932"/>
    <cellStyle name="20% - Accent2 12 2 4 2 3 2" xfId="30211"/>
    <cellStyle name="20% - Accent2 12 2 4 2 4" xfId="21220"/>
    <cellStyle name="20% - Accent2 12 2 4 3" xfId="1600"/>
    <cellStyle name="20% - Accent2 12 2 4 3 2" xfId="12982"/>
    <cellStyle name="20% - Accent2 12 2 4 3 2 2" xfId="26374"/>
    <cellStyle name="20% - Accent2 12 2 4 3 3" xfId="16933"/>
    <cellStyle name="20% - Accent2 12 2 4 3 3 2" xfId="30212"/>
    <cellStyle name="20% - Accent2 12 2 4 3 4" xfId="21221"/>
    <cellStyle name="20% - Accent2 12 2 4 4" xfId="12980"/>
    <cellStyle name="20% - Accent2 12 2 4 4 2" xfId="26372"/>
    <cellStyle name="20% - Accent2 12 2 4 5" xfId="16931"/>
    <cellStyle name="20% - Accent2 12 2 4 5 2" xfId="30210"/>
    <cellStyle name="20% - Accent2 12 2 4 6" xfId="21219"/>
    <cellStyle name="20% - Accent2 12 2 5" xfId="1601"/>
    <cellStyle name="20% - Accent2 12 2 5 2" xfId="12983"/>
    <cellStyle name="20% - Accent2 12 2 5 2 2" xfId="26375"/>
    <cellStyle name="20% - Accent2 12 2 5 3" xfId="16934"/>
    <cellStyle name="20% - Accent2 12 2 5 3 2" xfId="30213"/>
    <cellStyle name="20% - Accent2 12 2 5 4" xfId="21222"/>
    <cellStyle name="20% - Accent2 12 2 6" xfId="1602"/>
    <cellStyle name="20% - Accent2 12 2 6 2" xfId="12984"/>
    <cellStyle name="20% - Accent2 12 2 6 2 2" xfId="26376"/>
    <cellStyle name="20% - Accent2 12 2 6 3" xfId="16935"/>
    <cellStyle name="20% - Accent2 12 2 6 3 2" xfId="30214"/>
    <cellStyle name="20% - Accent2 12 2 6 4" xfId="21223"/>
    <cellStyle name="20% - Accent2 12 2 7" xfId="12973"/>
    <cellStyle name="20% - Accent2 12 2 7 2" xfId="26365"/>
    <cellStyle name="20% - Accent2 12 2 8" xfId="16924"/>
    <cellStyle name="20% - Accent2 12 2 8 2" xfId="30203"/>
    <cellStyle name="20% - Accent2 12 2 9" xfId="21212"/>
    <cellStyle name="20% - Accent2 12 2_Volatility" xfId="1603"/>
    <cellStyle name="20% - Accent2 12 3" xfId="1604"/>
    <cellStyle name="20% - Accent2 12 3 2" xfId="1605"/>
    <cellStyle name="20% - Accent2 12 3 2 2" xfId="1606"/>
    <cellStyle name="20% - Accent2 12 3 2 2 2" xfId="12987"/>
    <cellStyle name="20% - Accent2 12 3 2 2 2 2" xfId="26379"/>
    <cellStyle name="20% - Accent2 12 3 2 2 3" xfId="16938"/>
    <cellStyle name="20% - Accent2 12 3 2 2 3 2" xfId="30217"/>
    <cellStyle name="20% - Accent2 12 3 2 2 4" xfId="21226"/>
    <cellStyle name="20% - Accent2 12 3 2 3" xfId="1607"/>
    <cellStyle name="20% - Accent2 12 3 2 3 2" xfId="12988"/>
    <cellStyle name="20% - Accent2 12 3 2 3 2 2" xfId="26380"/>
    <cellStyle name="20% - Accent2 12 3 2 3 3" xfId="16939"/>
    <cellStyle name="20% - Accent2 12 3 2 3 3 2" xfId="30218"/>
    <cellStyle name="20% - Accent2 12 3 2 3 4" xfId="21227"/>
    <cellStyle name="20% - Accent2 12 3 2 4" xfId="12986"/>
    <cellStyle name="20% - Accent2 12 3 2 4 2" xfId="26378"/>
    <cellStyle name="20% - Accent2 12 3 2 5" xfId="16937"/>
    <cellStyle name="20% - Accent2 12 3 2 5 2" xfId="30216"/>
    <cellStyle name="20% - Accent2 12 3 2 6" xfId="21225"/>
    <cellStyle name="20% - Accent2 12 3 3" xfId="1608"/>
    <cellStyle name="20% - Accent2 12 3 3 2" xfId="1609"/>
    <cellStyle name="20% - Accent2 12 3 3 2 2" xfId="12990"/>
    <cellStyle name="20% - Accent2 12 3 3 2 2 2" xfId="26382"/>
    <cellStyle name="20% - Accent2 12 3 3 2 3" xfId="16941"/>
    <cellStyle name="20% - Accent2 12 3 3 2 3 2" xfId="30220"/>
    <cellStyle name="20% - Accent2 12 3 3 2 4" xfId="21229"/>
    <cellStyle name="20% - Accent2 12 3 3 3" xfId="1610"/>
    <cellStyle name="20% - Accent2 12 3 3 3 2" xfId="12991"/>
    <cellStyle name="20% - Accent2 12 3 3 3 2 2" xfId="26383"/>
    <cellStyle name="20% - Accent2 12 3 3 3 3" xfId="16942"/>
    <cellStyle name="20% - Accent2 12 3 3 3 3 2" xfId="30221"/>
    <cellStyle name="20% - Accent2 12 3 3 3 4" xfId="21230"/>
    <cellStyle name="20% - Accent2 12 3 3 4" xfId="12989"/>
    <cellStyle name="20% - Accent2 12 3 3 4 2" xfId="26381"/>
    <cellStyle name="20% - Accent2 12 3 3 5" xfId="16940"/>
    <cellStyle name="20% - Accent2 12 3 3 5 2" xfId="30219"/>
    <cellStyle name="20% - Accent2 12 3 3 6" xfId="21228"/>
    <cellStyle name="20% - Accent2 12 3 4" xfId="1611"/>
    <cellStyle name="20% - Accent2 12 3 4 2" xfId="12992"/>
    <cellStyle name="20% - Accent2 12 3 4 2 2" xfId="26384"/>
    <cellStyle name="20% - Accent2 12 3 4 3" xfId="16943"/>
    <cellStyle name="20% - Accent2 12 3 4 3 2" xfId="30222"/>
    <cellStyle name="20% - Accent2 12 3 4 4" xfId="21231"/>
    <cellStyle name="20% - Accent2 12 3 5" xfId="1612"/>
    <cellStyle name="20% - Accent2 12 3 5 2" xfId="12993"/>
    <cellStyle name="20% - Accent2 12 3 5 2 2" xfId="26385"/>
    <cellStyle name="20% - Accent2 12 3 5 3" xfId="16944"/>
    <cellStyle name="20% - Accent2 12 3 5 3 2" xfId="30223"/>
    <cellStyle name="20% - Accent2 12 3 5 4" xfId="21232"/>
    <cellStyle name="20% - Accent2 12 3 6" xfId="12985"/>
    <cellStyle name="20% - Accent2 12 3 6 2" xfId="26377"/>
    <cellStyle name="20% - Accent2 12 3 7" xfId="16936"/>
    <cellStyle name="20% - Accent2 12 3 7 2" xfId="30215"/>
    <cellStyle name="20% - Accent2 12 3 8" xfId="21224"/>
    <cellStyle name="20% - Accent2 12 3_Volatility" xfId="1613"/>
    <cellStyle name="20% - Accent2 12 4" xfId="1614"/>
    <cellStyle name="20% - Accent2 12 4 2" xfId="1615"/>
    <cellStyle name="20% - Accent2 12 4 2 2" xfId="12995"/>
    <cellStyle name="20% - Accent2 12 4 2 2 2" xfId="26387"/>
    <cellStyle name="20% - Accent2 12 4 2 3" xfId="16946"/>
    <cellStyle name="20% - Accent2 12 4 2 3 2" xfId="30225"/>
    <cellStyle name="20% - Accent2 12 4 2 4" xfId="21234"/>
    <cellStyle name="20% - Accent2 12 4 3" xfId="1616"/>
    <cellStyle name="20% - Accent2 12 4 3 2" xfId="12996"/>
    <cellStyle name="20% - Accent2 12 4 3 2 2" xfId="26388"/>
    <cellStyle name="20% - Accent2 12 4 3 3" xfId="16947"/>
    <cellStyle name="20% - Accent2 12 4 3 3 2" xfId="30226"/>
    <cellStyle name="20% - Accent2 12 4 3 4" xfId="21235"/>
    <cellStyle name="20% - Accent2 12 4 4" xfId="12994"/>
    <cellStyle name="20% - Accent2 12 4 4 2" xfId="26386"/>
    <cellStyle name="20% - Accent2 12 4 5" xfId="16945"/>
    <cellStyle name="20% - Accent2 12 4 5 2" xfId="30224"/>
    <cellStyle name="20% - Accent2 12 4 6" xfId="21233"/>
    <cellStyle name="20% - Accent2 12 5" xfId="1617"/>
    <cellStyle name="20% - Accent2 12 5 2" xfId="1618"/>
    <cellStyle name="20% - Accent2 12 5 2 2" xfId="12998"/>
    <cellStyle name="20% - Accent2 12 5 2 2 2" xfId="26390"/>
    <cellStyle name="20% - Accent2 12 5 2 3" xfId="16949"/>
    <cellStyle name="20% - Accent2 12 5 2 3 2" xfId="30228"/>
    <cellStyle name="20% - Accent2 12 5 2 4" xfId="21237"/>
    <cellStyle name="20% - Accent2 12 5 3" xfId="1619"/>
    <cellStyle name="20% - Accent2 12 5 3 2" xfId="12999"/>
    <cellStyle name="20% - Accent2 12 5 3 2 2" xfId="26391"/>
    <cellStyle name="20% - Accent2 12 5 3 3" xfId="16950"/>
    <cellStyle name="20% - Accent2 12 5 3 3 2" xfId="30229"/>
    <cellStyle name="20% - Accent2 12 5 3 4" xfId="21238"/>
    <cellStyle name="20% - Accent2 12 5 4" xfId="12997"/>
    <cellStyle name="20% - Accent2 12 5 4 2" xfId="26389"/>
    <cellStyle name="20% - Accent2 12 5 5" xfId="16948"/>
    <cellStyle name="20% - Accent2 12 5 5 2" xfId="30227"/>
    <cellStyle name="20% - Accent2 12 5 6" xfId="21236"/>
    <cellStyle name="20% - Accent2 12 6" xfId="1620"/>
    <cellStyle name="20% - Accent2 12 6 2" xfId="1621"/>
    <cellStyle name="20% - Accent2 12 6 2 2" xfId="13001"/>
    <cellStyle name="20% - Accent2 12 6 2 2 2" xfId="26393"/>
    <cellStyle name="20% - Accent2 12 6 2 3" xfId="16952"/>
    <cellStyle name="20% - Accent2 12 6 2 3 2" xfId="30231"/>
    <cellStyle name="20% - Accent2 12 6 2 4" xfId="21240"/>
    <cellStyle name="20% - Accent2 12 6 3" xfId="1622"/>
    <cellStyle name="20% - Accent2 12 6 3 2" xfId="13002"/>
    <cellStyle name="20% - Accent2 12 6 3 2 2" xfId="26394"/>
    <cellStyle name="20% - Accent2 12 6 3 3" xfId="16953"/>
    <cellStyle name="20% - Accent2 12 6 3 3 2" xfId="30232"/>
    <cellStyle name="20% - Accent2 12 6 3 4" xfId="21241"/>
    <cellStyle name="20% - Accent2 12 6 4" xfId="13000"/>
    <cellStyle name="20% - Accent2 12 6 4 2" xfId="26392"/>
    <cellStyle name="20% - Accent2 12 6 5" xfId="16951"/>
    <cellStyle name="20% - Accent2 12 6 5 2" xfId="30230"/>
    <cellStyle name="20% - Accent2 12 6 6" xfId="21239"/>
    <cellStyle name="20% - Accent2 12 7" xfId="1623"/>
    <cellStyle name="20% - Accent2 12 7 2" xfId="13003"/>
    <cellStyle name="20% - Accent2 12 7 2 2" xfId="26395"/>
    <cellStyle name="20% - Accent2 12 7 3" xfId="16954"/>
    <cellStyle name="20% - Accent2 12 7 3 2" xfId="30233"/>
    <cellStyle name="20% - Accent2 12 7 4" xfId="21242"/>
    <cellStyle name="20% - Accent2 12 8" xfId="1624"/>
    <cellStyle name="20% - Accent2 12 8 2" xfId="13004"/>
    <cellStyle name="20% - Accent2 12 8 2 2" xfId="26396"/>
    <cellStyle name="20% - Accent2 12 8 3" xfId="16955"/>
    <cellStyle name="20% - Accent2 12 8 3 2" xfId="30234"/>
    <cellStyle name="20% - Accent2 12 8 4" xfId="21243"/>
    <cellStyle name="20% - Accent2 12 9" xfId="12972"/>
    <cellStyle name="20% - Accent2 12 9 2" xfId="26364"/>
    <cellStyle name="20% - Accent2 12_Volatility" xfId="1625"/>
    <cellStyle name="20% - Accent2 13" xfId="1626"/>
    <cellStyle name="20% - Accent2 13 10" xfId="16956"/>
    <cellStyle name="20% - Accent2 13 10 2" xfId="30235"/>
    <cellStyle name="20% - Accent2 13 11" xfId="21244"/>
    <cellStyle name="20% - Accent2 13 2" xfId="1627"/>
    <cellStyle name="20% - Accent2 13 2 2" xfId="1628"/>
    <cellStyle name="20% - Accent2 13 2 2 2" xfId="1629"/>
    <cellStyle name="20% - Accent2 13 2 2 2 2" xfId="13008"/>
    <cellStyle name="20% - Accent2 13 2 2 2 2 2" xfId="26400"/>
    <cellStyle name="20% - Accent2 13 2 2 2 3" xfId="16959"/>
    <cellStyle name="20% - Accent2 13 2 2 2 3 2" xfId="30238"/>
    <cellStyle name="20% - Accent2 13 2 2 2 4" xfId="21247"/>
    <cellStyle name="20% - Accent2 13 2 2 3" xfId="1630"/>
    <cellStyle name="20% - Accent2 13 2 2 3 2" xfId="13009"/>
    <cellStyle name="20% - Accent2 13 2 2 3 2 2" xfId="26401"/>
    <cellStyle name="20% - Accent2 13 2 2 3 3" xfId="16960"/>
    <cellStyle name="20% - Accent2 13 2 2 3 3 2" xfId="30239"/>
    <cellStyle name="20% - Accent2 13 2 2 3 4" xfId="21248"/>
    <cellStyle name="20% - Accent2 13 2 2 4" xfId="13007"/>
    <cellStyle name="20% - Accent2 13 2 2 4 2" xfId="26399"/>
    <cellStyle name="20% - Accent2 13 2 2 5" xfId="16958"/>
    <cellStyle name="20% - Accent2 13 2 2 5 2" xfId="30237"/>
    <cellStyle name="20% - Accent2 13 2 2 6" xfId="21246"/>
    <cellStyle name="20% - Accent2 13 2 3" xfId="1631"/>
    <cellStyle name="20% - Accent2 13 2 3 2" xfId="1632"/>
    <cellStyle name="20% - Accent2 13 2 3 2 2" xfId="13011"/>
    <cellStyle name="20% - Accent2 13 2 3 2 2 2" xfId="26403"/>
    <cellStyle name="20% - Accent2 13 2 3 2 3" xfId="16962"/>
    <cellStyle name="20% - Accent2 13 2 3 2 3 2" xfId="30241"/>
    <cellStyle name="20% - Accent2 13 2 3 2 4" xfId="21250"/>
    <cellStyle name="20% - Accent2 13 2 3 3" xfId="1633"/>
    <cellStyle name="20% - Accent2 13 2 3 3 2" xfId="13012"/>
    <cellStyle name="20% - Accent2 13 2 3 3 2 2" xfId="26404"/>
    <cellStyle name="20% - Accent2 13 2 3 3 3" xfId="16963"/>
    <cellStyle name="20% - Accent2 13 2 3 3 3 2" xfId="30242"/>
    <cellStyle name="20% - Accent2 13 2 3 3 4" xfId="21251"/>
    <cellStyle name="20% - Accent2 13 2 3 4" xfId="13010"/>
    <cellStyle name="20% - Accent2 13 2 3 4 2" xfId="26402"/>
    <cellStyle name="20% - Accent2 13 2 3 5" xfId="16961"/>
    <cellStyle name="20% - Accent2 13 2 3 5 2" xfId="30240"/>
    <cellStyle name="20% - Accent2 13 2 3 6" xfId="21249"/>
    <cellStyle name="20% - Accent2 13 2 4" xfId="1634"/>
    <cellStyle name="20% - Accent2 13 2 4 2" xfId="1635"/>
    <cellStyle name="20% - Accent2 13 2 4 2 2" xfId="13014"/>
    <cellStyle name="20% - Accent2 13 2 4 2 2 2" xfId="26406"/>
    <cellStyle name="20% - Accent2 13 2 4 2 3" xfId="16965"/>
    <cellStyle name="20% - Accent2 13 2 4 2 3 2" xfId="30244"/>
    <cellStyle name="20% - Accent2 13 2 4 2 4" xfId="21253"/>
    <cellStyle name="20% - Accent2 13 2 4 3" xfId="1636"/>
    <cellStyle name="20% - Accent2 13 2 4 3 2" xfId="13015"/>
    <cellStyle name="20% - Accent2 13 2 4 3 2 2" xfId="26407"/>
    <cellStyle name="20% - Accent2 13 2 4 3 3" xfId="16966"/>
    <cellStyle name="20% - Accent2 13 2 4 3 3 2" xfId="30245"/>
    <cellStyle name="20% - Accent2 13 2 4 3 4" xfId="21254"/>
    <cellStyle name="20% - Accent2 13 2 4 4" xfId="13013"/>
    <cellStyle name="20% - Accent2 13 2 4 4 2" xfId="26405"/>
    <cellStyle name="20% - Accent2 13 2 4 5" xfId="16964"/>
    <cellStyle name="20% - Accent2 13 2 4 5 2" xfId="30243"/>
    <cellStyle name="20% - Accent2 13 2 4 6" xfId="21252"/>
    <cellStyle name="20% - Accent2 13 2 5" xfId="1637"/>
    <cellStyle name="20% - Accent2 13 2 5 2" xfId="13016"/>
    <cellStyle name="20% - Accent2 13 2 5 2 2" xfId="26408"/>
    <cellStyle name="20% - Accent2 13 2 5 3" xfId="16967"/>
    <cellStyle name="20% - Accent2 13 2 5 3 2" xfId="30246"/>
    <cellStyle name="20% - Accent2 13 2 5 4" xfId="21255"/>
    <cellStyle name="20% - Accent2 13 2 6" xfId="1638"/>
    <cellStyle name="20% - Accent2 13 2 6 2" xfId="13017"/>
    <cellStyle name="20% - Accent2 13 2 6 2 2" xfId="26409"/>
    <cellStyle name="20% - Accent2 13 2 6 3" xfId="16968"/>
    <cellStyle name="20% - Accent2 13 2 6 3 2" xfId="30247"/>
    <cellStyle name="20% - Accent2 13 2 6 4" xfId="21256"/>
    <cellStyle name="20% - Accent2 13 2 7" xfId="13006"/>
    <cellStyle name="20% - Accent2 13 2 7 2" xfId="26398"/>
    <cellStyle name="20% - Accent2 13 2 8" xfId="16957"/>
    <cellStyle name="20% - Accent2 13 2 8 2" xfId="30236"/>
    <cellStyle name="20% - Accent2 13 2 9" xfId="21245"/>
    <cellStyle name="20% - Accent2 13 2_Volatility" xfId="1639"/>
    <cellStyle name="20% - Accent2 13 3" xfId="1640"/>
    <cellStyle name="20% - Accent2 13 3 2" xfId="1641"/>
    <cellStyle name="20% - Accent2 13 3 2 2" xfId="1642"/>
    <cellStyle name="20% - Accent2 13 3 2 2 2" xfId="13020"/>
    <cellStyle name="20% - Accent2 13 3 2 2 2 2" xfId="26412"/>
    <cellStyle name="20% - Accent2 13 3 2 2 3" xfId="16971"/>
    <cellStyle name="20% - Accent2 13 3 2 2 3 2" xfId="30250"/>
    <cellStyle name="20% - Accent2 13 3 2 2 4" xfId="21259"/>
    <cellStyle name="20% - Accent2 13 3 2 3" xfId="1643"/>
    <cellStyle name="20% - Accent2 13 3 2 3 2" xfId="13021"/>
    <cellStyle name="20% - Accent2 13 3 2 3 2 2" xfId="26413"/>
    <cellStyle name="20% - Accent2 13 3 2 3 3" xfId="16972"/>
    <cellStyle name="20% - Accent2 13 3 2 3 3 2" xfId="30251"/>
    <cellStyle name="20% - Accent2 13 3 2 3 4" xfId="21260"/>
    <cellStyle name="20% - Accent2 13 3 2 4" xfId="13019"/>
    <cellStyle name="20% - Accent2 13 3 2 4 2" xfId="26411"/>
    <cellStyle name="20% - Accent2 13 3 2 5" xfId="16970"/>
    <cellStyle name="20% - Accent2 13 3 2 5 2" xfId="30249"/>
    <cellStyle name="20% - Accent2 13 3 2 6" xfId="21258"/>
    <cellStyle name="20% - Accent2 13 3 3" xfId="1644"/>
    <cellStyle name="20% - Accent2 13 3 3 2" xfId="1645"/>
    <cellStyle name="20% - Accent2 13 3 3 2 2" xfId="13023"/>
    <cellStyle name="20% - Accent2 13 3 3 2 2 2" xfId="26415"/>
    <cellStyle name="20% - Accent2 13 3 3 2 3" xfId="16974"/>
    <cellStyle name="20% - Accent2 13 3 3 2 3 2" xfId="30253"/>
    <cellStyle name="20% - Accent2 13 3 3 2 4" xfId="21262"/>
    <cellStyle name="20% - Accent2 13 3 3 3" xfId="1646"/>
    <cellStyle name="20% - Accent2 13 3 3 3 2" xfId="13024"/>
    <cellStyle name="20% - Accent2 13 3 3 3 2 2" xfId="26416"/>
    <cellStyle name="20% - Accent2 13 3 3 3 3" xfId="16975"/>
    <cellStyle name="20% - Accent2 13 3 3 3 3 2" xfId="30254"/>
    <cellStyle name="20% - Accent2 13 3 3 3 4" xfId="21263"/>
    <cellStyle name="20% - Accent2 13 3 3 4" xfId="13022"/>
    <cellStyle name="20% - Accent2 13 3 3 4 2" xfId="26414"/>
    <cellStyle name="20% - Accent2 13 3 3 5" xfId="16973"/>
    <cellStyle name="20% - Accent2 13 3 3 5 2" xfId="30252"/>
    <cellStyle name="20% - Accent2 13 3 3 6" xfId="21261"/>
    <cellStyle name="20% - Accent2 13 3 4" xfId="1647"/>
    <cellStyle name="20% - Accent2 13 3 4 2" xfId="13025"/>
    <cellStyle name="20% - Accent2 13 3 4 2 2" xfId="26417"/>
    <cellStyle name="20% - Accent2 13 3 4 3" xfId="16976"/>
    <cellStyle name="20% - Accent2 13 3 4 3 2" xfId="30255"/>
    <cellStyle name="20% - Accent2 13 3 4 4" xfId="21264"/>
    <cellStyle name="20% - Accent2 13 3 5" xfId="1648"/>
    <cellStyle name="20% - Accent2 13 3 5 2" xfId="13026"/>
    <cellStyle name="20% - Accent2 13 3 5 2 2" xfId="26418"/>
    <cellStyle name="20% - Accent2 13 3 5 3" xfId="16977"/>
    <cellStyle name="20% - Accent2 13 3 5 3 2" xfId="30256"/>
    <cellStyle name="20% - Accent2 13 3 5 4" xfId="21265"/>
    <cellStyle name="20% - Accent2 13 3 6" xfId="13018"/>
    <cellStyle name="20% - Accent2 13 3 6 2" xfId="26410"/>
    <cellStyle name="20% - Accent2 13 3 7" xfId="16969"/>
    <cellStyle name="20% - Accent2 13 3 7 2" xfId="30248"/>
    <cellStyle name="20% - Accent2 13 3 8" xfId="21257"/>
    <cellStyle name="20% - Accent2 13 3_Volatility" xfId="1649"/>
    <cellStyle name="20% - Accent2 13 4" xfId="1650"/>
    <cellStyle name="20% - Accent2 13 4 2" xfId="1651"/>
    <cellStyle name="20% - Accent2 13 4 2 2" xfId="13028"/>
    <cellStyle name="20% - Accent2 13 4 2 2 2" xfId="26420"/>
    <cellStyle name="20% - Accent2 13 4 2 3" xfId="16979"/>
    <cellStyle name="20% - Accent2 13 4 2 3 2" xfId="30258"/>
    <cellStyle name="20% - Accent2 13 4 2 4" xfId="21267"/>
    <cellStyle name="20% - Accent2 13 4 3" xfId="1652"/>
    <cellStyle name="20% - Accent2 13 4 3 2" xfId="13029"/>
    <cellStyle name="20% - Accent2 13 4 3 2 2" xfId="26421"/>
    <cellStyle name="20% - Accent2 13 4 3 3" xfId="16980"/>
    <cellStyle name="20% - Accent2 13 4 3 3 2" xfId="30259"/>
    <cellStyle name="20% - Accent2 13 4 3 4" xfId="21268"/>
    <cellStyle name="20% - Accent2 13 4 4" xfId="13027"/>
    <cellStyle name="20% - Accent2 13 4 4 2" xfId="26419"/>
    <cellStyle name="20% - Accent2 13 4 5" xfId="16978"/>
    <cellStyle name="20% - Accent2 13 4 5 2" xfId="30257"/>
    <cellStyle name="20% - Accent2 13 4 6" xfId="21266"/>
    <cellStyle name="20% - Accent2 13 5" xfId="1653"/>
    <cellStyle name="20% - Accent2 13 5 2" xfId="1654"/>
    <cellStyle name="20% - Accent2 13 5 2 2" xfId="13031"/>
    <cellStyle name="20% - Accent2 13 5 2 2 2" xfId="26423"/>
    <cellStyle name="20% - Accent2 13 5 2 3" xfId="16982"/>
    <cellStyle name="20% - Accent2 13 5 2 3 2" xfId="30261"/>
    <cellStyle name="20% - Accent2 13 5 2 4" xfId="21270"/>
    <cellStyle name="20% - Accent2 13 5 3" xfId="1655"/>
    <cellStyle name="20% - Accent2 13 5 3 2" xfId="13032"/>
    <cellStyle name="20% - Accent2 13 5 3 2 2" xfId="26424"/>
    <cellStyle name="20% - Accent2 13 5 3 3" xfId="16983"/>
    <cellStyle name="20% - Accent2 13 5 3 3 2" xfId="30262"/>
    <cellStyle name="20% - Accent2 13 5 3 4" xfId="21271"/>
    <cellStyle name="20% - Accent2 13 5 4" xfId="13030"/>
    <cellStyle name="20% - Accent2 13 5 4 2" xfId="26422"/>
    <cellStyle name="20% - Accent2 13 5 5" xfId="16981"/>
    <cellStyle name="20% - Accent2 13 5 5 2" xfId="30260"/>
    <cellStyle name="20% - Accent2 13 5 6" xfId="21269"/>
    <cellStyle name="20% - Accent2 13 6" xfId="1656"/>
    <cellStyle name="20% - Accent2 13 6 2" xfId="1657"/>
    <cellStyle name="20% - Accent2 13 6 2 2" xfId="13034"/>
    <cellStyle name="20% - Accent2 13 6 2 2 2" xfId="26426"/>
    <cellStyle name="20% - Accent2 13 6 2 3" xfId="16985"/>
    <cellStyle name="20% - Accent2 13 6 2 3 2" xfId="30264"/>
    <cellStyle name="20% - Accent2 13 6 2 4" xfId="21273"/>
    <cellStyle name="20% - Accent2 13 6 3" xfId="1658"/>
    <cellStyle name="20% - Accent2 13 6 3 2" xfId="13035"/>
    <cellStyle name="20% - Accent2 13 6 3 2 2" xfId="26427"/>
    <cellStyle name="20% - Accent2 13 6 3 3" xfId="16986"/>
    <cellStyle name="20% - Accent2 13 6 3 3 2" xfId="30265"/>
    <cellStyle name="20% - Accent2 13 6 3 4" xfId="21274"/>
    <cellStyle name="20% - Accent2 13 6 4" xfId="13033"/>
    <cellStyle name="20% - Accent2 13 6 4 2" xfId="26425"/>
    <cellStyle name="20% - Accent2 13 6 5" xfId="16984"/>
    <cellStyle name="20% - Accent2 13 6 5 2" xfId="30263"/>
    <cellStyle name="20% - Accent2 13 6 6" xfId="21272"/>
    <cellStyle name="20% - Accent2 13 7" xfId="1659"/>
    <cellStyle name="20% - Accent2 13 7 2" xfId="13036"/>
    <cellStyle name="20% - Accent2 13 7 2 2" xfId="26428"/>
    <cellStyle name="20% - Accent2 13 7 3" xfId="16987"/>
    <cellStyle name="20% - Accent2 13 7 3 2" xfId="30266"/>
    <cellStyle name="20% - Accent2 13 7 4" xfId="21275"/>
    <cellStyle name="20% - Accent2 13 8" xfId="1660"/>
    <cellStyle name="20% - Accent2 13 8 2" xfId="13037"/>
    <cellStyle name="20% - Accent2 13 8 2 2" xfId="26429"/>
    <cellStyle name="20% - Accent2 13 8 3" xfId="16988"/>
    <cellStyle name="20% - Accent2 13 8 3 2" xfId="30267"/>
    <cellStyle name="20% - Accent2 13 8 4" xfId="21276"/>
    <cellStyle name="20% - Accent2 13 9" xfId="13005"/>
    <cellStyle name="20% - Accent2 13 9 2" xfId="26397"/>
    <cellStyle name="20% - Accent2 13_Volatility" xfId="1661"/>
    <cellStyle name="20% - Accent2 14" xfId="1662"/>
    <cellStyle name="20% - Accent2 14 10" xfId="16989"/>
    <cellStyle name="20% - Accent2 14 10 2" xfId="30268"/>
    <cellStyle name="20% - Accent2 14 11" xfId="21277"/>
    <cellStyle name="20% - Accent2 14 2" xfId="1663"/>
    <cellStyle name="20% - Accent2 14 2 2" xfId="1664"/>
    <cellStyle name="20% - Accent2 14 2 2 2" xfId="1665"/>
    <cellStyle name="20% - Accent2 14 2 2 2 2" xfId="13041"/>
    <cellStyle name="20% - Accent2 14 2 2 2 2 2" xfId="26433"/>
    <cellStyle name="20% - Accent2 14 2 2 2 3" xfId="16992"/>
    <cellStyle name="20% - Accent2 14 2 2 2 3 2" xfId="30271"/>
    <cellStyle name="20% - Accent2 14 2 2 2 4" xfId="21280"/>
    <cellStyle name="20% - Accent2 14 2 2 3" xfId="1666"/>
    <cellStyle name="20% - Accent2 14 2 2 3 2" xfId="13042"/>
    <cellStyle name="20% - Accent2 14 2 2 3 2 2" xfId="26434"/>
    <cellStyle name="20% - Accent2 14 2 2 3 3" xfId="16993"/>
    <cellStyle name="20% - Accent2 14 2 2 3 3 2" xfId="30272"/>
    <cellStyle name="20% - Accent2 14 2 2 3 4" xfId="21281"/>
    <cellStyle name="20% - Accent2 14 2 2 4" xfId="13040"/>
    <cellStyle name="20% - Accent2 14 2 2 4 2" xfId="26432"/>
    <cellStyle name="20% - Accent2 14 2 2 5" xfId="16991"/>
    <cellStyle name="20% - Accent2 14 2 2 5 2" xfId="30270"/>
    <cellStyle name="20% - Accent2 14 2 2 6" xfId="21279"/>
    <cellStyle name="20% - Accent2 14 2 3" xfId="1667"/>
    <cellStyle name="20% - Accent2 14 2 3 2" xfId="1668"/>
    <cellStyle name="20% - Accent2 14 2 3 2 2" xfId="13044"/>
    <cellStyle name="20% - Accent2 14 2 3 2 2 2" xfId="26436"/>
    <cellStyle name="20% - Accent2 14 2 3 2 3" xfId="16995"/>
    <cellStyle name="20% - Accent2 14 2 3 2 3 2" xfId="30274"/>
    <cellStyle name="20% - Accent2 14 2 3 2 4" xfId="21283"/>
    <cellStyle name="20% - Accent2 14 2 3 3" xfId="1669"/>
    <cellStyle name="20% - Accent2 14 2 3 3 2" xfId="13045"/>
    <cellStyle name="20% - Accent2 14 2 3 3 2 2" xfId="26437"/>
    <cellStyle name="20% - Accent2 14 2 3 3 3" xfId="16996"/>
    <cellStyle name="20% - Accent2 14 2 3 3 3 2" xfId="30275"/>
    <cellStyle name="20% - Accent2 14 2 3 3 4" xfId="21284"/>
    <cellStyle name="20% - Accent2 14 2 3 4" xfId="13043"/>
    <cellStyle name="20% - Accent2 14 2 3 4 2" xfId="26435"/>
    <cellStyle name="20% - Accent2 14 2 3 5" xfId="16994"/>
    <cellStyle name="20% - Accent2 14 2 3 5 2" xfId="30273"/>
    <cellStyle name="20% - Accent2 14 2 3 6" xfId="21282"/>
    <cellStyle name="20% - Accent2 14 2 4" xfId="1670"/>
    <cellStyle name="20% - Accent2 14 2 4 2" xfId="1671"/>
    <cellStyle name="20% - Accent2 14 2 4 2 2" xfId="13047"/>
    <cellStyle name="20% - Accent2 14 2 4 2 2 2" xfId="26439"/>
    <cellStyle name="20% - Accent2 14 2 4 2 3" xfId="16998"/>
    <cellStyle name="20% - Accent2 14 2 4 2 3 2" xfId="30277"/>
    <cellStyle name="20% - Accent2 14 2 4 2 4" xfId="21286"/>
    <cellStyle name="20% - Accent2 14 2 4 3" xfId="1672"/>
    <cellStyle name="20% - Accent2 14 2 4 3 2" xfId="13048"/>
    <cellStyle name="20% - Accent2 14 2 4 3 2 2" xfId="26440"/>
    <cellStyle name="20% - Accent2 14 2 4 3 3" xfId="16999"/>
    <cellStyle name="20% - Accent2 14 2 4 3 3 2" xfId="30278"/>
    <cellStyle name="20% - Accent2 14 2 4 3 4" xfId="21287"/>
    <cellStyle name="20% - Accent2 14 2 4 4" xfId="13046"/>
    <cellStyle name="20% - Accent2 14 2 4 4 2" xfId="26438"/>
    <cellStyle name="20% - Accent2 14 2 4 5" xfId="16997"/>
    <cellStyle name="20% - Accent2 14 2 4 5 2" xfId="30276"/>
    <cellStyle name="20% - Accent2 14 2 4 6" xfId="21285"/>
    <cellStyle name="20% - Accent2 14 2 5" xfId="1673"/>
    <cellStyle name="20% - Accent2 14 2 5 2" xfId="13049"/>
    <cellStyle name="20% - Accent2 14 2 5 2 2" xfId="26441"/>
    <cellStyle name="20% - Accent2 14 2 5 3" xfId="17000"/>
    <cellStyle name="20% - Accent2 14 2 5 3 2" xfId="30279"/>
    <cellStyle name="20% - Accent2 14 2 5 4" xfId="21288"/>
    <cellStyle name="20% - Accent2 14 2 6" xfId="1674"/>
    <cellStyle name="20% - Accent2 14 2 6 2" xfId="13050"/>
    <cellStyle name="20% - Accent2 14 2 6 2 2" xfId="26442"/>
    <cellStyle name="20% - Accent2 14 2 6 3" xfId="17001"/>
    <cellStyle name="20% - Accent2 14 2 6 3 2" xfId="30280"/>
    <cellStyle name="20% - Accent2 14 2 6 4" xfId="21289"/>
    <cellStyle name="20% - Accent2 14 2 7" xfId="13039"/>
    <cellStyle name="20% - Accent2 14 2 7 2" xfId="26431"/>
    <cellStyle name="20% - Accent2 14 2 8" xfId="16990"/>
    <cellStyle name="20% - Accent2 14 2 8 2" xfId="30269"/>
    <cellStyle name="20% - Accent2 14 2 9" xfId="21278"/>
    <cellStyle name="20% - Accent2 14 2_Volatility" xfId="1675"/>
    <cellStyle name="20% - Accent2 14 3" xfId="1676"/>
    <cellStyle name="20% - Accent2 14 3 2" xfId="1677"/>
    <cellStyle name="20% - Accent2 14 3 2 2" xfId="1678"/>
    <cellStyle name="20% - Accent2 14 3 2 2 2" xfId="13053"/>
    <cellStyle name="20% - Accent2 14 3 2 2 2 2" xfId="26445"/>
    <cellStyle name="20% - Accent2 14 3 2 2 3" xfId="17004"/>
    <cellStyle name="20% - Accent2 14 3 2 2 3 2" xfId="30283"/>
    <cellStyle name="20% - Accent2 14 3 2 2 4" xfId="21292"/>
    <cellStyle name="20% - Accent2 14 3 2 3" xfId="1679"/>
    <cellStyle name="20% - Accent2 14 3 2 3 2" xfId="13054"/>
    <cellStyle name="20% - Accent2 14 3 2 3 2 2" xfId="26446"/>
    <cellStyle name="20% - Accent2 14 3 2 3 3" xfId="17005"/>
    <cellStyle name="20% - Accent2 14 3 2 3 3 2" xfId="30284"/>
    <cellStyle name="20% - Accent2 14 3 2 3 4" xfId="21293"/>
    <cellStyle name="20% - Accent2 14 3 2 4" xfId="13052"/>
    <cellStyle name="20% - Accent2 14 3 2 4 2" xfId="26444"/>
    <cellStyle name="20% - Accent2 14 3 2 5" xfId="17003"/>
    <cellStyle name="20% - Accent2 14 3 2 5 2" xfId="30282"/>
    <cellStyle name="20% - Accent2 14 3 2 6" xfId="21291"/>
    <cellStyle name="20% - Accent2 14 3 3" xfId="1680"/>
    <cellStyle name="20% - Accent2 14 3 3 2" xfId="1681"/>
    <cellStyle name="20% - Accent2 14 3 3 2 2" xfId="13056"/>
    <cellStyle name="20% - Accent2 14 3 3 2 2 2" xfId="26448"/>
    <cellStyle name="20% - Accent2 14 3 3 2 3" xfId="17007"/>
    <cellStyle name="20% - Accent2 14 3 3 2 3 2" xfId="30286"/>
    <cellStyle name="20% - Accent2 14 3 3 2 4" xfId="21295"/>
    <cellStyle name="20% - Accent2 14 3 3 3" xfId="1682"/>
    <cellStyle name="20% - Accent2 14 3 3 3 2" xfId="13057"/>
    <cellStyle name="20% - Accent2 14 3 3 3 2 2" xfId="26449"/>
    <cellStyle name="20% - Accent2 14 3 3 3 3" xfId="17008"/>
    <cellStyle name="20% - Accent2 14 3 3 3 3 2" xfId="30287"/>
    <cellStyle name="20% - Accent2 14 3 3 3 4" xfId="21296"/>
    <cellStyle name="20% - Accent2 14 3 3 4" xfId="13055"/>
    <cellStyle name="20% - Accent2 14 3 3 4 2" xfId="26447"/>
    <cellStyle name="20% - Accent2 14 3 3 5" xfId="17006"/>
    <cellStyle name="20% - Accent2 14 3 3 5 2" xfId="30285"/>
    <cellStyle name="20% - Accent2 14 3 3 6" xfId="21294"/>
    <cellStyle name="20% - Accent2 14 3 4" xfId="1683"/>
    <cellStyle name="20% - Accent2 14 3 4 2" xfId="13058"/>
    <cellStyle name="20% - Accent2 14 3 4 2 2" xfId="26450"/>
    <cellStyle name="20% - Accent2 14 3 4 3" xfId="17009"/>
    <cellStyle name="20% - Accent2 14 3 4 3 2" xfId="30288"/>
    <cellStyle name="20% - Accent2 14 3 4 4" xfId="21297"/>
    <cellStyle name="20% - Accent2 14 3 5" xfId="1684"/>
    <cellStyle name="20% - Accent2 14 3 5 2" xfId="13059"/>
    <cellStyle name="20% - Accent2 14 3 5 2 2" xfId="26451"/>
    <cellStyle name="20% - Accent2 14 3 5 3" xfId="17010"/>
    <cellStyle name="20% - Accent2 14 3 5 3 2" xfId="30289"/>
    <cellStyle name="20% - Accent2 14 3 5 4" xfId="21298"/>
    <cellStyle name="20% - Accent2 14 3 6" xfId="13051"/>
    <cellStyle name="20% - Accent2 14 3 6 2" xfId="26443"/>
    <cellStyle name="20% - Accent2 14 3 7" xfId="17002"/>
    <cellStyle name="20% - Accent2 14 3 7 2" xfId="30281"/>
    <cellStyle name="20% - Accent2 14 3 8" xfId="21290"/>
    <cellStyle name="20% - Accent2 14 3_Volatility" xfId="1685"/>
    <cellStyle name="20% - Accent2 14 4" xfId="1686"/>
    <cellStyle name="20% - Accent2 14 4 2" xfId="1687"/>
    <cellStyle name="20% - Accent2 14 4 2 2" xfId="13061"/>
    <cellStyle name="20% - Accent2 14 4 2 2 2" xfId="26453"/>
    <cellStyle name="20% - Accent2 14 4 2 3" xfId="17012"/>
    <cellStyle name="20% - Accent2 14 4 2 3 2" xfId="30291"/>
    <cellStyle name="20% - Accent2 14 4 2 4" xfId="21300"/>
    <cellStyle name="20% - Accent2 14 4 3" xfId="1688"/>
    <cellStyle name="20% - Accent2 14 4 3 2" xfId="13062"/>
    <cellStyle name="20% - Accent2 14 4 3 2 2" xfId="26454"/>
    <cellStyle name="20% - Accent2 14 4 3 3" xfId="17013"/>
    <cellStyle name="20% - Accent2 14 4 3 3 2" xfId="30292"/>
    <cellStyle name="20% - Accent2 14 4 3 4" xfId="21301"/>
    <cellStyle name="20% - Accent2 14 4 4" xfId="13060"/>
    <cellStyle name="20% - Accent2 14 4 4 2" xfId="26452"/>
    <cellStyle name="20% - Accent2 14 4 5" xfId="17011"/>
    <cellStyle name="20% - Accent2 14 4 5 2" xfId="30290"/>
    <cellStyle name="20% - Accent2 14 4 6" xfId="21299"/>
    <cellStyle name="20% - Accent2 14 5" xfId="1689"/>
    <cellStyle name="20% - Accent2 14 5 2" xfId="1690"/>
    <cellStyle name="20% - Accent2 14 5 2 2" xfId="13064"/>
    <cellStyle name="20% - Accent2 14 5 2 2 2" xfId="26456"/>
    <cellStyle name="20% - Accent2 14 5 2 3" xfId="17015"/>
    <cellStyle name="20% - Accent2 14 5 2 3 2" xfId="30294"/>
    <cellStyle name="20% - Accent2 14 5 2 4" xfId="21303"/>
    <cellStyle name="20% - Accent2 14 5 3" xfId="1691"/>
    <cellStyle name="20% - Accent2 14 5 3 2" xfId="13065"/>
    <cellStyle name="20% - Accent2 14 5 3 2 2" xfId="26457"/>
    <cellStyle name="20% - Accent2 14 5 3 3" xfId="17016"/>
    <cellStyle name="20% - Accent2 14 5 3 3 2" xfId="30295"/>
    <cellStyle name="20% - Accent2 14 5 3 4" xfId="21304"/>
    <cellStyle name="20% - Accent2 14 5 4" xfId="13063"/>
    <cellStyle name="20% - Accent2 14 5 4 2" xfId="26455"/>
    <cellStyle name="20% - Accent2 14 5 5" xfId="17014"/>
    <cellStyle name="20% - Accent2 14 5 5 2" xfId="30293"/>
    <cellStyle name="20% - Accent2 14 5 6" xfId="21302"/>
    <cellStyle name="20% - Accent2 14 6" xfId="1692"/>
    <cellStyle name="20% - Accent2 14 6 2" xfId="1693"/>
    <cellStyle name="20% - Accent2 14 6 2 2" xfId="13067"/>
    <cellStyle name="20% - Accent2 14 6 2 2 2" xfId="26459"/>
    <cellStyle name="20% - Accent2 14 6 2 3" xfId="17018"/>
    <cellStyle name="20% - Accent2 14 6 2 3 2" xfId="30297"/>
    <cellStyle name="20% - Accent2 14 6 2 4" xfId="21306"/>
    <cellStyle name="20% - Accent2 14 6 3" xfId="1694"/>
    <cellStyle name="20% - Accent2 14 6 3 2" xfId="13068"/>
    <cellStyle name="20% - Accent2 14 6 3 2 2" xfId="26460"/>
    <cellStyle name="20% - Accent2 14 6 3 3" xfId="17019"/>
    <cellStyle name="20% - Accent2 14 6 3 3 2" xfId="30298"/>
    <cellStyle name="20% - Accent2 14 6 3 4" xfId="21307"/>
    <cellStyle name="20% - Accent2 14 6 4" xfId="13066"/>
    <cellStyle name="20% - Accent2 14 6 4 2" xfId="26458"/>
    <cellStyle name="20% - Accent2 14 6 5" xfId="17017"/>
    <cellStyle name="20% - Accent2 14 6 5 2" xfId="30296"/>
    <cellStyle name="20% - Accent2 14 6 6" xfId="21305"/>
    <cellStyle name="20% - Accent2 14 7" xfId="1695"/>
    <cellStyle name="20% - Accent2 14 7 2" xfId="13069"/>
    <cellStyle name="20% - Accent2 14 7 2 2" xfId="26461"/>
    <cellStyle name="20% - Accent2 14 7 3" xfId="17020"/>
    <cellStyle name="20% - Accent2 14 7 3 2" xfId="30299"/>
    <cellStyle name="20% - Accent2 14 7 4" xfId="21308"/>
    <cellStyle name="20% - Accent2 14 8" xfId="1696"/>
    <cellStyle name="20% - Accent2 14 8 2" xfId="13070"/>
    <cellStyle name="20% - Accent2 14 8 2 2" xfId="26462"/>
    <cellStyle name="20% - Accent2 14 8 3" xfId="17021"/>
    <cellStyle name="20% - Accent2 14 8 3 2" xfId="30300"/>
    <cellStyle name="20% - Accent2 14 8 4" xfId="21309"/>
    <cellStyle name="20% - Accent2 14 9" xfId="13038"/>
    <cellStyle name="20% - Accent2 14 9 2" xfId="26430"/>
    <cellStyle name="20% - Accent2 14_Volatility" xfId="1697"/>
    <cellStyle name="20% - Accent2 15" xfId="1698"/>
    <cellStyle name="20% - Accent2 15 10" xfId="17022"/>
    <cellStyle name="20% - Accent2 15 10 2" xfId="30301"/>
    <cellStyle name="20% - Accent2 15 11" xfId="21310"/>
    <cellStyle name="20% - Accent2 15 2" xfId="1699"/>
    <cellStyle name="20% - Accent2 15 2 2" xfId="1700"/>
    <cellStyle name="20% - Accent2 15 2 2 2" xfId="1701"/>
    <cellStyle name="20% - Accent2 15 2 2 2 2" xfId="13074"/>
    <cellStyle name="20% - Accent2 15 2 2 2 2 2" xfId="26466"/>
    <cellStyle name="20% - Accent2 15 2 2 2 3" xfId="17025"/>
    <cellStyle name="20% - Accent2 15 2 2 2 3 2" xfId="30304"/>
    <cellStyle name="20% - Accent2 15 2 2 2 4" xfId="21313"/>
    <cellStyle name="20% - Accent2 15 2 2 3" xfId="1702"/>
    <cellStyle name="20% - Accent2 15 2 2 3 2" xfId="13075"/>
    <cellStyle name="20% - Accent2 15 2 2 3 2 2" xfId="26467"/>
    <cellStyle name="20% - Accent2 15 2 2 3 3" xfId="17026"/>
    <cellStyle name="20% - Accent2 15 2 2 3 3 2" xfId="30305"/>
    <cellStyle name="20% - Accent2 15 2 2 3 4" xfId="21314"/>
    <cellStyle name="20% - Accent2 15 2 2 4" xfId="13073"/>
    <cellStyle name="20% - Accent2 15 2 2 4 2" xfId="26465"/>
    <cellStyle name="20% - Accent2 15 2 2 5" xfId="17024"/>
    <cellStyle name="20% - Accent2 15 2 2 5 2" xfId="30303"/>
    <cellStyle name="20% - Accent2 15 2 2 6" xfId="21312"/>
    <cellStyle name="20% - Accent2 15 2 3" xfId="1703"/>
    <cellStyle name="20% - Accent2 15 2 3 2" xfId="1704"/>
    <cellStyle name="20% - Accent2 15 2 3 2 2" xfId="13077"/>
    <cellStyle name="20% - Accent2 15 2 3 2 2 2" xfId="26469"/>
    <cellStyle name="20% - Accent2 15 2 3 2 3" xfId="17028"/>
    <cellStyle name="20% - Accent2 15 2 3 2 3 2" xfId="30307"/>
    <cellStyle name="20% - Accent2 15 2 3 2 4" xfId="21316"/>
    <cellStyle name="20% - Accent2 15 2 3 3" xfId="1705"/>
    <cellStyle name="20% - Accent2 15 2 3 3 2" xfId="13078"/>
    <cellStyle name="20% - Accent2 15 2 3 3 2 2" xfId="26470"/>
    <cellStyle name="20% - Accent2 15 2 3 3 3" xfId="17029"/>
    <cellStyle name="20% - Accent2 15 2 3 3 3 2" xfId="30308"/>
    <cellStyle name="20% - Accent2 15 2 3 3 4" xfId="21317"/>
    <cellStyle name="20% - Accent2 15 2 3 4" xfId="13076"/>
    <cellStyle name="20% - Accent2 15 2 3 4 2" xfId="26468"/>
    <cellStyle name="20% - Accent2 15 2 3 5" xfId="17027"/>
    <cellStyle name="20% - Accent2 15 2 3 5 2" xfId="30306"/>
    <cellStyle name="20% - Accent2 15 2 3 6" xfId="21315"/>
    <cellStyle name="20% - Accent2 15 2 4" xfId="1706"/>
    <cellStyle name="20% - Accent2 15 2 4 2" xfId="1707"/>
    <cellStyle name="20% - Accent2 15 2 4 2 2" xfId="13080"/>
    <cellStyle name="20% - Accent2 15 2 4 2 2 2" xfId="26472"/>
    <cellStyle name="20% - Accent2 15 2 4 2 3" xfId="17031"/>
    <cellStyle name="20% - Accent2 15 2 4 2 3 2" xfId="30310"/>
    <cellStyle name="20% - Accent2 15 2 4 2 4" xfId="21319"/>
    <cellStyle name="20% - Accent2 15 2 4 3" xfId="1708"/>
    <cellStyle name="20% - Accent2 15 2 4 3 2" xfId="13081"/>
    <cellStyle name="20% - Accent2 15 2 4 3 2 2" xfId="26473"/>
    <cellStyle name="20% - Accent2 15 2 4 3 3" xfId="17032"/>
    <cellStyle name="20% - Accent2 15 2 4 3 3 2" xfId="30311"/>
    <cellStyle name="20% - Accent2 15 2 4 3 4" xfId="21320"/>
    <cellStyle name="20% - Accent2 15 2 4 4" xfId="13079"/>
    <cellStyle name="20% - Accent2 15 2 4 4 2" xfId="26471"/>
    <cellStyle name="20% - Accent2 15 2 4 5" xfId="17030"/>
    <cellStyle name="20% - Accent2 15 2 4 5 2" xfId="30309"/>
    <cellStyle name="20% - Accent2 15 2 4 6" xfId="21318"/>
    <cellStyle name="20% - Accent2 15 2 5" xfId="1709"/>
    <cellStyle name="20% - Accent2 15 2 5 2" xfId="13082"/>
    <cellStyle name="20% - Accent2 15 2 5 2 2" xfId="26474"/>
    <cellStyle name="20% - Accent2 15 2 5 3" xfId="17033"/>
    <cellStyle name="20% - Accent2 15 2 5 3 2" xfId="30312"/>
    <cellStyle name="20% - Accent2 15 2 5 4" xfId="21321"/>
    <cellStyle name="20% - Accent2 15 2 6" xfId="1710"/>
    <cellStyle name="20% - Accent2 15 2 6 2" xfId="13083"/>
    <cellStyle name="20% - Accent2 15 2 6 2 2" xfId="26475"/>
    <cellStyle name="20% - Accent2 15 2 6 3" xfId="17034"/>
    <cellStyle name="20% - Accent2 15 2 6 3 2" xfId="30313"/>
    <cellStyle name="20% - Accent2 15 2 6 4" xfId="21322"/>
    <cellStyle name="20% - Accent2 15 2 7" xfId="13072"/>
    <cellStyle name="20% - Accent2 15 2 7 2" xfId="26464"/>
    <cellStyle name="20% - Accent2 15 2 8" xfId="17023"/>
    <cellStyle name="20% - Accent2 15 2 8 2" xfId="30302"/>
    <cellStyle name="20% - Accent2 15 2 9" xfId="21311"/>
    <cellStyle name="20% - Accent2 15 2_Volatility" xfId="1711"/>
    <cellStyle name="20% - Accent2 15 3" xfId="1712"/>
    <cellStyle name="20% - Accent2 15 3 2" xfId="1713"/>
    <cellStyle name="20% - Accent2 15 3 2 2" xfId="1714"/>
    <cellStyle name="20% - Accent2 15 3 2 2 2" xfId="13086"/>
    <cellStyle name="20% - Accent2 15 3 2 2 2 2" xfId="26478"/>
    <cellStyle name="20% - Accent2 15 3 2 2 3" xfId="17037"/>
    <cellStyle name="20% - Accent2 15 3 2 2 3 2" xfId="30316"/>
    <cellStyle name="20% - Accent2 15 3 2 2 4" xfId="21325"/>
    <cellStyle name="20% - Accent2 15 3 2 3" xfId="1715"/>
    <cellStyle name="20% - Accent2 15 3 2 3 2" xfId="13087"/>
    <cellStyle name="20% - Accent2 15 3 2 3 2 2" xfId="26479"/>
    <cellStyle name="20% - Accent2 15 3 2 3 3" xfId="17038"/>
    <cellStyle name="20% - Accent2 15 3 2 3 3 2" xfId="30317"/>
    <cellStyle name="20% - Accent2 15 3 2 3 4" xfId="21326"/>
    <cellStyle name="20% - Accent2 15 3 2 4" xfId="13085"/>
    <cellStyle name="20% - Accent2 15 3 2 4 2" xfId="26477"/>
    <cellStyle name="20% - Accent2 15 3 2 5" xfId="17036"/>
    <cellStyle name="20% - Accent2 15 3 2 5 2" xfId="30315"/>
    <cellStyle name="20% - Accent2 15 3 2 6" xfId="21324"/>
    <cellStyle name="20% - Accent2 15 3 3" xfId="1716"/>
    <cellStyle name="20% - Accent2 15 3 3 2" xfId="1717"/>
    <cellStyle name="20% - Accent2 15 3 3 2 2" xfId="13089"/>
    <cellStyle name="20% - Accent2 15 3 3 2 2 2" xfId="26481"/>
    <cellStyle name="20% - Accent2 15 3 3 2 3" xfId="17040"/>
    <cellStyle name="20% - Accent2 15 3 3 2 3 2" xfId="30319"/>
    <cellStyle name="20% - Accent2 15 3 3 2 4" xfId="21328"/>
    <cellStyle name="20% - Accent2 15 3 3 3" xfId="1718"/>
    <cellStyle name="20% - Accent2 15 3 3 3 2" xfId="13090"/>
    <cellStyle name="20% - Accent2 15 3 3 3 2 2" xfId="26482"/>
    <cellStyle name="20% - Accent2 15 3 3 3 3" xfId="17041"/>
    <cellStyle name="20% - Accent2 15 3 3 3 3 2" xfId="30320"/>
    <cellStyle name="20% - Accent2 15 3 3 3 4" xfId="21329"/>
    <cellStyle name="20% - Accent2 15 3 3 4" xfId="13088"/>
    <cellStyle name="20% - Accent2 15 3 3 4 2" xfId="26480"/>
    <cellStyle name="20% - Accent2 15 3 3 5" xfId="17039"/>
    <cellStyle name="20% - Accent2 15 3 3 5 2" xfId="30318"/>
    <cellStyle name="20% - Accent2 15 3 3 6" xfId="21327"/>
    <cellStyle name="20% - Accent2 15 3 4" xfId="1719"/>
    <cellStyle name="20% - Accent2 15 3 4 2" xfId="13091"/>
    <cellStyle name="20% - Accent2 15 3 4 2 2" xfId="26483"/>
    <cellStyle name="20% - Accent2 15 3 4 3" xfId="17042"/>
    <cellStyle name="20% - Accent2 15 3 4 3 2" xfId="30321"/>
    <cellStyle name="20% - Accent2 15 3 4 4" xfId="21330"/>
    <cellStyle name="20% - Accent2 15 3 5" xfId="1720"/>
    <cellStyle name="20% - Accent2 15 3 5 2" xfId="13092"/>
    <cellStyle name="20% - Accent2 15 3 5 2 2" xfId="26484"/>
    <cellStyle name="20% - Accent2 15 3 5 3" xfId="17043"/>
    <cellStyle name="20% - Accent2 15 3 5 3 2" xfId="30322"/>
    <cellStyle name="20% - Accent2 15 3 5 4" xfId="21331"/>
    <cellStyle name="20% - Accent2 15 3 6" xfId="13084"/>
    <cellStyle name="20% - Accent2 15 3 6 2" xfId="26476"/>
    <cellStyle name="20% - Accent2 15 3 7" xfId="17035"/>
    <cellStyle name="20% - Accent2 15 3 7 2" xfId="30314"/>
    <cellStyle name="20% - Accent2 15 3 8" xfId="21323"/>
    <cellStyle name="20% - Accent2 15 3_Volatility" xfId="1721"/>
    <cellStyle name="20% - Accent2 15 4" xfId="1722"/>
    <cellStyle name="20% - Accent2 15 4 2" xfId="1723"/>
    <cellStyle name="20% - Accent2 15 4 2 2" xfId="13094"/>
    <cellStyle name="20% - Accent2 15 4 2 2 2" xfId="26486"/>
    <cellStyle name="20% - Accent2 15 4 2 3" xfId="17045"/>
    <cellStyle name="20% - Accent2 15 4 2 3 2" xfId="30324"/>
    <cellStyle name="20% - Accent2 15 4 2 4" xfId="21333"/>
    <cellStyle name="20% - Accent2 15 4 3" xfId="1724"/>
    <cellStyle name="20% - Accent2 15 4 3 2" xfId="13095"/>
    <cellStyle name="20% - Accent2 15 4 3 2 2" xfId="26487"/>
    <cellStyle name="20% - Accent2 15 4 3 3" xfId="17046"/>
    <cellStyle name="20% - Accent2 15 4 3 3 2" xfId="30325"/>
    <cellStyle name="20% - Accent2 15 4 3 4" xfId="21334"/>
    <cellStyle name="20% - Accent2 15 4 4" xfId="13093"/>
    <cellStyle name="20% - Accent2 15 4 4 2" xfId="26485"/>
    <cellStyle name="20% - Accent2 15 4 5" xfId="17044"/>
    <cellStyle name="20% - Accent2 15 4 5 2" xfId="30323"/>
    <cellStyle name="20% - Accent2 15 4 6" xfId="21332"/>
    <cellStyle name="20% - Accent2 15 5" xfId="1725"/>
    <cellStyle name="20% - Accent2 15 5 2" xfId="1726"/>
    <cellStyle name="20% - Accent2 15 5 2 2" xfId="13097"/>
    <cellStyle name="20% - Accent2 15 5 2 2 2" xfId="26489"/>
    <cellStyle name="20% - Accent2 15 5 2 3" xfId="17048"/>
    <cellStyle name="20% - Accent2 15 5 2 3 2" xfId="30327"/>
    <cellStyle name="20% - Accent2 15 5 2 4" xfId="21336"/>
    <cellStyle name="20% - Accent2 15 5 3" xfId="1727"/>
    <cellStyle name="20% - Accent2 15 5 3 2" xfId="13098"/>
    <cellStyle name="20% - Accent2 15 5 3 2 2" xfId="26490"/>
    <cellStyle name="20% - Accent2 15 5 3 3" xfId="17049"/>
    <cellStyle name="20% - Accent2 15 5 3 3 2" xfId="30328"/>
    <cellStyle name="20% - Accent2 15 5 3 4" xfId="21337"/>
    <cellStyle name="20% - Accent2 15 5 4" xfId="13096"/>
    <cellStyle name="20% - Accent2 15 5 4 2" xfId="26488"/>
    <cellStyle name="20% - Accent2 15 5 5" xfId="17047"/>
    <cellStyle name="20% - Accent2 15 5 5 2" xfId="30326"/>
    <cellStyle name="20% - Accent2 15 5 6" xfId="21335"/>
    <cellStyle name="20% - Accent2 15 6" xfId="1728"/>
    <cellStyle name="20% - Accent2 15 6 2" xfId="1729"/>
    <cellStyle name="20% - Accent2 15 6 2 2" xfId="13100"/>
    <cellStyle name="20% - Accent2 15 6 2 2 2" xfId="26492"/>
    <cellStyle name="20% - Accent2 15 6 2 3" xfId="17051"/>
    <cellStyle name="20% - Accent2 15 6 2 3 2" xfId="30330"/>
    <cellStyle name="20% - Accent2 15 6 2 4" xfId="21339"/>
    <cellStyle name="20% - Accent2 15 6 3" xfId="1730"/>
    <cellStyle name="20% - Accent2 15 6 3 2" xfId="13101"/>
    <cellStyle name="20% - Accent2 15 6 3 2 2" xfId="26493"/>
    <cellStyle name="20% - Accent2 15 6 3 3" xfId="17052"/>
    <cellStyle name="20% - Accent2 15 6 3 3 2" xfId="30331"/>
    <cellStyle name="20% - Accent2 15 6 3 4" xfId="21340"/>
    <cellStyle name="20% - Accent2 15 6 4" xfId="13099"/>
    <cellStyle name="20% - Accent2 15 6 4 2" xfId="26491"/>
    <cellStyle name="20% - Accent2 15 6 5" xfId="17050"/>
    <cellStyle name="20% - Accent2 15 6 5 2" xfId="30329"/>
    <cellStyle name="20% - Accent2 15 6 6" xfId="21338"/>
    <cellStyle name="20% - Accent2 15 7" xfId="1731"/>
    <cellStyle name="20% - Accent2 15 7 2" xfId="13102"/>
    <cellStyle name="20% - Accent2 15 7 2 2" xfId="26494"/>
    <cellStyle name="20% - Accent2 15 7 3" xfId="17053"/>
    <cellStyle name="20% - Accent2 15 7 3 2" xfId="30332"/>
    <cellStyle name="20% - Accent2 15 7 4" xfId="21341"/>
    <cellStyle name="20% - Accent2 15 8" xfId="1732"/>
    <cellStyle name="20% - Accent2 15 8 2" xfId="13103"/>
    <cellStyle name="20% - Accent2 15 8 2 2" xfId="26495"/>
    <cellStyle name="20% - Accent2 15 8 3" xfId="17054"/>
    <cellStyle name="20% - Accent2 15 8 3 2" xfId="30333"/>
    <cellStyle name="20% - Accent2 15 8 4" xfId="21342"/>
    <cellStyle name="20% - Accent2 15 9" xfId="13071"/>
    <cellStyle name="20% - Accent2 15 9 2" xfId="26463"/>
    <cellStyle name="20% - Accent2 15_Volatility" xfId="1733"/>
    <cellStyle name="20% - Accent2 16" xfId="1734"/>
    <cellStyle name="20% - Accent2 16 2" xfId="13104"/>
    <cellStyle name="20% - Accent2 16 2 2" xfId="26496"/>
    <cellStyle name="20% - Accent2 16 3" xfId="17055"/>
    <cellStyle name="20% - Accent2 16 3 2" xfId="30334"/>
    <cellStyle name="20% - Accent2 16 4" xfId="21343"/>
    <cellStyle name="20% - Accent2 17" xfId="1735"/>
    <cellStyle name="20% - Accent2 17 2" xfId="13105"/>
    <cellStyle name="20% - Accent2 17 2 2" xfId="26497"/>
    <cellStyle name="20% - Accent2 17 3" xfId="17056"/>
    <cellStyle name="20% - Accent2 17 3 2" xfId="30335"/>
    <cellStyle name="20% - Accent2 17 4" xfId="21344"/>
    <cellStyle name="20% - Accent2 18" xfId="1736"/>
    <cellStyle name="20% - Accent2 18 2" xfId="13106"/>
    <cellStyle name="20% - Accent2 18 2 2" xfId="26498"/>
    <cellStyle name="20% - Accent2 18 3" xfId="17057"/>
    <cellStyle name="20% - Accent2 18 3 2" xfId="30336"/>
    <cellStyle name="20% - Accent2 18 4" xfId="21345"/>
    <cellStyle name="20% - Accent2 19" xfId="1737"/>
    <cellStyle name="20% - Accent2 19 2" xfId="13107"/>
    <cellStyle name="20% - Accent2 19 2 2" xfId="26499"/>
    <cellStyle name="20% - Accent2 19 3" xfId="17058"/>
    <cellStyle name="20% - Accent2 19 3 2" xfId="30337"/>
    <cellStyle name="20% - Accent2 19 4" xfId="21346"/>
    <cellStyle name="20% - Accent2 2" xfId="1738"/>
    <cellStyle name="20% - Accent2 2 10" xfId="17059"/>
    <cellStyle name="20% - Accent2 2 10 2" xfId="30338"/>
    <cellStyle name="20% - Accent2 2 11" xfId="21347"/>
    <cellStyle name="20% - Accent2 2 2" xfId="1739"/>
    <cellStyle name="20% - Accent2 2 2 2" xfId="1740"/>
    <cellStyle name="20% - Accent2 2 2 2 2" xfId="1741"/>
    <cellStyle name="20% - Accent2 2 2 2 2 2" xfId="13111"/>
    <cellStyle name="20% - Accent2 2 2 2 2 2 2" xfId="26503"/>
    <cellStyle name="20% - Accent2 2 2 2 2 3" xfId="17062"/>
    <cellStyle name="20% - Accent2 2 2 2 2 3 2" xfId="30341"/>
    <cellStyle name="20% - Accent2 2 2 2 2 4" xfId="21350"/>
    <cellStyle name="20% - Accent2 2 2 2 3" xfId="1742"/>
    <cellStyle name="20% - Accent2 2 2 2 3 2" xfId="13112"/>
    <cellStyle name="20% - Accent2 2 2 2 3 2 2" xfId="26504"/>
    <cellStyle name="20% - Accent2 2 2 2 3 3" xfId="17063"/>
    <cellStyle name="20% - Accent2 2 2 2 3 3 2" xfId="30342"/>
    <cellStyle name="20% - Accent2 2 2 2 3 4" xfId="21351"/>
    <cellStyle name="20% - Accent2 2 2 2 4" xfId="13110"/>
    <cellStyle name="20% - Accent2 2 2 2 4 2" xfId="26502"/>
    <cellStyle name="20% - Accent2 2 2 2 5" xfId="17061"/>
    <cellStyle name="20% - Accent2 2 2 2 5 2" xfId="30340"/>
    <cellStyle name="20% - Accent2 2 2 2 6" xfId="21349"/>
    <cellStyle name="20% - Accent2 2 2 3" xfId="1743"/>
    <cellStyle name="20% - Accent2 2 2 3 2" xfId="1744"/>
    <cellStyle name="20% - Accent2 2 2 3 2 2" xfId="13114"/>
    <cellStyle name="20% - Accent2 2 2 3 2 2 2" xfId="26506"/>
    <cellStyle name="20% - Accent2 2 2 3 2 3" xfId="17065"/>
    <cellStyle name="20% - Accent2 2 2 3 2 3 2" xfId="30344"/>
    <cellStyle name="20% - Accent2 2 2 3 2 4" xfId="21353"/>
    <cellStyle name="20% - Accent2 2 2 3 3" xfId="1745"/>
    <cellStyle name="20% - Accent2 2 2 3 3 2" xfId="13115"/>
    <cellStyle name="20% - Accent2 2 2 3 3 2 2" xfId="26507"/>
    <cellStyle name="20% - Accent2 2 2 3 3 3" xfId="17066"/>
    <cellStyle name="20% - Accent2 2 2 3 3 3 2" xfId="30345"/>
    <cellStyle name="20% - Accent2 2 2 3 3 4" xfId="21354"/>
    <cellStyle name="20% - Accent2 2 2 3 4" xfId="13113"/>
    <cellStyle name="20% - Accent2 2 2 3 4 2" xfId="26505"/>
    <cellStyle name="20% - Accent2 2 2 3 5" xfId="17064"/>
    <cellStyle name="20% - Accent2 2 2 3 5 2" xfId="30343"/>
    <cellStyle name="20% - Accent2 2 2 3 6" xfId="21352"/>
    <cellStyle name="20% - Accent2 2 2 4" xfId="1746"/>
    <cellStyle name="20% - Accent2 2 2 4 2" xfId="1747"/>
    <cellStyle name="20% - Accent2 2 2 4 2 2" xfId="13117"/>
    <cellStyle name="20% - Accent2 2 2 4 2 2 2" xfId="26509"/>
    <cellStyle name="20% - Accent2 2 2 4 2 3" xfId="17068"/>
    <cellStyle name="20% - Accent2 2 2 4 2 3 2" xfId="30347"/>
    <cellStyle name="20% - Accent2 2 2 4 2 4" xfId="21356"/>
    <cellStyle name="20% - Accent2 2 2 4 3" xfId="1748"/>
    <cellStyle name="20% - Accent2 2 2 4 3 2" xfId="13118"/>
    <cellStyle name="20% - Accent2 2 2 4 3 2 2" xfId="26510"/>
    <cellStyle name="20% - Accent2 2 2 4 3 3" xfId="17069"/>
    <cellStyle name="20% - Accent2 2 2 4 3 3 2" xfId="30348"/>
    <cellStyle name="20% - Accent2 2 2 4 3 4" xfId="21357"/>
    <cellStyle name="20% - Accent2 2 2 4 4" xfId="13116"/>
    <cellStyle name="20% - Accent2 2 2 4 4 2" xfId="26508"/>
    <cellStyle name="20% - Accent2 2 2 4 5" xfId="17067"/>
    <cellStyle name="20% - Accent2 2 2 4 5 2" xfId="30346"/>
    <cellStyle name="20% - Accent2 2 2 4 6" xfId="21355"/>
    <cellStyle name="20% - Accent2 2 2 5" xfId="1749"/>
    <cellStyle name="20% - Accent2 2 2 5 2" xfId="13119"/>
    <cellStyle name="20% - Accent2 2 2 5 2 2" xfId="26511"/>
    <cellStyle name="20% - Accent2 2 2 5 3" xfId="17070"/>
    <cellStyle name="20% - Accent2 2 2 5 3 2" xfId="30349"/>
    <cellStyle name="20% - Accent2 2 2 5 4" xfId="21358"/>
    <cellStyle name="20% - Accent2 2 2 6" xfId="1750"/>
    <cellStyle name="20% - Accent2 2 2 6 2" xfId="13120"/>
    <cellStyle name="20% - Accent2 2 2 6 2 2" xfId="26512"/>
    <cellStyle name="20% - Accent2 2 2 6 3" xfId="17071"/>
    <cellStyle name="20% - Accent2 2 2 6 3 2" xfId="30350"/>
    <cellStyle name="20% - Accent2 2 2 6 4" xfId="21359"/>
    <cellStyle name="20% - Accent2 2 2 7" xfId="13109"/>
    <cellStyle name="20% - Accent2 2 2 7 2" xfId="26501"/>
    <cellStyle name="20% - Accent2 2 2 8" xfId="17060"/>
    <cellStyle name="20% - Accent2 2 2 8 2" xfId="30339"/>
    <cellStyle name="20% - Accent2 2 2 9" xfId="21348"/>
    <cellStyle name="20% - Accent2 2 2_Volatility" xfId="1751"/>
    <cellStyle name="20% - Accent2 2 3" xfId="1752"/>
    <cellStyle name="20% - Accent2 2 3 2" xfId="1753"/>
    <cellStyle name="20% - Accent2 2 3 2 2" xfId="1754"/>
    <cellStyle name="20% - Accent2 2 3 2 2 2" xfId="13123"/>
    <cellStyle name="20% - Accent2 2 3 2 2 2 2" xfId="26515"/>
    <cellStyle name="20% - Accent2 2 3 2 2 3" xfId="17074"/>
    <cellStyle name="20% - Accent2 2 3 2 2 3 2" xfId="30353"/>
    <cellStyle name="20% - Accent2 2 3 2 2 4" xfId="21362"/>
    <cellStyle name="20% - Accent2 2 3 2 3" xfId="1755"/>
    <cellStyle name="20% - Accent2 2 3 2 3 2" xfId="13124"/>
    <cellStyle name="20% - Accent2 2 3 2 3 2 2" xfId="26516"/>
    <cellStyle name="20% - Accent2 2 3 2 3 3" xfId="17075"/>
    <cellStyle name="20% - Accent2 2 3 2 3 3 2" xfId="30354"/>
    <cellStyle name="20% - Accent2 2 3 2 3 4" xfId="21363"/>
    <cellStyle name="20% - Accent2 2 3 2 4" xfId="13122"/>
    <cellStyle name="20% - Accent2 2 3 2 4 2" xfId="26514"/>
    <cellStyle name="20% - Accent2 2 3 2 5" xfId="17073"/>
    <cellStyle name="20% - Accent2 2 3 2 5 2" xfId="30352"/>
    <cellStyle name="20% - Accent2 2 3 2 6" xfId="21361"/>
    <cellStyle name="20% - Accent2 2 3 3" xfId="1756"/>
    <cellStyle name="20% - Accent2 2 3 3 2" xfId="1757"/>
    <cellStyle name="20% - Accent2 2 3 3 2 2" xfId="13126"/>
    <cellStyle name="20% - Accent2 2 3 3 2 2 2" xfId="26518"/>
    <cellStyle name="20% - Accent2 2 3 3 2 3" xfId="17077"/>
    <cellStyle name="20% - Accent2 2 3 3 2 3 2" xfId="30356"/>
    <cellStyle name="20% - Accent2 2 3 3 2 4" xfId="21365"/>
    <cellStyle name="20% - Accent2 2 3 3 3" xfId="1758"/>
    <cellStyle name="20% - Accent2 2 3 3 3 2" xfId="13127"/>
    <cellStyle name="20% - Accent2 2 3 3 3 2 2" xfId="26519"/>
    <cellStyle name="20% - Accent2 2 3 3 3 3" xfId="17078"/>
    <cellStyle name="20% - Accent2 2 3 3 3 3 2" xfId="30357"/>
    <cellStyle name="20% - Accent2 2 3 3 3 4" xfId="21366"/>
    <cellStyle name="20% - Accent2 2 3 3 4" xfId="13125"/>
    <cellStyle name="20% - Accent2 2 3 3 4 2" xfId="26517"/>
    <cellStyle name="20% - Accent2 2 3 3 5" xfId="17076"/>
    <cellStyle name="20% - Accent2 2 3 3 5 2" xfId="30355"/>
    <cellStyle name="20% - Accent2 2 3 3 6" xfId="21364"/>
    <cellStyle name="20% - Accent2 2 3 4" xfId="1759"/>
    <cellStyle name="20% - Accent2 2 3 4 2" xfId="13128"/>
    <cellStyle name="20% - Accent2 2 3 4 2 2" xfId="26520"/>
    <cellStyle name="20% - Accent2 2 3 4 3" xfId="17079"/>
    <cellStyle name="20% - Accent2 2 3 4 3 2" xfId="30358"/>
    <cellStyle name="20% - Accent2 2 3 4 4" xfId="21367"/>
    <cellStyle name="20% - Accent2 2 3 5" xfId="1760"/>
    <cellStyle name="20% - Accent2 2 3 5 2" xfId="13129"/>
    <cellStyle name="20% - Accent2 2 3 5 2 2" xfId="26521"/>
    <cellStyle name="20% - Accent2 2 3 5 3" xfId="17080"/>
    <cellStyle name="20% - Accent2 2 3 5 3 2" xfId="30359"/>
    <cellStyle name="20% - Accent2 2 3 5 4" xfId="21368"/>
    <cellStyle name="20% - Accent2 2 3 6" xfId="13121"/>
    <cellStyle name="20% - Accent2 2 3 6 2" xfId="26513"/>
    <cellStyle name="20% - Accent2 2 3 7" xfId="17072"/>
    <cellStyle name="20% - Accent2 2 3 7 2" xfId="30351"/>
    <cellStyle name="20% - Accent2 2 3 8" xfId="21360"/>
    <cellStyle name="20% - Accent2 2 3_Volatility" xfId="1761"/>
    <cellStyle name="20% - Accent2 2 4" xfId="1762"/>
    <cellStyle name="20% - Accent2 2 4 2" xfId="1763"/>
    <cellStyle name="20% - Accent2 2 4 2 2" xfId="13131"/>
    <cellStyle name="20% - Accent2 2 4 2 2 2" xfId="26523"/>
    <cellStyle name="20% - Accent2 2 4 2 3" xfId="17082"/>
    <cellStyle name="20% - Accent2 2 4 2 3 2" xfId="30361"/>
    <cellStyle name="20% - Accent2 2 4 2 4" xfId="21370"/>
    <cellStyle name="20% - Accent2 2 4 3" xfId="1764"/>
    <cellStyle name="20% - Accent2 2 4 3 2" xfId="13132"/>
    <cellStyle name="20% - Accent2 2 4 3 2 2" xfId="26524"/>
    <cellStyle name="20% - Accent2 2 4 3 3" xfId="17083"/>
    <cellStyle name="20% - Accent2 2 4 3 3 2" xfId="30362"/>
    <cellStyle name="20% - Accent2 2 4 3 4" xfId="21371"/>
    <cellStyle name="20% - Accent2 2 4 4" xfId="13130"/>
    <cellStyle name="20% - Accent2 2 4 4 2" xfId="26522"/>
    <cellStyle name="20% - Accent2 2 4 5" xfId="17081"/>
    <cellStyle name="20% - Accent2 2 4 5 2" xfId="30360"/>
    <cellStyle name="20% - Accent2 2 4 6" xfId="21369"/>
    <cellStyle name="20% - Accent2 2 5" xfId="1765"/>
    <cellStyle name="20% - Accent2 2 5 2" xfId="1766"/>
    <cellStyle name="20% - Accent2 2 5 2 2" xfId="13134"/>
    <cellStyle name="20% - Accent2 2 5 2 2 2" xfId="26526"/>
    <cellStyle name="20% - Accent2 2 5 2 3" xfId="17085"/>
    <cellStyle name="20% - Accent2 2 5 2 3 2" xfId="30364"/>
    <cellStyle name="20% - Accent2 2 5 2 4" xfId="21373"/>
    <cellStyle name="20% - Accent2 2 5 3" xfId="1767"/>
    <cellStyle name="20% - Accent2 2 5 3 2" xfId="13135"/>
    <cellStyle name="20% - Accent2 2 5 3 2 2" xfId="26527"/>
    <cellStyle name="20% - Accent2 2 5 3 3" xfId="17086"/>
    <cellStyle name="20% - Accent2 2 5 3 3 2" xfId="30365"/>
    <cellStyle name="20% - Accent2 2 5 3 4" xfId="21374"/>
    <cellStyle name="20% - Accent2 2 5 4" xfId="13133"/>
    <cellStyle name="20% - Accent2 2 5 4 2" xfId="26525"/>
    <cellStyle name="20% - Accent2 2 5 5" xfId="17084"/>
    <cellStyle name="20% - Accent2 2 5 5 2" xfId="30363"/>
    <cellStyle name="20% - Accent2 2 5 6" xfId="21372"/>
    <cellStyle name="20% - Accent2 2 6" xfId="1768"/>
    <cellStyle name="20% - Accent2 2 6 2" xfId="1769"/>
    <cellStyle name="20% - Accent2 2 6 2 2" xfId="13137"/>
    <cellStyle name="20% - Accent2 2 6 2 2 2" xfId="26529"/>
    <cellStyle name="20% - Accent2 2 6 2 3" xfId="17088"/>
    <cellStyle name="20% - Accent2 2 6 2 3 2" xfId="30367"/>
    <cellStyle name="20% - Accent2 2 6 2 4" xfId="21376"/>
    <cellStyle name="20% - Accent2 2 6 3" xfId="1770"/>
    <cellStyle name="20% - Accent2 2 6 3 2" xfId="13138"/>
    <cellStyle name="20% - Accent2 2 6 3 2 2" xfId="26530"/>
    <cellStyle name="20% - Accent2 2 6 3 3" xfId="17089"/>
    <cellStyle name="20% - Accent2 2 6 3 3 2" xfId="30368"/>
    <cellStyle name="20% - Accent2 2 6 3 4" xfId="21377"/>
    <cellStyle name="20% - Accent2 2 6 4" xfId="13136"/>
    <cellStyle name="20% - Accent2 2 6 4 2" xfId="26528"/>
    <cellStyle name="20% - Accent2 2 6 5" xfId="17087"/>
    <cellStyle name="20% - Accent2 2 6 5 2" xfId="30366"/>
    <cellStyle name="20% - Accent2 2 6 6" xfId="21375"/>
    <cellStyle name="20% - Accent2 2 7" xfId="1771"/>
    <cellStyle name="20% - Accent2 2 7 2" xfId="13139"/>
    <cellStyle name="20% - Accent2 2 7 2 2" xfId="26531"/>
    <cellStyle name="20% - Accent2 2 7 3" xfId="17090"/>
    <cellStyle name="20% - Accent2 2 7 3 2" xfId="30369"/>
    <cellStyle name="20% - Accent2 2 7 4" xfId="21378"/>
    <cellStyle name="20% - Accent2 2 8" xfId="1772"/>
    <cellStyle name="20% - Accent2 2 8 2" xfId="13140"/>
    <cellStyle name="20% - Accent2 2 8 2 2" xfId="26532"/>
    <cellStyle name="20% - Accent2 2 8 3" xfId="17091"/>
    <cellStyle name="20% - Accent2 2 8 3 2" xfId="30370"/>
    <cellStyle name="20% - Accent2 2 8 4" xfId="21379"/>
    <cellStyle name="20% - Accent2 2 9" xfId="13108"/>
    <cellStyle name="20% - Accent2 2 9 2" xfId="26500"/>
    <cellStyle name="20% - Accent2 2_Volatility" xfId="1773"/>
    <cellStyle name="20% - Accent2 3" xfId="1774"/>
    <cellStyle name="20% - Accent2 3 10" xfId="17092"/>
    <cellStyle name="20% - Accent2 3 10 2" xfId="30371"/>
    <cellStyle name="20% - Accent2 3 11" xfId="21380"/>
    <cellStyle name="20% - Accent2 3 2" xfId="1775"/>
    <cellStyle name="20% - Accent2 3 2 2" xfId="1776"/>
    <cellStyle name="20% - Accent2 3 2 2 2" xfId="1777"/>
    <cellStyle name="20% - Accent2 3 2 2 2 2" xfId="13144"/>
    <cellStyle name="20% - Accent2 3 2 2 2 2 2" xfId="26536"/>
    <cellStyle name="20% - Accent2 3 2 2 2 3" xfId="17095"/>
    <cellStyle name="20% - Accent2 3 2 2 2 3 2" xfId="30374"/>
    <cellStyle name="20% - Accent2 3 2 2 2 4" xfId="21383"/>
    <cellStyle name="20% - Accent2 3 2 2 3" xfId="1778"/>
    <cellStyle name="20% - Accent2 3 2 2 3 2" xfId="13145"/>
    <cellStyle name="20% - Accent2 3 2 2 3 2 2" xfId="26537"/>
    <cellStyle name="20% - Accent2 3 2 2 3 3" xfId="17096"/>
    <cellStyle name="20% - Accent2 3 2 2 3 3 2" xfId="30375"/>
    <cellStyle name="20% - Accent2 3 2 2 3 4" xfId="21384"/>
    <cellStyle name="20% - Accent2 3 2 2 4" xfId="13143"/>
    <cellStyle name="20% - Accent2 3 2 2 4 2" xfId="26535"/>
    <cellStyle name="20% - Accent2 3 2 2 5" xfId="17094"/>
    <cellStyle name="20% - Accent2 3 2 2 5 2" xfId="30373"/>
    <cellStyle name="20% - Accent2 3 2 2 6" xfId="21382"/>
    <cellStyle name="20% - Accent2 3 2 3" xfId="1779"/>
    <cellStyle name="20% - Accent2 3 2 3 2" xfId="1780"/>
    <cellStyle name="20% - Accent2 3 2 3 2 2" xfId="13147"/>
    <cellStyle name="20% - Accent2 3 2 3 2 2 2" xfId="26539"/>
    <cellStyle name="20% - Accent2 3 2 3 2 3" xfId="17098"/>
    <cellStyle name="20% - Accent2 3 2 3 2 3 2" xfId="30377"/>
    <cellStyle name="20% - Accent2 3 2 3 2 4" xfId="21386"/>
    <cellStyle name="20% - Accent2 3 2 3 3" xfId="1781"/>
    <cellStyle name="20% - Accent2 3 2 3 3 2" xfId="13148"/>
    <cellStyle name="20% - Accent2 3 2 3 3 2 2" xfId="26540"/>
    <cellStyle name="20% - Accent2 3 2 3 3 3" xfId="17099"/>
    <cellStyle name="20% - Accent2 3 2 3 3 3 2" xfId="30378"/>
    <cellStyle name="20% - Accent2 3 2 3 3 4" xfId="21387"/>
    <cellStyle name="20% - Accent2 3 2 3 4" xfId="13146"/>
    <cellStyle name="20% - Accent2 3 2 3 4 2" xfId="26538"/>
    <cellStyle name="20% - Accent2 3 2 3 5" xfId="17097"/>
    <cellStyle name="20% - Accent2 3 2 3 5 2" xfId="30376"/>
    <cellStyle name="20% - Accent2 3 2 3 6" xfId="21385"/>
    <cellStyle name="20% - Accent2 3 2 4" xfId="1782"/>
    <cellStyle name="20% - Accent2 3 2 4 2" xfId="1783"/>
    <cellStyle name="20% - Accent2 3 2 4 2 2" xfId="13150"/>
    <cellStyle name="20% - Accent2 3 2 4 2 2 2" xfId="26542"/>
    <cellStyle name="20% - Accent2 3 2 4 2 3" xfId="17101"/>
    <cellStyle name="20% - Accent2 3 2 4 2 3 2" xfId="30380"/>
    <cellStyle name="20% - Accent2 3 2 4 2 4" xfId="21389"/>
    <cellStyle name="20% - Accent2 3 2 4 3" xfId="1784"/>
    <cellStyle name="20% - Accent2 3 2 4 3 2" xfId="13151"/>
    <cellStyle name="20% - Accent2 3 2 4 3 2 2" xfId="26543"/>
    <cellStyle name="20% - Accent2 3 2 4 3 3" xfId="17102"/>
    <cellStyle name="20% - Accent2 3 2 4 3 3 2" xfId="30381"/>
    <cellStyle name="20% - Accent2 3 2 4 3 4" xfId="21390"/>
    <cellStyle name="20% - Accent2 3 2 4 4" xfId="13149"/>
    <cellStyle name="20% - Accent2 3 2 4 4 2" xfId="26541"/>
    <cellStyle name="20% - Accent2 3 2 4 5" xfId="17100"/>
    <cellStyle name="20% - Accent2 3 2 4 5 2" xfId="30379"/>
    <cellStyle name="20% - Accent2 3 2 4 6" xfId="21388"/>
    <cellStyle name="20% - Accent2 3 2 5" xfId="1785"/>
    <cellStyle name="20% - Accent2 3 2 5 2" xfId="13152"/>
    <cellStyle name="20% - Accent2 3 2 5 2 2" xfId="26544"/>
    <cellStyle name="20% - Accent2 3 2 5 3" xfId="17103"/>
    <cellStyle name="20% - Accent2 3 2 5 3 2" xfId="30382"/>
    <cellStyle name="20% - Accent2 3 2 5 4" xfId="21391"/>
    <cellStyle name="20% - Accent2 3 2 6" xfId="1786"/>
    <cellStyle name="20% - Accent2 3 2 6 2" xfId="13153"/>
    <cellStyle name="20% - Accent2 3 2 6 2 2" xfId="26545"/>
    <cellStyle name="20% - Accent2 3 2 6 3" xfId="17104"/>
    <cellStyle name="20% - Accent2 3 2 6 3 2" xfId="30383"/>
    <cellStyle name="20% - Accent2 3 2 6 4" xfId="21392"/>
    <cellStyle name="20% - Accent2 3 2 7" xfId="13142"/>
    <cellStyle name="20% - Accent2 3 2 7 2" xfId="26534"/>
    <cellStyle name="20% - Accent2 3 2 8" xfId="17093"/>
    <cellStyle name="20% - Accent2 3 2 8 2" xfId="30372"/>
    <cellStyle name="20% - Accent2 3 2 9" xfId="21381"/>
    <cellStyle name="20% - Accent2 3 2_Volatility" xfId="1787"/>
    <cellStyle name="20% - Accent2 3 3" xfId="1788"/>
    <cellStyle name="20% - Accent2 3 3 2" xfId="1789"/>
    <cellStyle name="20% - Accent2 3 3 2 2" xfId="1790"/>
    <cellStyle name="20% - Accent2 3 3 2 2 2" xfId="13156"/>
    <cellStyle name="20% - Accent2 3 3 2 2 2 2" xfId="26548"/>
    <cellStyle name="20% - Accent2 3 3 2 2 3" xfId="17107"/>
    <cellStyle name="20% - Accent2 3 3 2 2 3 2" xfId="30386"/>
    <cellStyle name="20% - Accent2 3 3 2 2 4" xfId="21395"/>
    <cellStyle name="20% - Accent2 3 3 2 3" xfId="1791"/>
    <cellStyle name="20% - Accent2 3 3 2 3 2" xfId="13157"/>
    <cellStyle name="20% - Accent2 3 3 2 3 2 2" xfId="26549"/>
    <cellStyle name="20% - Accent2 3 3 2 3 3" xfId="17108"/>
    <cellStyle name="20% - Accent2 3 3 2 3 3 2" xfId="30387"/>
    <cellStyle name="20% - Accent2 3 3 2 3 4" xfId="21396"/>
    <cellStyle name="20% - Accent2 3 3 2 4" xfId="13155"/>
    <cellStyle name="20% - Accent2 3 3 2 4 2" xfId="26547"/>
    <cellStyle name="20% - Accent2 3 3 2 5" xfId="17106"/>
    <cellStyle name="20% - Accent2 3 3 2 5 2" xfId="30385"/>
    <cellStyle name="20% - Accent2 3 3 2 6" xfId="21394"/>
    <cellStyle name="20% - Accent2 3 3 3" xfId="1792"/>
    <cellStyle name="20% - Accent2 3 3 3 2" xfId="1793"/>
    <cellStyle name="20% - Accent2 3 3 3 2 2" xfId="13159"/>
    <cellStyle name="20% - Accent2 3 3 3 2 2 2" xfId="26551"/>
    <cellStyle name="20% - Accent2 3 3 3 2 3" xfId="17110"/>
    <cellStyle name="20% - Accent2 3 3 3 2 3 2" xfId="30389"/>
    <cellStyle name="20% - Accent2 3 3 3 2 4" xfId="21398"/>
    <cellStyle name="20% - Accent2 3 3 3 3" xfId="1794"/>
    <cellStyle name="20% - Accent2 3 3 3 3 2" xfId="13160"/>
    <cellStyle name="20% - Accent2 3 3 3 3 2 2" xfId="26552"/>
    <cellStyle name="20% - Accent2 3 3 3 3 3" xfId="17111"/>
    <cellStyle name="20% - Accent2 3 3 3 3 3 2" xfId="30390"/>
    <cellStyle name="20% - Accent2 3 3 3 3 4" xfId="21399"/>
    <cellStyle name="20% - Accent2 3 3 3 4" xfId="13158"/>
    <cellStyle name="20% - Accent2 3 3 3 4 2" xfId="26550"/>
    <cellStyle name="20% - Accent2 3 3 3 5" xfId="17109"/>
    <cellStyle name="20% - Accent2 3 3 3 5 2" xfId="30388"/>
    <cellStyle name="20% - Accent2 3 3 3 6" xfId="21397"/>
    <cellStyle name="20% - Accent2 3 3 4" xfId="1795"/>
    <cellStyle name="20% - Accent2 3 3 4 2" xfId="13161"/>
    <cellStyle name="20% - Accent2 3 3 4 2 2" xfId="26553"/>
    <cellStyle name="20% - Accent2 3 3 4 3" xfId="17112"/>
    <cellStyle name="20% - Accent2 3 3 4 3 2" xfId="30391"/>
    <cellStyle name="20% - Accent2 3 3 4 4" xfId="21400"/>
    <cellStyle name="20% - Accent2 3 3 5" xfId="1796"/>
    <cellStyle name="20% - Accent2 3 3 5 2" xfId="13162"/>
    <cellStyle name="20% - Accent2 3 3 5 2 2" xfId="26554"/>
    <cellStyle name="20% - Accent2 3 3 5 3" xfId="17113"/>
    <cellStyle name="20% - Accent2 3 3 5 3 2" xfId="30392"/>
    <cellStyle name="20% - Accent2 3 3 5 4" xfId="21401"/>
    <cellStyle name="20% - Accent2 3 3 6" xfId="13154"/>
    <cellStyle name="20% - Accent2 3 3 6 2" xfId="26546"/>
    <cellStyle name="20% - Accent2 3 3 7" xfId="17105"/>
    <cellStyle name="20% - Accent2 3 3 7 2" xfId="30384"/>
    <cellStyle name="20% - Accent2 3 3 8" xfId="21393"/>
    <cellStyle name="20% - Accent2 3 3_Volatility" xfId="1797"/>
    <cellStyle name="20% - Accent2 3 4" xfId="1798"/>
    <cellStyle name="20% - Accent2 3 4 2" xfId="1799"/>
    <cellStyle name="20% - Accent2 3 4 2 2" xfId="13164"/>
    <cellStyle name="20% - Accent2 3 4 2 2 2" xfId="26556"/>
    <cellStyle name="20% - Accent2 3 4 2 3" xfId="17115"/>
    <cellStyle name="20% - Accent2 3 4 2 3 2" xfId="30394"/>
    <cellStyle name="20% - Accent2 3 4 2 4" xfId="21403"/>
    <cellStyle name="20% - Accent2 3 4 3" xfId="1800"/>
    <cellStyle name="20% - Accent2 3 4 3 2" xfId="13165"/>
    <cellStyle name="20% - Accent2 3 4 3 2 2" xfId="26557"/>
    <cellStyle name="20% - Accent2 3 4 3 3" xfId="17116"/>
    <cellStyle name="20% - Accent2 3 4 3 3 2" xfId="30395"/>
    <cellStyle name="20% - Accent2 3 4 3 4" xfId="21404"/>
    <cellStyle name="20% - Accent2 3 4 4" xfId="13163"/>
    <cellStyle name="20% - Accent2 3 4 4 2" xfId="26555"/>
    <cellStyle name="20% - Accent2 3 4 5" xfId="17114"/>
    <cellStyle name="20% - Accent2 3 4 5 2" xfId="30393"/>
    <cellStyle name="20% - Accent2 3 4 6" xfId="21402"/>
    <cellStyle name="20% - Accent2 3 5" xfId="1801"/>
    <cellStyle name="20% - Accent2 3 5 2" xfId="1802"/>
    <cellStyle name="20% - Accent2 3 5 2 2" xfId="13167"/>
    <cellStyle name="20% - Accent2 3 5 2 2 2" xfId="26559"/>
    <cellStyle name="20% - Accent2 3 5 2 3" xfId="17118"/>
    <cellStyle name="20% - Accent2 3 5 2 3 2" xfId="30397"/>
    <cellStyle name="20% - Accent2 3 5 2 4" xfId="21406"/>
    <cellStyle name="20% - Accent2 3 5 3" xfId="1803"/>
    <cellStyle name="20% - Accent2 3 5 3 2" xfId="13168"/>
    <cellStyle name="20% - Accent2 3 5 3 2 2" xfId="26560"/>
    <cellStyle name="20% - Accent2 3 5 3 3" xfId="17119"/>
    <cellStyle name="20% - Accent2 3 5 3 3 2" xfId="30398"/>
    <cellStyle name="20% - Accent2 3 5 3 4" xfId="21407"/>
    <cellStyle name="20% - Accent2 3 5 4" xfId="13166"/>
    <cellStyle name="20% - Accent2 3 5 4 2" xfId="26558"/>
    <cellStyle name="20% - Accent2 3 5 5" xfId="17117"/>
    <cellStyle name="20% - Accent2 3 5 5 2" xfId="30396"/>
    <cellStyle name="20% - Accent2 3 5 6" xfId="21405"/>
    <cellStyle name="20% - Accent2 3 6" xfId="1804"/>
    <cellStyle name="20% - Accent2 3 6 2" xfId="1805"/>
    <cellStyle name="20% - Accent2 3 6 2 2" xfId="13170"/>
    <cellStyle name="20% - Accent2 3 6 2 2 2" xfId="26562"/>
    <cellStyle name="20% - Accent2 3 6 2 3" xfId="17121"/>
    <cellStyle name="20% - Accent2 3 6 2 3 2" xfId="30400"/>
    <cellStyle name="20% - Accent2 3 6 2 4" xfId="21409"/>
    <cellStyle name="20% - Accent2 3 6 3" xfId="1806"/>
    <cellStyle name="20% - Accent2 3 6 3 2" xfId="13171"/>
    <cellStyle name="20% - Accent2 3 6 3 2 2" xfId="26563"/>
    <cellStyle name="20% - Accent2 3 6 3 3" xfId="17122"/>
    <cellStyle name="20% - Accent2 3 6 3 3 2" xfId="30401"/>
    <cellStyle name="20% - Accent2 3 6 3 4" xfId="21410"/>
    <cellStyle name="20% - Accent2 3 6 4" xfId="13169"/>
    <cellStyle name="20% - Accent2 3 6 4 2" xfId="26561"/>
    <cellStyle name="20% - Accent2 3 6 5" xfId="17120"/>
    <cellStyle name="20% - Accent2 3 6 5 2" xfId="30399"/>
    <cellStyle name="20% - Accent2 3 6 6" xfId="21408"/>
    <cellStyle name="20% - Accent2 3 7" xfId="1807"/>
    <cellStyle name="20% - Accent2 3 7 2" xfId="13172"/>
    <cellStyle name="20% - Accent2 3 7 2 2" xfId="26564"/>
    <cellStyle name="20% - Accent2 3 7 3" xfId="17123"/>
    <cellStyle name="20% - Accent2 3 7 3 2" xfId="30402"/>
    <cellStyle name="20% - Accent2 3 7 4" xfId="21411"/>
    <cellStyle name="20% - Accent2 3 8" xfId="1808"/>
    <cellStyle name="20% - Accent2 3 8 2" xfId="13173"/>
    <cellStyle name="20% - Accent2 3 8 2 2" xfId="26565"/>
    <cellStyle name="20% - Accent2 3 8 3" xfId="17124"/>
    <cellStyle name="20% - Accent2 3 8 3 2" xfId="30403"/>
    <cellStyle name="20% - Accent2 3 8 4" xfId="21412"/>
    <cellStyle name="20% - Accent2 3 9" xfId="13141"/>
    <cellStyle name="20% - Accent2 3 9 2" xfId="26533"/>
    <cellStyle name="20% - Accent2 3_Volatility" xfId="1809"/>
    <cellStyle name="20% - Accent2 4" xfId="1810"/>
    <cellStyle name="20% - Accent2 4 10" xfId="17125"/>
    <cellStyle name="20% - Accent2 4 10 2" xfId="30404"/>
    <cellStyle name="20% - Accent2 4 11" xfId="21413"/>
    <cellStyle name="20% - Accent2 4 2" xfId="1811"/>
    <cellStyle name="20% - Accent2 4 2 2" xfId="1812"/>
    <cellStyle name="20% - Accent2 4 2 2 2" xfId="1813"/>
    <cellStyle name="20% - Accent2 4 2 2 2 2" xfId="13177"/>
    <cellStyle name="20% - Accent2 4 2 2 2 2 2" xfId="26569"/>
    <cellStyle name="20% - Accent2 4 2 2 2 3" xfId="17128"/>
    <cellStyle name="20% - Accent2 4 2 2 2 3 2" xfId="30407"/>
    <cellStyle name="20% - Accent2 4 2 2 2 4" xfId="21416"/>
    <cellStyle name="20% - Accent2 4 2 2 3" xfId="1814"/>
    <cellStyle name="20% - Accent2 4 2 2 3 2" xfId="13178"/>
    <cellStyle name="20% - Accent2 4 2 2 3 2 2" xfId="26570"/>
    <cellStyle name="20% - Accent2 4 2 2 3 3" xfId="17129"/>
    <cellStyle name="20% - Accent2 4 2 2 3 3 2" xfId="30408"/>
    <cellStyle name="20% - Accent2 4 2 2 3 4" xfId="21417"/>
    <cellStyle name="20% - Accent2 4 2 2 4" xfId="13176"/>
    <cellStyle name="20% - Accent2 4 2 2 4 2" xfId="26568"/>
    <cellStyle name="20% - Accent2 4 2 2 5" xfId="17127"/>
    <cellStyle name="20% - Accent2 4 2 2 5 2" xfId="30406"/>
    <cellStyle name="20% - Accent2 4 2 2 6" xfId="21415"/>
    <cellStyle name="20% - Accent2 4 2 3" xfId="1815"/>
    <cellStyle name="20% - Accent2 4 2 3 2" xfId="1816"/>
    <cellStyle name="20% - Accent2 4 2 3 2 2" xfId="13180"/>
    <cellStyle name="20% - Accent2 4 2 3 2 2 2" xfId="26572"/>
    <cellStyle name="20% - Accent2 4 2 3 2 3" xfId="17131"/>
    <cellStyle name="20% - Accent2 4 2 3 2 3 2" xfId="30410"/>
    <cellStyle name="20% - Accent2 4 2 3 2 4" xfId="21419"/>
    <cellStyle name="20% - Accent2 4 2 3 3" xfId="1817"/>
    <cellStyle name="20% - Accent2 4 2 3 3 2" xfId="13181"/>
    <cellStyle name="20% - Accent2 4 2 3 3 2 2" xfId="26573"/>
    <cellStyle name="20% - Accent2 4 2 3 3 3" xfId="17132"/>
    <cellStyle name="20% - Accent2 4 2 3 3 3 2" xfId="30411"/>
    <cellStyle name="20% - Accent2 4 2 3 3 4" xfId="21420"/>
    <cellStyle name="20% - Accent2 4 2 3 4" xfId="13179"/>
    <cellStyle name="20% - Accent2 4 2 3 4 2" xfId="26571"/>
    <cellStyle name="20% - Accent2 4 2 3 5" xfId="17130"/>
    <cellStyle name="20% - Accent2 4 2 3 5 2" xfId="30409"/>
    <cellStyle name="20% - Accent2 4 2 3 6" xfId="21418"/>
    <cellStyle name="20% - Accent2 4 2 4" xfId="1818"/>
    <cellStyle name="20% - Accent2 4 2 4 2" xfId="1819"/>
    <cellStyle name="20% - Accent2 4 2 4 2 2" xfId="13183"/>
    <cellStyle name="20% - Accent2 4 2 4 2 2 2" xfId="26575"/>
    <cellStyle name="20% - Accent2 4 2 4 2 3" xfId="17134"/>
    <cellStyle name="20% - Accent2 4 2 4 2 3 2" xfId="30413"/>
    <cellStyle name="20% - Accent2 4 2 4 2 4" xfId="21422"/>
    <cellStyle name="20% - Accent2 4 2 4 3" xfId="1820"/>
    <cellStyle name="20% - Accent2 4 2 4 3 2" xfId="13184"/>
    <cellStyle name="20% - Accent2 4 2 4 3 2 2" xfId="26576"/>
    <cellStyle name="20% - Accent2 4 2 4 3 3" xfId="17135"/>
    <cellStyle name="20% - Accent2 4 2 4 3 3 2" xfId="30414"/>
    <cellStyle name="20% - Accent2 4 2 4 3 4" xfId="21423"/>
    <cellStyle name="20% - Accent2 4 2 4 4" xfId="13182"/>
    <cellStyle name="20% - Accent2 4 2 4 4 2" xfId="26574"/>
    <cellStyle name="20% - Accent2 4 2 4 5" xfId="17133"/>
    <cellStyle name="20% - Accent2 4 2 4 5 2" xfId="30412"/>
    <cellStyle name="20% - Accent2 4 2 4 6" xfId="21421"/>
    <cellStyle name="20% - Accent2 4 2 5" xfId="1821"/>
    <cellStyle name="20% - Accent2 4 2 5 2" xfId="13185"/>
    <cellStyle name="20% - Accent2 4 2 5 2 2" xfId="26577"/>
    <cellStyle name="20% - Accent2 4 2 5 3" xfId="17136"/>
    <cellStyle name="20% - Accent2 4 2 5 3 2" xfId="30415"/>
    <cellStyle name="20% - Accent2 4 2 5 4" xfId="21424"/>
    <cellStyle name="20% - Accent2 4 2 6" xfId="1822"/>
    <cellStyle name="20% - Accent2 4 2 6 2" xfId="13186"/>
    <cellStyle name="20% - Accent2 4 2 6 2 2" xfId="26578"/>
    <cellStyle name="20% - Accent2 4 2 6 3" xfId="17137"/>
    <cellStyle name="20% - Accent2 4 2 6 3 2" xfId="30416"/>
    <cellStyle name="20% - Accent2 4 2 6 4" xfId="21425"/>
    <cellStyle name="20% - Accent2 4 2 7" xfId="13175"/>
    <cellStyle name="20% - Accent2 4 2 7 2" xfId="26567"/>
    <cellStyle name="20% - Accent2 4 2 8" xfId="17126"/>
    <cellStyle name="20% - Accent2 4 2 8 2" xfId="30405"/>
    <cellStyle name="20% - Accent2 4 2 9" xfId="21414"/>
    <cellStyle name="20% - Accent2 4 2_Volatility" xfId="1823"/>
    <cellStyle name="20% - Accent2 4 3" xfId="1824"/>
    <cellStyle name="20% - Accent2 4 3 2" xfId="1825"/>
    <cellStyle name="20% - Accent2 4 3 2 2" xfId="1826"/>
    <cellStyle name="20% - Accent2 4 3 2 2 2" xfId="13189"/>
    <cellStyle name="20% - Accent2 4 3 2 2 2 2" xfId="26581"/>
    <cellStyle name="20% - Accent2 4 3 2 2 3" xfId="17140"/>
    <cellStyle name="20% - Accent2 4 3 2 2 3 2" xfId="30419"/>
    <cellStyle name="20% - Accent2 4 3 2 2 4" xfId="21428"/>
    <cellStyle name="20% - Accent2 4 3 2 3" xfId="1827"/>
    <cellStyle name="20% - Accent2 4 3 2 3 2" xfId="13190"/>
    <cellStyle name="20% - Accent2 4 3 2 3 2 2" xfId="26582"/>
    <cellStyle name="20% - Accent2 4 3 2 3 3" xfId="17141"/>
    <cellStyle name="20% - Accent2 4 3 2 3 3 2" xfId="30420"/>
    <cellStyle name="20% - Accent2 4 3 2 3 4" xfId="21429"/>
    <cellStyle name="20% - Accent2 4 3 2 4" xfId="13188"/>
    <cellStyle name="20% - Accent2 4 3 2 4 2" xfId="26580"/>
    <cellStyle name="20% - Accent2 4 3 2 5" xfId="17139"/>
    <cellStyle name="20% - Accent2 4 3 2 5 2" xfId="30418"/>
    <cellStyle name="20% - Accent2 4 3 2 6" xfId="21427"/>
    <cellStyle name="20% - Accent2 4 3 3" xfId="1828"/>
    <cellStyle name="20% - Accent2 4 3 3 2" xfId="1829"/>
    <cellStyle name="20% - Accent2 4 3 3 2 2" xfId="13192"/>
    <cellStyle name="20% - Accent2 4 3 3 2 2 2" xfId="26584"/>
    <cellStyle name="20% - Accent2 4 3 3 2 3" xfId="17143"/>
    <cellStyle name="20% - Accent2 4 3 3 2 3 2" xfId="30422"/>
    <cellStyle name="20% - Accent2 4 3 3 2 4" xfId="21431"/>
    <cellStyle name="20% - Accent2 4 3 3 3" xfId="1830"/>
    <cellStyle name="20% - Accent2 4 3 3 3 2" xfId="13193"/>
    <cellStyle name="20% - Accent2 4 3 3 3 2 2" xfId="26585"/>
    <cellStyle name="20% - Accent2 4 3 3 3 3" xfId="17144"/>
    <cellStyle name="20% - Accent2 4 3 3 3 3 2" xfId="30423"/>
    <cellStyle name="20% - Accent2 4 3 3 3 4" xfId="21432"/>
    <cellStyle name="20% - Accent2 4 3 3 4" xfId="13191"/>
    <cellStyle name="20% - Accent2 4 3 3 4 2" xfId="26583"/>
    <cellStyle name="20% - Accent2 4 3 3 5" xfId="17142"/>
    <cellStyle name="20% - Accent2 4 3 3 5 2" xfId="30421"/>
    <cellStyle name="20% - Accent2 4 3 3 6" xfId="21430"/>
    <cellStyle name="20% - Accent2 4 3 4" xfId="1831"/>
    <cellStyle name="20% - Accent2 4 3 4 2" xfId="13194"/>
    <cellStyle name="20% - Accent2 4 3 4 2 2" xfId="26586"/>
    <cellStyle name="20% - Accent2 4 3 4 3" xfId="17145"/>
    <cellStyle name="20% - Accent2 4 3 4 3 2" xfId="30424"/>
    <cellStyle name="20% - Accent2 4 3 4 4" xfId="21433"/>
    <cellStyle name="20% - Accent2 4 3 5" xfId="1832"/>
    <cellStyle name="20% - Accent2 4 3 5 2" xfId="13195"/>
    <cellStyle name="20% - Accent2 4 3 5 2 2" xfId="26587"/>
    <cellStyle name="20% - Accent2 4 3 5 3" xfId="17146"/>
    <cellStyle name="20% - Accent2 4 3 5 3 2" xfId="30425"/>
    <cellStyle name="20% - Accent2 4 3 5 4" xfId="21434"/>
    <cellStyle name="20% - Accent2 4 3 6" xfId="13187"/>
    <cellStyle name="20% - Accent2 4 3 6 2" xfId="26579"/>
    <cellStyle name="20% - Accent2 4 3 7" xfId="17138"/>
    <cellStyle name="20% - Accent2 4 3 7 2" xfId="30417"/>
    <cellStyle name="20% - Accent2 4 3 8" xfId="21426"/>
    <cellStyle name="20% - Accent2 4 3_Volatility" xfId="1833"/>
    <cellStyle name="20% - Accent2 4 4" xfId="1834"/>
    <cellStyle name="20% - Accent2 4 4 2" xfId="1835"/>
    <cellStyle name="20% - Accent2 4 4 2 2" xfId="13197"/>
    <cellStyle name="20% - Accent2 4 4 2 2 2" xfId="26589"/>
    <cellStyle name="20% - Accent2 4 4 2 3" xfId="17148"/>
    <cellStyle name="20% - Accent2 4 4 2 3 2" xfId="30427"/>
    <cellStyle name="20% - Accent2 4 4 2 4" xfId="21436"/>
    <cellStyle name="20% - Accent2 4 4 3" xfId="1836"/>
    <cellStyle name="20% - Accent2 4 4 3 2" xfId="13198"/>
    <cellStyle name="20% - Accent2 4 4 3 2 2" xfId="26590"/>
    <cellStyle name="20% - Accent2 4 4 3 3" xfId="17149"/>
    <cellStyle name="20% - Accent2 4 4 3 3 2" xfId="30428"/>
    <cellStyle name="20% - Accent2 4 4 3 4" xfId="21437"/>
    <cellStyle name="20% - Accent2 4 4 4" xfId="13196"/>
    <cellStyle name="20% - Accent2 4 4 4 2" xfId="26588"/>
    <cellStyle name="20% - Accent2 4 4 5" xfId="17147"/>
    <cellStyle name="20% - Accent2 4 4 5 2" xfId="30426"/>
    <cellStyle name="20% - Accent2 4 4 6" xfId="21435"/>
    <cellStyle name="20% - Accent2 4 5" xfId="1837"/>
    <cellStyle name="20% - Accent2 4 5 2" xfId="1838"/>
    <cellStyle name="20% - Accent2 4 5 2 2" xfId="13200"/>
    <cellStyle name="20% - Accent2 4 5 2 2 2" xfId="26592"/>
    <cellStyle name="20% - Accent2 4 5 2 3" xfId="17151"/>
    <cellStyle name="20% - Accent2 4 5 2 3 2" xfId="30430"/>
    <cellStyle name="20% - Accent2 4 5 2 4" xfId="21439"/>
    <cellStyle name="20% - Accent2 4 5 3" xfId="1839"/>
    <cellStyle name="20% - Accent2 4 5 3 2" xfId="13201"/>
    <cellStyle name="20% - Accent2 4 5 3 2 2" xfId="26593"/>
    <cellStyle name="20% - Accent2 4 5 3 3" xfId="17152"/>
    <cellStyle name="20% - Accent2 4 5 3 3 2" xfId="30431"/>
    <cellStyle name="20% - Accent2 4 5 3 4" xfId="21440"/>
    <cellStyle name="20% - Accent2 4 5 4" xfId="13199"/>
    <cellStyle name="20% - Accent2 4 5 4 2" xfId="26591"/>
    <cellStyle name="20% - Accent2 4 5 5" xfId="17150"/>
    <cellStyle name="20% - Accent2 4 5 5 2" xfId="30429"/>
    <cellStyle name="20% - Accent2 4 5 6" xfId="21438"/>
    <cellStyle name="20% - Accent2 4 6" xfId="1840"/>
    <cellStyle name="20% - Accent2 4 6 2" xfId="1841"/>
    <cellStyle name="20% - Accent2 4 6 2 2" xfId="13203"/>
    <cellStyle name="20% - Accent2 4 6 2 2 2" xfId="26595"/>
    <cellStyle name="20% - Accent2 4 6 2 3" xfId="17154"/>
    <cellStyle name="20% - Accent2 4 6 2 3 2" xfId="30433"/>
    <cellStyle name="20% - Accent2 4 6 2 4" xfId="21442"/>
    <cellStyle name="20% - Accent2 4 6 3" xfId="1842"/>
    <cellStyle name="20% - Accent2 4 6 3 2" xfId="13204"/>
    <cellStyle name="20% - Accent2 4 6 3 2 2" xfId="26596"/>
    <cellStyle name="20% - Accent2 4 6 3 3" xfId="17155"/>
    <cellStyle name="20% - Accent2 4 6 3 3 2" xfId="30434"/>
    <cellStyle name="20% - Accent2 4 6 3 4" xfId="21443"/>
    <cellStyle name="20% - Accent2 4 6 4" xfId="13202"/>
    <cellStyle name="20% - Accent2 4 6 4 2" xfId="26594"/>
    <cellStyle name="20% - Accent2 4 6 5" xfId="17153"/>
    <cellStyle name="20% - Accent2 4 6 5 2" xfId="30432"/>
    <cellStyle name="20% - Accent2 4 6 6" xfId="21441"/>
    <cellStyle name="20% - Accent2 4 7" xfId="1843"/>
    <cellStyle name="20% - Accent2 4 7 2" xfId="13205"/>
    <cellStyle name="20% - Accent2 4 7 2 2" xfId="26597"/>
    <cellStyle name="20% - Accent2 4 7 3" xfId="17156"/>
    <cellStyle name="20% - Accent2 4 7 3 2" xfId="30435"/>
    <cellStyle name="20% - Accent2 4 7 4" xfId="21444"/>
    <cellStyle name="20% - Accent2 4 8" xfId="1844"/>
    <cellStyle name="20% - Accent2 4 8 2" xfId="13206"/>
    <cellStyle name="20% - Accent2 4 8 2 2" xfId="26598"/>
    <cellStyle name="20% - Accent2 4 8 3" xfId="17157"/>
    <cellStyle name="20% - Accent2 4 8 3 2" xfId="30436"/>
    <cellStyle name="20% - Accent2 4 8 4" xfId="21445"/>
    <cellStyle name="20% - Accent2 4 9" xfId="13174"/>
    <cellStyle name="20% - Accent2 4 9 2" xfId="26566"/>
    <cellStyle name="20% - Accent2 4_Volatility" xfId="1845"/>
    <cellStyle name="20% - Accent2 5" xfId="1846"/>
    <cellStyle name="20% - Accent2 5 10" xfId="17158"/>
    <cellStyle name="20% - Accent2 5 10 2" xfId="30437"/>
    <cellStyle name="20% - Accent2 5 11" xfId="21446"/>
    <cellStyle name="20% - Accent2 5 2" xfId="1847"/>
    <cellStyle name="20% - Accent2 5 2 2" xfId="1848"/>
    <cellStyle name="20% - Accent2 5 2 2 2" xfId="1849"/>
    <cellStyle name="20% - Accent2 5 2 2 2 2" xfId="13210"/>
    <cellStyle name="20% - Accent2 5 2 2 2 2 2" xfId="26602"/>
    <cellStyle name="20% - Accent2 5 2 2 2 3" xfId="17161"/>
    <cellStyle name="20% - Accent2 5 2 2 2 3 2" xfId="30440"/>
    <cellStyle name="20% - Accent2 5 2 2 2 4" xfId="21449"/>
    <cellStyle name="20% - Accent2 5 2 2 3" xfId="1850"/>
    <cellStyle name="20% - Accent2 5 2 2 3 2" xfId="13211"/>
    <cellStyle name="20% - Accent2 5 2 2 3 2 2" xfId="26603"/>
    <cellStyle name="20% - Accent2 5 2 2 3 3" xfId="17162"/>
    <cellStyle name="20% - Accent2 5 2 2 3 3 2" xfId="30441"/>
    <cellStyle name="20% - Accent2 5 2 2 3 4" xfId="21450"/>
    <cellStyle name="20% - Accent2 5 2 2 4" xfId="13209"/>
    <cellStyle name="20% - Accent2 5 2 2 4 2" xfId="26601"/>
    <cellStyle name="20% - Accent2 5 2 2 5" xfId="17160"/>
    <cellStyle name="20% - Accent2 5 2 2 5 2" xfId="30439"/>
    <cellStyle name="20% - Accent2 5 2 2 6" xfId="21448"/>
    <cellStyle name="20% - Accent2 5 2 3" xfId="1851"/>
    <cellStyle name="20% - Accent2 5 2 3 2" xfId="1852"/>
    <cellStyle name="20% - Accent2 5 2 3 2 2" xfId="13213"/>
    <cellStyle name="20% - Accent2 5 2 3 2 2 2" xfId="26605"/>
    <cellStyle name="20% - Accent2 5 2 3 2 3" xfId="17164"/>
    <cellStyle name="20% - Accent2 5 2 3 2 3 2" xfId="30443"/>
    <cellStyle name="20% - Accent2 5 2 3 2 4" xfId="21452"/>
    <cellStyle name="20% - Accent2 5 2 3 3" xfId="1853"/>
    <cellStyle name="20% - Accent2 5 2 3 3 2" xfId="13214"/>
    <cellStyle name="20% - Accent2 5 2 3 3 2 2" xfId="26606"/>
    <cellStyle name="20% - Accent2 5 2 3 3 3" xfId="17165"/>
    <cellStyle name="20% - Accent2 5 2 3 3 3 2" xfId="30444"/>
    <cellStyle name="20% - Accent2 5 2 3 3 4" xfId="21453"/>
    <cellStyle name="20% - Accent2 5 2 3 4" xfId="13212"/>
    <cellStyle name="20% - Accent2 5 2 3 4 2" xfId="26604"/>
    <cellStyle name="20% - Accent2 5 2 3 5" xfId="17163"/>
    <cellStyle name="20% - Accent2 5 2 3 5 2" xfId="30442"/>
    <cellStyle name="20% - Accent2 5 2 3 6" xfId="21451"/>
    <cellStyle name="20% - Accent2 5 2 4" xfId="1854"/>
    <cellStyle name="20% - Accent2 5 2 4 2" xfId="1855"/>
    <cellStyle name="20% - Accent2 5 2 4 2 2" xfId="13216"/>
    <cellStyle name="20% - Accent2 5 2 4 2 2 2" xfId="26608"/>
    <cellStyle name="20% - Accent2 5 2 4 2 3" xfId="17167"/>
    <cellStyle name="20% - Accent2 5 2 4 2 3 2" xfId="30446"/>
    <cellStyle name="20% - Accent2 5 2 4 2 4" xfId="21455"/>
    <cellStyle name="20% - Accent2 5 2 4 3" xfId="1856"/>
    <cellStyle name="20% - Accent2 5 2 4 3 2" xfId="13217"/>
    <cellStyle name="20% - Accent2 5 2 4 3 2 2" xfId="26609"/>
    <cellStyle name="20% - Accent2 5 2 4 3 3" xfId="17168"/>
    <cellStyle name="20% - Accent2 5 2 4 3 3 2" xfId="30447"/>
    <cellStyle name="20% - Accent2 5 2 4 3 4" xfId="21456"/>
    <cellStyle name="20% - Accent2 5 2 4 4" xfId="13215"/>
    <cellStyle name="20% - Accent2 5 2 4 4 2" xfId="26607"/>
    <cellStyle name="20% - Accent2 5 2 4 5" xfId="17166"/>
    <cellStyle name="20% - Accent2 5 2 4 5 2" xfId="30445"/>
    <cellStyle name="20% - Accent2 5 2 4 6" xfId="21454"/>
    <cellStyle name="20% - Accent2 5 2 5" xfId="1857"/>
    <cellStyle name="20% - Accent2 5 2 5 2" xfId="13218"/>
    <cellStyle name="20% - Accent2 5 2 5 2 2" xfId="26610"/>
    <cellStyle name="20% - Accent2 5 2 5 3" xfId="17169"/>
    <cellStyle name="20% - Accent2 5 2 5 3 2" xfId="30448"/>
    <cellStyle name="20% - Accent2 5 2 5 4" xfId="21457"/>
    <cellStyle name="20% - Accent2 5 2 6" xfId="1858"/>
    <cellStyle name="20% - Accent2 5 2 6 2" xfId="13219"/>
    <cellStyle name="20% - Accent2 5 2 6 2 2" xfId="26611"/>
    <cellStyle name="20% - Accent2 5 2 6 3" xfId="17170"/>
    <cellStyle name="20% - Accent2 5 2 6 3 2" xfId="30449"/>
    <cellStyle name="20% - Accent2 5 2 6 4" xfId="21458"/>
    <cellStyle name="20% - Accent2 5 2 7" xfId="13208"/>
    <cellStyle name="20% - Accent2 5 2 7 2" xfId="26600"/>
    <cellStyle name="20% - Accent2 5 2 8" xfId="17159"/>
    <cellStyle name="20% - Accent2 5 2 8 2" xfId="30438"/>
    <cellStyle name="20% - Accent2 5 2 9" xfId="21447"/>
    <cellStyle name="20% - Accent2 5 2_Volatility" xfId="1859"/>
    <cellStyle name="20% - Accent2 5 3" xfId="1860"/>
    <cellStyle name="20% - Accent2 5 3 2" xfId="1861"/>
    <cellStyle name="20% - Accent2 5 3 2 2" xfId="1862"/>
    <cellStyle name="20% - Accent2 5 3 2 2 2" xfId="13222"/>
    <cellStyle name="20% - Accent2 5 3 2 2 2 2" xfId="26614"/>
    <cellStyle name="20% - Accent2 5 3 2 2 3" xfId="17173"/>
    <cellStyle name="20% - Accent2 5 3 2 2 3 2" xfId="30452"/>
    <cellStyle name="20% - Accent2 5 3 2 2 4" xfId="21461"/>
    <cellStyle name="20% - Accent2 5 3 2 3" xfId="1863"/>
    <cellStyle name="20% - Accent2 5 3 2 3 2" xfId="13223"/>
    <cellStyle name="20% - Accent2 5 3 2 3 2 2" xfId="26615"/>
    <cellStyle name="20% - Accent2 5 3 2 3 3" xfId="17174"/>
    <cellStyle name="20% - Accent2 5 3 2 3 3 2" xfId="30453"/>
    <cellStyle name="20% - Accent2 5 3 2 3 4" xfId="21462"/>
    <cellStyle name="20% - Accent2 5 3 2 4" xfId="13221"/>
    <cellStyle name="20% - Accent2 5 3 2 4 2" xfId="26613"/>
    <cellStyle name="20% - Accent2 5 3 2 5" xfId="17172"/>
    <cellStyle name="20% - Accent2 5 3 2 5 2" xfId="30451"/>
    <cellStyle name="20% - Accent2 5 3 2 6" xfId="21460"/>
    <cellStyle name="20% - Accent2 5 3 3" xfId="1864"/>
    <cellStyle name="20% - Accent2 5 3 3 2" xfId="1865"/>
    <cellStyle name="20% - Accent2 5 3 3 2 2" xfId="13225"/>
    <cellStyle name="20% - Accent2 5 3 3 2 2 2" xfId="26617"/>
    <cellStyle name="20% - Accent2 5 3 3 2 3" xfId="17176"/>
    <cellStyle name="20% - Accent2 5 3 3 2 3 2" xfId="30455"/>
    <cellStyle name="20% - Accent2 5 3 3 2 4" xfId="21464"/>
    <cellStyle name="20% - Accent2 5 3 3 3" xfId="1866"/>
    <cellStyle name="20% - Accent2 5 3 3 3 2" xfId="13226"/>
    <cellStyle name="20% - Accent2 5 3 3 3 2 2" xfId="26618"/>
    <cellStyle name="20% - Accent2 5 3 3 3 3" xfId="17177"/>
    <cellStyle name="20% - Accent2 5 3 3 3 3 2" xfId="30456"/>
    <cellStyle name="20% - Accent2 5 3 3 3 4" xfId="21465"/>
    <cellStyle name="20% - Accent2 5 3 3 4" xfId="13224"/>
    <cellStyle name="20% - Accent2 5 3 3 4 2" xfId="26616"/>
    <cellStyle name="20% - Accent2 5 3 3 5" xfId="17175"/>
    <cellStyle name="20% - Accent2 5 3 3 5 2" xfId="30454"/>
    <cellStyle name="20% - Accent2 5 3 3 6" xfId="21463"/>
    <cellStyle name="20% - Accent2 5 3 4" xfId="1867"/>
    <cellStyle name="20% - Accent2 5 3 4 2" xfId="13227"/>
    <cellStyle name="20% - Accent2 5 3 4 2 2" xfId="26619"/>
    <cellStyle name="20% - Accent2 5 3 4 3" xfId="17178"/>
    <cellStyle name="20% - Accent2 5 3 4 3 2" xfId="30457"/>
    <cellStyle name="20% - Accent2 5 3 4 4" xfId="21466"/>
    <cellStyle name="20% - Accent2 5 3 5" xfId="1868"/>
    <cellStyle name="20% - Accent2 5 3 5 2" xfId="13228"/>
    <cellStyle name="20% - Accent2 5 3 5 2 2" xfId="26620"/>
    <cellStyle name="20% - Accent2 5 3 5 3" xfId="17179"/>
    <cellStyle name="20% - Accent2 5 3 5 3 2" xfId="30458"/>
    <cellStyle name="20% - Accent2 5 3 5 4" xfId="21467"/>
    <cellStyle name="20% - Accent2 5 3 6" xfId="13220"/>
    <cellStyle name="20% - Accent2 5 3 6 2" xfId="26612"/>
    <cellStyle name="20% - Accent2 5 3 7" xfId="17171"/>
    <cellStyle name="20% - Accent2 5 3 7 2" xfId="30450"/>
    <cellStyle name="20% - Accent2 5 3 8" xfId="21459"/>
    <cellStyle name="20% - Accent2 5 3_Volatility" xfId="1869"/>
    <cellStyle name="20% - Accent2 5 4" xfId="1870"/>
    <cellStyle name="20% - Accent2 5 4 2" xfId="1871"/>
    <cellStyle name="20% - Accent2 5 4 2 2" xfId="13230"/>
    <cellStyle name="20% - Accent2 5 4 2 2 2" xfId="26622"/>
    <cellStyle name="20% - Accent2 5 4 2 3" xfId="17181"/>
    <cellStyle name="20% - Accent2 5 4 2 3 2" xfId="30460"/>
    <cellStyle name="20% - Accent2 5 4 2 4" xfId="21469"/>
    <cellStyle name="20% - Accent2 5 4 3" xfId="1872"/>
    <cellStyle name="20% - Accent2 5 4 3 2" xfId="13231"/>
    <cellStyle name="20% - Accent2 5 4 3 2 2" xfId="26623"/>
    <cellStyle name="20% - Accent2 5 4 3 3" xfId="17182"/>
    <cellStyle name="20% - Accent2 5 4 3 3 2" xfId="30461"/>
    <cellStyle name="20% - Accent2 5 4 3 4" xfId="21470"/>
    <cellStyle name="20% - Accent2 5 4 4" xfId="13229"/>
    <cellStyle name="20% - Accent2 5 4 4 2" xfId="26621"/>
    <cellStyle name="20% - Accent2 5 4 5" xfId="17180"/>
    <cellStyle name="20% - Accent2 5 4 5 2" xfId="30459"/>
    <cellStyle name="20% - Accent2 5 4 6" xfId="21468"/>
    <cellStyle name="20% - Accent2 5 5" xfId="1873"/>
    <cellStyle name="20% - Accent2 5 5 2" xfId="1874"/>
    <cellStyle name="20% - Accent2 5 5 2 2" xfId="13233"/>
    <cellStyle name="20% - Accent2 5 5 2 2 2" xfId="26625"/>
    <cellStyle name="20% - Accent2 5 5 2 3" xfId="17184"/>
    <cellStyle name="20% - Accent2 5 5 2 3 2" xfId="30463"/>
    <cellStyle name="20% - Accent2 5 5 2 4" xfId="21472"/>
    <cellStyle name="20% - Accent2 5 5 3" xfId="1875"/>
    <cellStyle name="20% - Accent2 5 5 3 2" xfId="13234"/>
    <cellStyle name="20% - Accent2 5 5 3 2 2" xfId="26626"/>
    <cellStyle name="20% - Accent2 5 5 3 3" xfId="17185"/>
    <cellStyle name="20% - Accent2 5 5 3 3 2" xfId="30464"/>
    <cellStyle name="20% - Accent2 5 5 3 4" xfId="21473"/>
    <cellStyle name="20% - Accent2 5 5 4" xfId="13232"/>
    <cellStyle name="20% - Accent2 5 5 4 2" xfId="26624"/>
    <cellStyle name="20% - Accent2 5 5 5" xfId="17183"/>
    <cellStyle name="20% - Accent2 5 5 5 2" xfId="30462"/>
    <cellStyle name="20% - Accent2 5 5 6" xfId="21471"/>
    <cellStyle name="20% - Accent2 5 6" xfId="1876"/>
    <cellStyle name="20% - Accent2 5 6 2" xfId="1877"/>
    <cellStyle name="20% - Accent2 5 6 2 2" xfId="13236"/>
    <cellStyle name="20% - Accent2 5 6 2 2 2" xfId="26628"/>
    <cellStyle name="20% - Accent2 5 6 2 3" xfId="17187"/>
    <cellStyle name="20% - Accent2 5 6 2 3 2" xfId="30466"/>
    <cellStyle name="20% - Accent2 5 6 2 4" xfId="21475"/>
    <cellStyle name="20% - Accent2 5 6 3" xfId="1878"/>
    <cellStyle name="20% - Accent2 5 6 3 2" xfId="13237"/>
    <cellStyle name="20% - Accent2 5 6 3 2 2" xfId="26629"/>
    <cellStyle name="20% - Accent2 5 6 3 3" xfId="17188"/>
    <cellStyle name="20% - Accent2 5 6 3 3 2" xfId="30467"/>
    <cellStyle name="20% - Accent2 5 6 3 4" xfId="21476"/>
    <cellStyle name="20% - Accent2 5 6 4" xfId="13235"/>
    <cellStyle name="20% - Accent2 5 6 4 2" xfId="26627"/>
    <cellStyle name="20% - Accent2 5 6 5" xfId="17186"/>
    <cellStyle name="20% - Accent2 5 6 5 2" xfId="30465"/>
    <cellStyle name="20% - Accent2 5 6 6" xfId="21474"/>
    <cellStyle name="20% - Accent2 5 7" xfId="1879"/>
    <cellStyle name="20% - Accent2 5 7 2" xfId="13238"/>
    <cellStyle name="20% - Accent2 5 7 2 2" xfId="26630"/>
    <cellStyle name="20% - Accent2 5 7 3" xfId="17189"/>
    <cellStyle name="20% - Accent2 5 7 3 2" xfId="30468"/>
    <cellStyle name="20% - Accent2 5 7 4" xfId="21477"/>
    <cellStyle name="20% - Accent2 5 8" xfId="1880"/>
    <cellStyle name="20% - Accent2 5 8 2" xfId="13239"/>
    <cellStyle name="20% - Accent2 5 8 2 2" xfId="26631"/>
    <cellStyle name="20% - Accent2 5 8 3" xfId="17190"/>
    <cellStyle name="20% - Accent2 5 8 3 2" xfId="30469"/>
    <cellStyle name="20% - Accent2 5 8 4" xfId="21478"/>
    <cellStyle name="20% - Accent2 5 9" xfId="13207"/>
    <cellStyle name="20% - Accent2 5 9 2" xfId="26599"/>
    <cellStyle name="20% - Accent2 5_Volatility" xfId="1881"/>
    <cellStyle name="20% - Accent2 6" xfId="1882"/>
    <cellStyle name="20% - Accent2 6 10" xfId="17191"/>
    <cellStyle name="20% - Accent2 6 10 2" xfId="30470"/>
    <cellStyle name="20% - Accent2 6 11" xfId="21479"/>
    <cellStyle name="20% - Accent2 6 2" xfId="1883"/>
    <cellStyle name="20% - Accent2 6 2 2" xfId="1884"/>
    <cellStyle name="20% - Accent2 6 2 2 2" xfId="1885"/>
    <cellStyle name="20% - Accent2 6 2 2 2 2" xfId="13243"/>
    <cellStyle name="20% - Accent2 6 2 2 2 2 2" xfId="26635"/>
    <cellStyle name="20% - Accent2 6 2 2 2 3" xfId="17194"/>
    <cellStyle name="20% - Accent2 6 2 2 2 3 2" xfId="30473"/>
    <cellStyle name="20% - Accent2 6 2 2 2 4" xfId="21482"/>
    <cellStyle name="20% - Accent2 6 2 2 3" xfId="1886"/>
    <cellStyle name="20% - Accent2 6 2 2 3 2" xfId="13244"/>
    <cellStyle name="20% - Accent2 6 2 2 3 2 2" xfId="26636"/>
    <cellStyle name="20% - Accent2 6 2 2 3 3" xfId="17195"/>
    <cellStyle name="20% - Accent2 6 2 2 3 3 2" xfId="30474"/>
    <cellStyle name="20% - Accent2 6 2 2 3 4" xfId="21483"/>
    <cellStyle name="20% - Accent2 6 2 2 4" xfId="13242"/>
    <cellStyle name="20% - Accent2 6 2 2 4 2" xfId="26634"/>
    <cellStyle name="20% - Accent2 6 2 2 5" xfId="17193"/>
    <cellStyle name="20% - Accent2 6 2 2 5 2" xfId="30472"/>
    <cellStyle name="20% - Accent2 6 2 2 6" xfId="21481"/>
    <cellStyle name="20% - Accent2 6 2 3" xfId="1887"/>
    <cellStyle name="20% - Accent2 6 2 3 2" xfId="1888"/>
    <cellStyle name="20% - Accent2 6 2 3 2 2" xfId="13246"/>
    <cellStyle name="20% - Accent2 6 2 3 2 2 2" xfId="26638"/>
    <cellStyle name="20% - Accent2 6 2 3 2 3" xfId="17197"/>
    <cellStyle name="20% - Accent2 6 2 3 2 3 2" xfId="30476"/>
    <cellStyle name="20% - Accent2 6 2 3 2 4" xfId="21485"/>
    <cellStyle name="20% - Accent2 6 2 3 3" xfId="1889"/>
    <cellStyle name="20% - Accent2 6 2 3 3 2" xfId="13247"/>
    <cellStyle name="20% - Accent2 6 2 3 3 2 2" xfId="26639"/>
    <cellStyle name="20% - Accent2 6 2 3 3 3" xfId="17198"/>
    <cellStyle name="20% - Accent2 6 2 3 3 3 2" xfId="30477"/>
    <cellStyle name="20% - Accent2 6 2 3 3 4" xfId="21486"/>
    <cellStyle name="20% - Accent2 6 2 3 4" xfId="13245"/>
    <cellStyle name="20% - Accent2 6 2 3 4 2" xfId="26637"/>
    <cellStyle name="20% - Accent2 6 2 3 5" xfId="17196"/>
    <cellStyle name="20% - Accent2 6 2 3 5 2" xfId="30475"/>
    <cellStyle name="20% - Accent2 6 2 3 6" xfId="21484"/>
    <cellStyle name="20% - Accent2 6 2 4" xfId="1890"/>
    <cellStyle name="20% - Accent2 6 2 4 2" xfId="1891"/>
    <cellStyle name="20% - Accent2 6 2 4 2 2" xfId="13249"/>
    <cellStyle name="20% - Accent2 6 2 4 2 2 2" xfId="26641"/>
    <cellStyle name="20% - Accent2 6 2 4 2 3" xfId="17200"/>
    <cellStyle name="20% - Accent2 6 2 4 2 3 2" xfId="30479"/>
    <cellStyle name="20% - Accent2 6 2 4 2 4" xfId="21488"/>
    <cellStyle name="20% - Accent2 6 2 4 3" xfId="1892"/>
    <cellStyle name="20% - Accent2 6 2 4 3 2" xfId="13250"/>
    <cellStyle name="20% - Accent2 6 2 4 3 2 2" xfId="26642"/>
    <cellStyle name="20% - Accent2 6 2 4 3 3" xfId="17201"/>
    <cellStyle name="20% - Accent2 6 2 4 3 3 2" xfId="30480"/>
    <cellStyle name="20% - Accent2 6 2 4 3 4" xfId="21489"/>
    <cellStyle name="20% - Accent2 6 2 4 4" xfId="13248"/>
    <cellStyle name="20% - Accent2 6 2 4 4 2" xfId="26640"/>
    <cellStyle name="20% - Accent2 6 2 4 5" xfId="17199"/>
    <cellStyle name="20% - Accent2 6 2 4 5 2" xfId="30478"/>
    <cellStyle name="20% - Accent2 6 2 4 6" xfId="21487"/>
    <cellStyle name="20% - Accent2 6 2 5" xfId="1893"/>
    <cellStyle name="20% - Accent2 6 2 5 2" xfId="13251"/>
    <cellStyle name="20% - Accent2 6 2 5 2 2" xfId="26643"/>
    <cellStyle name="20% - Accent2 6 2 5 3" xfId="17202"/>
    <cellStyle name="20% - Accent2 6 2 5 3 2" xfId="30481"/>
    <cellStyle name="20% - Accent2 6 2 5 4" xfId="21490"/>
    <cellStyle name="20% - Accent2 6 2 6" xfId="1894"/>
    <cellStyle name="20% - Accent2 6 2 6 2" xfId="13252"/>
    <cellStyle name="20% - Accent2 6 2 6 2 2" xfId="26644"/>
    <cellStyle name="20% - Accent2 6 2 6 3" xfId="17203"/>
    <cellStyle name="20% - Accent2 6 2 6 3 2" xfId="30482"/>
    <cellStyle name="20% - Accent2 6 2 6 4" xfId="21491"/>
    <cellStyle name="20% - Accent2 6 2 7" xfId="13241"/>
    <cellStyle name="20% - Accent2 6 2 7 2" xfId="26633"/>
    <cellStyle name="20% - Accent2 6 2 8" xfId="17192"/>
    <cellStyle name="20% - Accent2 6 2 8 2" xfId="30471"/>
    <cellStyle name="20% - Accent2 6 2 9" xfId="21480"/>
    <cellStyle name="20% - Accent2 6 2_Volatility" xfId="1895"/>
    <cellStyle name="20% - Accent2 6 3" xfId="1896"/>
    <cellStyle name="20% - Accent2 6 3 2" xfId="1897"/>
    <cellStyle name="20% - Accent2 6 3 2 2" xfId="1898"/>
    <cellStyle name="20% - Accent2 6 3 2 2 2" xfId="13255"/>
    <cellStyle name="20% - Accent2 6 3 2 2 2 2" xfId="26647"/>
    <cellStyle name="20% - Accent2 6 3 2 2 3" xfId="17206"/>
    <cellStyle name="20% - Accent2 6 3 2 2 3 2" xfId="30485"/>
    <cellStyle name="20% - Accent2 6 3 2 2 4" xfId="21494"/>
    <cellStyle name="20% - Accent2 6 3 2 3" xfId="1899"/>
    <cellStyle name="20% - Accent2 6 3 2 3 2" xfId="13256"/>
    <cellStyle name="20% - Accent2 6 3 2 3 2 2" xfId="26648"/>
    <cellStyle name="20% - Accent2 6 3 2 3 3" xfId="17207"/>
    <cellStyle name="20% - Accent2 6 3 2 3 3 2" xfId="30486"/>
    <cellStyle name="20% - Accent2 6 3 2 3 4" xfId="21495"/>
    <cellStyle name="20% - Accent2 6 3 2 4" xfId="13254"/>
    <cellStyle name="20% - Accent2 6 3 2 4 2" xfId="26646"/>
    <cellStyle name="20% - Accent2 6 3 2 5" xfId="17205"/>
    <cellStyle name="20% - Accent2 6 3 2 5 2" xfId="30484"/>
    <cellStyle name="20% - Accent2 6 3 2 6" xfId="21493"/>
    <cellStyle name="20% - Accent2 6 3 3" xfId="1900"/>
    <cellStyle name="20% - Accent2 6 3 3 2" xfId="1901"/>
    <cellStyle name="20% - Accent2 6 3 3 2 2" xfId="13258"/>
    <cellStyle name="20% - Accent2 6 3 3 2 2 2" xfId="26650"/>
    <cellStyle name="20% - Accent2 6 3 3 2 3" xfId="17209"/>
    <cellStyle name="20% - Accent2 6 3 3 2 3 2" xfId="30488"/>
    <cellStyle name="20% - Accent2 6 3 3 2 4" xfId="21497"/>
    <cellStyle name="20% - Accent2 6 3 3 3" xfId="1902"/>
    <cellStyle name="20% - Accent2 6 3 3 3 2" xfId="13259"/>
    <cellStyle name="20% - Accent2 6 3 3 3 2 2" xfId="26651"/>
    <cellStyle name="20% - Accent2 6 3 3 3 3" xfId="17210"/>
    <cellStyle name="20% - Accent2 6 3 3 3 3 2" xfId="30489"/>
    <cellStyle name="20% - Accent2 6 3 3 3 4" xfId="21498"/>
    <cellStyle name="20% - Accent2 6 3 3 4" xfId="13257"/>
    <cellStyle name="20% - Accent2 6 3 3 4 2" xfId="26649"/>
    <cellStyle name="20% - Accent2 6 3 3 5" xfId="17208"/>
    <cellStyle name="20% - Accent2 6 3 3 5 2" xfId="30487"/>
    <cellStyle name="20% - Accent2 6 3 3 6" xfId="21496"/>
    <cellStyle name="20% - Accent2 6 3 4" xfId="1903"/>
    <cellStyle name="20% - Accent2 6 3 4 2" xfId="13260"/>
    <cellStyle name="20% - Accent2 6 3 4 2 2" xfId="26652"/>
    <cellStyle name="20% - Accent2 6 3 4 3" xfId="17211"/>
    <cellStyle name="20% - Accent2 6 3 4 3 2" xfId="30490"/>
    <cellStyle name="20% - Accent2 6 3 4 4" xfId="21499"/>
    <cellStyle name="20% - Accent2 6 3 5" xfId="1904"/>
    <cellStyle name="20% - Accent2 6 3 5 2" xfId="13261"/>
    <cellStyle name="20% - Accent2 6 3 5 2 2" xfId="26653"/>
    <cellStyle name="20% - Accent2 6 3 5 3" xfId="17212"/>
    <cellStyle name="20% - Accent2 6 3 5 3 2" xfId="30491"/>
    <cellStyle name="20% - Accent2 6 3 5 4" xfId="21500"/>
    <cellStyle name="20% - Accent2 6 3 6" xfId="13253"/>
    <cellStyle name="20% - Accent2 6 3 6 2" xfId="26645"/>
    <cellStyle name="20% - Accent2 6 3 7" xfId="17204"/>
    <cellStyle name="20% - Accent2 6 3 7 2" xfId="30483"/>
    <cellStyle name="20% - Accent2 6 3 8" xfId="21492"/>
    <cellStyle name="20% - Accent2 6 3_Volatility" xfId="1905"/>
    <cellStyle name="20% - Accent2 6 4" xfId="1906"/>
    <cellStyle name="20% - Accent2 6 4 2" xfId="1907"/>
    <cellStyle name="20% - Accent2 6 4 2 2" xfId="13263"/>
    <cellStyle name="20% - Accent2 6 4 2 2 2" xfId="26655"/>
    <cellStyle name="20% - Accent2 6 4 2 3" xfId="17214"/>
    <cellStyle name="20% - Accent2 6 4 2 3 2" xfId="30493"/>
    <cellStyle name="20% - Accent2 6 4 2 4" xfId="21502"/>
    <cellStyle name="20% - Accent2 6 4 3" xfId="1908"/>
    <cellStyle name="20% - Accent2 6 4 3 2" xfId="13264"/>
    <cellStyle name="20% - Accent2 6 4 3 2 2" xfId="26656"/>
    <cellStyle name="20% - Accent2 6 4 3 3" xfId="17215"/>
    <cellStyle name="20% - Accent2 6 4 3 3 2" xfId="30494"/>
    <cellStyle name="20% - Accent2 6 4 3 4" xfId="21503"/>
    <cellStyle name="20% - Accent2 6 4 4" xfId="13262"/>
    <cellStyle name="20% - Accent2 6 4 4 2" xfId="26654"/>
    <cellStyle name="20% - Accent2 6 4 5" xfId="17213"/>
    <cellStyle name="20% - Accent2 6 4 5 2" xfId="30492"/>
    <cellStyle name="20% - Accent2 6 4 6" xfId="21501"/>
    <cellStyle name="20% - Accent2 6 5" xfId="1909"/>
    <cellStyle name="20% - Accent2 6 5 2" xfId="1910"/>
    <cellStyle name="20% - Accent2 6 5 2 2" xfId="13266"/>
    <cellStyle name="20% - Accent2 6 5 2 2 2" xfId="26658"/>
    <cellStyle name="20% - Accent2 6 5 2 3" xfId="17217"/>
    <cellStyle name="20% - Accent2 6 5 2 3 2" xfId="30496"/>
    <cellStyle name="20% - Accent2 6 5 2 4" xfId="21505"/>
    <cellStyle name="20% - Accent2 6 5 3" xfId="1911"/>
    <cellStyle name="20% - Accent2 6 5 3 2" xfId="13267"/>
    <cellStyle name="20% - Accent2 6 5 3 2 2" xfId="26659"/>
    <cellStyle name="20% - Accent2 6 5 3 3" xfId="17218"/>
    <cellStyle name="20% - Accent2 6 5 3 3 2" xfId="30497"/>
    <cellStyle name="20% - Accent2 6 5 3 4" xfId="21506"/>
    <cellStyle name="20% - Accent2 6 5 4" xfId="13265"/>
    <cellStyle name="20% - Accent2 6 5 4 2" xfId="26657"/>
    <cellStyle name="20% - Accent2 6 5 5" xfId="17216"/>
    <cellStyle name="20% - Accent2 6 5 5 2" xfId="30495"/>
    <cellStyle name="20% - Accent2 6 5 6" xfId="21504"/>
    <cellStyle name="20% - Accent2 6 6" xfId="1912"/>
    <cellStyle name="20% - Accent2 6 6 2" xfId="1913"/>
    <cellStyle name="20% - Accent2 6 6 2 2" xfId="13269"/>
    <cellStyle name="20% - Accent2 6 6 2 2 2" xfId="26661"/>
    <cellStyle name="20% - Accent2 6 6 2 3" xfId="17220"/>
    <cellStyle name="20% - Accent2 6 6 2 3 2" xfId="30499"/>
    <cellStyle name="20% - Accent2 6 6 2 4" xfId="21508"/>
    <cellStyle name="20% - Accent2 6 6 3" xfId="1914"/>
    <cellStyle name="20% - Accent2 6 6 3 2" xfId="13270"/>
    <cellStyle name="20% - Accent2 6 6 3 2 2" xfId="26662"/>
    <cellStyle name="20% - Accent2 6 6 3 3" xfId="17221"/>
    <cellStyle name="20% - Accent2 6 6 3 3 2" xfId="30500"/>
    <cellStyle name="20% - Accent2 6 6 3 4" xfId="21509"/>
    <cellStyle name="20% - Accent2 6 6 4" xfId="13268"/>
    <cellStyle name="20% - Accent2 6 6 4 2" xfId="26660"/>
    <cellStyle name="20% - Accent2 6 6 5" xfId="17219"/>
    <cellStyle name="20% - Accent2 6 6 5 2" xfId="30498"/>
    <cellStyle name="20% - Accent2 6 6 6" xfId="21507"/>
    <cellStyle name="20% - Accent2 6 7" xfId="1915"/>
    <cellStyle name="20% - Accent2 6 7 2" xfId="13271"/>
    <cellStyle name="20% - Accent2 6 7 2 2" xfId="26663"/>
    <cellStyle name="20% - Accent2 6 7 3" xfId="17222"/>
    <cellStyle name="20% - Accent2 6 7 3 2" xfId="30501"/>
    <cellStyle name="20% - Accent2 6 7 4" xfId="21510"/>
    <cellStyle name="20% - Accent2 6 8" xfId="1916"/>
    <cellStyle name="20% - Accent2 6 8 2" xfId="13272"/>
    <cellStyle name="20% - Accent2 6 8 2 2" xfId="26664"/>
    <cellStyle name="20% - Accent2 6 8 3" xfId="17223"/>
    <cellStyle name="20% - Accent2 6 8 3 2" xfId="30502"/>
    <cellStyle name="20% - Accent2 6 8 4" xfId="21511"/>
    <cellStyle name="20% - Accent2 6 9" xfId="13240"/>
    <cellStyle name="20% - Accent2 6 9 2" xfId="26632"/>
    <cellStyle name="20% - Accent2 6_Volatility" xfId="1917"/>
    <cellStyle name="20% - Accent2 7" xfId="1918"/>
    <cellStyle name="20% - Accent2 7 10" xfId="17224"/>
    <cellStyle name="20% - Accent2 7 10 2" xfId="30503"/>
    <cellStyle name="20% - Accent2 7 11" xfId="21512"/>
    <cellStyle name="20% - Accent2 7 2" xfId="1919"/>
    <cellStyle name="20% - Accent2 7 2 2" xfId="1920"/>
    <cellStyle name="20% - Accent2 7 2 2 2" xfId="1921"/>
    <cellStyle name="20% - Accent2 7 2 2 2 2" xfId="13276"/>
    <cellStyle name="20% - Accent2 7 2 2 2 2 2" xfId="26668"/>
    <cellStyle name="20% - Accent2 7 2 2 2 3" xfId="17227"/>
    <cellStyle name="20% - Accent2 7 2 2 2 3 2" xfId="30506"/>
    <cellStyle name="20% - Accent2 7 2 2 2 4" xfId="21515"/>
    <cellStyle name="20% - Accent2 7 2 2 3" xfId="1922"/>
    <cellStyle name="20% - Accent2 7 2 2 3 2" xfId="13277"/>
    <cellStyle name="20% - Accent2 7 2 2 3 2 2" xfId="26669"/>
    <cellStyle name="20% - Accent2 7 2 2 3 3" xfId="17228"/>
    <cellStyle name="20% - Accent2 7 2 2 3 3 2" xfId="30507"/>
    <cellStyle name="20% - Accent2 7 2 2 3 4" xfId="21516"/>
    <cellStyle name="20% - Accent2 7 2 2 4" xfId="13275"/>
    <cellStyle name="20% - Accent2 7 2 2 4 2" xfId="26667"/>
    <cellStyle name="20% - Accent2 7 2 2 5" xfId="17226"/>
    <cellStyle name="20% - Accent2 7 2 2 5 2" xfId="30505"/>
    <cellStyle name="20% - Accent2 7 2 2 6" xfId="21514"/>
    <cellStyle name="20% - Accent2 7 2 3" xfId="1923"/>
    <cellStyle name="20% - Accent2 7 2 3 2" xfId="1924"/>
    <cellStyle name="20% - Accent2 7 2 3 2 2" xfId="13279"/>
    <cellStyle name="20% - Accent2 7 2 3 2 2 2" xfId="26671"/>
    <cellStyle name="20% - Accent2 7 2 3 2 3" xfId="17230"/>
    <cellStyle name="20% - Accent2 7 2 3 2 3 2" xfId="30509"/>
    <cellStyle name="20% - Accent2 7 2 3 2 4" xfId="21518"/>
    <cellStyle name="20% - Accent2 7 2 3 3" xfId="1925"/>
    <cellStyle name="20% - Accent2 7 2 3 3 2" xfId="13280"/>
    <cellStyle name="20% - Accent2 7 2 3 3 2 2" xfId="26672"/>
    <cellStyle name="20% - Accent2 7 2 3 3 3" xfId="17231"/>
    <cellStyle name="20% - Accent2 7 2 3 3 3 2" xfId="30510"/>
    <cellStyle name="20% - Accent2 7 2 3 3 4" xfId="21519"/>
    <cellStyle name="20% - Accent2 7 2 3 4" xfId="13278"/>
    <cellStyle name="20% - Accent2 7 2 3 4 2" xfId="26670"/>
    <cellStyle name="20% - Accent2 7 2 3 5" xfId="17229"/>
    <cellStyle name="20% - Accent2 7 2 3 5 2" xfId="30508"/>
    <cellStyle name="20% - Accent2 7 2 3 6" xfId="21517"/>
    <cellStyle name="20% - Accent2 7 2 4" xfId="1926"/>
    <cellStyle name="20% - Accent2 7 2 4 2" xfId="1927"/>
    <cellStyle name="20% - Accent2 7 2 4 2 2" xfId="13282"/>
    <cellStyle name="20% - Accent2 7 2 4 2 2 2" xfId="26674"/>
    <cellStyle name="20% - Accent2 7 2 4 2 3" xfId="17233"/>
    <cellStyle name="20% - Accent2 7 2 4 2 3 2" xfId="30512"/>
    <cellStyle name="20% - Accent2 7 2 4 2 4" xfId="21521"/>
    <cellStyle name="20% - Accent2 7 2 4 3" xfId="1928"/>
    <cellStyle name="20% - Accent2 7 2 4 3 2" xfId="13283"/>
    <cellStyle name="20% - Accent2 7 2 4 3 2 2" xfId="26675"/>
    <cellStyle name="20% - Accent2 7 2 4 3 3" xfId="17234"/>
    <cellStyle name="20% - Accent2 7 2 4 3 3 2" xfId="30513"/>
    <cellStyle name="20% - Accent2 7 2 4 3 4" xfId="21522"/>
    <cellStyle name="20% - Accent2 7 2 4 4" xfId="13281"/>
    <cellStyle name="20% - Accent2 7 2 4 4 2" xfId="26673"/>
    <cellStyle name="20% - Accent2 7 2 4 5" xfId="17232"/>
    <cellStyle name="20% - Accent2 7 2 4 5 2" xfId="30511"/>
    <cellStyle name="20% - Accent2 7 2 4 6" xfId="21520"/>
    <cellStyle name="20% - Accent2 7 2 5" xfId="1929"/>
    <cellStyle name="20% - Accent2 7 2 5 2" xfId="13284"/>
    <cellStyle name="20% - Accent2 7 2 5 2 2" xfId="26676"/>
    <cellStyle name="20% - Accent2 7 2 5 3" xfId="17235"/>
    <cellStyle name="20% - Accent2 7 2 5 3 2" xfId="30514"/>
    <cellStyle name="20% - Accent2 7 2 5 4" xfId="21523"/>
    <cellStyle name="20% - Accent2 7 2 6" xfId="1930"/>
    <cellStyle name="20% - Accent2 7 2 6 2" xfId="13285"/>
    <cellStyle name="20% - Accent2 7 2 6 2 2" xfId="26677"/>
    <cellStyle name="20% - Accent2 7 2 6 3" xfId="17236"/>
    <cellStyle name="20% - Accent2 7 2 6 3 2" xfId="30515"/>
    <cellStyle name="20% - Accent2 7 2 6 4" xfId="21524"/>
    <cellStyle name="20% - Accent2 7 2 7" xfId="13274"/>
    <cellStyle name="20% - Accent2 7 2 7 2" xfId="26666"/>
    <cellStyle name="20% - Accent2 7 2 8" xfId="17225"/>
    <cellStyle name="20% - Accent2 7 2 8 2" xfId="30504"/>
    <cellStyle name="20% - Accent2 7 2 9" xfId="21513"/>
    <cellStyle name="20% - Accent2 7 2_Volatility" xfId="1931"/>
    <cellStyle name="20% - Accent2 7 3" xfId="1932"/>
    <cellStyle name="20% - Accent2 7 3 2" xfId="1933"/>
    <cellStyle name="20% - Accent2 7 3 2 2" xfId="1934"/>
    <cellStyle name="20% - Accent2 7 3 2 2 2" xfId="13288"/>
    <cellStyle name="20% - Accent2 7 3 2 2 2 2" xfId="26680"/>
    <cellStyle name="20% - Accent2 7 3 2 2 3" xfId="17239"/>
    <cellStyle name="20% - Accent2 7 3 2 2 3 2" xfId="30518"/>
    <cellStyle name="20% - Accent2 7 3 2 2 4" xfId="21527"/>
    <cellStyle name="20% - Accent2 7 3 2 3" xfId="1935"/>
    <cellStyle name="20% - Accent2 7 3 2 3 2" xfId="13289"/>
    <cellStyle name="20% - Accent2 7 3 2 3 2 2" xfId="26681"/>
    <cellStyle name="20% - Accent2 7 3 2 3 3" xfId="17240"/>
    <cellStyle name="20% - Accent2 7 3 2 3 3 2" xfId="30519"/>
    <cellStyle name="20% - Accent2 7 3 2 3 4" xfId="21528"/>
    <cellStyle name="20% - Accent2 7 3 2 4" xfId="13287"/>
    <cellStyle name="20% - Accent2 7 3 2 4 2" xfId="26679"/>
    <cellStyle name="20% - Accent2 7 3 2 5" xfId="17238"/>
    <cellStyle name="20% - Accent2 7 3 2 5 2" xfId="30517"/>
    <cellStyle name="20% - Accent2 7 3 2 6" xfId="21526"/>
    <cellStyle name="20% - Accent2 7 3 3" xfId="1936"/>
    <cellStyle name="20% - Accent2 7 3 3 2" xfId="1937"/>
    <cellStyle name="20% - Accent2 7 3 3 2 2" xfId="13291"/>
    <cellStyle name="20% - Accent2 7 3 3 2 2 2" xfId="26683"/>
    <cellStyle name="20% - Accent2 7 3 3 2 3" xfId="17242"/>
    <cellStyle name="20% - Accent2 7 3 3 2 3 2" xfId="30521"/>
    <cellStyle name="20% - Accent2 7 3 3 2 4" xfId="21530"/>
    <cellStyle name="20% - Accent2 7 3 3 3" xfId="1938"/>
    <cellStyle name="20% - Accent2 7 3 3 3 2" xfId="13292"/>
    <cellStyle name="20% - Accent2 7 3 3 3 2 2" xfId="26684"/>
    <cellStyle name="20% - Accent2 7 3 3 3 3" xfId="17243"/>
    <cellStyle name="20% - Accent2 7 3 3 3 3 2" xfId="30522"/>
    <cellStyle name="20% - Accent2 7 3 3 3 4" xfId="21531"/>
    <cellStyle name="20% - Accent2 7 3 3 4" xfId="13290"/>
    <cellStyle name="20% - Accent2 7 3 3 4 2" xfId="26682"/>
    <cellStyle name="20% - Accent2 7 3 3 5" xfId="17241"/>
    <cellStyle name="20% - Accent2 7 3 3 5 2" xfId="30520"/>
    <cellStyle name="20% - Accent2 7 3 3 6" xfId="21529"/>
    <cellStyle name="20% - Accent2 7 3 4" xfId="1939"/>
    <cellStyle name="20% - Accent2 7 3 4 2" xfId="13293"/>
    <cellStyle name="20% - Accent2 7 3 4 2 2" xfId="26685"/>
    <cellStyle name="20% - Accent2 7 3 4 3" xfId="17244"/>
    <cellStyle name="20% - Accent2 7 3 4 3 2" xfId="30523"/>
    <cellStyle name="20% - Accent2 7 3 4 4" xfId="21532"/>
    <cellStyle name="20% - Accent2 7 3 5" xfId="1940"/>
    <cellStyle name="20% - Accent2 7 3 5 2" xfId="13294"/>
    <cellStyle name="20% - Accent2 7 3 5 2 2" xfId="26686"/>
    <cellStyle name="20% - Accent2 7 3 5 3" xfId="17245"/>
    <cellStyle name="20% - Accent2 7 3 5 3 2" xfId="30524"/>
    <cellStyle name="20% - Accent2 7 3 5 4" xfId="21533"/>
    <cellStyle name="20% - Accent2 7 3 6" xfId="13286"/>
    <cellStyle name="20% - Accent2 7 3 6 2" xfId="26678"/>
    <cellStyle name="20% - Accent2 7 3 7" xfId="17237"/>
    <cellStyle name="20% - Accent2 7 3 7 2" xfId="30516"/>
    <cellStyle name="20% - Accent2 7 3 8" xfId="21525"/>
    <cellStyle name="20% - Accent2 7 3_Volatility" xfId="1941"/>
    <cellStyle name="20% - Accent2 7 4" xfId="1942"/>
    <cellStyle name="20% - Accent2 7 4 2" xfId="1943"/>
    <cellStyle name="20% - Accent2 7 4 2 2" xfId="13296"/>
    <cellStyle name="20% - Accent2 7 4 2 2 2" xfId="26688"/>
    <cellStyle name="20% - Accent2 7 4 2 3" xfId="17247"/>
    <cellStyle name="20% - Accent2 7 4 2 3 2" xfId="30526"/>
    <cellStyle name="20% - Accent2 7 4 2 4" xfId="21535"/>
    <cellStyle name="20% - Accent2 7 4 3" xfId="1944"/>
    <cellStyle name="20% - Accent2 7 4 3 2" xfId="13297"/>
    <cellStyle name="20% - Accent2 7 4 3 2 2" xfId="26689"/>
    <cellStyle name="20% - Accent2 7 4 3 3" xfId="17248"/>
    <cellStyle name="20% - Accent2 7 4 3 3 2" xfId="30527"/>
    <cellStyle name="20% - Accent2 7 4 3 4" xfId="21536"/>
    <cellStyle name="20% - Accent2 7 4 4" xfId="13295"/>
    <cellStyle name="20% - Accent2 7 4 4 2" xfId="26687"/>
    <cellStyle name="20% - Accent2 7 4 5" xfId="17246"/>
    <cellStyle name="20% - Accent2 7 4 5 2" xfId="30525"/>
    <cellStyle name="20% - Accent2 7 4 6" xfId="21534"/>
    <cellStyle name="20% - Accent2 7 5" xfId="1945"/>
    <cellStyle name="20% - Accent2 7 5 2" xfId="1946"/>
    <cellStyle name="20% - Accent2 7 5 2 2" xfId="13299"/>
    <cellStyle name="20% - Accent2 7 5 2 2 2" xfId="26691"/>
    <cellStyle name="20% - Accent2 7 5 2 3" xfId="17250"/>
    <cellStyle name="20% - Accent2 7 5 2 3 2" xfId="30529"/>
    <cellStyle name="20% - Accent2 7 5 2 4" xfId="21538"/>
    <cellStyle name="20% - Accent2 7 5 3" xfId="1947"/>
    <cellStyle name="20% - Accent2 7 5 3 2" xfId="13300"/>
    <cellStyle name="20% - Accent2 7 5 3 2 2" xfId="26692"/>
    <cellStyle name="20% - Accent2 7 5 3 3" xfId="17251"/>
    <cellStyle name="20% - Accent2 7 5 3 3 2" xfId="30530"/>
    <cellStyle name="20% - Accent2 7 5 3 4" xfId="21539"/>
    <cellStyle name="20% - Accent2 7 5 4" xfId="13298"/>
    <cellStyle name="20% - Accent2 7 5 4 2" xfId="26690"/>
    <cellStyle name="20% - Accent2 7 5 5" xfId="17249"/>
    <cellStyle name="20% - Accent2 7 5 5 2" xfId="30528"/>
    <cellStyle name="20% - Accent2 7 5 6" xfId="21537"/>
    <cellStyle name="20% - Accent2 7 6" xfId="1948"/>
    <cellStyle name="20% - Accent2 7 6 2" xfId="1949"/>
    <cellStyle name="20% - Accent2 7 6 2 2" xfId="13302"/>
    <cellStyle name="20% - Accent2 7 6 2 2 2" xfId="26694"/>
    <cellStyle name="20% - Accent2 7 6 2 3" xfId="17253"/>
    <cellStyle name="20% - Accent2 7 6 2 3 2" xfId="30532"/>
    <cellStyle name="20% - Accent2 7 6 2 4" xfId="21541"/>
    <cellStyle name="20% - Accent2 7 6 3" xfId="1950"/>
    <cellStyle name="20% - Accent2 7 6 3 2" xfId="13303"/>
    <cellStyle name="20% - Accent2 7 6 3 2 2" xfId="26695"/>
    <cellStyle name="20% - Accent2 7 6 3 3" xfId="17254"/>
    <cellStyle name="20% - Accent2 7 6 3 3 2" xfId="30533"/>
    <cellStyle name="20% - Accent2 7 6 3 4" xfId="21542"/>
    <cellStyle name="20% - Accent2 7 6 4" xfId="13301"/>
    <cellStyle name="20% - Accent2 7 6 4 2" xfId="26693"/>
    <cellStyle name="20% - Accent2 7 6 5" xfId="17252"/>
    <cellStyle name="20% - Accent2 7 6 5 2" xfId="30531"/>
    <cellStyle name="20% - Accent2 7 6 6" xfId="21540"/>
    <cellStyle name="20% - Accent2 7 7" xfId="1951"/>
    <cellStyle name="20% - Accent2 7 7 2" xfId="13304"/>
    <cellStyle name="20% - Accent2 7 7 2 2" xfId="26696"/>
    <cellStyle name="20% - Accent2 7 7 3" xfId="17255"/>
    <cellStyle name="20% - Accent2 7 7 3 2" xfId="30534"/>
    <cellStyle name="20% - Accent2 7 7 4" xfId="21543"/>
    <cellStyle name="20% - Accent2 7 8" xfId="1952"/>
    <cellStyle name="20% - Accent2 7 8 2" xfId="13305"/>
    <cellStyle name="20% - Accent2 7 8 2 2" xfId="26697"/>
    <cellStyle name="20% - Accent2 7 8 3" xfId="17256"/>
    <cellStyle name="20% - Accent2 7 8 3 2" xfId="30535"/>
    <cellStyle name="20% - Accent2 7 8 4" xfId="21544"/>
    <cellStyle name="20% - Accent2 7 9" xfId="13273"/>
    <cellStyle name="20% - Accent2 7 9 2" xfId="26665"/>
    <cellStyle name="20% - Accent2 7_Volatility" xfId="1953"/>
    <cellStyle name="20% - Accent2 8" xfId="1954"/>
    <cellStyle name="20% - Accent2 8 10" xfId="17257"/>
    <cellStyle name="20% - Accent2 8 10 2" xfId="30536"/>
    <cellStyle name="20% - Accent2 8 11" xfId="21545"/>
    <cellStyle name="20% - Accent2 8 2" xfId="1955"/>
    <cellStyle name="20% - Accent2 8 2 2" xfId="1956"/>
    <cellStyle name="20% - Accent2 8 2 2 2" xfId="1957"/>
    <cellStyle name="20% - Accent2 8 2 2 2 2" xfId="13309"/>
    <cellStyle name="20% - Accent2 8 2 2 2 2 2" xfId="26701"/>
    <cellStyle name="20% - Accent2 8 2 2 2 3" xfId="17260"/>
    <cellStyle name="20% - Accent2 8 2 2 2 3 2" xfId="30539"/>
    <cellStyle name="20% - Accent2 8 2 2 2 4" xfId="21548"/>
    <cellStyle name="20% - Accent2 8 2 2 3" xfId="1958"/>
    <cellStyle name="20% - Accent2 8 2 2 3 2" xfId="13310"/>
    <cellStyle name="20% - Accent2 8 2 2 3 2 2" xfId="26702"/>
    <cellStyle name="20% - Accent2 8 2 2 3 3" xfId="17261"/>
    <cellStyle name="20% - Accent2 8 2 2 3 3 2" xfId="30540"/>
    <cellStyle name="20% - Accent2 8 2 2 3 4" xfId="21549"/>
    <cellStyle name="20% - Accent2 8 2 2 4" xfId="13308"/>
    <cellStyle name="20% - Accent2 8 2 2 4 2" xfId="26700"/>
    <cellStyle name="20% - Accent2 8 2 2 5" xfId="17259"/>
    <cellStyle name="20% - Accent2 8 2 2 5 2" xfId="30538"/>
    <cellStyle name="20% - Accent2 8 2 2 6" xfId="21547"/>
    <cellStyle name="20% - Accent2 8 2 3" xfId="1959"/>
    <cellStyle name="20% - Accent2 8 2 3 2" xfId="1960"/>
    <cellStyle name="20% - Accent2 8 2 3 2 2" xfId="13312"/>
    <cellStyle name="20% - Accent2 8 2 3 2 2 2" xfId="26704"/>
    <cellStyle name="20% - Accent2 8 2 3 2 3" xfId="17263"/>
    <cellStyle name="20% - Accent2 8 2 3 2 3 2" xfId="30542"/>
    <cellStyle name="20% - Accent2 8 2 3 2 4" xfId="21551"/>
    <cellStyle name="20% - Accent2 8 2 3 3" xfId="1961"/>
    <cellStyle name="20% - Accent2 8 2 3 3 2" xfId="13313"/>
    <cellStyle name="20% - Accent2 8 2 3 3 2 2" xfId="26705"/>
    <cellStyle name="20% - Accent2 8 2 3 3 3" xfId="17264"/>
    <cellStyle name="20% - Accent2 8 2 3 3 3 2" xfId="30543"/>
    <cellStyle name="20% - Accent2 8 2 3 3 4" xfId="21552"/>
    <cellStyle name="20% - Accent2 8 2 3 4" xfId="13311"/>
    <cellStyle name="20% - Accent2 8 2 3 4 2" xfId="26703"/>
    <cellStyle name="20% - Accent2 8 2 3 5" xfId="17262"/>
    <cellStyle name="20% - Accent2 8 2 3 5 2" xfId="30541"/>
    <cellStyle name="20% - Accent2 8 2 3 6" xfId="21550"/>
    <cellStyle name="20% - Accent2 8 2 4" xfId="1962"/>
    <cellStyle name="20% - Accent2 8 2 4 2" xfId="1963"/>
    <cellStyle name="20% - Accent2 8 2 4 2 2" xfId="13315"/>
    <cellStyle name="20% - Accent2 8 2 4 2 2 2" xfId="26707"/>
    <cellStyle name="20% - Accent2 8 2 4 2 3" xfId="17266"/>
    <cellStyle name="20% - Accent2 8 2 4 2 3 2" xfId="30545"/>
    <cellStyle name="20% - Accent2 8 2 4 2 4" xfId="21554"/>
    <cellStyle name="20% - Accent2 8 2 4 3" xfId="1964"/>
    <cellStyle name="20% - Accent2 8 2 4 3 2" xfId="13316"/>
    <cellStyle name="20% - Accent2 8 2 4 3 2 2" xfId="26708"/>
    <cellStyle name="20% - Accent2 8 2 4 3 3" xfId="17267"/>
    <cellStyle name="20% - Accent2 8 2 4 3 3 2" xfId="30546"/>
    <cellStyle name="20% - Accent2 8 2 4 3 4" xfId="21555"/>
    <cellStyle name="20% - Accent2 8 2 4 4" xfId="13314"/>
    <cellStyle name="20% - Accent2 8 2 4 4 2" xfId="26706"/>
    <cellStyle name="20% - Accent2 8 2 4 5" xfId="17265"/>
    <cellStyle name="20% - Accent2 8 2 4 5 2" xfId="30544"/>
    <cellStyle name="20% - Accent2 8 2 4 6" xfId="21553"/>
    <cellStyle name="20% - Accent2 8 2 5" xfId="1965"/>
    <cellStyle name="20% - Accent2 8 2 5 2" xfId="13317"/>
    <cellStyle name="20% - Accent2 8 2 5 2 2" xfId="26709"/>
    <cellStyle name="20% - Accent2 8 2 5 3" xfId="17268"/>
    <cellStyle name="20% - Accent2 8 2 5 3 2" xfId="30547"/>
    <cellStyle name="20% - Accent2 8 2 5 4" xfId="21556"/>
    <cellStyle name="20% - Accent2 8 2 6" xfId="1966"/>
    <cellStyle name="20% - Accent2 8 2 6 2" xfId="13318"/>
    <cellStyle name="20% - Accent2 8 2 6 2 2" xfId="26710"/>
    <cellStyle name="20% - Accent2 8 2 6 3" xfId="17269"/>
    <cellStyle name="20% - Accent2 8 2 6 3 2" xfId="30548"/>
    <cellStyle name="20% - Accent2 8 2 6 4" xfId="21557"/>
    <cellStyle name="20% - Accent2 8 2 7" xfId="13307"/>
    <cellStyle name="20% - Accent2 8 2 7 2" xfId="26699"/>
    <cellStyle name="20% - Accent2 8 2 8" xfId="17258"/>
    <cellStyle name="20% - Accent2 8 2 8 2" xfId="30537"/>
    <cellStyle name="20% - Accent2 8 2 9" xfId="21546"/>
    <cellStyle name="20% - Accent2 8 2_Volatility" xfId="1967"/>
    <cellStyle name="20% - Accent2 8 3" xfId="1968"/>
    <cellStyle name="20% - Accent2 8 3 2" xfId="1969"/>
    <cellStyle name="20% - Accent2 8 3 2 2" xfId="1970"/>
    <cellStyle name="20% - Accent2 8 3 2 2 2" xfId="13321"/>
    <cellStyle name="20% - Accent2 8 3 2 2 2 2" xfId="26713"/>
    <cellStyle name="20% - Accent2 8 3 2 2 3" xfId="17272"/>
    <cellStyle name="20% - Accent2 8 3 2 2 3 2" xfId="30551"/>
    <cellStyle name="20% - Accent2 8 3 2 2 4" xfId="21560"/>
    <cellStyle name="20% - Accent2 8 3 2 3" xfId="1971"/>
    <cellStyle name="20% - Accent2 8 3 2 3 2" xfId="13322"/>
    <cellStyle name="20% - Accent2 8 3 2 3 2 2" xfId="26714"/>
    <cellStyle name="20% - Accent2 8 3 2 3 3" xfId="17273"/>
    <cellStyle name="20% - Accent2 8 3 2 3 3 2" xfId="30552"/>
    <cellStyle name="20% - Accent2 8 3 2 3 4" xfId="21561"/>
    <cellStyle name="20% - Accent2 8 3 2 4" xfId="13320"/>
    <cellStyle name="20% - Accent2 8 3 2 4 2" xfId="26712"/>
    <cellStyle name="20% - Accent2 8 3 2 5" xfId="17271"/>
    <cellStyle name="20% - Accent2 8 3 2 5 2" xfId="30550"/>
    <cellStyle name="20% - Accent2 8 3 2 6" xfId="21559"/>
    <cellStyle name="20% - Accent2 8 3 3" xfId="1972"/>
    <cellStyle name="20% - Accent2 8 3 3 2" xfId="1973"/>
    <cellStyle name="20% - Accent2 8 3 3 2 2" xfId="13324"/>
    <cellStyle name="20% - Accent2 8 3 3 2 2 2" xfId="26716"/>
    <cellStyle name="20% - Accent2 8 3 3 2 3" xfId="17275"/>
    <cellStyle name="20% - Accent2 8 3 3 2 3 2" xfId="30554"/>
    <cellStyle name="20% - Accent2 8 3 3 2 4" xfId="21563"/>
    <cellStyle name="20% - Accent2 8 3 3 3" xfId="1974"/>
    <cellStyle name="20% - Accent2 8 3 3 3 2" xfId="13325"/>
    <cellStyle name="20% - Accent2 8 3 3 3 2 2" xfId="26717"/>
    <cellStyle name="20% - Accent2 8 3 3 3 3" xfId="17276"/>
    <cellStyle name="20% - Accent2 8 3 3 3 3 2" xfId="30555"/>
    <cellStyle name="20% - Accent2 8 3 3 3 4" xfId="21564"/>
    <cellStyle name="20% - Accent2 8 3 3 4" xfId="13323"/>
    <cellStyle name="20% - Accent2 8 3 3 4 2" xfId="26715"/>
    <cellStyle name="20% - Accent2 8 3 3 5" xfId="17274"/>
    <cellStyle name="20% - Accent2 8 3 3 5 2" xfId="30553"/>
    <cellStyle name="20% - Accent2 8 3 3 6" xfId="21562"/>
    <cellStyle name="20% - Accent2 8 3 4" xfId="1975"/>
    <cellStyle name="20% - Accent2 8 3 4 2" xfId="13326"/>
    <cellStyle name="20% - Accent2 8 3 4 2 2" xfId="26718"/>
    <cellStyle name="20% - Accent2 8 3 4 3" xfId="17277"/>
    <cellStyle name="20% - Accent2 8 3 4 3 2" xfId="30556"/>
    <cellStyle name="20% - Accent2 8 3 4 4" xfId="21565"/>
    <cellStyle name="20% - Accent2 8 3 5" xfId="1976"/>
    <cellStyle name="20% - Accent2 8 3 5 2" xfId="13327"/>
    <cellStyle name="20% - Accent2 8 3 5 2 2" xfId="26719"/>
    <cellStyle name="20% - Accent2 8 3 5 3" xfId="17278"/>
    <cellStyle name="20% - Accent2 8 3 5 3 2" xfId="30557"/>
    <cellStyle name="20% - Accent2 8 3 5 4" xfId="21566"/>
    <cellStyle name="20% - Accent2 8 3 6" xfId="13319"/>
    <cellStyle name="20% - Accent2 8 3 6 2" xfId="26711"/>
    <cellStyle name="20% - Accent2 8 3 7" xfId="17270"/>
    <cellStyle name="20% - Accent2 8 3 7 2" xfId="30549"/>
    <cellStyle name="20% - Accent2 8 3 8" xfId="21558"/>
    <cellStyle name="20% - Accent2 8 3_Volatility" xfId="1977"/>
    <cellStyle name="20% - Accent2 8 4" xfId="1978"/>
    <cellStyle name="20% - Accent2 8 4 2" xfId="1979"/>
    <cellStyle name="20% - Accent2 8 4 2 2" xfId="13329"/>
    <cellStyle name="20% - Accent2 8 4 2 2 2" xfId="26721"/>
    <cellStyle name="20% - Accent2 8 4 2 3" xfId="17280"/>
    <cellStyle name="20% - Accent2 8 4 2 3 2" xfId="30559"/>
    <cellStyle name="20% - Accent2 8 4 2 4" xfId="21568"/>
    <cellStyle name="20% - Accent2 8 4 3" xfId="1980"/>
    <cellStyle name="20% - Accent2 8 4 3 2" xfId="13330"/>
    <cellStyle name="20% - Accent2 8 4 3 2 2" xfId="26722"/>
    <cellStyle name="20% - Accent2 8 4 3 3" xfId="17281"/>
    <cellStyle name="20% - Accent2 8 4 3 3 2" xfId="30560"/>
    <cellStyle name="20% - Accent2 8 4 3 4" xfId="21569"/>
    <cellStyle name="20% - Accent2 8 4 4" xfId="13328"/>
    <cellStyle name="20% - Accent2 8 4 4 2" xfId="26720"/>
    <cellStyle name="20% - Accent2 8 4 5" xfId="17279"/>
    <cellStyle name="20% - Accent2 8 4 5 2" xfId="30558"/>
    <cellStyle name="20% - Accent2 8 4 6" xfId="21567"/>
    <cellStyle name="20% - Accent2 8 5" xfId="1981"/>
    <cellStyle name="20% - Accent2 8 5 2" xfId="1982"/>
    <cellStyle name="20% - Accent2 8 5 2 2" xfId="13332"/>
    <cellStyle name="20% - Accent2 8 5 2 2 2" xfId="26724"/>
    <cellStyle name="20% - Accent2 8 5 2 3" xfId="17283"/>
    <cellStyle name="20% - Accent2 8 5 2 3 2" xfId="30562"/>
    <cellStyle name="20% - Accent2 8 5 2 4" xfId="21571"/>
    <cellStyle name="20% - Accent2 8 5 3" xfId="1983"/>
    <cellStyle name="20% - Accent2 8 5 3 2" xfId="13333"/>
    <cellStyle name="20% - Accent2 8 5 3 2 2" xfId="26725"/>
    <cellStyle name="20% - Accent2 8 5 3 3" xfId="17284"/>
    <cellStyle name="20% - Accent2 8 5 3 3 2" xfId="30563"/>
    <cellStyle name="20% - Accent2 8 5 3 4" xfId="21572"/>
    <cellStyle name="20% - Accent2 8 5 4" xfId="13331"/>
    <cellStyle name="20% - Accent2 8 5 4 2" xfId="26723"/>
    <cellStyle name="20% - Accent2 8 5 5" xfId="17282"/>
    <cellStyle name="20% - Accent2 8 5 5 2" xfId="30561"/>
    <cellStyle name="20% - Accent2 8 5 6" xfId="21570"/>
    <cellStyle name="20% - Accent2 8 6" xfId="1984"/>
    <cellStyle name="20% - Accent2 8 6 2" xfId="1985"/>
    <cellStyle name="20% - Accent2 8 6 2 2" xfId="13335"/>
    <cellStyle name="20% - Accent2 8 6 2 2 2" xfId="26727"/>
    <cellStyle name="20% - Accent2 8 6 2 3" xfId="17286"/>
    <cellStyle name="20% - Accent2 8 6 2 3 2" xfId="30565"/>
    <cellStyle name="20% - Accent2 8 6 2 4" xfId="21574"/>
    <cellStyle name="20% - Accent2 8 6 3" xfId="1986"/>
    <cellStyle name="20% - Accent2 8 6 3 2" xfId="13336"/>
    <cellStyle name="20% - Accent2 8 6 3 2 2" xfId="26728"/>
    <cellStyle name="20% - Accent2 8 6 3 3" xfId="17287"/>
    <cellStyle name="20% - Accent2 8 6 3 3 2" xfId="30566"/>
    <cellStyle name="20% - Accent2 8 6 3 4" xfId="21575"/>
    <cellStyle name="20% - Accent2 8 6 4" xfId="13334"/>
    <cellStyle name="20% - Accent2 8 6 4 2" xfId="26726"/>
    <cellStyle name="20% - Accent2 8 6 5" xfId="17285"/>
    <cellStyle name="20% - Accent2 8 6 5 2" xfId="30564"/>
    <cellStyle name="20% - Accent2 8 6 6" xfId="21573"/>
    <cellStyle name="20% - Accent2 8 7" xfId="1987"/>
    <cellStyle name="20% - Accent2 8 7 2" xfId="13337"/>
    <cellStyle name="20% - Accent2 8 7 2 2" xfId="26729"/>
    <cellStyle name="20% - Accent2 8 7 3" xfId="17288"/>
    <cellStyle name="20% - Accent2 8 7 3 2" xfId="30567"/>
    <cellStyle name="20% - Accent2 8 7 4" xfId="21576"/>
    <cellStyle name="20% - Accent2 8 8" xfId="1988"/>
    <cellStyle name="20% - Accent2 8 8 2" xfId="13338"/>
    <cellStyle name="20% - Accent2 8 8 2 2" xfId="26730"/>
    <cellStyle name="20% - Accent2 8 8 3" xfId="17289"/>
    <cellStyle name="20% - Accent2 8 8 3 2" xfId="30568"/>
    <cellStyle name="20% - Accent2 8 8 4" xfId="21577"/>
    <cellStyle name="20% - Accent2 8 9" xfId="13306"/>
    <cellStyle name="20% - Accent2 8 9 2" xfId="26698"/>
    <cellStyle name="20% - Accent2 8_Volatility" xfId="1989"/>
    <cellStyle name="20% - Accent2 9" xfId="1990"/>
    <cellStyle name="20% - Accent2 9 10" xfId="17290"/>
    <cellStyle name="20% - Accent2 9 10 2" xfId="30569"/>
    <cellStyle name="20% - Accent2 9 11" xfId="21578"/>
    <cellStyle name="20% - Accent2 9 2" xfId="1991"/>
    <cellStyle name="20% - Accent2 9 2 2" xfId="1992"/>
    <cellStyle name="20% - Accent2 9 2 2 2" xfId="1993"/>
    <cellStyle name="20% - Accent2 9 2 2 2 2" xfId="13342"/>
    <cellStyle name="20% - Accent2 9 2 2 2 2 2" xfId="26734"/>
    <cellStyle name="20% - Accent2 9 2 2 2 3" xfId="17293"/>
    <cellStyle name="20% - Accent2 9 2 2 2 3 2" xfId="30572"/>
    <cellStyle name="20% - Accent2 9 2 2 2 4" xfId="21581"/>
    <cellStyle name="20% - Accent2 9 2 2 3" xfId="1994"/>
    <cellStyle name="20% - Accent2 9 2 2 3 2" xfId="13343"/>
    <cellStyle name="20% - Accent2 9 2 2 3 2 2" xfId="26735"/>
    <cellStyle name="20% - Accent2 9 2 2 3 3" xfId="17294"/>
    <cellStyle name="20% - Accent2 9 2 2 3 3 2" xfId="30573"/>
    <cellStyle name="20% - Accent2 9 2 2 3 4" xfId="21582"/>
    <cellStyle name="20% - Accent2 9 2 2 4" xfId="13341"/>
    <cellStyle name="20% - Accent2 9 2 2 4 2" xfId="26733"/>
    <cellStyle name="20% - Accent2 9 2 2 5" xfId="17292"/>
    <cellStyle name="20% - Accent2 9 2 2 5 2" xfId="30571"/>
    <cellStyle name="20% - Accent2 9 2 2 6" xfId="21580"/>
    <cellStyle name="20% - Accent2 9 2 3" xfId="1995"/>
    <cellStyle name="20% - Accent2 9 2 3 2" xfId="1996"/>
    <cellStyle name="20% - Accent2 9 2 3 2 2" xfId="13345"/>
    <cellStyle name="20% - Accent2 9 2 3 2 2 2" xfId="26737"/>
    <cellStyle name="20% - Accent2 9 2 3 2 3" xfId="17296"/>
    <cellStyle name="20% - Accent2 9 2 3 2 3 2" xfId="30575"/>
    <cellStyle name="20% - Accent2 9 2 3 2 4" xfId="21584"/>
    <cellStyle name="20% - Accent2 9 2 3 3" xfId="1997"/>
    <cellStyle name="20% - Accent2 9 2 3 3 2" xfId="13346"/>
    <cellStyle name="20% - Accent2 9 2 3 3 2 2" xfId="26738"/>
    <cellStyle name="20% - Accent2 9 2 3 3 3" xfId="17297"/>
    <cellStyle name="20% - Accent2 9 2 3 3 3 2" xfId="30576"/>
    <cellStyle name="20% - Accent2 9 2 3 3 4" xfId="21585"/>
    <cellStyle name="20% - Accent2 9 2 3 4" xfId="13344"/>
    <cellStyle name="20% - Accent2 9 2 3 4 2" xfId="26736"/>
    <cellStyle name="20% - Accent2 9 2 3 5" xfId="17295"/>
    <cellStyle name="20% - Accent2 9 2 3 5 2" xfId="30574"/>
    <cellStyle name="20% - Accent2 9 2 3 6" xfId="21583"/>
    <cellStyle name="20% - Accent2 9 2 4" xfId="1998"/>
    <cellStyle name="20% - Accent2 9 2 4 2" xfId="1999"/>
    <cellStyle name="20% - Accent2 9 2 4 2 2" xfId="13348"/>
    <cellStyle name="20% - Accent2 9 2 4 2 2 2" xfId="26740"/>
    <cellStyle name="20% - Accent2 9 2 4 2 3" xfId="17299"/>
    <cellStyle name="20% - Accent2 9 2 4 2 3 2" xfId="30578"/>
    <cellStyle name="20% - Accent2 9 2 4 2 4" xfId="21587"/>
    <cellStyle name="20% - Accent2 9 2 4 3" xfId="2000"/>
    <cellStyle name="20% - Accent2 9 2 4 3 2" xfId="13349"/>
    <cellStyle name="20% - Accent2 9 2 4 3 2 2" xfId="26741"/>
    <cellStyle name="20% - Accent2 9 2 4 3 3" xfId="17300"/>
    <cellStyle name="20% - Accent2 9 2 4 3 3 2" xfId="30579"/>
    <cellStyle name="20% - Accent2 9 2 4 3 4" xfId="21588"/>
    <cellStyle name="20% - Accent2 9 2 4 4" xfId="13347"/>
    <cellStyle name="20% - Accent2 9 2 4 4 2" xfId="26739"/>
    <cellStyle name="20% - Accent2 9 2 4 5" xfId="17298"/>
    <cellStyle name="20% - Accent2 9 2 4 5 2" xfId="30577"/>
    <cellStyle name="20% - Accent2 9 2 4 6" xfId="21586"/>
    <cellStyle name="20% - Accent2 9 2 5" xfId="2001"/>
    <cellStyle name="20% - Accent2 9 2 5 2" xfId="13350"/>
    <cellStyle name="20% - Accent2 9 2 5 2 2" xfId="26742"/>
    <cellStyle name="20% - Accent2 9 2 5 3" xfId="17301"/>
    <cellStyle name="20% - Accent2 9 2 5 3 2" xfId="30580"/>
    <cellStyle name="20% - Accent2 9 2 5 4" xfId="21589"/>
    <cellStyle name="20% - Accent2 9 2 6" xfId="2002"/>
    <cellStyle name="20% - Accent2 9 2 6 2" xfId="13351"/>
    <cellStyle name="20% - Accent2 9 2 6 2 2" xfId="26743"/>
    <cellStyle name="20% - Accent2 9 2 6 3" xfId="17302"/>
    <cellStyle name="20% - Accent2 9 2 6 3 2" xfId="30581"/>
    <cellStyle name="20% - Accent2 9 2 6 4" xfId="21590"/>
    <cellStyle name="20% - Accent2 9 2 7" xfId="13340"/>
    <cellStyle name="20% - Accent2 9 2 7 2" xfId="26732"/>
    <cellStyle name="20% - Accent2 9 2 8" xfId="17291"/>
    <cellStyle name="20% - Accent2 9 2 8 2" xfId="30570"/>
    <cellStyle name="20% - Accent2 9 2 9" xfId="21579"/>
    <cellStyle name="20% - Accent2 9 2_Volatility" xfId="2003"/>
    <cellStyle name="20% - Accent2 9 3" xfId="2004"/>
    <cellStyle name="20% - Accent2 9 3 2" xfId="2005"/>
    <cellStyle name="20% - Accent2 9 3 2 2" xfId="2006"/>
    <cellStyle name="20% - Accent2 9 3 2 2 2" xfId="13354"/>
    <cellStyle name="20% - Accent2 9 3 2 2 2 2" xfId="26746"/>
    <cellStyle name="20% - Accent2 9 3 2 2 3" xfId="17305"/>
    <cellStyle name="20% - Accent2 9 3 2 2 3 2" xfId="30584"/>
    <cellStyle name="20% - Accent2 9 3 2 2 4" xfId="21593"/>
    <cellStyle name="20% - Accent2 9 3 2 3" xfId="2007"/>
    <cellStyle name="20% - Accent2 9 3 2 3 2" xfId="13355"/>
    <cellStyle name="20% - Accent2 9 3 2 3 2 2" xfId="26747"/>
    <cellStyle name="20% - Accent2 9 3 2 3 3" xfId="17306"/>
    <cellStyle name="20% - Accent2 9 3 2 3 3 2" xfId="30585"/>
    <cellStyle name="20% - Accent2 9 3 2 3 4" xfId="21594"/>
    <cellStyle name="20% - Accent2 9 3 2 4" xfId="13353"/>
    <cellStyle name="20% - Accent2 9 3 2 4 2" xfId="26745"/>
    <cellStyle name="20% - Accent2 9 3 2 5" xfId="17304"/>
    <cellStyle name="20% - Accent2 9 3 2 5 2" xfId="30583"/>
    <cellStyle name="20% - Accent2 9 3 2 6" xfId="21592"/>
    <cellStyle name="20% - Accent2 9 3 3" xfId="2008"/>
    <cellStyle name="20% - Accent2 9 3 3 2" xfId="2009"/>
    <cellStyle name="20% - Accent2 9 3 3 2 2" xfId="13357"/>
    <cellStyle name="20% - Accent2 9 3 3 2 2 2" xfId="26749"/>
    <cellStyle name="20% - Accent2 9 3 3 2 3" xfId="17308"/>
    <cellStyle name="20% - Accent2 9 3 3 2 3 2" xfId="30587"/>
    <cellStyle name="20% - Accent2 9 3 3 2 4" xfId="21596"/>
    <cellStyle name="20% - Accent2 9 3 3 3" xfId="2010"/>
    <cellStyle name="20% - Accent2 9 3 3 3 2" xfId="13358"/>
    <cellStyle name="20% - Accent2 9 3 3 3 2 2" xfId="26750"/>
    <cellStyle name="20% - Accent2 9 3 3 3 3" xfId="17309"/>
    <cellStyle name="20% - Accent2 9 3 3 3 3 2" xfId="30588"/>
    <cellStyle name="20% - Accent2 9 3 3 3 4" xfId="21597"/>
    <cellStyle name="20% - Accent2 9 3 3 4" xfId="13356"/>
    <cellStyle name="20% - Accent2 9 3 3 4 2" xfId="26748"/>
    <cellStyle name="20% - Accent2 9 3 3 5" xfId="17307"/>
    <cellStyle name="20% - Accent2 9 3 3 5 2" xfId="30586"/>
    <cellStyle name="20% - Accent2 9 3 3 6" xfId="21595"/>
    <cellStyle name="20% - Accent2 9 3 4" xfId="2011"/>
    <cellStyle name="20% - Accent2 9 3 4 2" xfId="13359"/>
    <cellStyle name="20% - Accent2 9 3 4 2 2" xfId="26751"/>
    <cellStyle name="20% - Accent2 9 3 4 3" xfId="17310"/>
    <cellStyle name="20% - Accent2 9 3 4 3 2" xfId="30589"/>
    <cellStyle name="20% - Accent2 9 3 4 4" xfId="21598"/>
    <cellStyle name="20% - Accent2 9 3 5" xfId="2012"/>
    <cellStyle name="20% - Accent2 9 3 5 2" xfId="13360"/>
    <cellStyle name="20% - Accent2 9 3 5 2 2" xfId="26752"/>
    <cellStyle name="20% - Accent2 9 3 5 3" xfId="17311"/>
    <cellStyle name="20% - Accent2 9 3 5 3 2" xfId="30590"/>
    <cellStyle name="20% - Accent2 9 3 5 4" xfId="21599"/>
    <cellStyle name="20% - Accent2 9 3 6" xfId="13352"/>
    <cellStyle name="20% - Accent2 9 3 6 2" xfId="26744"/>
    <cellStyle name="20% - Accent2 9 3 7" xfId="17303"/>
    <cellStyle name="20% - Accent2 9 3 7 2" xfId="30582"/>
    <cellStyle name="20% - Accent2 9 3 8" xfId="21591"/>
    <cellStyle name="20% - Accent2 9 3_Volatility" xfId="2013"/>
    <cellStyle name="20% - Accent2 9 4" xfId="2014"/>
    <cellStyle name="20% - Accent2 9 4 2" xfId="2015"/>
    <cellStyle name="20% - Accent2 9 4 2 2" xfId="13362"/>
    <cellStyle name="20% - Accent2 9 4 2 2 2" xfId="26754"/>
    <cellStyle name="20% - Accent2 9 4 2 3" xfId="17313"/>
    <cellStyle name="20% - Accent2 9 4 2 3 2" xfId="30592"/>
    <cellStyle name="20% - Accent2 9 4 2 4" xfId="21601"/>
    <cellStyle name="20% - Accent2 9 4 3" xfId="2016"/>
    <cellStyle name="20% - Accent2 9 4 3 2" xfId="13363"/>
    <cellStyle name="20% - Accent2 9 4 3 2 2" xfId="26755"/>
    <cellStyle name="20% - Accent2 9 4 3 3" xfId="17314"/>
    <cellStyle name="20% - Accent2 9 4 3 3 2" xfId="30593"/>
    <cellStyle name="20% - Accent2 9 4 3 4" xfId="21602"/>
    <cellStyle name="20% - Accent2 9 4 4" xfId="13361"/>
    <cellStyle name="20% - Accent2 9 4 4 2" xfId="26753"/>
    <cellStyle name="20% - Accent2 9 4 5" xfId="17312"/>
    <cellStyle name="20% - Accent2 9 4 5 2" xfId="30591"/>
    <cellStyle name="20% - Accent2 9 4 6" xfId="21600"/>
    <cellStyle name="20% - Accent2 9 5" xfId="2017"/>
    <cellStyle name="20% - Accent2 9 5 2" xfId="2018"/>
    <cellStyle name="20% - Accent2 9 5 2 2" xfId="13365"/>
    <cellStyle name="20% - Accent2 9 5 2 2 2" xfId="26757"/>
    <cellStyle name="20% - Accent2 9 5 2 3" xfId="17316"/>
    <cellStyle name="20% - Accent2 9 5 2 3 2" xfId="30595"/>
    <cellStyle name="20% - Accent2 9 5 2 4" xfId="21604"/>
    <cellStyle name="20% - Accent2 9 5 3" xfId="2019"/>
    <cellStyle name="20% - Accent2 9 5 3 2" xfId="13366"/>
    <cellStyle name="20% - Accent2 9 5 3 2 2" xfId="26758"/>
    <cellStyle name="20% - Accent2 9 5 3 3" xfId="17317"/>
    <cellStyle name="20% - Accent2 9 5 3 3 2" xfId="30596"/>
    <cellStyle name="20% - Accent2 9 5 3 4" xfId="21605"/>
    <cellStyle name="20% - Accent2 9 5 4" xfId="13364"/>
    <cellStyle name="20% - Accent2 9 5 4 2" xfId="26756"/>
    <cellStyle name="20% - Accent2 9 5 5" xfId="17315"/>
    <cellStyle name="20% - Accent2 9 5 5 2" xfId="30594"/>
    <cellStyle name="20% - Accent2 9 5 6" xfId="21603"/>
    <cellStyle name="20% - Accent2 9 6" xfId="2020"/>
    <cellStyle name="20% - Accent2 9 6 2" xfId="2021"/>
    <cellStyle name="20% - Accent2 9 6 2 2" xfId="13368"/>
    <cellStyle name="20% - Accent2 9 6 2 2 2" xfId="26760"/>
    <cellStyle name="20% - Accent2 9 6 2 3" xfId="17319"/>
    <cellStyle name="20% - Accent2 9 6 2 3 2" xfId="30598"/>
    <cellStyle name="20% - Accent2 9 6 2 4" xfId="21607"/>
    <cellStyle name="20% - Accent2 9 6 3" xfId="2022"/>
    <cellStyle name="20% - Accent2 9 6 3 2" xfId="13369"/>
    <cellStyle name="20% - Accent2 9 6 3 2 2" xfId="26761"/>
    <cellStyle name="20% - Accent2 9 6 3 3" xfId="17320"/>
    <cellStyle name="20% - Accent2 9 6 3 3 2" xfId="30599"/>
    <cellStyle name="20% - Accent2 9 6 3 4" xfId="21608"/>
    <cellStyle name="20% - Accent2 9 6 4" xfId="13367"/>
    <cellStyle name="20% - Accent2 9 6 4 2" xfId="26759"/>
    <cellStyle name="20% - Accent2 9 6 5" xfId="17318"/>
    <cellStyle name="20% - Accent2 9 6 5 2" xfId="30597"/>
    <cellStyle name="20% - Accent2 9 6 6" xfId="21606"/>
    <cellStyle name="20% - Accent2 9 7" xfId="2023"/>
    <cellStyle name="20% - Accent2 9 7 2" xfId="13370"/>
    <cellStyle name="20% - Accent2 9 7 2 2" xfId="26762"/>
    <cellStyle name="20% - Accent2 9 7 3" xfId="17321"/>
    <cellStyle name="20% - Accent2 9 7 3 2" xfId="30600"/>
    <cellStyle name="20% - Accent2 9 7 4" xfId="21609"/>
    <cellStyle name="20% - Accent2 9 8" xfId="2024"/>
    <cellStyle name="20% - Accent2 9 8 2" xfId="13371"/>
    <cellStyle name="20% - Accent2 9 8 2 2" xfId="26763"/>
    <cellStyle name="20% - Accent2 9 8 3" xfId="17322"/>
    <cellStyle name="20% - Accent2 9 8 3 2" xfId="30601"/>
    <cellStyle name="20% - Accent2 9 8 4" xfId="21610"/>
    <cellStyle name="20% - Accent2 9 9" xfId="13339"/>
    <cellStyle name="20% - Accent2 9 9 2" xfId="26731"/>
    <cellStyle name="20% - Accent2 9_Volatility" xfId="2025"/>
    <cellStyle name="20% - Accent3 10" xfId="2026"/>
    <cellStyle name="20% - Accent3 10 10" xfId="17323"/>
    <cellStyle name="20% - Accent3 10 10 2" xfId="30602"/>
    <cellStyle name="20% - Accent3 10 11" xfId="21611"/>
    <cellStyle name="20% - Accent3 10 2" xfId="2027"/>
    <cellStyle name="20% - Accent3 10 2 2" xfId="2028"/>
    <cellStyle name="20% - Accent3 10 2 2 2" xfId="2029"/>
    <cellStyle name="20% - Accent3 10 2 2 2 2" xfId="13375"/>
    <cellStyle name="20% - Accent3 10 2 2 2 2 2" xfId="26767"/>
    <cellStyle name="20% - Accent3 10 2 2 2 3" xfId="17326"/>
    <cellStyle name="20% - Accent3 10 2 2 2 3 2" xfId="30605"/>
    <cellStyle name="20% - Accent3 10 2 2 2 4" xfId="21614"/>
    <cellStyle name="20% - Accent3 10 2 2 3" xfId="2030"/>
    <cellStyle name="20% - Accent3 10 2 2 3 2" xfId="13376"/>
    <cellStyle name="20% - Accent3 10 2 2 3 2 2" xfId="26768"/>
    <cellStyle name="20% - Accent3 10 2 2 3 3" xfId="17327"/>
    <cellStyle name="20% - Accent3 10 2 2 3 3 2" xfId="30606"/>
    <cellStyle name="20% - Accent3 10 2 2 3 4" xfId="21615"/>
    <cellStyle name="20% - Accent3 10 2 2 4" xfId="13374"/>
    <cellStyle name="20% - Accent3 10 2 2 4 2" xfId="26766"/>
    <cellStyle name="20% - Accent3 10 2 2 5" xfId="17325"/>
    <cellStyle name="20% - Accent3 10 2 2 5 2" xfId="30604"/>
    <cellStyle name="20% - Accent3 10 2 2 6" xfId="21613"/>
    <cellStyle name="20% - Accent3 10 2 3" xfId="2031"/>
    <cellStyle name="20% - Accent3 10 2 3 2" xfId="2032"/>
    <cellStyle name="20% - Accent3 10 2 3 2 2" xfId="13378"/>
    <cellStyle name="20% - Accent3 10 2 3 2 2 2" xfId="26770"/>
    <cellStyle name="20% - Accent3 10 2 3 2 3" xfId="17329"/>
    <cellStyle name="20% - Accent3 10 2 3 2 3 2" xfId="30608"/>
    <cellStyle name="20% - Accent3 10 2 3 2 4" xfId="21617"/>
    <cellStyle name="20% - Accent3 10 2 3 3" xfId="2033"/>
    <cellStyle name="20% - Accent3 10 2 3 3 2" xfId="13379"/>
    <cellStyle name="20% - Accent3 10 2 3 3 2 2" xfId="26771"/>
    <cellStyle name="20% - Accent3 10 2 3 3 3" xfId="17330"/>
    <cellStyle name="20% - Accent3 10 2 3 3 3 2" xfId="30609"/>
    <cellStyle name="20% - Accent3 10 2 3 3 4" xfId="21618"/>
    <cellStyle name="20% - Accent3 10 2 3 4" xfId="13377"/>
    <cellStyle name="20% - Accent3 10 2 3 4 2" xfId="26769"/>
    <cellStyle name="20% - Accent3 10 2 3 5" xfId="17328"/>
    <cellStyle name="20% - Accent3 10 2 3 5 2" xfId="30607"/>
    <cellStyle name="20% - Accent3 10 2 3 6" xfId="21616"/>
    <cellStyle name="20% - Accent3 10 2 4" xfId="2034"/>
    <cellStyle name="20% - Accent3 10 2 4 2" xfId="2035"/>
    <cellStyle name="20% - Accent3 10 2 4 2 2" xfId="13381"/>
    <cellStyle name="20% - Accent3 10 2 4 2 2 2" xfId="26773"/>
    <cellStyle name="20% - Accent3 10 2 4 2 3" xfId="17332"/>
    <cellStyle name="20% - Accent3 10 2 4 2 3 2" xfId="30611"/>
    <cellStyle name="20% - Accent3 10 2 4 2 4" xfId="21620"/>
    <cellStyle name="20% - Accent3 10 2 4 3" xfId="2036"/>
    <cellStyle name="20% - Accent3 10 2 4 3 2" xfId="13382"/>
    <cellStyle name="20% - Accent3 10 2 4 3 2 2" xfId="26774"/>
    <cellStyle name="20% - Accent3 10 2 4 3 3" xfId="17333"/>
    <cellStyle name="20% - Accent3 10 2 4 3 3 2" xfId="30612"/>
    <cellStyle name="20% - Accent3 10 2 4 3 4" xfId="21621"/>
    <cellStyle name="20% - Accent3 10 2 4 4" xfId="13380"/>
    <cellStyle name="20% - Accent3 10 2 4 4 2" xfId="26772"/>
    <cellStyle name="20% - Accent3 10 2 4 5" xfId="17331"/>
    <cellStyle name="20% - Accent3 10 2 4 5 2" xfId="30610"/>
    <cellStyle name="20% - Accent3 10 2 4 6" xfId="21619"/>
    <cellStyle name="20% - Accent3 10 2 5" xfId="2037"/>
    <cellStyle name="20% - Accent3 10 2 5 2" xfId="13383"/>
    <cellStyle name="20% - Accent3 10 2 5 2 2" xfId="26775"/>
    <cellStyle name="20% - Accent3 10 2 5 3" xfId="17334"/>
    <cellStyle name="20% - Accent3 10 2 5 3 2" xfId="30613"/>
    <cellStyle name="20% - Accent3 10 2 5 4" xfId="21622"/>
    <cellStyle name="20% - Accent3 10 2 6" xfId="2038"/>
    <cellStyle name="20% - Accent3 10 2 6 2" xfId="13384"/>
    <cellStyle name="20% - Accent3 10 2 6 2 2" xfId="26776"/>
    <cellStyle name="20% - Accent3 10 2 6 3" xfId="17335"/>
    <cellStyle name="20% - Accent3 10 2 6 3 2" xfId="30614"/>
    <cellStyle name="20% - Accent3 10 2 6 4" xfId="21623"/>
    <cellStyle name="20% - Accent3 10 2 7" xfId="13373"/>
    <cellStyle name="20% - Accent3 10 2 7 2" xfId="26765"/>
    <cellStyle name="20% - Accent3 10 2 8" xfId="17324"/>
    <cellStyle name="20% - Accent3 10 2 8 2" xfId="30603"/>
    <cellStyle name="20% - Accent3 10 2 9" xfId="21612"/>
    <cellStyle name="20% - Accent3 10 2_Volatility" xfId="2039"/>
    <cellStyle name="20% - Accent3 10 3" xfId="2040"/>
    <cellStyle name="20% - Accent3 10 3 2" xfId="2041"/>
    <cellStyle name="20% - Accent3 10 3 2 2" xfId="2042"/>
    <cellStyle name="20% - Accent3 10 3 2 2 2" xfId="13387"/>
    <cellStyle name="20% - Accent3 10 3 2 2 2 2" xfId="26779"/>
    <cellStyle name="20% - Accent3 10 3 2 2 3" xfId="17338"/>
    <cellStyle name="20% - Accent3 10 3 2 2 3 2" xfId="30617"/>
    <cellStyle name="20% - Accent3 10 3 2 2 4" xfId="21626"/>
    <cellStyle name="20% - Accent3 10 3 2 3" xfId="2043"/>
    <cellStyle name="20% - Accent3 10 3 2 3 2" xfId="13388"/>
    <cellStyle name="20% - Accent3 10 3 2 3 2 2" xfId="26780"/>
    <cellStyle name="20% - Accent3 10 3 2 3 3" xfId="17339"/>
    <cellStyle name="20% - Accent3 10 3 2 3 3 2" xfId="30618"/>
    <cellStyle name="20% - Accent3 10 3 2 3 4" xfId="21627"/>
    <cellStyle name="20% - Accent3 10 3 2 4" xfId="13386"/>
    <cellStyle name="20% - Accent3 10 3 2 4 2" xfId="26778"/>
    <cellStyle name="20% - Accent3 10 3 2 5" xfId="17337"/>
    <cellStyle name="20% - Accent3 10 3 2 5 2" xfId="30616"/>
    <cellStyle name="20% - Accent3 10 3 2 6" xfId="21625"/>
    <cellStyle name="20% - Accent3 10 3 3" xfId="2044"/>
    <cellStyle name="20% - Accent3 10 3 3 2" xfId="2045"/>
    <cellStyle name="20% - Accent3 10 3 3 2 2" xfId="13390"/>
    <cellStyle name="20% - Accent3 10 3 3 2 2 2" xfId="26782"/>
    <cellStyle name="20% - Accent3 10 3 3 2 3" xfId="17341"/>
    <cellStyle name="20% - Accent3 10 3 3 2 3 2" xfId="30620"/>
    <cellStyle name="20% - Accent3 10 3 3 2 4" xfId="21629"/>
    <cellStyle name="20% - Accent3 10 3 3 3" xfId="2046"/>
    <cellStyle name="20% - Accent3 10 3 3 3 2" xfId="13391"/>
    <cellStyle name="20% - Accent3 10 3 3 3 2 2" xfId="26783"/>
    <cellStyle name="20% - Accent3 10 3 3 3 3" xfId="17342"/>
    <cellStyle name="20% - Accent3 10 3 3 3 3 2" xfId="30621"/>
    <cellStyle name="20% - Accent3 10 3 3 3 4" xfId="21630"/>
    <cellStyle name="20% - Accent3 10 3 3 4" xfId="13389"/>
    <cellStyle name="20% - Accent3 10 3 3 4 2" xfId="26781"/>
    <cellStyle name="20% - Accent3 10 3 3 5" xfId="17340"/>
    <cellStyle name="20% - Accent3 10 3 3 5 2" xfId="30619"/>
    <cellStyle name="20% - Accent3 10 3 3 6" xfId="21628"/>
    <cellStyle name="20% - Accent3 10 3 4" xfId="2047"/>
    <cellStyle name="20% - Accent3 10 3 4 2" xfId="13392"/>
    <cellStyle name="20% - Accent3 10 3 4 2 2" xfId="26784"/>
    <cellStyle name="20% - Accent3 10 3 4 3" xfId="17343"/>
    <cellStyle name="20% - Accent3 10 3 4 3 2" xfId="30622"/>
    <cellStyle name="20% - Accent3 10 3 4 4" xfId="21631"/>
    <cellStyle name="20% - Accent3 10 3 5" xfId="2048"/>
    <cellStyle name="20% - Accent3 10 3 5 2" xfId="13393"/>
    <cellStyle name="20% - Accent3 10 3 5 2 2" xfId="26785"/>
    <cellStyle name="20% - Accent3 10 3 5 3" xfId="17344"/>
    <cellStyle name="20% - Accent3 10 3 5 3 2" xfId="30623"/>
    <cellStyle name="20% - Accent3 10 3 5 4" xfId="21632"/>
    <cellStyle name="20% - Accent3 10 3 6" xfId="13385"/>
    <cellStyle name="20% - Accent3 10 3 6 2" xfId="26777"/>
    <cellStyle name="20% - Accent3 10 3 7" xfId="17336"/>
    <cellStyle name="20% - Accent3 10 3 7 2" xfId="30615"/>
    <cellStyle name="20% - Accent3 10 3 8" xfId="21624"/>
    <cellStyle name="20% - Accent3 10 3_Volatility" xfId="2049"/>
    <cellStyle name="20% - Accent3 10 4" xfId="2050"/>
    <cellStyle name="20% - Accent3 10 4 2" xfId="2051"/>
    <cellStyle name="20% - Accent3 10 4 2 2" xfId="13395"/>
    <cellStyle name="20% - Accent3 10 4 2 2 2" xfId="26787"/>
    <cellStyle name="20% - Accent3 10 4 2 3" xfId="17346"/>
    <cellStyle name="20% - Accent3 10 4 2 3 2" xfId="30625"/>
    <cellStyle name="20% - Accent3 10 4 2 4" xfId="21634"/>
    <cellStyle name="20% - Accent3 10 4 3" xfId="2052"/>
    <cellStyle name="20% - Accent3 10 4 3 2" xfId="13396"/>
    <cellStyle name="20% - Accent3 10 4 3 2 2" xfId="26788"/>
    <cellStyle name="20% - Accent3 10 4 3 3" xfId="17347"/>
    <cellStyle name="20% - Accent3 10 4 3 3 2" xfId="30626"/>
    <cellStyle name="20% - Accent3 10 4 3 4" xfId="21635"/>
    <cellStyle name="20% - Accent3 10 4 4" xfId="13394"/>
    <cellStyle name="20% - Accent3 10 4 4 2" xfId="26786"/>
    <cellStyle name="20% - Accent3 10 4 5" xfId="17345"/>
    <cellStyle name="20% - Accent3 10 4 5 2" xfId="30624"/>
    <cellStyle name="20% - Accent3 10 4 6" xfId="21633"/>
    <cellStyle name="20% - Accent3 10 5" xfId="2053"/>
    <cellStyle name="20% - Accent3 10 5 2" xfId="2054"/>
    <cellStyle name="20% - Accent3 10 5 2 2" xfId="13398"/>
    <cellStyle name="20% - Accent3 10 5 2 2 2" xfId="26790"/>
    <cellStyle name="20% - Accent3 10 5 2 3" xfId="17349"/>
    <cellStyle name="20% - Accent3 10 5 2 3 2" xfId="30628"/>
    <cellStyle name="20% - Accent3 10 5 2 4" xfId="21637"/>
    <cellStyle name="20% - Accent3 10 5 3" xfId="2055"/>
    <cellStyle name="20% - Accent3 10 5 3 2" xfId="13399"/>
    <cellStyle name="20% - Accent3 10 5 3 2 2" xfId="26791"/>
    <cellStyle name="20% - Accent3 10 5 3 3" xfId="17350"/>
    <cellStyle name="20% - Accent3 10 5 3 3 2" xfId="30629"/>
    <cellStyle name="20% - Accent3 10 5 3 4" xfId="21638"/>
    <cellStyle name="20% - Accent3 10 5 4" xfId="13397"/>
    <cellStyle name="20% - Accent3 10 5 4 2" xfId="26789"/>
    <cellStyle name="20% - Accent3 10 5 5" xfId="17348"/>
    <cellStyle name="20% - Accent3 10 5 5 2" xfId="30627"/>
    <cellStyle name="20% - Accent3 10 5 6" xfId="21636"/>
    <cellStyle name="20% - Accent3 10 6" xfId="2056"/>
    <cellStyle name="20% - Accent3 10 6 2" xfId="2057"/>
    <cellStyle name="20% - Accent3 10 6 2 2" xfId="13401"/>
    <cellStyle name="20% - Accent3 10 6 2 2 2" xfId="26793"/>
    <cellStyle name="20% - Accent3 10 6 2 3" xfId="17352"/>
    <cellStyle name="20% - Accent3 10 6 2 3 2" xfId="30631"/>
    <cellStyle name="20% - Accent3 10 6 2 4" xfId="21640"/>
    <cellStyle name="20% - Accent3 10 6 3" xfId="2058"/>
    <cellStyle name="20% - Accent3 10 6 3 2" xfId="13402"/>
    <cellStyle name="20% - Accent3 10 6 3 2 2" xfId="26794"/>
    <cellStyle name="20% - Accent3 10 6 3 3" xfId="17353"/>
    <cellStyle name="20% - Accent3 10 6 3 3 2" xfId="30632"/>
    <cellStyle name="20% - Accent3 10 6 3 4" xfId="21641"/>
    <cellStyle name="20% - Accent3 10 6 4" xfId="13400"/>
    <cellStyle name="20% - Accent3 10 6 4 2" xfId="26792"/>
    <cellStyle name="20% - Accent3 10 6 5" xfId="17351"/>
    <cellStyle name="20% - Accent3 10 6 5 2" xfId="30630"/>
    <cellStyle name="20% - Accent3 10 6 6" xfId="21639"/>
    <cellStyle name="20% - Accent3 10 7" xfId="2059"/>
    <cellStyle name="20% - Accent3 10 7 2" xfId="13403"/>
    <cellStyle name="20% - Accent3 10 7 2 2" xfId="26795"/>
    <cellStyle name="20% - Accent3 10 7 3" xfId="17354"/>
    <cellStyle name="20% - Accent3 10 7 3 2" xfId="30633"/>
    <cellStyle name="20% - Accent3 10 7 4" xfId="21642"/>
    <cellStyle name="20% - Accent3 10 8" xfId="2060"/>
    <cellStyle name="20% - Accent3 10 8 2" xfId="13404"/>
    <cellStyle name="20% - Accent3 10 8 2 2" xfId="26796"/>
    <cellStyle name="20% - Accent3 10 8 3" xfId="17355"/>
    <cellStyle name="20% - Accent3 10 8 3 2" xfId="30634"/>
    <cellStyle name="20% - Accent3 10 8 4" xfId="21643"/>
    <cellStyle name="20% - Accent3 10 9" xfId="13372"/>
    <cellStyle name="20% - Accent3 10 9 2" xfId="26764"/>
    <cellStyle name="20% - Accent3 10_Volatility" xfId="2061"/>
    <cellStyle name="20% - Accent3 11" xfId="2062"/>
    <cellStyle name="20% - Accent3 11 10" xfId="17356"/>
    <cellStyle name="20% - Accent3 11 10 2" xfId="30635"/>
    <cellStyle name="20% - Accent3 11 11" xfId="21644"/>
    <cellStyle name="20% - Accent3 11 2" xfId="2063"/>
    <cellStyle name="20% - Accent3 11 2 2" xfId="2064"/>
    <cellStyle name="20% - Accent3 11 2 2 2" xfId="2065"/>
    <cellStyle name="20% - Accent3 11 2 2 2 2" xfId="13408"/>
    <cellStyle name="20% - Accent3 11 2 2 2 2 2" xfId="26800"/>
    <cellStyle name="20% - Accent3 11 2 2 2 3" xfId="17359"/>
    <cellStyle name="20% - Accent3 11 2 2 2 3 2" xfId="30638"/>
    <cellStyle name="20% - Accent3 11 2 2 2 4" xfId="21647"/>
    <cellStyle name="20% - Accent3 11 2 2 3" xfId="2066"/>
    <cellStyle name="20% - Accent3 11 2 2 3 2" xfId="13409"/>
    <cellStyle name="20% - Accent3 11 2 2 3 2 2" xfId="26801"/>
    <cellStyle name="20% - Accent3 11 2 2 3 3" xfId="17360"/>
    <cellStyle name="20% - Accent3 11 2 2 3 3 2" xfId="30639"/>
    <cellStyle name="20% - Accent3 11 2 2 3 4" xfId="21648"/>
    <cellStyle name="20% - Accent3 11 2 2 4" xfId="13407"/>
    <cellStyle name="20% - Accent3 11 2 2 4 2" xfId="26799"/>
    <cellStyle name="20% - Accent3 11 2 2 5" xfId="17358"/>
    <cellStyle name="20% - Accent3 11 2 2 5 2" xfId="30637"/>
    <cellStyle name="20% - Accent3 11 2 2 6" xfId="21646"/>
    <cellStyle name="20% - Accent3 11 2 3" xfId="2067"/>
    <cellStyle name="20% - Accent3 11 2 3 2" xfId="2068"/>
    <cellStyle name="20% - Accent3 11 2 3 2 2" xfId="13411"/>
    <cellStyle name="20% - Accent3 11 2 3 2 2 2" xfId="26803"/>
    <cellStyle name="20% - Accent3 11 2 3 2 3" xfId="17362"/>
    <cellStyle name="20% - Accent3 11 2 3 2 3 2" xfId="30641"/>
    <cellStyle name="20% - Accent3 11 2 3 2 4" xfId="21650"/>
    <cellStyle name="20% - Accent3 11 2 3 3" xfId="2069"/>
    <cellStyle name="20% - Accent3 11 2 3 3 2" xfId="13412"/>
    <cellStyle name="20% - Accent3 11 2 3 3 2 2" xfId="26804"/>
    <cellStyle name="20% - Accent3 11 2 3 3 3" xfId="17363"/>
    <cellStyle name="20% - Accent3 11 2 3 3 3 2" xfId="30642"/>
    <cellStyle name="20% - Accent3 11 2 3 3 4" xfId="21651"/>
    <cellStyle name="20% - Accent3 11 2 3 4" xfId="13410"/>
    <cellStyle name="20% - Accent3 11 2 3 4 2" xfId="26802"/>
    <cellStyle name="20% - Accent3 11 2 3 5" xfId="17361"/>
    <cellStyle name="20% - Accent3 11 2 3 5 2" xfId="30640"/>
    <cellStyle name="20% - Accent3 11 2 3 6" xfId="21649"/>
    <cellStyle name="20% - Accent3 11 2 4" xfId="2070"/>
    <cellStyle name="20% - Accent3 11 2 4 2" xfId="2071"/>
    <cellStyle name="20% - Accent3 11 2 4 2 2" xfId="13414"/>
    <cellStyle name="20% - Accent3 11 2 4 2 2 2" xfId="26806"/>
    <cellStyle name="20% - Accent3 11 2 4 2 3" xfId="17365"/>
    <cellStyle name="20% - Accent3 11 2 4 2 3 2" xfId="30644"/>
    <cellStyle name="20% - Accent3 11 2 4 2 4" xfId="21653"/>
    <cellStyle name="20% - Accent3 11 2 4 3" xfId="2072"/>
    <cellStyle name="20% - Accent3 11 2 4 3 2" xfId="13415"/>
    <cellStyle name="20% - Accent3 11 2 4 3 2 2" xfId="26807"/>
    <cellStyle name="20% - Accent3 11 2 4 3 3" xfId="17366"/>
    <cellStyle name="20% - Accent3 11 2 4 3 3 2" xfId="30645"/>
    <cellStyle name="20% - Accent3 11 2 4 3 4" xfId="21654"/>
    <cellStyle name="20% - Accent3 11 2 4 4" xfId="13413"/>
    <cellStyle name="20% - Accent3 11 2 4 4 2" xfId="26805"/>
    <cellStyle name="20% - Accent3 11 2 4 5" xfId="17364"/>
    <cellStyle name="20% - Accent3 11 2 4 5 2" xfId="30643"/>
    <cellStyle name="20% - Accent3 11 2 4 6" xfId="21652"/>
    <cellStyle name="20% - Accent3 11 2 5" xfId="2073"/>
    <cellStyle name="20% - Accent3 11 2 5 2" xfId="13416"/>
    <cellStyle name="20% - Accent3 11 2 5 2 2" xfId="26808"/>
    <cellStyle name="20% - Accent3 11 2 5 3" xfId="17367"/>
    <cellStyle name="20% - Accent3 11 2 5 3 2" xfId="30646"/>
    <cellStyle name="20% - Accent3 11 2 5 4" xfId="21655"/>
    <cellStyle name="20% - Accent3 11 2 6" xfId="2074"/>
    <cellStyle name="20% - Accent3 11 2 6 2" xfId="13417"/>
    <cellStyle name="20% - Accent3 11 2 6 2 2" xfId="26809"/>
    <cellStyle name="20% - Accent3 11 2 6 3" xfId="17368"/>
    <cellStyle name="20% - Accent3 11 2 6 3 2" xfId="30647"/>
    <cellStyle name="20% - Accent3 11 2 6 4" xfId="21656"/>
    <cellStyle name="20% - Accent3 11 2 7" xfId="13406"/>
    <cellStyle name="20% - Accent3 11 2 7 2" xfId="26798"/>
    <cellStyle name="20% - Accent3 11 2 8" xfId="17357"/>
    <cellStyle name="20% - Accent3 11 2 8 2" xfId="30636"/>
    <cellStyle name="20% - Accent3 11 2 9" xfId="21645"/>
    <cellStyle name="20% - Accent3 11 2_Volatility" xfId="2075"/>
    <cellStyle name="20% - Accent3 11 3" xfId="2076"/>
    <cellStyle name="20% - Accent3 11 3 2" xfId="2077"/>
    <cellStyle name="20% - Accent3 11 3 2 2" xfId="2078"/>
    <cellStyle name="20% - Accent3 11 3 2 2 2" xfId="13420"/>
    <cellStyle name="20% - Accent3 11 3 2 2 2 2" xfId="26812"/>
    <cellStyle name="20% - Accent3 11 3 2 2 3" xfId="17371"/>
    <cellStyle name="20% - Accent3 11 3 2 2 3 2" xfId="30650"/>
    <cellStyle name="20% - Accent3 11 3 2 2 4" xfId="21659"/>
    <cellStyle name="20% - Accent3 11 3 2 3" xfId="2079"/>
    <cellStyle name="20% - Accent3 11 3 2 3 2" xfId="13421"/>
    <cellStyle name="20% - Accent3 11 3 2 3 2 2" xfId="26813"/>
    <cellStyle name="20% - Accent3 11 3 2 3 3" xfId="17372"/>
    <cellStyle name="20% - Accent3 11 3 2 3 3 2" xfId="30651"/>
    <cellStyle name="20% - Accent3 11 3 2 3 4" xfId="21660"/>
    <cellStyle name="20% - Accent3 11 3 2 4" xfId="13419"/>
    <cellStyle name="20% - Accent3 11 3 2 4 2" xfId="26811"/>
    <cellStyle name="20% - Accent3 11 3 2 5" xfId="17370"/>
    <cellStyle name="20% - Accent3 11 3 2 5 2" xfId="30649"/>
    <cellStyle name="20% - Accent3 11 3 2 6" xfId="21658"/>
    <cellStyle name="20% - Accent3 11 3 3" xfId="2080"/>
    <cellStyle name="20% - Accent3 11 3 3 2" xfId="2081"/>
    <cellStyle name="20% - Accent3 11 3 3 2 2" xfId="13423"/>
    <cellStyle name="20% - Accent3 11 3 3 2 2 2" xfId="26815"/>
    <cellStyle name="20% - Accent3 11 3 3 2 3" xfId="17374"/>
    <cellStyle name="20% - Accent3 11 3 3 2 3 2" xfId="30653"/>
    <cellStyle name="20% - Accent3 11 3 3 2 4" xfId="21662"/>
    <cellStyle name="20% - Accent3 11 3 3 3" xfId="2082"/>
    <cellStyle name="20% - Accent3 11 3 3 3 2" xfId="13424"/>
    <cellStyle name="20% - Accent3 11 3 3 3 2 2" xfId="26816"/>
    <cellStyle name="20% - Accent3 11 3 3 3 3" xfId="17375"/>
    <cellStyle name="20% - Accent3 11 3 3 3 3 2" xfId="30654"/>
    <cellStyle name="20% - Accent3 11 3 3 3 4" xfId="21663"/>
    <cellStyle name="20% - Accent3 11 3 3 4" xfId="13422"/>
    <cellStyle name="20% - Accent3 11 3 3 4 2" xfId="26814"/>
    <cellStyle name="20% - Accent3 11 3 3 5" xfId="17373"/>
    <cellStyle name="20% - Accent3 11 3 3 5 2" xfId="30652"/>
    <cellStyle name="20% - Accent3 11 3 3 6" xfId="21661"/>
    <cellStyle name="20% - Accent3 11 3 4" xfId="2083"/>
    <cellStyle name="20% - Accent3 11 3 4 2" xfId="13425"/>
    <cellStyle name="20% - Accent3 11 3 4 2 2" xfId="26817"/>
    <cellStyle name="20% - Accent3 11 3 4 3" xfId="17376"/>
    <cellStyle name="20% - Accent3 11 3 4 3 2" xfId="30655"/>
    <cellStyle name="20% - Accent3 11 3 4 4" xfId="21664"/>
    <cellStyle name="20% - Accent3 11 3 5" xfId="2084"/>
    <cellStyle name="20% - Accent3 11 3 5 2" xfId="13426"/>
    <cellStyle name="20% - Accent3 11 3 5 2 2" xfId="26818"/>
    <cellStyle name="20% - Accent3 11 3 5 3" xfId="17377"/>
    <cellStyle name="20% - Accent3 11 3 5 3 2" xfId="30656"/>
    <cellStyle name="20% - Accent3 11 3 5 4" xfId="21665"/>
    <cellStyle name="20% - Accent3 11 3 6" xfId="13418"/>
    <cellStyle name="20% - Accent3 11 3 6 2" xfId="26810"/>
    <cellStyle name="20% - Accent3 11 3 7" xfId="17369"/>
    <cellStyle name="20% - Accent3 11 3 7 2" xfId="30648"/>
    <cellStyle name="20% - Accent3 11 3 8" xfId="21657"/>
    <cellStyle name="20% - Accent3 11 3_Volatility" xfId="2085"/>
    <cellStyle name="20% - Accent3 11 4" xfId="2086"/>
    <cellStyle name="20% - Accent3 11 4 2" xfId="2087"/>
    <cellStyle name="20% - Accent3 11 4 2 2" xfId="13428"/>
    <cellStyle name="20% - Accent3 11 4 2 2 2" xfId="26820"/>
    <cellStyle name="20% - Accent3 11 4 2 3" xfId="17379"/>
    <cellStyle name="20% - Accent3 11 4 2 3 2" xfId="30658"/>
    <cellStyle name="20% - Accent3 11 4 2 4" xfId="21667"/>
    <cellStyle name="20% - Accent3 11 4 3" xfId="2088"/>
    <cellStyle name="20% - Accent3 11 4 3 2" xfId="13429"/>
    <cellStyle name="20% - Accent3 11 4 3 2 2" xfId="26821"/>
    <cellStyle name="20% - Accent3 11 4 3 3" xfId="17380"/>
    <cellStyle name="20% - Accent3 11 4 3 3 2" xfId="30659"/>
    <cellStyle name="20% - Accent3 11 4 3 4" xfId="21668"/>
    <cellStyle name="20% - Accent3 11 4 4" xfId="13427"/>
    <cellStyle name="20% - Accent3 11 4 4 2" xfId="26819"/>
    <cellStyle name="20% - Accent3 11 4 5" xfId="17378"/>
    <cellStyle name="20% - Accent3 11 4 5 2" xfId="30657"/>
    <cellStyle name="20% - Accent3 11 4 6" xfId="21666"/>
    <cellStyle name="20% - Accent3 11 5" xfId="2089"/>
    <cellStyle name="20% - Accent3 11 5 2" xfId="2090"/>
    <cellStyle name="20% - Accent3 11 5 2 2" xfId="13431"/>
    <cellStyle name="20% - Accent3 11 5 2 2 2" xfId="26823"/>
    <cellStyle name="20% - Accent3 11 5 2 3" xfId="17382"/>
    <cellStyle name="20% - Accent3 11 5 2 3 2" xfId="30661"/>
    <cellStyle name="20% - Accent3 11 5 2 4" xfId="21670"/>
    <cellStyle name="20% - Accent3 11 5 3" xfId="2091"/>
    <cellStyle name="20% - Accent3 11 5 3 2" xfId="13432"/>
    <cellStyle name="20% - Accent3 11 5 3 2 2" xfId="26824"/>
    <cellStyle name="20% - Accent3 11 5 3 3" xfId="17383"/>
    <cellStyle name="20% - Accent3 11 5 3 3 2" xfId="30662"/>
    <cellStyle name="20% - Accent3 11 5 3 4" xfId="21671"/>
    <cellStyle name="20% - Accent3 11 5 4" xfId="13430"/>
    <cellStyle name="20% - Accent3 11 5 4 2" xfId="26822"/>
    <cellStyle name="20% - Accent3 11 5 5" xfId="17381"/>
    <cellStyle name="20% - Accent3 11 5 5 2" xfId="30660"/>
    <cellStyle name="20% - Accent3 11 5 6" xfId="21669"/>
    <cellStyle name="20% - Accent3 11 6" xfId="2092"/>
    <cellStyle name="20% - Accent3 11 6 2" xfId="2093"/>
    <cellStyle name="20% - Accent3 11 6 2 2" xfId="13434"/>
    <cellStyle name="20% - Accent3 11 6 2 2 2" xfId="26826"/>
    <cellStyle name="20% - Accent3 11 6 2 3" xfId="17385"/>
    <cellStyle name="20% - Accent3 11 6 2 3 2" xfId="30664"/>
    <cellStyle name="20% - Accent3 11 6 2 4" xfId="21673"/>
    <cellStyle name="20% - Accent3 11 6 3" xfId="2094"/>
    <cellStyle name="20% - Accent3 11 6 3 2" xfId="13435"/>
    <cellStyle name="20% - Accent3 11 6 3 2 2" xfId="26827"/>
    <cellStyle name="20% - Accent3 11 6 3 3" xfId="17386"/>
    <cellStyle name="20% - Accent3 11 6 3 3 2" xfId="30665"/>
    <cellStyle name="20% - Accent3 11 6 3 4" xfId="21674"/>
    <cellStyle name="20% - Accent3 11 6 4" xfId="13433"/>
    <cellStyle name="20% - Accent3 11 6 4 2" xfId="26825"/>
    <cellStyle name="20% - Accent3 11 6 5" xfId="17384"/>
    <cellStyle name="20% - Accent3 11 6 5 2" xfId="30663"/>
    <cellStyle name="20% - Accent3 11 6 6" xfId="21672"/>
    <cellStyle name="20% - Accent3 11 7" xfId="2095"/>
    <cellStyle name="20% - Accent3 11 7 2" xfId="13436"/>
    <cellStyle name="20% - Accent3 11 7 2 2" xfId="26828"/>
    <cellStyle name="20% - Accent3 11 7 3" xfId="17387"/>
    <cellStyle name="20% - Accent3 11 7 3 2" xfId="30666"/>
    <cellStyle name="20% - Accent3 11 7 4" xfId="21675"/>
    <cellStyle name="20% - Accent3 11 8" xfId="2096"/>
    <cellStyle name="20% - Accent3 11 8 2" xfId="13437"/>
    <cellStyle name="20% - Accent3 11 8 2 2" xfId="26829"/>
    <cellStyle name="20% - Accent3 11 8 3" xfId="17388"/>
    <cellStyle name="20% - Accent3 11 8 3 2" xfId="30667"/>
    <cellStyle name="20% - Accent3 11 8 4" xfId="21676"/>
    <cellStyle name="20% - Accent3 11 9" xfId="13405"/>
    <cellStyle name="20% - Accent3 11 9 2" xfId="26797"/>
    <cellStyle name="20% - Accent3 11_Volatility" xfId="2097"/>
    <cellStyle name="20% - Accent3 12" xfId="2098"/>
    <cellStyle name="20% - Accent3 12 10" xfId="17389"/>
    <cellStyle name="20% - Accent3 12 10 2" xfId="30668"/>
    <cellStyle name="20% - Accent3 12 11" xfId="21677"/>
    <cellStyle name="20% - Accent3 12 2" xfId="2099"/>
    <cellStyle name="20% - Accent3 12 2 2" xfId="2100"/>
    <cellStyle name="20% - Accent3 12 2 2 2" xfId="2101"/>
    <cellStyle name="20% - Accent3 12 2 2 2 2" xfId="13441"/>
    <cellStyle name="20% - Accent3 12 2 2 2 2 2" xfId="26833"/>
    <cellStyle name="20% - Accent3 12 2 2 2 3" xfId="17392"/>
    <cellStyle name="20% - Accent3 12 2 2 2 3 2" xfId="30671"/>
    <cellStyle name="20% - Accent3 12 2 2 2 4" xfId="21680"/>
    <cellStyle name="20% - Accent3 12 2 2 3" xfId="2102"/>
    <cellStyle name="20% - Accent3 12 2 2 3 2" xfId="13442"/>
    <cellStyle name="20% - Accent3 12 2 2 3 2 2" xfId="26834"/>
    <cellStyle name="20% - Accent3 12 2 2 3 3" xfId="17393"/>
    <cellStyle name="20% - Accent3 12 2 2 3 3 2" xfId="30672"/>
    <cellStyle name="20% - Accent3 12 2 2 3 4" xfId="21681"/>
    <cellStyle name="20% - Accent3 12 2 2 4" xfId="13440"/>
    <cellStyle name="20% - Accent3 12 2 2 4 2" xfId="26832"/>
    <cellStyle name="20% - Accent3 12 2 2 5" xfId="17391"/>
    <cellStyle name="20% - Accent3 12 2 2 5 2" xfId="30670"/>
    <cellStyle name="20% - Accent3 12 2 2 6" xfId="21679"/>
    <cellStyle name="20% - Accent3 12 2 3" xfId="2103"/>
    <cellStyle name="20% - Accent3 12 2 3 2" xfId="2104"/>
    <cellStyle name="20% - Accent3 12 2 3 2 2" xfId="13444"/>
    <cellStyle name="20% - Accent3 12 2 3 2 2 2" xfId="26836"/>
    <cellStyle name="20% - Accent3 12 2 3 2 3" xfId="17395"/>
    <cellStyle name="20% - Accent3 12 2 3 2 3 2" xfId="30674"/>
    <cellStyle name="20% - Accent3 12 2 3 2 4" xfId="21683"/>
    <cellStyle name="20% - Accent3 12 2 3 3" xfId="2105"/>
    <cellStyle name="20% - Accent3 12 2 3 3 2" xfId="13445"/>
    <cellStyle name="20% - Accent3 12 2 3 3 2 2" xfId="26837"/>
    <cellStyle name="20% - Accent3 12 2 3 3 3" xfId="17396"/>
    <cellStyle name="20% - Accent3 12 2 3 3 3 2" xfId="30675"/>
    <cellStyle name="20% - Accent3 12 2 3 3 4" xfId="21684"/>
    <cellStyle name="20% - Accent3 12 2 3 4" xfId="13443"/>
    <cellStyle name="20% - Accent3 12 2 3 4 2" xfId="26835"/>
    <cellStyle name="20% - Accent3 12 2 3 5" xfId="17394"/>
    <cellStyle name="20% - Accent3 12 2 3 5 2" xfId="30673"/>
    <cellStyle name="20% - Accent3 12 2 3 6" xfId="21682"/>
    <cellStyle name="20% - Accent3 12 2 4" xfId="2106"/>
    <cellStyle name="20% - Accent3 12 2 4 2" xfId="2107"/>
    <cellStyle name="20% - Accent3 12 2 4 2 2" xfId="13447"/>
    <cellStyle name="20% - Accent3 12 2 4 2 2 2" xfId="26839"/>
    <cellStyle name="20% - Accent3 12 2 4 2 3" xfId="17398"/>
    <cellStyle name="20% - Accent3 12 2 4 2 3 2" xfId="30677"/>
    <cellStyle name="20% - Accent3 12 2 4 2 4" xfId="21686"/>
    <cellStyle name="20% - Accent3 12 2 4 3" xfId="2108"/>
    <cellStyle name="20% - Accent3 12 2 4 3 2" xfId="13448"/>
    <cellStyle name="20% - Accent3 12 2 4 3 2 2" xfId="26840"/>
    <cellStyle name="20% - Accent3 12 2 4 3 3" xfId="17399"/>
    <cellStyle name="20% - Accent3 12 2 4 3 3 2" xfId="30678"/>
    <cellStyle name="20% - Accent3 12 2 4 3 4" xfId="21687"/>
    <cellStyle name="20% - Accent3 12 2 4 4" xfId="13446"/>
    <cellStyle name="20% - Accent3 12 2 4 4 2" xfId="26838"/>
    <cellStyle name="20% - Accent3 12 2 4 5" xfId="17397"/>
    <cellStyle name="20% - Accent3 12 2 4 5 2" xfId="30676"/>
    <cellStyle name="20% - Accent3 12 2 4 6" xfId="21685"/>
    <cellStyle name="20% - Accent3 12 2 5" xfId="2109"/>
    <cellStyle name="20% - Accent3 12 2 5 2" xfId="13449"/>
    <cellStyle name="20% - Accent3 12 2 5 2 2" xfId="26841"/>
    <cellStyle name="20% - Accent3 12 2 5 3" xfId="17400"/>
    <cellStyle name="20% - Accent3 12 2 5 3 2" xfId="30679"/>
    <cellStyle name="20% - Accent3 12 2 5 4" xfId="21688"/>
    <cellStyle name="20% - Accent3 12 2 6" xfId="2110"/>
    <cellStyle name="20% - Accent3 12 2 6 2" xfId="13450"/>
    <cellStyle name="20% - Accent3 12 2 6 2 2" xfId="26842"/>
    <cellStyle name="20% - Accent3 12 2 6 3" xfId="17401"/>
    <cellStyle name="20% - Accent3 12 2 6 3 2" xfId="30680"/>
    <cellStyle name="20% - Accent3 12 2 6 4" xfId="21689"/>
    <cellStyle name="20% - Accent3 12 2 7" xfId="13439"/>
    <cellStyle name="20% - Accent3 12 2 7 2" xfId="26831"/>
    <cellStyle name="20% - Accent3 12 2 8" xfId="17390"/>
    <cellStyle name="20% - Accent3 12 2 8 2" xfId="30669"/>
    <cellStyle name="20% - Accent3 12 2 9" xfId="21678"/>
    <cellStyle name="20% - Accent3 12 2_Volatility" xfId="2111"/>
    <cellStyle name="20% - Accent3 12 3" xfId="2112"/>
    <cellStyle name="20% - Accent3 12 3 2" xfId="2113"/>
    <cellStyle name="20% - Accent3 12 3 2 2" xfId="2114"/>
    <cellStyle name="20% - Accent3 12 3 2 2 2" xfId="13453"/>
    <cellStyle name="20% - Accent3 12 3 2 2 2 2" xfId="26845"/>
    <cellStyle name="20% - Accent3 12 3 2 2 3" xfId="17404"/>
    <cellStyle name="20% - Accent3 12 3 2 2 3 2" xfId="30683"/>
    <cellStyle name="20% - Accent3 12 3 2 2 4" xfId="21692"/>
    <cellStyle name="20% - Accent3 12 3 2 3" xfId="2115"/>
    <cellStyle name="20% - Accent3 12 3 2 3 2" xfId="13454"/>
    <cellStyle name="20% - Accent3 12 3 2 3 2 2" xfId="26846"/>
    <cellStyle name="20% - Accent3 12 3 2 3 3" xfId="17405"/>
    <cellStyle name="20% - Accent3 12 3 2 3 3 2" xfId="30684"/>
    <cellStyle name="20% - Accent3 12 3 2 3 4" xfId="21693"/>
    <cellStyle name="20% - Accent3 12 3 2 4" xfId="13452"/>
    <cellStyle name="20% - Accent3 12 3 2 4 2" xfId="26844"/>
    <cellStyle name="20% - Accent3 12 3 2 5" xfId="17403"/>
    <cellStyle name="20% - Accent3 12 3 2 5 2" xfId="30682"/>
    <cellStyle name="20% - Accent3 12 3 2 6" xfId="21691"/>
    <cellStyle name="20% - Accent3 12 3 3" xfId="2116"/>
    <cellStyle name="20% - Accent3 12 3 3 2" xfId="2117"/>
    <cellStyle name="20% - Accent3 12 3 3 2 2" xfId="13456"/>
    <cellStyle name="20% - Accent3 12 3 3 2 2 2" xfId="26848"/>
    <cellStyle name="20% - Accent3 12 3 3 2 3" xfId="17407"/>
    <cellStyle name="20% - Accent3 12 3 3 2 3 2" xfId="30686"/>
    <cellStyle name="20% - Accent3 12 3 3 2 4" xfId="21695"/>
    <cellStyle name="20% - Accent3 12 3 3 3" xfId="2118"/>
    <cellStyle name="20% - Accent3 12 3 3 3 2" xfId="13457"/>
    <cellStyle name="20% - Accent3 12 3 3 3 2 2" xfId="26849"/>
    <cellStyle name="20% - Accent3 12 3 3 3 3" xfId="17408"/>
    <cellStyle name="20% - Accent3 12 3 3 3 3 2" xfId="30687"/>
    <cellStyle name="20% - Accent3 12 3 3 3 4" xfId="21696"/>
    <cellStyle name="20% - Accent3 12 3 3 4" xfId="13455"/>
    <cellStyle name="20% - Accent3 12 3 3 4 2" xfId="26847"/>
    <cellStyle name="20% - Accent3 12 3 3 5" xfId="17406"/>
    <cellStyle name="20% - Accent3 12 3 3 5 2" xfId="30685"/>
    <cellStyle name="20% - Accent3 12 3 3 6" xfId="21694"/>
    <cellStyle name="20% - Accent3 12 3 4" xfId="2119"/>
    <cellStyle name="20% - Accent3 12 3 4 2" xfId="13458"/>
    <cellStyle name="20% - Accent3 12 3 4 2 2" xfId="26850"/>
    <cellStyle name="20% - Accent3 12 3 4 3" xfId="17409"/>
    <cellStyle name="20% - Accent3 12 3 4 3 2" xfId="30688"/>
    <cellStyle name="20% - Accent3 12 3 4 4" xfId="21697"/>
    <cellStyle name="20% - Accent3 12 3 5" xfId="2120"/>
    <cellStyle name="20% - Accent3 12 3 5 2" xfId="13459"/>
    <cellStyle name="20% - Accent3 12 3 5 2 2" xfId="26851"/>
    <cellStyle name="20% - Accent3 12 3 5 3" xfId="17410"/>
    <cellStyle name="20% - Accent3 12 3 5 3 2" xfId="30689"/>
    <cellStyle name="20% - Accent3 12 3 5 4" xfId="21698"/>
    <cellStyle name="20% - Accent3 12 3 6" xfId="13451"/>
    <cellStyle name="20% - Accent3 12 3 6 2" xfId="26843"/>
    <cellStyle name="20% - Accent3 12 3 7" xfId="17402"/>
    <cellStyle name="20% - Accent3 12 3 7 2" xfId="30681"/>
    <cellStyle name="20% - Accent3 12 3 8" xfId="21690"/>
    <cellStyle name="20% - Accent3 12 3_Volatility" xfId="2121"/>
    <cellStyle name="20% - Accent3 12 4" xfId="2122"/>
    <cellStyle name="20% - Accent3 12 4 2" xfId="2123"/>
    <cellStyle name="20% - Accent3 12 4 2 2" xfId="13461"/>
    <cellStyle name="20% - Accent3 12 4 2 2 2" xfId="26853"/>
    <cellStyle name="20% - Accent3 12 4 2 3" xfId="17412"/>
    <cellStyle name="20% - Accent3 12 4 2 3 2" xfId="30691"/>
    <cellStyle name="20% - Accent3 12 4 2 4" xfId="21700"/>
    <cellStyle name="20% - Accent3 12 4 3" xfId="2124"/>
    <cellStyle name="20% - Accent3 12 4 3 2" xfId="13462"/>
    <cellStyle name="20% - Accent3 12 4 3 2 2" xfId="26854"/>
    <cellStyle name="20% - Accent3 12 4 3 3" xfId="17413"/>
    <cellStyle name="20% - Accent3 12 4 3 3 2" xfId="30692"/>
    <cellStyle name="20% - Accent3 12 4 3 4" xfId="21701"/>
    <cellStyle name="20% - Accent3 12 4 4" xfId="13460"/>
    <cellStyle name="20% - Accent3 12 4 4 2" xfId="26852"/>
    <cellStyle name="20% - Accent3 12 4 5" xfId="17411"/>
    <cellStyle name="20% - Accent3 12 4 5 2" xfId="30690"/>
    <cellStyle name="20% - Accent3 12 4 6" xfId="21699"/>
    <cellStyle name="20% - Accent3 12 5" xfId="2125"/>
    <cellStyle name="20% - Accent3 12 5 2" xfId="2126"/>
    <cellStyle name="20% - Accent3 12 5 2 2" xfId="13464"/>
    <cellStyle name="20% - Accent3 12 5 2 2 2" xfId="26856"/>
    <cellStyle name="20% - Accent3 12 5 2 3" xfId="17415"/>
    <cellStyle name="20% - Accent3 12 5 2 3 2" xfId="30694"/>
    <cellStyle name="20% - Accent3 12 5 2 4" xfId="21703"/>
    <cellStyle name="20% - Accent3 12 5 3" xfId="2127"/>
    <cellStyle name="20% - Accent3 12 5 3 2" xfId="13465"/>
    <cellStyle name="20% - Accent3 12 5 3 2 2" xfId="26857"/>
    <cellStyle name="20% - Accent3 12 5 3 3" xfId="17416"/>
    <cellStyle name="20% - Accent3 12 5 3 3 2" xfId="30695"/>
    <cellStyle name="20% - Accent3 12 5 3 4" xfId="21704"/>
    <cellStyle name="20% - Accent3 12 5 4" xfId="13463"/>
    <cellStyle name="20% - Accent3 12 5 4 2" xfId="26855"/>
    <cellStyle name="20% - Accent3 12 5 5" xfId="17414"/>
    <cellStyle name="20% - Accent3 12 5 5 2" xfId="30693"/>
    <cellStyle name="20% - Accent3 12 5 6" xfId="21702"/>
    <cellStyle name="20% - Accent3 12 6" xfId="2128"/>
    <cellStyle name="20% - Accent3 12 6 2" xfId="2129"/>
    <cellStyle name="20% - Accent3 12 6 2 2" xfId="13467"/>
    <cellStyle name="20% - Accent3 12 6 2 2 2" xfId="26859"/>
    <cellStyle name="20% - Accent3 12 6 2 3" xfId="17418"/>
    <cellStyle name="20% - Accent3 12 6 2 3 2" xfId="30697"/>
    <cellStyle name="20% - Accent3 12 6 2 4" xfId="21706"/>
    <cellStyle name="20% - Accent3 12 6 3" xfId="2130"/>
    <cellStyle name="20% - Accent3 12 6 3 2" xfId="13468"/>
    <cellStyle name="20% - Accent3 12 6 3 2 2" xfId="26860"/>
    <cellStyle name="20% - Accent3 12 6 3 3" xfId="17419"/>
    <cellStyle name="20% - Accent3 12 6 3 3 2" xfId="30698"/>
    <cellStyle name="20% - Accent3 12 6 3 4" xfId="21707"/>
    <cellStyle name="20% - Accent3 12 6 4" xfId="13466"/>
    <cellStyle name="20% - Accent3 12 6 4 2" xfId="26858"/>
    <cellStyle name="20% - Accent3 12 6 5" xfId="17417"/>
    <cellStyle name="20% - Accent3 12 6 5 2" xfId="30696"/>
    <cellStyle name="20% - Accent3 12 6 6" xfId="21705"/>
    <cellStyle name="20% - Accent3 12 7" xfId="2131"/>
    <cellStyle name="20% - Accent3 12 7 2" xfId="13469"/>
    <cellStyle name="20% - Accent3 12 7 2 2" xfId="26861"/>
    <cellStyle name="20% - Accent3 12 7 3" xfId="17420"/>
    <cellStyle name="20% - Accent3 12 7 3 2" xfId="30699"/>
    <cellStyle name="20% - Accent3 12 7 4" xfId="21708"/>
    <cellStyle name="20% - Accent3 12 8" xfId="2132"/>
    <cellStyle name="20% - Accent3 12 8 2" xfId="13470"/>
    <cellStyle name="20% - Accent3 12 8 2 2" xfId="26862"/>
    <cellStyle name="20% - Accent3 12 8 3" xfId="17421"/>
    <cellStyle name="20% - Accent3 12 8 3 2" xfId="30700"/>
    <cellStyle name="20% - Accent3 12 8 4" xfId="21709"/>
    <cellStyle name="20% - Accent3 12 9" xfId="13438"/>
    <cellStyle name="20% - Accent3 12 9 2" xfId="26830"/>
    <cellStyle name="20% - Accent3 12_Volatility" xfId="2133"/>
    <cellStyle name="20% - Accent3 13" xfId="2134"/>
    <cellStyle name="20% - Accent3 13 10" xfId="17422"/>
    <cellStyle name="20% - Accent3 13 10 2" xfId="30701"/>
    <cellStyle name="20% - Accent3 13 11" xfId="21710"/>
    <cellStyle name="20% - Accent3 13 2" xfId="2135"/>
    <cellStyle name="20% - Accent3 13 2 2" xfId="2136"/>
    <cellStyle name="20% - Accent3 13 2 2 2" xfId="2137"/>
    <cellStyle name="20% - Accent3 13 2 2 2 2" xfId="13474"/>
    <cellStyle name="20% - Accent3 13 2 2 2 2 2" xfId="26866"/>
    <cellStyle name="20% - Accent3 13 2 2 2 3" xfId="17425"/>
    <cellStyle name="20% - Accent3 13 2 2 2 3 2" xfId="30704"/>
    <cellStyle name="20% - Accent3 13 2 2 2 4" xfId="21713"/>
    <cellStyle name="20% - Accent3 13 2 2 3" xfId="2138"/>
    <cellStyle name="20% - Accent3 13 2 2 3 2" xfId="13475"/>
    <cellStyle name="20% - Accent3 13 2 2 3 2 2" xfId="26867"/>
    <cellStyle name="20% - Accent3 13 2 2 3 3" xfId="17426"/>
    <cellStyle name="20% - Accent3 13 2 2 3 3 2" xfId="30705"/>
    <cellStyle name="20% - Accent3 13 2 2 3 4" xfId="21714"/>
    <cellStyle name="20% - Accent3 13 2 2 4" xfId="13473"/>
    <cellStyle name="20% - Accent3 13 2 2 4 2" xfId="26865"/>
    <cellStyle name="20% - Accent3 13 2 2 5" xfId="17424"/>
    <cellStyle name="20% - Accent3 13 2 2 5 2" xfId="30703"/>
    <cellStyle name="20% - Accent3 13 2 2 6" xfId="21712"/>
    <cellStyle name="20% - Accent3 13 2 3" xfId="2139"/>
    <cellStyle name="20% - Accent3 13 2 3 2" xfId="2140"/>
    <cellStyle name="20% - Accent3 13 2 3 2 2" xfId="13477"/>
    <cellStyle name="20% - Accent3 13 2 3 2 2 2" xfId="26869"/>
    <cellStyle name="20% - Accent3 13 2 3 2 3" xfId="17428"/>
    <cellStyle name="20% - Accent3 13 2 3 2 3 2" xfId="30707"/>
    <cellStyle name="20% - Accent3 13 2 3 2 4" xfId="21716"/>
    <cellStyle name="20% - Accent3 13 2 3 3" xfId="2141"/>
    <cellStyle name="20% - Accent3 13 2 3 3 2" xfId="13478"/>
    <cellStyle name="20% - Accent3 13 2 3 3 2 2" xfId="26870"/>
    <cellStyle name="20% - Accent3 13 2 3 3 3" xfId="17429"/>
    <cellStyle name="20% - Accent3 13 2 3 3 3 2" xfId="30708"/>
    <cellStyle name="20% - Accent3 13 2 3 3 4" xfId="21717"/>
    <cellStyle name="20% - Accent3 13 2 3 4" xfId="13476"/>
    <cellStyle name="20% - Accent3 13 2 3 4 2" xfId="26868"/>
    <cellStyle name="20% - Accent3 13 2 3 5" xfId="17427"/>
    <cellStyle name="20% - Accent3 13 2 3 5 2" xfId="30706"/>
    <cellStyle name="20% - Accent3 13 2 3 6" xfId="21715"/>
    <cellStyle name="20% - Accent3 13 2 4" xfId="2142"/>
    <cellStyle name="20% - Accent3 13 2 4 2" xfId="2143"/>
    <cellStyle name="20% - Accent3 13 2 4 2 2" xfId="13480"/>
    <cellStyle name="20% - Accent3 13 2 4 2 2 2" xfId="26872"/>
    <cellStyle name="20% - Accent3 13 2 4 2 3" xfId="17431"/>
    <cellStyle name="20% - Accent3 13 2 4 2 3 2" xfId="30710"/>
    <cellStyle name="20% - Accent3 13 2 4 2 4" xfId="21719"/>
    <cellStyle name="20% - Accent3 13 2 4 3" xfId="2144"/>
    <cellStyle name="20% - Accent3 13 2 4 3 2" xfId="13481"/>
    <cellStyle name="20% - Accent3 13 2 4 3 2 2" xfId="26873"/>
    <cellStyle name="20% - Accent3 13 2 4 3 3" xfId="17432"/>
    <cellStyle name="20% - Accent3 13 2 4 3 3 2" xfId="30711"/>
    <cellStyle name="20% - Accent3 13 2 4 3 4" xfId="21720"/>
    <cellStyle name="20% - Accent3 13 2 4 4" xfId="13479"/>
    <cellStyle name="20% - Accent3 13 2 4 4 2" xfId="26871"/>
    <cellStyle name="20% - Accent3 13 2 4 5" xfId="17430"/>
    <cellStyle name="20% - Accent3 13 2 4 5 2" xfId="30709"/>
    <cellStyle name="20% - Accent3 13 2 4 6" xfId="21718"/>
    <cellStyle name="20% - Accent3 13 2 5" xfId="2145"/>
    <cellStyle name="20% - Accent3 13 2 5 2" xfId="13482"/>
    <cellStyle name="20% - Accent3 13 2 5 2 2" xfId="26874"/>
    <cellStyle name="20% - Accent3 13 2 5 3" xfId="17433"/>
    <cellStyle name="20% - Accent3 13 2 5 3 2" xfId="30712"/>
    <cellStyle name="20% - Accent3 13 2 5 4" xfId="21721"/>
    <cellStyle name="20% - Accent3 13 2 6" xfId="2146"/>
    <cellStyle name="20% - Accent3 13 2 6 2" xfId="13483"/>
    <cellStyle name="20% - Accent3 13 2 6 2 2" xfId="26875"/>
    <cellStyle name="20% - Accent3 13 2 6 3" xfId="17434"/>
    <cellStyle name="20% - Accent3 13 2 6 3 2" xfId="30713"/>
    <cellStyle name="20% - Accent3 13 2 6 4" xfId="21722"/>
    <cellStyle name="20% - Accent3 13 2 7" xfId="13472"/>
    <cellStyle name="20% - Accent3 13 2 7 2" xfId="26864"/>
    <cellStyle name="20% - Accent3 13 2 8" xfId="17423"/>
    <cellStyle name="20% - Accent3 13 2 8 2" xfId="30702"/>
    <cellStyle name="20% - Accent3 13 2 9" xfId="21711"/>
    <cellStyle name="20% - Accent3 13 2_Volatility" xfId="2147"/>
    <cellStyle name="20% - Accent3 13 3" xfId="2148"/>
    <cellStyle name="20% - Accent3 13 3 2" xfId="2149"/>
    <cellStyle name="20% - Accent3 13 3 2 2" xfId="2150"/>
    <cellStyle name="20% - Accent3 13 3 2 2 2" xfId="13486"/>
    <cellStyle name="20% - Accent3 13 3 2 2 2 2" xfId="26878"/>
    <cellStyle name="20% - Accent3 13 3 2 2 3" xfId="17437"/>
    <cellStyle name="20% - Accent3 13 3 2 2 3 2" xfId="30716"/>
    <cellStyle name="20% - Accent3 13 3 2 2 4" xfId="21725"/>
    <cellStyle name="20% - Accent3 13 3 2 3" xfId="2151"/>
    <cellStyle name="20% - Accent3 13 3 2 3 2" xfId="13487"/>
    <cellStyle name="20% - Accent3 13 3 2 3 2 2" xfId="26879"/>
    <cellStyle name="20% - Accent3 13 3 2 3 3" xfId="17438"/>
    <cellStyle name="20% - Accent3 13 3 2 3 3 2" xfId="30717"/>
    <cellStyle name="20% - Accent3 13 3 2 3 4" xfId="21726"/>
    <cellStyle name="20% - Accent3 13 3 2 4" xfId="13485"/>
    <cellStyle name="20% - Accent3 13 3 2 4 2" xfId="26877"/>
    <cellStyle name="20% - Accent3 13 3 2 5" xfId="17436"/>
    <cellStyle name="20% - Accent3 13 3 2 5 2" xfId="30715"/>
    <cellStyle name="20% - Accent3 13 3 2 6" xfId="21724"/>
    <cellStyle name="20% - Accent3 13 3 3" xfId="2152"/>
    <cellStyle name="20% - Accent3 13 3 3 2" xfId="2153"/>
    <cellStyle name="20% - Accent3 13 3 3 2 2" xfId="13489"/>
    <cellStyle name="20% - Accent3 13 3 3 2 2 2" xfId="26881"/>
    <cellStyle name="20% - Accent3 13 3 3 2 3" xfId="17440"/>
    <cellStyle name="20% - Accent3 13 3 3 2 3 2" xfId="30719"/>
    <cellStyle name="20% - Accent3 13 3 3 2 4" xfId="21728"/>
    <cellStyle name="20% - Accent3 13 3 3 3" xfId="2154"/>
    <cellStyle name="20% - Accent3 13 3 3 3 2" xfId="13490"/>
    <cellStyle name="20% - Accent3 13 3 3 3 2 2" xfId="26882"/>
    <cellStyle name="20% - Accent3 13 3 3 3 3" xfId="17441"/>
    <cellStyle name="20% - Accent3 13 3 3 3 3 2" xfId="30720"/>
    <cellStyle name="20% - Accent3 13 3 3 3 4" xfId="21729"/>
    <cellStyle name="20% - Accent3 13 3 3 4" xfId="13488"/>
    <cellStyle name="20% - Accent3 13 3 3 4 2" xfId="26880"/>
    <cellStyle name="20% - Accent3 13 3 3 5" xfId="17439"/>
    <cellStyle name="20% - Accent3 13 3 3 5 2" xfId="30718"/>
    <cellStyle name="20% - Accent3 13 3 3 6" xfId="21727"/>
    <cellStyle name="20% - Accent3 13 3 4" xfId="2155"/>
    <cellStyle name="20% - Accent3 13 3 4 2" xfId="13491"/>
    <cellStyle name="20% - Accent3 13 3 4 2 2" xfId="26883"/>
    <cellStyle name="20% - Accent3 13 3 4 3" xfId="17442"/>
    <cellStyle name="20% - Accent3 13 3 4 3 2" xfId="30721"/>
    <cellStyle name="20% - Accent3 13 3 4 4" xfId="21730"/>
    <cellStyle name="20% - Accent3 13 3 5" xfId="2156"/>
    <cellStyle name="20% - Accent3 13 3 5 2" xfId="13492"/>
    <cellStyle name="20% - Accent3 13 3 5 2 2" xfId="26884"/>
    <cellStyle name="20% - Accent3 13 3 5 3" xfId="17443"/>
    <cellStyle name="20% - Accent3 13 3 5 3 2" xfId="30722"/>
    <cellStyle name="20% - Accent3 13 3 5 4" xfId="21731"/>
    <cellStyle name="20% - Accent3 13 3 6" xfId="13484"/>
    <cellStyle name="20% - Accent3 13 3 6 2" xfId="26876"/>
    <cellStyle name="20% - Accent3 13 3 7" xfId="17435"/>
    <cellStyle name="20% - Accent3 13 3 7 2" xfId="30714"/>
    <cellStyle name="20% - Accent3 13 3 8" xfId="21723"/>
    <cellStyle name="20% - Accent3 13 3_Volatility" xfId="2157"/>
    <cellStyle name="20% - Accent3 13 4" xfId="2158"/>
    <cellStyle name="20% - Accent3 13 4 2" xfId="2159"/>
    <cellStyle name="20% - Accent3 13 4 2 2" xfId="13494"/>
    <cellStyle name="20% - Accent3 13 4 2 2 2" xfId="26886"/>
    <cellStyle name="20% - Accent3 13 4 2 3" xfId="17445"/>
    <cellStyle name="20% - Accent3 13 4 2 3 2" xfId="30724"/>
    <cellStyle name="20% - Accent3 13 4 2 4" xfId="21733"/>
    <cellStyle name="20% - Accent3 13 4 3" xfId="2160"/>
    <cellStyle name="20% - Accent3 13 4 3 2" xfId="13495"/>
    <cellStyle name="20% - Accent3 13 4 3 2 2" xfId="26887"/>
    <cellStyle name="20% - Accent3 13 4 3 3" xfId="17446"/>
    <cellStyle name="20% - Accent3 13 4 3 3 2" xfId="30725"/>
    <cellStyle name="20% - Accent3 13 4 3 4" xfId="21734"/>
    <cellStyle name="20% - Accent3 13 4 4" xfId="13493"/>
    <cellStyle name="20% - Accent3 13 4 4 2" xfId="26885"/>
    <cellStyle name="20% - Accent3 13 4 5" xfId="17444"/>
    <cellStyle name="20% - Accent3 13 4 5 2" xfId="30723"/>
    <cellStyle name="20% - Accent3 13 4 6" xfId="21732"/>
    <cellStyle name="20% - Accent3 13 5" xfId="2161"/>
    <cellStyle name="20% - Accent3 13 5 2" xfId="2162"/>
    <cellStyle name="20% - Accent3 13 5 2 2" xfId="13497"/>
    <cellStyle name="20% - Accent3 13 5 2 2 2" xfId="26889"/>
    <cellStyle name="20% - Accent3 13 5 2 3" xfId="17448"/>
    <cellStyle name="20% - Accent3 13 5 2 3 2" xfId="30727"/>
    <cellStyle name="20% - Accent3 13 5 2 4" xfId="21736"/>
    <cellStyle name="20% - Accent3 13 5 3" xfId="2163"/>
    <cellStyle name="20% - Accent3 13 5 3 2" xfId="13498"/>
    <cellStyle name="20% - Accent3 13 5 3 2 2" xfId="26890"/>
    <cellStyle name="20% - Accent3 13 5 3 3" xfId="17449"/>
    <cellStyle name="20% - Accent3 13 5 3 3 2" xfId="30728"/>
    <cellStyle name="20% - Accent3 13 5 3 4" xfId="21737"/>
    <cellStyle name="20% - Accent3 13 5 4" xfId="13496"/>
    <cellStyle name="20% - Accent3 13 5 4 2" xfId="26888"/>
    <cellStyle name="20% - Accent3 13 5 5" xfId="17447"/>
    <cellStyle name="20% - Accent3 13 5 5 2" xfId="30726"/>
    <cellStyle name="20% - Accent3 13 5 6" xfId="21735"/>
    <cellStyle name="20% - Accent3 13 6" xfId="2164"/>
    <cellStyle name="20% - Accent3 13 6 2" xfId="2165"/>
    <cellStyle name="20% - Accent3 13 6 2 2" xfId="13500"/>
    <cellStyle name="20% - Accent3 13 6 2 2 2" xfId="26892"/>
    <cellStyle name="20% - Accent3 13 6 2 3" xfId="17451"/>
    <cellStyle name="20% - Accent3 13 6 2 3 2" xfId="30730"/>
    <cellStyle name="20% - Accent3 13 6 2 4" xfId="21739"/>
    <cellStyle name="20% - Accent3 13 6 3" xfId="2166"/>
    <cellStyle name="20% - Accent3 13 6 3 2" xfId="13501"/>
    <cellStyle name="20% - Accent3 13 6 3 2 2" xfId="26893"/>
    <cellStyle name="20% - Accent3 13 6 3 3" xfId="17452"/>
    <cellStyle name="20% - Accent3 13 6 3 3 2" xfId="30731"/>
    <cellStyle name="20% - Accent3 13 6 3 4" xfId="21740"/>
    <cellStyle name="20% - Accent3 13 6 4" xfId="13499"/>
    <cellStyle name="20% - Accent3 13 6 4 2" xfId="26891"/>
    <cellStyle name="20% - Accent3 13 6 5" xfId="17450"/>
    <cellStyle name="20% - Accent3 13 6 5 2" xfId="30729"/>
    <cellStyle name="20% - Accent3 13 6 6" xfId="21738"/>
    <cellStyle name="20% - Accent3 13 7" xfId="2167"/>
    <cellStyle name="20% - Accent3 13 7 2" xfId="13502"/>
    <cellStyle name="20% - Accent3 13 7 2 2" xfId="26894"/>
    <cellStyle name="20% - Accent3 13 7 3" xfId="17453"/>
    <cellStyle name="20% - Accent3 13 7 3 2" xfId="30732"/>
    <cellStyle name="20% - Accent3 13 7 4" xfId="21741"/>
    <cellStyle name="20% - Accent3 13 8" xfId="2168"/>
    <cellStyle name="20% - Accent3 13 8 2" xfId="13503"/>
    <cellStyle name="20% - Accent3 13 8 2 2" xfId="26895"/>
    <cellStyle name="20% - Accent3 13 8 3" xfId="17454"/>
    <cellStyle name="20% - Accent3 13 8 3 2" xfId="30733"/>
    <cellStyle name="20% - Accent3 13 8 4" xfId="21742"/>
    <cellStyle name="20% - Accent3 13 9" xfId="13471"/>
    <cellStyle name="20% - Accent3 13 9 2" xfId="26863"/>
    <cellStyle name="20% - Accent3 13_Volatility" xfId="2169"/>
    <cellStyle name="20% - Accent3 14" xfId="2170"/>
    <cellStyle name="20% - Accent3 14 10" xfId="17455"/>
    <cellStyle name="20% - Accent3 14 10 2" xfId="30734"/>
    <cellStyle name="20% - Accent3 14 11" xfId="21743"/>
    <cellStyle name="20% - Accent3 14 2" xfId="2171"/>
    <cellStyle name="20% - Accent3 14 2 2" xfId="2172"/>
    <cellStyle name="20% - Accent3 14 2 2 2" xfId="2173"/>
    <cellStyle name="20% - Accent3 14 2 2 2 2" xfId="13507"/>
    <cellStyle name="20% - Accent3 14 2 2 2 2 2" xfId="26899"/>
    <cellStyle name="20% - Accent3 14 2 2 2 3" xfId="17458"/>
    <cellStyle name="20% - Accent3 14 2 2 2 3 2" xfId="30737"/>
    <cellStyle name="20% - Accent3 14 2 2 2 4" xfId="21746"/>
    <cellStyle name="20% - Accent3 14 2 2 3" xfId="2174"/>
    <cellStyle name="20% - Accent3 14 2 2 3 2" xfId="13508"/>
    <cellStyle name="20% - Accent3 14 2 2 3 2 2" xfId="26900"/>
    <cellStyle name="20% - Accent3 14 2 2 3 3" xfId="17459"/>
    <cellStyle name="20% - Accent3 14 2 2 3 3 2" xfId="30738"/>
    <cellStyle name="20% - Accent3 14 2 2 3 4" xfId="21747"/>
    <cellStyle name="20% - Accent3 14 2 2 4" xfId="13506"/>
    <cellStyle name="20% - Accent3 14 2 2 4 2" xfId="26898"/>
    <cellStyle name="20% - Accent3 14 2 2 5" xfId="17457"/>
    <cellStyle name="20% - Accent3 14 2 2 5 2" xfId="30736"/>
    <cellStyle name="20% - Accent3 14 2 2 6" xfId="21745"/>
    <cellStyle name="20% - Accent3 14 2 3" xfId="2175"/>
    <cellStyle name="20% - Accent3 14 2 3 2" xfId="2176"/>
    <cellStyle name="20% - Accent3 14 2 3 2 2" xfId="13510"/>
    <cellStyle name="20% - Accent3 14 2 3 2 2 2" xfId="26902"/>
    <cellStyle name="20% - Accent3 14 2 3 2 3" xfId="17461"/>
    <cellStyle name="20% - Accent3 14 2 3 2 3 2" xfId="30740"/>
    <cellStyle name="20% - Accent3 14 2 3 2 4" xfId="21749"/>
    <cellStyle name="20% - Accent3 14 2 3 3" xfId="2177"/>
    <cellStyle name="20% - Accent3 14 2 3 3 2" xfId="13511"/>
    <cellStyle name="20% - Accent3 14 2 3 3 2 2" xfId="26903"/>
    <cellStyle name="20% - Accent3 14 2 3 3 3" xfId="17462"/>
    <cellStyle name="20% - Accent3 14 2 3 3 3 2" xfId="30741"/>
    <cellStyle name="20% - Accent3 14 2 3 3 4" xfId="21750"/>
    <cellStyle name="20% - Accent3 14 2 3 4" xfId="13509"/>
    <cellStyle name="20% - Accent3 14 2 3 4 2" xfId="26901"/>
    <cellStyle name="20% - Accent3 14 2 3 5" xfId="17460"/>
    <cellStyle name="20% - Accent3 14 2 3 5 2" xfId="30739"/>
    <cellStyle name="20% - Accent3 14 2 3 6" xfId="21748"/>
    <cellStyle name="20% - Accent3 14 2 4" xfId="2178"/>
    <cellStyle name="20% - Accent3 14 2 4 2" xfId="2179"/>
    <cellStyle name="20% - Accent3 14 2 4 2 2" xfId="13513"/>
    <cellStyle name="20% - Accent3 14 2 4 2 2 2" xfId="26905"/>
    <cellStyle name="20% - Accent3 14 2 4 2 3" xfId="17464"/>
    <cellStyle name="20% - Accent3 14 2 4 2 3 2" xfId="30743"/>
    <cellStyle name="20% - Accent3 14 2 4 2 4" xfId="21752"/>
    <cellStyle name="20% - Accent3 14 2 4 3" xfId="2180"/>
    <cellStyle name="20% - Accent3 14 2 4 3 2" xfId="13514"/>
    <cellStyle name="20% - Accent3 14 2 4 3 2 2" xfId="26906"/>
    <cellStyle name="20% - Accent3 14 2 4 3 3" xfId="17465"/>
    <cellStyle name="20% - Accent3 14 2 4 3 3 2" xfId="30744"/>
    <cellStyle name="20% - Accent3 14 2 4 3 4" xfId="21753"/>
    <cellStyle name="20% - Accent3 14 2 4 4" xfId="13512"/>
    <cellStyle name="20% - Accent3 14 2 4 4 2" xfId="26904"/>
    <cellStyle name="20% - Accent3 14 2 4 5" xfId="17463"/>
    <cellStyle name="20% - Accent3 14 2 4 5 2" xfId="30742"/>
    <cellStyle name="20% - Accent3 14 2 4 6" xfId="21751"/>
    <cellStyle name="20% - Accent3 14 2 5" xfId="2181"/>
    <cellStyle name="20% - Accent3 14 2 5 2" xfId="13515"/>
    <cellStyle name="20% - Accent3 14 2 5 2 2" xfId="26907"/>
    <cellStyle name="20% - Accent3 14 2 5 3" xfId="17466"/>
    <cellStyle name="20% - Accent3 14 2 5 3 2" xfId="30745"/>
    <cellStyle name="20% - Accent3 14 2 5 4" xfId="21754"/>
    <cellStyle name="20% - Accent3 14 2 6" xfId="2182"/>
    <cellStyle name="20% - Accent3 14 2 6 2" xfId="13516"/>
    <cellStyle name="20% - Accent3 14 2 6 2 2" xfId="26908"/>
    <cellStyle name="20% - Accent3 14 2 6 3" xfId="17467"/>
    <cellStyle name="20% - Accent3 14 2 6 3 2" xfId="30746"/>
    <cellStyle name="20% - Accent3 14 2 6 4" xfId="21755"/>
    <cellStyle name="20% - Accent3 14 2 7" xfId="13505"/>
    <cellStyle name="20% - Accent3 14 2 7 2" xfId="26897"/>
    <cellStyle name="20% - Accent3 14 2 8" xfId="17456"/>
    <cellStyle name="20% - Accent3 14 2 8 2" xfId="30735"/>
    <cellStyle name="20% - Accent3 14 2 9" xfId="21744"/>
    <cellStyle name="20% - Accent3 14 2_Volatility" xfId="2183"/>
    <cellStyle name="20% - Accent3 14 3" xfId="2184"/>
    <cellStyle name="20% - Accent3 14 3 2" xfId="2185"/>
    <cellStyle name="20% - Accent3 14 3 2 2" xfId="2186"/>
    <cellStyle name="20% - Accent3 14 3 2 2 2" xfId="13519"/>
    <cellStyle name="20% - Accent3 14 3 2 2 2 2" xfId="26911"/>
    <cellStyle name="20% - Accent3 14 3 2 2 3" xfId="17470"/>
    <cellStyle name="20% - Accent3 14 3 2 2 3 2" xfId="30749"/>
    <cellStyle name="20% - Accent3 14 3 2 2 4" xfId="21758"/>
    <cellStyle name="20% - Accent3 14 3 2 3" xfId="2187"/>
    <cellStyle name="20% - Accent3 14 3 2 3 2" xfId="13520"/>
    <cellStyle name="20% - Accent3 14 3 2 3 2 2" xfId="26912"/>
    <cellStyle name="20% - Accent3 14 3 2 3 3" xfId="17471"/>
    <cellStyle name="20% - Accent3 14 3 2 3 3 2" xfId="30750"/>
    <cellStyle name="20% - Accent3 14 3 2 3 4" xfId="21759"/>
    <cellStyle name="20% - Accent3 14 3 2 4" xfId="13518"/>
    <cellStyle name="20% - Accent3 14 3 2 4 2" xfId="26910"/>
    <cellStyle name="20% - Accent3 14 3 2 5" xfId="17469"/>
    <cellStyle name="20% - Accent3 14 3 2 5 2" xfId="30748"/>
    <cellStyle name="20% - Accent3 14 3 2 6" xfId="21757"/>
    <cellStyle name="20% - Accent3 14 3 3" xfId="2188"/>
    <cellStyle name="20% - Accent3 14 3 3 2" xfId="2189"/>
    <cellStyle name="20% - Accent3 14 3 3 2 2" xfId="13522"/>
    <cellStyle name="20% - Accent3 14 3 3 2 2 2" xfId="26914"/>
    <cellStyle name="20% - Accent3 14 3 3 2 3" xfId="17473"/>
    <cellStyle name="20% - Accent3 14 3 3 2 3 2" xfId="30752"/>
    <cellStyle name="20% - Accent3 14 3 3 2 4" xfId="21761"/>
    <cellStyle name="20% - Accent3 14 3 3 3" xfId="2190"/>
    <cellStyle name="20% - Accent3 14 3 3 3 2" xfId="13523"/>
    <cellStyle name="20% - Accent3 14 3 3 3 2 2" xfId="26915"/>
    <cellStyle name="20% - Accent3 14 3 3 3 3" xfId="17474"/>
    <cellStyle name="20% - Accent3 14 3 3 3 3 2" xfId="30753"/>
    <cellStyle name="20% - Accent3 14 3 3 3 4" xfId="21762"/>
    <cellStyle name="20% - Accent3 14 3 3 4" xfId="13521"/>
    <cellStyle name="20% - Accent3 14 3 3 4 2" xfId="26913"/>
    <cellStyle name="20% - Accent3 14 3 3 5" xfId="17472"/>
    <cellStyle name="20% - Accent3 14 3 3 5 2" xfId="30751"/>
    <cellStyle name="20% - Accent3 14 3 3 6" xfId="21760"/>
    <cellStyle name="20% - Accent3 14 3 4" xfId="2191"/>
    <cellStyle name="20% - Accent3 14 3 4 2" xfId="13524"/>
    <cellStyle name="20% - Accent3 14 3 4 2 2" xfId="26916"/>
    <cellStyle name="20% - Accent3 14 3 4 3" xfId="17475"/>
    <cellStyle name="20% - Accent3 14 3 4 3 2" xfId="30754"/>
    <cellStyle name="20% - Accent3 14 3 4 4" xfId="21763"/>
    <cellStyle name="20% - Accent3 14 3 5" xfId="2192"/>
    <cellStyle name="20% - Accent3 14 3 5 2" xfId="13525"/>
    <cellStyle name="20% - Accent3 14 3 5 2 2" xfId="26917"/>
    <cellStyle name="20% - Accent3 14 3 5 3" xfId="17476"/>
    <cellStyle name="20% - Accent3 14 3 5 3 2" xfId="30755"/>
    <cellStyle name="20% - Accent3 14 3 5 4" xfId="21764"/>
    <cellStyle name="20% - Accent3 14 3 6" xfId="13517"/>
    <cellStyle name="20% - Accent3 14 3 6 2" xfId="26909"/>
    <cellStyle name="20% - Accent3 14 3 7" xfId="17468"/>
    <cellStyle name="20% - Accent3 14 3 7 2" xfId="30747"/>
    <cellStyle name="20% - Accent3 14 3 8" xfId="21756"/>
    <cellStyle name="20% - Accent3 14 3_Volatility" xfId="2193"/>
    <cellStyle name="20% - Accent3 14 4" xfId="2194"/>
    <cellStyle name="20% - Accent3 14 4 2" xfId="2195"/>
    <cellStyle name="20% - Accent3 14 4 2 2" xfId="13527"/>
    <cellStyle name="20% - Accent3 14 4 2 2 2" xfId="26919"/>
    <cellStyle name="20% - Accent3 14 4 2 3" xfId="17478"/>
    <cellStyle name="20% - Accent3 14 4 2 3 2" xfId="30757"/>
    <cellStyle name="20% - Accent3 14 4 2 4" xfId="21766"/>
    <cellStyle name="20% - Accent3 14 4 3" xfId="2196"/>
    <cellStyle name="20% - Accent3 14 4 3 2" xfId="13528"/>
    <cellStyle name="20% - Accent3 14 4 3 2 2" xfId="26920"/>
    <cellStyle name="20% - Accent3 14 4 3 3" xfId="17479"/>
    <cellStyle name="20% - Accent3 14 4 3 3 2" xfId="30758"/>
    <cellStyle name="20% - Accent3 14 4 3 4" xfId="21767"/>
    <cellStyle name="20% - Accent3 14 4 4" xfId="13526"/>
    <cellStyle name="20% - Accent3 14 4 4 2" xfId="26918"/>
    <cellStyle name="20% - Accent3 14 4 5" xfId="17477"/>
    <cellStyle name="20% - Accent3 14 4 5 2" xfId="30756"/>
    <cellStyle name="20% - Accent3 14 4 6" xfId="21765"/>
    <cellStyle name="20% - Accent3 14 5" xfId="2197"/>
    <cellStyle name="20% - Accent3 14 5 2" xfId="2198"/>
    <cellStyle name="20% - Accent3 14 5 2 2" xfId="13530"/>
    <cellStyle name="20% - Accent3 14 5 2 2 2" xfId="26922"/>
    <cellStyle name="20% - Accent3 14 5 2 3" xfId="17481"/>
    <cellStyle name="20% - Accent3 14 5 2 3 2" xfId="30760"/>
    <cellStyle name="20% - Accent3 14 5 2 4" xfId="21769"/>
    <cellStyle name="20% - Accent3 14 5 3" xfId="2199"/>
    <cellStyle name="20% - Accent3 14 5 3 2" xfId="13531"/>
    <cellStyle name="20% - Accent3 14 5 3 2 2" xfId="26923"/>
    <cellStyle name="20% - Accent3 14 5 3 3" xfId="17482"/>
    <cellStyle name="20% - Accent3 14 5 3 3 2" xfId="30761"/>
    <cellStyle name="20% - Accent3 14 5 3 4" xfId="21770"/>
    <cellStyle name="20% - Accent3 14 5 4" xfId="13529"/>
    <cellStyle name="20% - Accent3 14 5 4 2" xfId="26921"/>
    <cellStyle name="20% - Accent3 14 5 5" xfId="17480"/>
    <cellStyle name="20% - Accent3 14 5 5 2" xfId="30759"/>
    <cellStyle name="20% - Accent3 14 5 6" xfId="21768"/>
    <cellStyle name="20% - Accent3 14 6" xfId="2200"/>
    <cellStyle name="20% - Accent3 14 6 2" xfId="2201"/>
    <cellStyle name="20% - Accent3 14 6 2 2" xfId="13533"/>
    <cellStyle name="20% - Accent3 14 6 2 2 2" xfId="26925"/>
    <cellStyle name="20% - Accent3 14 6 2 3" xfId="17484"/>
    <cellStyle name="20% - Accent3 14 6 2 3 2" xfId="30763"/>
    <cellStyle name="20% - Accent3 14 6 2 4" xfId="21772"/>
    <cellStyle name="20% - Accent3 14 6 3" xfId="2202"/>
    <cellStyle name="20% - Accent3 14 6 3 2" xfId="13534"/>
    <cellStyle name="20% - Accent3 14 6 3 2 2" xfId="26926"/>
    <cellStyle name="20% - Accent3 14 6 3 3" xfId="17485"/>
    <cellStyle name="20% - Accent3 14 6 3 3 2" xfId="30764"/>
    <cellStyle name="20% - Accent3 14 6 3 4" xfId="21773"/>
    <cellStyle name="20% - Accent3 14 6 4" xfId="13532"/>
    <cellStyle name="20% - Accent3 14 6 4 2" xfId="26924"/>
    <cellStyle name="20% - Accent3 14 6 5" xfId="17483"/>
    <cellStyle name="20% - Accent3 14 6 5 2" xfId="30762"/>
    <cellStyle name="20% - Accent3 14 6 6" xfId="21771"/>
    <cellStyle name="20% - Accent3 14 7" xfId="2203"/>
    <cellStyle name="20% - Accent3 14 7 2" xfId="13535"/>
    <cellStyle name="20% - Accent3 14 7 2 2" xfId="26927"/>
    <cellStyle name="20% - Accent3 14 7 3" xfId="17486"/>
    <cellStyle name="20% - Accent3 14 7 3 2" xfId="30765"/>
    <cellStyle name="20% - Accent3 14 7 4" xfId="21774"/>
    <cellStyle name="20% - Accent3 14 8" xfId="2204"/>
    <cellStyle name="20% - Accent3 14 8 2" xfId="13536"/>
    <cellStyle name="20% - Accent3 14 8 2 2" xfId="26928"/>
    <cellStyle name="20% - Accent3 14 8 3" xfId="17487"/>
    <cellStyle name="20% - Accent3 14 8 3 2" xfId="30766"/>
    <cellStyle name="20% - Accent3 14 8 4" xfId="21775"/>
    <cellStyle name="20% - Accent3 14 9" xfId="13504"/>
    <cellStyle name="20% - Accent3 14 9 2" xfId="26896"/>
    <cellStyle name="20% - Accent3 14_Volatility" xfId="2205"/>
    <cellStyle name="20% - Accent3 15" xfId="2206"/>
    <cellStyle name="20% - Accent3 15 10" xfId="17488"/>
    <cellStyle name="20% - Accent3 15 10 2" xfId="30767"/>
    <cellStyle name="20% - Accent3 15 11" xfId="21776"/>
    <cellStyle name="20% - Accent3 15 2" xfId="2207"/>
    <cellStyle name="20% - Accent3 15 2 2" xfId="2208"/>
    <cellStyle name="20% - Accent3 15 2 2 2" xfId="2209"/>
    <cellStyle name="20% - Accent3 15 2 2 2 2" xfId="13540"/>
    <cellStyle name="20% - Accent3 15 2 2 2 2 2" xfId="26932"/>
    <cellStyle name="20% - Accent3 15 2 2 2 3" xfId="17491"/>
    <cellStyle name="20% - Accent3 15 2 2 2 3 2" xfId="30770"/>
    <cellStyle name="20% - Accent3 15 2 2 2 4" xfId="21779"/>
    <cellStyle name="20% - Accent3 15 2 2 3" xfId="2210"/>
    <cellStyle name="20% - Accent3 15 2 2 3 2" xfId="13541"/>
    <cellStyle name="20% - Accent3 15 2 2 3 2 2" xfId="26933"/>
    <cellStyle name="20% - Accent3 15 2 2 3 3" xfId="17492"/>
    <cellStyle name="20% - Accent3 15 2 2 3 3 2" xfId="30771"/>
    <cellStyle name="20% - Accent3 15 2 2 3 4" xfId="21780"/>
    <cellStyle name="20% - Accent3 15 2 2 4" xfId="13539"/>
    <cellStyle name="20% - Accent3 15 2 2 4 2" xfId="26931"/>
    <cellStyle name="20% - Accent3 15 2 2 5" xfId="17490"/>
    <cellStyle name="20% - Accent3 15 2 2 5 2" xfId="30769"/>
    <cellStyle name="20% - Accent3 15 2 2 6" xfId="21778"/>
    <cellStyle name="20% - Accent3 15 2 3" xfId="2211"/>
    <cellStyle name="20% - Accent3 15 2 3 2" xfId="2212"/>
    <cellStyle name="20% - Accent3 15 2 3 2 2" xfId="13543"/>
    <cellStyle name="20% - Accent3 15 2 3 2 2 2" xfId="26935"/>
    <cellStyle name="20% - Accent3 15 2 3 2 3" xfId="17494"/>
    <cellStyle name="20% - Accent3 15 2 3 2 3 2" xfId="30773"/>
    <cellStyle name="20% - Accent3 15 2 3 2 4" xfId="21782"/>
    <cellStyle name="20% - Accent3 15 2 3 3" xfId="2213"/>
    <cellStyle name="20% - Accent3 15 2 3 3 2" xfId="13544"/>
    <cellStyle name="20% - Accent3 15 2 3 3 2 2" xfId="26936"/>
    <cellStyle name="20% - Accent3 15 2 3 3 3" xfId="17495"/>
    <cellStyle name="20% - Accent3 15 2 3 3 3 2" xfId="30774"/>
    <cellStyle name="20% - Accent3 15 2 3 3 4" xfId="21783"/>
    <cellStyle name="20% - Accent3 15 2 3 4" xfId="13542"/>
    <cellStyle name="20% - Accent3 15 2 3 4 2" xfId="26934"/>
    <cellStyle name="20% - Accent3 15 2 3 5" xfId="17493"/>
    <cellStyle name="20% - Accent3 15 2 3 5 2" xfId="30772"/>
    <cellStyle name="20% - Accent3 15 2 3 6" xfId="21781"/>
    <cellStyle name="20% - Accent3 15 2 4" xfId="2214"/>
    <cellStyle name="20% - Accent3 15 2 4 2" xfId="2215"/>
    <cellStyle name="20% - Accent3 15 2 4 2 2" xfId="13546"/>
    <cellStyle name="20% - Accent3 15 2 4 2 2 2" xfId="26938"/>
    <cellStyle name="20% - Accent3 15 2 4 2 3" xfId="17497"/>
    <cellStyle name="20% - Accent3 15 2 4 2 3 2" xfId="30776"/>
    <cellStyle name="20% - Accent3 15 2 4 2 4" xfId="21785"/>
    <cellStyle name="20% - Accent3 15 2 4 3" xfId="2216"/>
    <cellStyle name="20% - Accent3 15 2 4 3 2" xfId="13547"/>
    <cellStyle name="20% - Accent3 15 2 4 3 2 2" xfId="26939"/>
    <cellStyle name="20% - Accent3 15 2 4 3 3" xfId="17498"/>
    <cellStyle name="20% - Accent3 15 2 4 3 3 2" xfId="30777"/>
    <cellStyle name="20% - Accent3 15 2 4 3 4" xfId="21786"/>
    <cellStyle name="20% - Accent3 15 2 4 4" xfId="13545"/>
    <cellStyle name="20% - Accent3 15 2 4 4 2" xfId="26937"/>
    <cellStyle name="20% - Accent3 15 2 4 5" xfId="17496"/>
    <cellStyle name="20% - Accent3 15 2 4 5 2" xfId="30775"/>
    <cellStyle name="20% - Accent3 15 2 4 6" xfId="21784"/>
    <cellStyle name="20% - Accent3 15 2 5" xfId="2217"/>
    <cellStyle name="20% - Accent3 15 2 5 2" xfId="13548"/>
    <cellStyle name="20% - Accent3 15 2 5 2 2" xfId="26940"/>
    <cellStyle name="20% - Accent3 15 2 5 3" xfId="17499"/>
    <cellStyle name="20% - Accent3 15 2 5 3 2" xfId="30778"/>
    <cellStyle name="20% - Accent3 15 2 5 4" xfId="21787"/>
    <cellStyle name="20% - Accent3 15 2 6" xfId="2218"/>
    <cellStyle name="20% - Accent3 15 2 6 2" xfId="13549"/>
    <cellStyle name="20% - Accent3 15 2 6 2 2" xfId="26941"/>
    <cellStyle name="20% - Accent3 15 2 6 3" xfId="17500"/>
    <cellStyle name="20% - Accent3 15 2 6 3 2" xfId="30779"/>
    <cellStyle name="20% - Accent3 15 2 6 4" xfId="21788"/>
    <cellStyle name="20% - Accent3 15 2 7" xfId="13538"/>
    <cellStyle name="20% - Accent3 15 2 7 2" xfId="26930"/>
    <cellStyle name="20% - Accent3 15 2 8" xfId="17489"/>
    <cellStyle name="20% - Accent3 15 2 8 2" xfId="30768"/>
    <cellStyle name="20% - Accent3 15 2 9" xfId="21777"/>
    <cellStyle name="20% - Accent3 15 2_Volatility" xfId="2219"/>
    <cellStyle name="20% - Accent3 15 3" xfId="2220"/>
    <cellStyle name="20% - Accent3 15 3 2" xfId="2221"/>
    <cellStyle name="20% - Accent3 15 3 2 2" xfId="2222"/>
    <cellStyle name="20% - Accent3 15 3 2 2 2" xfId="13552"/>
    <cellStyle name="20% - Accent3 15 3 2 2 2 2" xfId="26944"/>
    <cellStyle name="20% - Accent3 15 3 2 2 3" xfId="17503"/>
    <cellStyle name="20% - Accent3 15 3 2 2 3 2" xfId="30782"/>
    <cellStyle name="20% - Accent3 15 3 2 2 4" xfId="21791"/>
    <cellStyle name="20% - Accent3 15 3 2 3" xfId="2223"/>
    <cellStyle name="20% - Accent3 15 3 2 3 2" xfId="13553"/>
    <cellStyle name="20% - Accent3 15 3 2 3 2 2" xfId="26945"/>
    <cellStyle name="20% - Accent3 15 3 2 3 3" xfId="17504"/>
    <cellStyle name="20% - Accent3 15 3 2 3 3 2" xfId="30783"/>
    <cellStyle name="20% - Accent3 15 3 2 3 4" xfId="21792"/>
    <cellStyle name="20% - Accent3 15 3 2 4" xfId="13551"/>
    <cellStyle name="20% - Accent3 15 3 2 4 2" xfId="26943"/>
    <cellStyle name="20% - Accent3 15 3 2 5" xfId="17502"/>
    <cellStyle name="20% - Accent3 15 3 2 5 2" xfId="30781"/>
    <cellStyle name="20% - Accent3 15 3 2 6" xfId="21790"/>
    <cellStyle name="20% - Accent3 15 3 3" xfId="2224"/>
    <cellStyle name="20% - Accent3 15 3 3 2" xfId="2225"/>
    <cellStyle name="20% - Accent3 15 3 3 2 2" xfId="13555"/>
    <cellStyle name="20% - Accent3 15 3 3 2 2 2" xfId="26947"/>
    <cellStyle name="20% - Accent3 15 3 3 2 3" xfId="17506"/>
    <cellStyle name="20% - Accent3 15 3 3 2 3 2" xfId="30785"/>
    <cellStyle name="20% - Accent3 15 3 3 2 4" xfId="21794"/>
    <cellStyle name="20% - Accent3 15 3 3 3" xfId="2226"/>
    <cellStyle name="20% - Accent3 15 3 3 3 2" xfId="13556"/>
    <cellStyle name="20% - Accent3 15 3 3 3 2 2" xfId="26948"/>
    <cellStyle name="20% - Accent3 15 3 3 3 3" xfId="17507"/>
    <cellStyle name="20% - Accent3 15 3 3 3 3 2" xfId="30786"/>
    <cellStyle name="20% - Accent3 15 3 3 3 4" xfId="21795"/>
    <cellStyle name="20% - Accent3 15 3 3 4" xfId="13554"/>
    <cellStyle name="20% - Accent3 15 3 3 4 2" xfId="26946"/>
    <cellStyle name="20% - Accent3 15 3 3 5" xfId="17505"/>
    <cellStyle name="20% - Accent3 15 3 3 5 2" xfId="30784"/>
    <cellStyle name="20% - Accent3 15 3 3 6" xfId="21793"/>
    <cellStyle name="20% - Accent3 15 3 4" xfId="2227"/>
    <cellStyle name="20% - Accent3 15 3 4 2" xfId="13557"/>
    <cellStyle name="20% - Accent3 15 3 4 2 2" xfId="26949"/>
    <cellStyle name="20% - Accent3 15 3 4 3" xfId="17508"/>
    <cellStyle name="20% - Accent3 15 3 4 3 2" xfId="30787"/>
    <cellStyle name="20% - Accent3 15 3 4 4" xfId="21796"/>
    <cellStyle name="20% - Accent3 15 3 5" xfId="2228"/>
    <cellStyle name="20% - Accent3 15 3 5 2" xfId="13558"/>
    <cellStyle name="20% - Accent3 15 3 5 2 2" xfId="26950"/>
    <cellStyle name="20% - Accent3 15 3 5 3" xfId="17509"/>
    <cellStyle name="20% - Accent3 15 3 5 3 2" xfId="30788"/>
    <cellStyle name="20% - Accent3 15 3 5 4" xfId="21797"/>
    <cellStyle name="20% - Accent3 15 3 6" xfId="13550"/>
    <cellStyle name="20% - Accent3 15 3 6 2" xfId="26942"/>
    <cellStyle name="20% - Accent3 15 3 7" xfId="17501"/>
    <cellStyle name="20% - Accent3 15 3 7 2" xfId="30780"/>
    <cellStyle name="20% - Accent3 15 3 8" xfId="21789"/>
    <cellStyle name="20% - Accent3 15 3_Volatility" xfId="2229"/>
    <cellStyle name="20% - Accent3 15 4" xfId="2230"/>
    <cellStyle name="20% - Accent3 15 4 2" xfId="2231"/>
    <cellStyle name="20% - Accent3 15 4 2 2" xfId="13560"/>
    <cellStyle name="20% - Accent3 15 4 2 2 2" xfId="26952"/>
    <cellStyle name="20% - Accent3 15 4 2 3" xfId="17511"/>
    <cellStyle name="20% - Accent3 15 4 2 3 2" xfId="30790"/>
    <cellStyle name="20% - Accent3 15 4 2 4" xfId="21799"/>
    <cellStyle name="20% - Accent3 15 4 3" xfId="2232"/>
    <cellStyle name="20% - Accent3 15 4 3 2" xfId="13561"/>
    <cellStyle name="20% - Accent3 15 4 3 2 2" xfId="26953"/>
    <cellStyle name="20% - Accent3 15 4 3 3" xfId="17512"/>
    <cellStyle name="20% - Accent3 15 4 3 3 2" xfId="30791"/>
    <cellStyle name="20% - Accent3 15 4 3 4" xfId="21800"/>
    <cellStyle name="20% - Accent3 15 4 4" xfId="13559"/>
    <cellStyle name="20% - Accent3 15 4 4 2" xfId="26951"/>
    <cellStyle name="20% - Accent3 15 4 5" xfId="17510"/>
    <cellStyle name="20% - Accent3 15 4 5 2" xfId="30789"/>
    <cellStyle name="20% - Accent3 15 4 6" xfId="21798"/>
    <cellStyle name="20% - Accent3 15 5" xfId="2233"/>
    <cellStyle name="20% - Accent3 15 5 2" xfId="2234"/>
    <cellStyle name="20% - Accent3 15 5 2 2" xfId="13563"/>
    <cellStyle name="20% - Accent3 15 5 2 2 2" xfId="26955"/>
    <cellStyle name="20% - Accent3 15 5 2 3" xfId="17514"/>
    <cellStyle name="20% - Accent3 15 5 2 3 2" xfId="30793"/>
    <cellStyle name="20% - Accent3 15 5 2 4" xfId="21802"/>
    <cellStyle name="20% - Accent3 15 5 3" xfId="2235"/>
    <cellStyle name="20% - Accent3 15 5 3 2" xfId="13564"/>
    <cellStyle name="20% - Accent3 15 5 3 2 2" xfId="26956"/>
    <cellStyle name="20% - Accent3 15 5 3 3" xfId="17515"/>
    <cellStyle name="20% - Accent3 15 5 3 3 2" xfId="30794"/>
    <cellStyle name="20% - Accent3 15 5 3 4" xfId="21803"/>
    <cellStyle name="20% - Accent3 15 5 4" xfId="13562"/>
    <cellStyle name="20% - Accent3 15 5 4 2" xfId="26954"/>
    <cellStyle name="20% - Accent3 15 5 5" xfId="17513"/>
    <cellStyle name="20% - Accent3 15 5 5 2" xfId="30792"/>
    <cellStyle name="20% - Accent3 15 5 6" xfId="21801"/>
    <cellStyle name="20% - Accent3 15 6" xfId="2236"/>
    <cellStyle name="20% - Accent3 15 6 2" xfId="2237"/>
    <cellStyle name="20% - Accent3 15 6 2 2" xfId="13566"/>
    <cellStyle name="20% - Accent3 15 6 2 2 2" xfId="26958"/>
    <cellStyle name="20% - Accent3 15 6 2 3" xfId="17517"/>
    <cellStyle name="20% - Accent3 15 6 2 3 2" xfId="30796"/>
    <cellStyle name="20% - Accent3 15 6 2 4" xfId="21805"/>
    <cellStyle name="20% - Accent3 15 6 3" xfId="2238"/>
    <cellStyle name="20% - Accent3 15 6 3 2" xfId="13567"/>
    <cellStyle name="20% - Accent3 15 6 3 2 2" xfId="26959"/>
    <cellStyle name="20% - Accent3 15 6 3 3" xfId="17518"/>
    <cellStyle name="20% - Accent3 15 6 3 3 2" xfId="30797"/>
    <cellStyle name="20% - Accent3 15 6 3 4" xfId="21806"/>
    <cellStyle name="20% - Accent3 15 6 4" xfId="13565"/>
    <cellStyle name="20% - Accent3 15 6 4 2" xfId="26957"/>
    <cellStyle name="20% - Accent3 15 6 5" xfId="17516"/>
    <cellStyle name="20% - Accent3 15 6 5 2" xfId="30795"/>
    <cellStyle name="20% - Accent3 15 6 6" xfId="21804"/>
    <cellStyle name="20% - Accent3 15 7" xfId="2239"/>
    <cellStyle name="20% - Accent3 15 7 2" xfId="13568"/>
    <cellStyle name="20% - Accent3 15 7 2 2" xfId="26960"/>
    <cellStyle name="20% - Accent3 15 7 3" xfId="17519"/>
    <cellStyle name="20% - Accent3 15 7 3 2" xfId="30798"/>
    <cellStyle name="20% - Accent3 15 7 4" xfId="21807"/>
    <cellStyle name="20% - Accent3 15 8" xfId="2240"/>
    <cellStyle name="20% - Accent3 15 8 2" xfId="13569"/>
    <cellStyle name="20% - Accent3 15 8 2 2" xfId="26961"/>
    <cellStyle name="20% - Accent3 15 8 3" xfId="17520"/>
    <cellStyle name="20% - Accent3 15 8 3 2" xfId="30799"/>
    <cellStyle name="20% - Accent3 15 8 4" xfId="21808"/>
    <cellStyle name="20% - Accent3 15 9" xfId="13537"/>
    <cellStyle name="20% - Accent3 15 9 2" xfId="26929"/>
    <cellStyle name="20% - Accent3 15_Volatility" xfId="2241"/>
    <cellStyle name="20% - Accent3 16" xfId="2242"/>
    <cellStyle name="20% - Accent3 16 2" xfId="13570"/>
    <cellStyle name="20% - Accent3 16 2 2" xfId="26962"/>
    <cellStyle name="20% - Accent3 16 3" xfId="17521"/>
    <cellStyle name="20% - Accent3 16 3 2" xfId="30800"/>
    <cellStyle name="20% - Accent3 16 4" xfId="21809"/>
    <cellStyle name="20% - Accent3 17" xfId="2243"/>
    <cellStyle name="20% - Accent3 17 2" xfId="13571"/>
    <cellStyle name="20% - Accent3 17 2 2" xfId="26963"/>
    <cellStyle name="20% - Accent3 17 3" xfId="17522"/>
    <cellStyle name="20% - Accent3 17 3 2" xfId="30801"/>
    <cellStyle name="20% - Accent3 17 4" xfId="21810"/>
    <cellStyle name="20% - Accent3 18" xfId="2244"/>
    <cellStyle name="20% - Accent3 18 2" xfId="13572"/>
    <cellStyle name="20% - Accent3 18 2 2" xfId="26964"/>
    <cellStyle name="20% - Accent3 18 3" xfId="17523"/>
    <cellStyle name="20% - Accent3 18 3 2" xfId="30802"/>
    <cellStyle name="20% - Accent3 18 4" xfId="21811"/>
    <cellStyle name="20% - Accent3 19" xfId="2245"/>
    <cellStyle name="20% - Accent3 19 2" xfId="13573"/>
    <cellStyle name="20% - Accent3 19 2 2" xfId="26965"/>
    <cellStyle name="20% - Accent3 19 3" xfId="17524"/>
    <cellStyle name="20% - Accent3 19 3 2" xfId="30803"/>
    <cellStyle name="20% - Accent3 19 4" xfId="21812"/>
    <cellStyle name="20% - Accent3 2" xfId="2246"/>
    <cellStyle name="20% - Accent3 2 10" xfId="17525"/>
    <cellStyle name="20% - Accent3 2 10 2" xfId="30804"/>
    <cellStyle name="20% - Accent3 2 11" xfId="21813"/>
    <cellStyle name="20% - Accent3 2 2" xfId="2247"/>
    <cellStyle name="20% - Accent3 2 2 2" xfId="2248"/>
    <cellStyle name="20% - Accent3 2 2 2 2" xfId="2249"/>
    <cellStyle name="20% - Accent3 2 2 2 2 2" xfId="13577"/>
    <cellStyle name="20% - Accent3 2 2 2 2 2 2" xfId="26969"/>
    <cellStyle name="20% - Accent3 2 2 2 2 3" xfId="17528"/>
    <cellStyle name="20% - Accent3 2 2 2 2 3 2" xfId="30807"/>
    <cellStyle name="20% - Accent3 2 2 2 2 4" xfId="21816"/>
    <cellStyle name="20% - Accent3 2 2 2 3" xfId="2250"/>
    <cellStyle name="20% - Accent3 2 2 2 3 2" xfId="13578"/>
    <cellStyle name="20% - Accent3 2 2 2 3 2 2" xfId="26970"/>
    <cellStyle name="20% - Accent3 2 2 2 3 3" xfId="17529"/>
    <cellStyle name="20% - Accent3 2 2 2 3 3 2" xfId="30808"/>
    <cellStyle name="20% - Accent3 2 2 2 3 4" xfId="21817"/>
    <cellStyle name="20% - Accent3 2 2 2 4" xfId="13576"/>
    <cellStyle name="20% - Accent3 2 2 2 4 2" xfId="26968"/>
    <cellStyle name="20% - Accent3 2 2 2 5" xfId="17527"/>
    <cellStyle name="20% - Accent3 2 2 2 5 2" xfId="30806"/>
    <cellStyle name="20% - Accent3 2 2 2 6" xfId="21815"/>
    <cellStyle name="20% - Accent3 2 2 3" xfId="2251"/>
    <cellStyle name="20% - Accent3 2 2 3 2" xfId="2252"/>
    <cellStyle name="20% - Accent3 2 2 3 2 2" xfId="13580"/>
    <cellStyle name="20% - Accent3 2 2 3 2 2 2" xfId="26972"/>
    <cellStyle name="20% - Accent3 2 2 3 2 3" xfId="17531"/>
    <cellStyle name="20% - Accent3 2 2 3 2 3 2" xfId="30810"/>
    <cellStyle name="20% - Accent3 2 2 3 2 4" xfId="21819"/>
    <cellStyle name="20% - Accent3 2 2 3 3" xfId="2253"/>
    <cellStyle name="20% - Accent3 2 2 3 3 2" xfId="13581"/>
    <cellStyle name="20% - Accent3 2 2 3 3 2 2" xfId="26973"/>
    <cellStyle name="20% - Accent3 2 2 3 3 3" xfId="17532"/>
    <cellStyle name="20% - Accent3 2 2 3 3 3 2" xfId="30811"/>
    <cellStyle name="20% - Accent3 2 2 3 3 4" xfId="21820"/>
    <cellStyle name="20% - Accent3 2 2 3 4" xfId="13579"/>
    <cellStyle name="20% - Accent3 2 2 3 4 2" xfId="26971"/>
    <cellStyle name="20% - Accent3 2 2 3 5" xfId="17530"/>
    <cellStyle name="20% - Accent3 2 2 3 5 2" xfId="30809"/>
    <cellStyle name="20% - Accent3 2 2 3 6" xfId="21818"/>
    <cellStyle name="20% - Accent3 2 2 4" xfId="2254"/>
    <cellStyle name="20% - Accent3 2 2 4 2" xfId="2255"/>
    <cellStyle name="20% - Accent3 2 2 4 2 2" xfId="13583"/>
    <cellStyle name="20% - Accent3 2 2 4 2 2 2" xfId="26975"/>
    <cellStyle name="20% - Accent3 2 2 4 2 3" xfId="17534"/>
    <cellStyle name="20% - Accent3 2 2 4 2 3 2" xfId="30813"/>
    <cellStyle name="20% - Accent3 2 2 4 2 4" xfId="21822"/>
    <cellStyle name="20% - Accent3 2 2 4 3" xfId="2256"/>
    <cellStyle name="20% - Accent3 2 2 4 3 2" xfId="13584"/>
    <cellStyle name="20% - Accent3 2 2 4 3 2 2" xfId="26976"/>
    <cellStyle name="20% - Accent3 2 2 4 3 3" xfId="17535"/>
    <cellStyle name="20% - Accent3 2 2 4 3 3 2" xfId="30814"/>
    <cellStyle name="20% - Accent3 2 2 4 3 4" xfId="21823"/>
    <cellStyle name="20% - Accent3 2 2 4 4" xfId="13582"/>
    <cellStyle name="20% - Accent3 2 2 4 4 2" xfId="26974"/>
    <cellStyle name="20% - Accent3 2 2 4 5" xfId="17533"/>
    <cellStyle name="20% - Accent3 2 2 4 5 2" xfId="30812"/>
    <cellStyle name="20% - Accent3 2 2 4 6" xfId="21821"/>
    <cellStyle name="20% - Accent3 2 2 5" xfId="2257"/>
    <cellStyle name="20% - Accent3 2 2 5 2" xfId="13585"/>
    <cellStyle name="20% - Accent3 2 2 5 2 2" xfId="26977"/>
    <cellStyle name="20% - Accent3 2 2 5 3" xfId="17536"/>
    <cellStyle name="20% - Accent3 2 2 5 3 2" xfId="30815"/>
    <cellStyle name="20% - Accent3 2 2 5 4" xfId="21824"/>
    <cellStyle name="20% - Accent3 2 2 6" xfId="2258"/>
    <cellStyle name="20% - Accent3 2 2 6 2" xfId="13586"/>
    <cellStyle name="20% - Accent3 2 2 6 2 2" xfId="26978"/>
    <cellStyle name="20% - Accent3 2 2 6 3" xfId="17537"/>
    <cellStyle name="20% - Accent3 2 2 6 3 2" xfId="30816"/>
    <cellStyle name="20% - Accent3 2 2 6 4" xfId="21825"/>
    <cellStyle name="20% - Accent3 2 2 7" xfId="13575"/>
    <cellStyle name="20% - Accent3 2 2 7 2" xfId="26967"/>
    <cellStyle name="20% - Accent3 2 2 8" xfId="17526"/>
    <cellStyle name="20% - Accent3 2 2 8 2" xfId="30805"/>
    <cellStyle name="20% - Accent3 2 2 9" xfId="21814"/>
    <cellStyle name="20% - Accent3 2 2_Volatility" xfId="2259"/>
    <cellStyle name="20% - Accent3 2 3" xfId="2260"/>
    <cellStyle name="20% - Accent3 2 3 2" xfId="2261"/>
    <cellStyle name="20% - Accent3 2 3 2 2" xfId="2262"/>
    <cellStyle name="20% - Accent3 2 3 2 2 2" xfId="13589"/>
    <cellStyle name="20% - Accent3 2 3 2 2 2 2" xfId="26981"/>
    <cellStyle name="20% - Accent3 2 3 2 2 3" xfId="17540"/>
    <cellStyle name="20% - Accent3 2 3 2 2 3 2" xfId="30819"/>
    <cellStyle name="20% - Accent3 2 3 2 2 4" xfId="21828"/>
    <cellStyle name="20% - Accent3 2 3 2 3" xfId="2263"/>
    <cellStyle name="20% - Accent3 2 3 2 3 2" xfId="13590"/>
    <cellStyle name="20% - Accent3 2 3 2 3 2 2" xfId="26982"/>
    <cellStyle name="20% - Accent3 2 3 2 3 3" xfId="17541"/>
    <cellStyle name="20% - Accent3 2 3 2 3 3 2" xfId="30820"/>
    <cellStyle name="20% - Accent3 2 3 2 3 4" xfId="21829"/>
    <cellStyle name="20% - Accent3 2 3 2 4" xfId="13588"/>
    <cellStyle name="20% - Accent3 2 3 2 4 2" xfId="26980"/>
    <cellStyle name="20% - Accent3 2 3 2 5" xfId="17539"/>
    <cellStyle name="20% - Accent3 2 3 2 5 2" xfId="30818"/>
    <cellStyle name="20% - Accent3 2 3 2 6" xfId="21827"/>
    <cellStyle name="20% - Accent3 2 3 3" xfId="2264"/>
    <cellStyle name="20% - Accent3 2 3 3 2" xfId="2265"/>
    <cellStyle name="20% - Accent3 2 3 3 2 2" xfId="13592"/>
    <cellStyle name="20% - Accent3 2 3 3 2 2 2" xfId="26984"/>
    <cellStyle name="20% - Accent3 2 3 3 2 3" xfId="17543"/>
    <cellStyle name="20% - Accent3 2 3 3 2 3 2" xfId="30822"/>
    <cellStyle name="20% - Accent3 2 3 3 2 4" xfId="21831"/>
    <cellStyle name="20% - Accent3 2 3 3 3" xfId="2266"/>
    <cellStyle name="20% - Accent3 2 3 3 3 2" xfId="13593"/>
    <cellStyle name="20% - Accent3 2 3 3 3 2 2" xfId="26985"/>
    <cellStyle name="20% - Accent3 2 3 3 3 3" xfId="17544"/>
    <cellStyle name="20% - Accent3 2 3 3 3 3 2" xfId="30823"/>
    <cellStyle name="20% - Accent3 2 3 3 3 4" xfId="21832"/>
    <cellStyle name="20% - Accent3 2 3 3 4" xfId="13591"/>
    <cellStyle name="20% - Accent3 2 3 3 4 2" xfId="26983"/>
    <cellStyle name="20% - Accent3 2 3 3 5" xfId="17542"/>
    <cellStyle name="20% - Accent3 2 3 3 5 2" xfId="30821"/>
    <cellStyle name="20% - Accent3 2 3 3 6" xfId="21830"/>
    <cellStyle name="20% - Accent3 2 3 4" xfId="2267"/>
    <cellStyle name="20% - Accent3 2 3 4 2" xfId="13594"/>
    <cellStyle name="20% - Accent3 2 3 4 2 2" xfId="26986"/>
    <cellStyle name="20% - Accent3 2 3 4 3" xfId="17545"/>
    <cellStyle name="20% - Accent3 2 3 4 3 2" xfId="30824"/>
    <cellStyle name="20% - Accent3 2 3 4 4" xfId="21833"/>
    <cellStyle name="20% - Accent3 2 3 5" xfId="2268"/>
    <cellStyle name="20% - Accent3 2 3 5 2" xfId="13595"/>
    <cellStyle name="20% - Accent3 2 3 5 2 2" xfId="26987"/>
    <cellStyle name="20% - Accent3 2 3 5 3" xfId="17546"/>
    <cellStyle name="20% - Accent3 2 3 5 3 2" xfId="30825"/>
    <cellStyle name="20% - Accent3 2 3 5 4" xfId="21834"/>
    <cellStyle name="20% - Accent3 2 3 6" xfId="13587"/>
    <cellStyle name="20% - Accent3 2 3 6 2" xfId="26979"/>
    <cellStyle name="20% - Accent3 2 3 7" xfId="17538"/>
    <cellStyle name="20% - Accent3 2 3 7 2" xfId="30817"/>
    <cellStyle name="20% - Accent3 2 3 8" xfId="21826"/>
    <cellStyle name="20% - Accent3 2 3_Volatility" xfId="2269"/>
    <cellStyle name="20% - Accent3 2 4" xfId="2270"/>
    <cellStyle name="20% - Accent3 2 4 2" xfId="2271"/>
    <cellStyle name="20% - Accent3 2 4 2 2" xfId="13597"/>
    <cellStyle name="20% - Accent3 2 4 2 2 2" xfId="26989"/>
    <cellStyle name="20% - Accent3 2 4 2 3" xfId="17548"/>
    <cellStyle name="20% - Accent3 2 4 2 3 2" xfId="30827"/>
    <cellStyle name="20% - Accent3 2 4 2 4" xfId="21836"/>
    <cellStyle name="20% - Accent3 2 4 3" xfId="2272"/>
    <cellStyle name="20% - Accent3 2 4 3 2" xfId="13598"/>
    <cellStyle name="20% - Accent3 2 4 3 2 2" xfId="26990"/>
    <cellStyle name="20% - Accent3 2 4 3 3" xfId="17549"/>
    <cellStyle name="20% - Accent3 2 4 3 3 2" xfId="30828"/>
    <cellStyle name="20% - Accent3 2 4 3 4" xfId="21837"/>
    <cellStyle name="20% - Accent3 2 4 4" xfId="13596"/>
    <cellStyle name="20% - Accent3 2 4 4 2" xfId="26988"/>
    <cellStyle name="20% - Accent3 2 4 5" xfId="17547"/>
    <cellStyle name="20% - Accent3 2 4 5 2" xfId="30826"/>
    <cellStyle name="20% - Accent3 2 4 6" xfId="21835"/>
    <cellStyle name="20% - Accent3 2 5" xfId="2273"/>
    <cellStyle name="20% - Accent3 2 5 2" xfId="2274"/>
    <cellStyle name="20% - Accent3 2 5 2 2" xfId="13600"/>
    <cellStyle name="20% - Accent3 2 5 2 2 2" xfId="26992"/>
    <cellStyle name="20% - Accent3 2 5 2 3" xfId="17551"/>
    <cellStyle name="20% - Accent3 2 5 2 3 2" xfId="30830"/>
    <cellStyle name="20% - Accent3 2 5 2 4" xfId="21839"/>
    <cellStyle name="20% - Accent3 2 5 3" xfId="2275"/>
    <cellStyle name="20% - Accent3 2 5 3 2" xfId="13601"/>
    <cellStyle name="20% - Accent3 2 5 3 2 2" xfId="26993"/>
    <cellStyle name="20% - Accent3 2 5 3 3" xfId="17552"/>
    <cellStyle name="20% - Accent3 2 5 3 3 2" xfId="30831"/>
    <cellStyle name="20% - Accent3 2 5 3 4" xfId="21840"/>
    <cellStyle name="20% - Accent3 2 5 4" xfId="13599"/>
    <cellStyle name="20% - Accent3 2 5 4 2" xfId="26991"/>
    <cellStyle name="20% - Accent3 2 5 5" xfId="17550"/>
    <cellStyle name="20% - Accent3 2 5 5 2" xfId="30829"/>
    <cellStyle name="20% - Accent3 2 5 6" xfId="21838"/>
    <cellStyle name="20% - Accent3 2 6" xfId="2276"/>
    <cellStyle name="20% - Accent3 2 6 2" xfId="2277"/>
    <cellStyle name="20% - Accent3 2 6 2 2" xfId="13603"/>
    <cellStyle name="20% - Accent3 2 6 2 2 2" xfId="26995"/>
    <cellStyle name="20% - Accent3 2 6 2 3" xfId="17554"/>
    <cellStyle name="20% - Accent3 2 6 2 3 2" xfId="30833"/>
    <cellStyle name="20% - Accent3 2 6 2 4" xfId="21842"/>
    <cellStyle name="20% - Accent3 2 6 3" xfId="2278"/>
    <cellStyle name="20% - Accent3 2 6 3 2" xfId="13604"/>
    <cellStyle name="20% - Accent3 2 6 3 2 2" xfId="26996"/>
    <cellStyle name="20% - Accent3 2 6 3 3" xfId="17555"/>
    <cellStyle name="20% - Accent3 2 6 3 3 2" xfId="30834"/>
    <cellStyle name="20% - Accent3 2 6 3 4" xfId="21843"/>
    <cellStyle name="20% - Accent3 2 6 4" xfId="13602"/>
    <cellStyle name="20% - Accent3 2 6 4 2" xfId="26994"/>
    <cellStyle name="20% - Accent3 2 6 5" xfId="17553"/>
    <cellStyle name="20% - Accent3 2 6 5 2" xfId="30832"/>
    <cellStyle name="20% - Accent3 2 6 6" xfId="21841"/>
    <cellStyle name="20% - Accent3 2 7" xfId="2279"/>
    <cellStyle name="20% - Accent3 2 7 2" xfId="13605"/>
    <cellStyle name="20% - Accent3 2 7 2 2" xfId="26997"/>
    <cellStyle name="20% - Accent3 2 7 3" xfId="17556"/>
    <cellStyle name="20% - Accent3 2 7 3 2" xfId="30835"/>
    <cellStyle name="20% - Accent3 2 7 4" xfId="21844"/>
    <cellStyle name="20% - Accent3 2 8" xfId="2280"/>
    <cellStyle name="20% - Accent3 2 8 2" xfId="13606"/>
    <cellStyle name="20% - Accent3 2 8 2 2" xfId="26998"/>
    <cellStyle name="20% - Accent3 2 8 3" xfId="17557"/>
    <cellStyle name="20% - Accent3 2 8 3 2" xfId="30836"/>
    <cellStyle name="20% - Accent3 2 8 4" xfId="21845"/>
    <cellStyle name="20% - Accent3 2 9" xfId="13574"/>
    <cellStyle name="20% - Accent3 2 9 2" xfId="26966"/>
    <cellStyle name="20% - Accent3 2_Volatility" xfId="2281"/>
    <cellStyle name="20% - Accent3 3" xfId="2282"/>
    <cellStyle name="20% - Accent3 3 10" xfId="17558"/>
    <cellStyle name="20% - Accent3 3 10 2" xfId="30837"/>
    <cellStyle name="20% - Accent3 3 11" xfId="21846"/>
    <cellStyle name="20% - Accent3 3 2" xfId="2283"/>
    <cellStyle name="20% - Accent3 3 2 2" xfId="2284"/>
    <cellStyle name="20% - Accent3 3 2 2 2" xfId="2285"/>
    <cellStyle name="20% - Accent3 3 2 2 2 2" xfId="13610"/>
    <cellStyle name="20% - Accent3 3 2 2 2 2 2" xfId="27002"/>
    <cellStyle name="20% - Accent3 3 2 2 2 3" xfId="17561"/>
    <cellStyle name="20% - Accent3 3 2 2 2 3 2" xfId="30840"/>
    <cellStyle name="20% - Accent3 3 2 2 2 4" xfId="21849"/>
    <cellStyle name="20% - Accent3 3 2 2 3" xfId="2286"/>
    <cellStyle name="20% - Accent3 3 2 2 3 2" xfId="13611"/>
    <cellStyle name="20% - Accent3 3 2 2 3 2 2" xfId="27003"/>
    <cellStyle name="20% - Accent3 3 2 2 3 3" xfId="17562"/>
    <cellStyle name="20% - Accent3 3 2 2 3 3 2" xfId="30841"/>
    <cellStyle name="20% - Accent3 3 2 2 3 4" xfId="21850"/>
    <cellStyle name="20% - Accent3 3 2 2 4" xfId="13609"/>
    <cellStyle name="20% - Accent3 3 2 2 4 2" xfId="27001"/>
    <cellStyle name="20% - Accent3 3 2 2 5" xfId="17560"/>
    <cellStyle name="20% - Accent3 3 2 2 5 2" xfId="30839"/>
    <cellStyle name="20% - Accent3 3 2 2 6" xfId="21848"/>
    <cellStyle name="20% - Accent3 3 2 3" xfId="2287"/>
    <cellStyle name="20% - Accent3 3 2 3 2" xfId="2288"/>
    <cellStyle name="20% - Accent3 3 2 3 2 2" xfId="13613"/>
    <cellStyle name="20% - Accent3 3 2 3 2 2 2" xfId="27005"/>
    <cellStyle name="20% - Accent3 3 2 3 2 3" xfId="17564"/>
    <cellStyle name="20% - Accent3 3 2 3 2 3 2" xfId="30843"/>
    <cellStyle name="20% - Accent3 3 2 3 2 4" xfId="21852"/>
    <cellStyle name="20% - Accent3 3 2 3 3" xfId="2289"/>
    <cellStyle name="20% - Accent3 3 2 3 3 2" xfId="13614"/>
    <cellStyle name="20% - Accent3 3 2 3 3 2 2" xfId="27006"/>
    <cellStyle name="20% - Accent3 3 2 3 3 3" xfId="17565"/>
    <cellStyle name="20% - Accent3 3 2 3 3 3 2" xfId="30844"/>
    <cellStyle name="20% - Accent3 3 2 3 3 4" xfId="21853"/>
    <cellStyle name="20% - Accent3 3 2 3 4" xfId="13612"/>
    <cellStyle name="20% - Accent3 3 2 3 4 2" xfId="27004"/>
    <cellStyle name="20% - Accent3 3 2 3 5" xfId="17563"/>
    <cellStyle name="20% - Accent3 3 2 3 5 2" xfId="30842"/>
    <cellStyle name="20% - Accent3 3 2 3 6" xfId="21851"/>
    <cellStyle name="20% - Accent3 3 2 4" xfId="2290"/>
    <cellStyle name="20% - Accent3 3 2 4 2" xfId="2291"/>
    <cellStyle name="20% - Accent3 3 2 4 2 2" xfId="13616"/>
    <cellStyle name="20% - Accent3 3 2 4 2 2 2" xfId="27008"/>
    <cellStyle name="20% - Accent3 3 2 4 2 3" xfId="17567"/>
    <cellStyle name="20% - Accent3 3 2 4 2 3 2" xfId="30846"/>
    <cellStyle name="20% - Accent3 3 2 4 2 4" xfId="21855"/>
    <cellStyle name="20% - Accent3 3 2 4 3" xfId="2292"/>
    <cellStyle name="20% - Accent3 3 2 4 3 2" xfId="13617"/>
    <cellStyle name="20% - Accent3 3 2 4 3 2 2" xfId="27009"/>
    <cellStyle name="20% - Accent3 3 2 4 3 3" xfId="17568"/>
    <cellStyle name="20% - Accent3 3 2 4 3 3 2" xfId="30847"/>
    <cellStyle name="20% - Accent3 3 2 4 3 4" xfId="21856"/>
    <cellStyle name="20% - Accent3 3 2 4 4" xfId="13615"/>
    <cellStyle name="20% - Accent3 3 2 4 4 2" xfId="27007"/>
    <cellStyle name="20% - Accent3 3 2 4 5" xfId="17566"/>
    <cellStyle name="20% - Accent3 3 2 4 5 2" xfId="30845"/>
    <cellStyle name="20% - Accent3 3 2 4 6" xfId="21854"/>
    <cellStyle name="20% - Accent3 3 2 5" xfId="2293"/>
    <cellStyle name="20% - Accent3 3 2 5 2" xfId="13618"/>
    <cellStyle name="20% - Accent3 3 2 5 2 2" xfId="27010"/>
    <cellStyle name="20% - Accent3 3 2 5 3" xfId="17569"/>
    <cellStyle name="20% - Accent3 3 2 5 3 2" xfId="30848"/>
    <cellStyle name="20% - Accent3 3 2 5 4" xfId="21857"/>
    <cellStyle name="20% - Accent3 3 2 6" xfId="2294"/>
    <cellStyle name="20% - Accent3 3 2 6 2" xfId="13619"/>
    <cellStyle name="20% - Accent3 3 2 6 2 2" xfId="27011"/>
    <cellStyle name="20% - Accent3 3 2 6 3" xfId="17570"/>
    <cellStyle name="20% - Accent3 3 2 6 3 2" xfId="30849"/>
    <cellStyle name="20% - Accent3 3 2 6 4" xfId="21858"/>
    <cellStyle name="20% - Accent3 3 2 7" xfId="13608"/>
    <cellStyle name="20% - Accent3 3 2 7 2" xfId="27000"/>
    <cellStyle name="20% - Accent3 3 2 8" xfId="17559"/>
    <cellStyle name="20% - Accent3 3 2 8 2" xfId="30838"/>
    <cellStyle name="20% - Accent3 3 2 9" xfId="21847"/>
    <cellStyle name="20% - Accent3 3 2_Volatility" xfId="2295"/>
    <cellStyle name="20% - Accent3 3 3" xfId="2296"/>
    <cellStyle name="20% - Accent3 3 3 2" xfId="2297"/>
    <cellStyle name="20% - Accent3 3 3 2 2" xfId="2298"/>
    <cellStyle name="20% - Accent3 3 3 2 2 2" xfId="13622"/>
    <cellStyle name="20% - Accent3 3 3 2 2 2 2" xfId="27014"/>
    <cellStyle name="20% - Accent3 3 3 2 2 3" xfId="17573"/>
    <cellStyle name="20% - Accent3 3 3 2 2 3 2" xfId="30852"/>
    <cellStyle name="20% - Accent3 3 3 2 2 4" xfId="21861"/>
    <cellStyle name="20% - Accent3 3 3 2 3" xfId="2299"/>
    <cellStyle name="20% - Accent3 3 3 2 3 2" xfId="13623"/>
    <cellStyle name="20% - Accent3 3 3 2 3 2 2" xfId="27015"/>
    <cellStyle name="20% - Accent3 3 3 2 3 3" xfId="17574"/>
    <cellStyle name="20% - Accent3 3 3 2 3 3 2" xfId="30853"/>
    <cellStyle name="20% - Accent3 3 3 2 3 4" xfId="21862"/>
    <cellStyle name="20% - Accent3 3 3 2 4" xfId="13621"/>
    <cellStyle name="20% - Accent3 3 3 2 4 2" xfId="27013"/>
    <cellStyle name="20% - Accent3 3 3 2 5" xfId="17572"/>
    <cellStyle name="20% - Accent3 3 3 2 5 2" xfId="30851"/>
    <cellStyle name="20% - Accent3 3 3 2 6" xfId="21860"/>
    <cellStyle name="20% - Accent3 3 3 3" xfId="2300"/>
    <cellStyle name="20% - Accent3 3 3 3 2" xfId="2301"/>
    <cellStyle name="20% - Accent3 3 3 3 2 2" xfId="13625"/>
    <cellStyle name="20% - Accent3 3 3 3 2 2 2" xfId="27017"/>
    <cellStyle name="20% - Accent3 3 3 3 2 3" xfId="17576"/>
    <cellStyle name="20% - Accent3 3 3 3 2 3 2" xfId="30855"/>
    <cellStyle name="20% - Accent3 3 3 3 2 4" xfId="21864"/>
    <cellStyle name="20% - Accent3 3 3 3 3" xfId="2302"/>
    <cellStyle name="20% - Accent3 3 3 3 3 2" xfId="13626"/>
    <cellStyle name="20% - Accent3 3 3 3 3 2 2" xfId="27018"/>
    <cellStyle name="20% - Accent3 3 3 3 3 3" xfId="17577"/>
    <cellStyle name="20% - Accent3 3 3 3 3 3 2" xfId="30856"/>
    <cellStyle name="20% - Accent3 3 3 3 3 4" xfId="21865"/>
    <cellStyle name="20% - Accent3 3 3 3 4" xfId="13624"/>
    <cellStyle name="20% - Accent3 3 3 3 4 2" xfId="27016"/>
    <cellStyle name="20% - Accent3 3 3 3 5" xfId="17575"/>
    <cellStyle name="20% - Accent3 3 3 3 5 2" xfId="30854"/>
    <cellStyle name="20% - Accent3 3 3 3 6" xfId="21863"/>
    <cellStyle name="20% - Accent3 3 3 4" xfId="2303"/>
    <cellStyle name="20% - Accent3 3 3 4 2" xfId="13627"/>
    <cellStyle name="20% - Accent3 3 3 4 2 2" xfId="27019"/>
    <cellStyle name="20% - Accent3 3 3 4 3" xfId="17578"/>
    <cellStyle name="20% - Accent3 3 3 4 3 2" xfId="30857"/>
    <cellStyle name="20% - Accent3 3 3 4 4" xfId="21866"/>
    <cellStyle name="20% - Accent3 3 3 5" xfId="2304"/>
    <cellStyle name="20% - Accent3 3 3 5 2" xfId="13628"/>
    <cellStyle name="20% - Accent3 3 3 5 2 2" xfId="27020"/>
    <cellStyle name="20% - Accent3 3 3 5 3" xfId="17579"/>
    <cellStyle name="20% - Accent3 3 3 5 3 2" xfId="30858"/>
    <cellStyle name="20% - Accent3 3 3 5 4" xfId="21867"/>
    <cellStyle name="20% - Accent3 3 3 6" xfId="13620"/>
    <cellStyle name="20% - Accent3 3 3 6 2" xfId="27012"/>
    <cellStyle name="20% - Accent3 3 3 7" xfId="17571"/>
    <cellStyle name="20% - Accent3 3 3 7 2" xfId="30850"/>
    <cellStyle name="20% - Accent3 3 3 8" xfId="21859"/>
    <cellStyle name="20% - Accent3 3 3_Volatility" xfId="2305"/>
    <cellStyle name="20% - Accent3 3 4" xfId="2306"/>
    <cellStyle name="20% - Accent3 3 4 2" xfId="2307"/>
    <cellStyle name="20% - Accent3 3 4 2 2" xfId="13630"/>
    <cellStyle name="20% - Accent3 3 4 2 2 2" xfId="27022"/>
    <cellStyle name="20% - Accent3 3 4 2 3" xfId="17581"/>
    <cellStyle name="20% - Accent3 3 4 2 3 2" xfId="30860"/>
    <cellStyle name="20% - Accent3 3 4 2 4" xfId="21869"/>
    <cellStyle name="20% - Accent3 3 4 3" xfId="2308"/>
    <cellStyle name="20% - Accent3 3 4 3 2" xfId="13631"/>
    <cellStyle name="20% - Accent3 3 4 3 2 2" xfId="27023"/>
    <cellStyle name="20% - Accent3 3 4 3 3" xfId="17582"/>
    <cellStyle name="20% - Accent3 3 4 3 3 2" xfId="30861"/>
    <cellStyle name="20% - Accent3 3 4 3 4" xfId="21870"/>
    <cellStyle name="20% - Accent3 3 4 4" xfId="13629"/>
    <cellStyle name="20% - Accent3 3 4 4 2" xfId="27021"/>
    <cellStyle name="20% - Accent3 3 4 5" xfId="17580"/>
    <cellStyle name="20% - Accent3 3 4 5 2" xfId="30859"/>
    <cellStyle name="20% - Accent3 3 4 6" xfId="21868"/>
    <cellStyle name="20% - Accent3 3 5" xfId="2309"/>
    <cellStyle name="20% - Accent3 3 5 2" xfId="2310"/>
    <cellStyle name="20% - Accent3 3 5 2 2" xfId="13633"/>
    <cellStyle name="20% - Accent3 3 5 2 2 2" xfId="27025"/>
    <cellStyle name="20% - Accent3 3 5 2 3" xfId="17584"/>
    <cellStyle name="20% - Accent3 3 5 2 3 2" xfId="30863"/>
    <cellStyle name="20% - Accent3 3 5 2 4" xfId="21872"/>
    <cellStyle name="20% - Accent3 3 5 3" xfId="2311"/>
    <cellStyle name="20% - Accent3 3 5 3 2" xfId="13634"/>
    <cellStyle name="20% - Accent3 3 5 3 2 2" xfId="27026"/>
    <cellStyle name="20% - Accent3 3 5 3 3" xfId="17585"/>
    <cellStyle name="20% - Accent3 3 5 3 3 2" xfId="30864"/>
    <cellStyle name="20% - Accent3 3 5 3 4" xfId="21873"/>
    <cellStyle name="20% - Accent3 3 5 4" xfId="13632"/>
    <cellStyle name="20% - Accent3 3 5 4 2" xfId="27024"/>
    <cellStyle name="20% - Accent3 3 5 5" xfId="17583"/>
    <cellStyle name="20% - Accent3 3 5 5 2" xfId="30862"/>
    <cellStyle name="20% - Accent3 3 5 6" xfId="21871"/>
    <cellStyle name="20% - Accent3 3 6" xfId="2312"/>
    <cellStyle name="20% - Accent3 3 6 2" xfId="2313"/>
    <cellStyle name="20% - Accent3 3 6 2 2" xfId="13636"/>
    <cellStyle name="20% - Accent3 3 6 2 2 2" xfId="27028"/>
    <cellStyle name="20% - Accent3 3 6 2 3" xfId="17587"/>
    <cellStyle name="20% - Accent3 3 6 2 3 2" xfId="30866"/>
    <cellStyle name="20% - Accent3 3 6 2 4" xfId="21875"/>
    <cellStyle name="20% - Accent3 3 6 3" xfId="2314"/>
    <cellStyle name="20% - Accent3 3 6 3 2" xfId="13637"/>
    <cellStyle name="20% - Accent3 3 6 3 2 2" xfId="27029"/>
    <cellStyle name="20% - Accent3 3 6 3 3" xfId="17588"/>
    <cellStyle name="20% - Accent3 3 6 3 3 2" xfId="30867"/>
    <cellStyle name="20% - Accent3 3 6 3 4" xfId="21876"/>
    <cellStyle name="20% - Accent3 3 6 4" xfId="13635"/>
    <cellStyle name="20% - Accent3 3 6 4 2" xfId="27027"/>
    <cellStyle name="20% - Accent3 3 6 5" xfId="17586"/>
    <cellStyle name="20% - Accent3 3 6 5 2" xfId="30865"/>
    <cellStyle name="20% - Accent3 3 6 6" xfId="21874"/>
    <cellStyle name="20% - Accent3 3 7" xfId="2315"/>
    <cellStyle name="20% - Accent3 3 7 2" xfId="13638"/>
    <cellStyle name="20% - Accent3 3 7 2 2" xfId="27030"/>
    <cellStyle name="20% - Accent3 3 7 3" xfId="17589"/>
    <cellStyle name="20% - Accent3 3 7 3 2" xfId="30868"/>
    <cellStyle name="20% - Accent3 3 7 4" xfId="21877"/>
    <cellStyle name="20% - Accent3 3 8" xfId="2316"/>
    <cellStyle name="20% - Accent3 3 8 2" xfId="13639"/>
    <cellStyle name="20% - Accent3 3 8 2 2" xfId="27031"/>
    <cellStyle name="20% - Accent3 3 8 3" xfId="17590"/>
    <cellStyle name="20% - Accent3 3 8 3 2" xfId="30869"/>
    <cellStyle name="20% - Accent3 3 8 4" xfId="21878"/>
    <cellStyle name="20% - Accent3 3 9" xfId="13607"/>
    <cellStyle name="20% - Accent3 3 9 2" xfId="26999"/>
    <cellStyle name="20% - Accent3 3_Volatility" xfId="2317"/>
    <cellStyle name="20% - Accent3 4" xfId="2318"/>
    <cellStyle name="20% - Accent3 4 10" xfId="17591"/>
    <cellStyle name="20% - Accent3 4 10 2" xfId="30870"/>
    <cellStyle name="20% - Accent3 4 11" xfId="21879"/>
    <cellStyle name="20% - Accent3 4 2" xfId="2319"/>
    <cellStyle name="20% - Accent3 4 2 2" xfId="2320"/>
    <cellStyle name="20% - Accent3 4 2 2 2" xfId="2321"/>
    <cellStyle name="20% - Accent3 4 2 2 2 2" xfId="13643"/>
    <cellStyle name="20% - Accent3 4 2 2 2 2 2" xfId="27035"/>
    <cellStyle name="20% - Accent3 4 2 2 2 3" xfId="17594"/>
    <cellStyle name="20% - Accent3 4 2 2 2 3 2" xfId="30873"/>
    <cellStyle name="20% - Accent3 4 2 2 2 4" xfId="21882"/>
    <cellStyle name="20% - Accent3 4 2 2 3" xfId="2322"/>
    <cellStyle name="20% - Accent3 4 2 2 3 2" xfId="13644"/>
    <cellStyle name="20% - Accent3 4 2 2 3 2 2" xfId="27036"/>
    <cellStyle name="20% - Accent3 4 2 2 3 3" xfId="17595"/>
    <cellStyle name="20% - Accent3 4 2 2 3 3 2" xfId="30874"/>
    <cellStyle name="20% - Accent3 4 2 2 3 4" xfId="21883"/>
    <cellStyle name="20% - Accent3 4 2 2 4" xfId="13642"/>
    <cellStyle name="20% - Accent3 4 2 2 4 2" xfId="27034"/>
    <cellStyle name="20% - Accent3 4 2 2 5" xfId="17593"/>
    <cellStyle name="20% - Accent3 4 2 2 5 2" xfId="30872"/>
    <cellStyle name="20% - Accent3 4 2 2 6" xfId="21881"/>
    <cellStyle name="20% - Accent3 4 2 3" xfId="2323"/>
    <cellStyle name="20% - Accent3 4 2 3 2" xfId="2324"/>
    <cellStyle name="20% - Accent3 4 2 3 2 2" xfId="13646"/>
    <cellStyle name="20% - Accent3 4 2 3 2 2 2" xfId="27038"/>
    <cellStyle name="20% - Accent3 4 2 3 2 3" xfId="17597"/>
    <cellStyle name="20% - Accent3 4 2 3 2 3 2" xfId="30876"/>
    <cellStyle name="20% - Accent3 4 2 3 2 4" xfId="21885"/>
    <cellStyle name="20% - Accent3 4 2 3 3" xfId="2325"/>
    <cellStyle name="20% - Accent3 4 2 3 3 2" xfId="13647"/>
    <cellStyle name="20% - Accent3 4 2 3 3 2 2" xfId="27039"/>
    <cellStyle name="20% - Accent3 4 2 3 3 3" xfId="17598"/>
    <cellStyle name="20% - Accent3 4 2 3 3 3 2" xfId="30877"/>
    <cellStyle name="20% - Accent3 4 2 3 3 4" xfId="21886"/>
    <cellStyle name="20% - Accent3 4 2 3 4" xfId="13645"/>
    <cellStyle name="20% - Accent3 4 2 3 4 2" xfId="27037"/>
    <cellStyle name="20% - Accent3 4 2 3 5" xfId="17596"/>
    <cellStyle name="20% - Accent3 4 2 3 5 2" xfId="30875"/>
    <cellStyle name="20% - Accent3 4 2 3 6" xfId="21884"/>
    <cellStyle name="20% - Accent3 4 2 4" xfId="2326"/>
    <cellStyle name="20% - Accent3 4 2 4 2" xfId="2327"/>
    <cellStyle name="20% - Accent3 4 2 4 2 2" xfId="13649"/>
    <cellStyle name="20% - Accent3 4 2 4 2 2 2" xfId="27041"/>
    <cellStyle name="20% - Accent3 4 2 4 2 3" xfId="17600"/>
    <cellStyle name="20% - Accent3 4 2 4 2 3 2" xfId="30879"/>
    <cellStyle name="20% - Accent3 4 2 4 2 4" xfId="21888"/>
    <cellStyle name="20% - Accent3 4 2 4 3" xfId="2328"/>
    <cellStyle name="20% - Accent3 4 2 4 3 2" xfId="13650"/>
    <cellStyle name="20% - Accent3 4 2 4 3 2 2" xfId="27042"/>
    <cellStyle name="20% - Accent3 4 2 4 3 3" xfId="17601"/>
    <cellStyle name="20% - Accent3 4 2 4 3 3 2" xfId="30880"/>
    <cellStyle name="20% - Accent3 4 2 4 3 4" xfId="21889"/>
    <cellStyle name="20% - Accent3 4 2 4 4" xfId="13648"/>
    <cellStyle name="20% - Accent3 4 2 4 4 2" xfId="27040"/>
    <cellStyle name="20% - Accent3 4 2 4 5" xfId="17599"/>
    <cellStyle name="20% - Accent3 4 2 4 5 2" xfId="30878"/>
    <cellStyle name="20% - Accent3 4 2 4 6" xfId="21887"/>
    <cellStyle name="20% - Accent3 4 2 5" xfId="2329"/>
    <cellStyle name="20% - Accent3 4 2 5 2" xfId="13651"/>
    <cellStyle name="20% - Accent3 4 2 5 2 2" xfId="27043"/>
    <cellStyle name="20% - Accent3 4 2 5 3" xfId="17602"/>
    <cellStyle name="20% - Accent3 4 2 5 3 2" xfId="30881"/>
    <cellStyle name="20% - Accent3 4 2 5 4" xfId="21890"/>
    <cellStyle name="20% - Accent3 4 2 6" xfId="2330"/>
    <cellStyle name="20% - Accent3 4 2 6 2" xfId="13652"/>
    <cellStyle name="20% - Accent3 4 2 6 2 2" xfId="27044"/>
    <cellStyle name="20% - Accent3 4 2 6 3" xfId="17603"/>
    <cellStyle name="20% - Accent3 4 2 6 3 2" xfId="30882"/>
    <cellStyle name="20% - Accent3 4 2 6 4" xfId="21891"/>
    <cellStyle name="20% - Accent3 4 2 7" xfId="13641"/>
    <cellStyle name="20% - Accent3 4 2 7 2" xfId="27033"/>
    <cellStyle name="20% - Accent3 4 2 8" xfId="17592"/>
    <cellStyle name="20% - Accent3 4 2 8 2" xfId="30871"/>
    <cellStyle name="20% - Accent3 4 2 9" xfId="21880"/>
    <cellStyle name="20% - Accent3 4 2_Volatility" xfId="2331"/>
    <cellStyle name="20% - Accent3 4 3" xfId="2332"/>
    <cellStyle name="20% - Accent3 4 3 2" xfId="2333"/>
    <cellStyle name="20% - Accent3 4 3 2 2" xfId="2334"/>
    <cellStyle name="20% - Accent3 4 3 2 2 2" xfId="13655"/>
    <cellStyle name="20% - Accent3 4 3 2 2 2 2" xfId="27047"/>
    <cellStyle name="20% - Accent3 4 3 2 2 3" xfId="17606"/>
    <cellStyle name="20% - Accent3 4 3 2 2 3 2" xfId="30885"/>
    <cellStyle name="20% - Accent3 4 3 2 2 4" xfId="21894"/>
    <cellStyle name="20% - Accent3 4 3 2 3" xfId="2335"/>
    <cellStyle name="20% - Accent3 4 3 2 3 2" xfId="13656"/>
    <cellStyle name="20% - Accent3 4 3 2 3 2 2" xfId="27048"/>
    <cellStyle name="20% - Accent3 4 3 2 3 3" xfId="17607"/>
    <cellStyle name="20% - Accent3 4 3 2 3 3 2" xfId="30886"/>
    <cellStyle name="20% - Accent3 4 3 2 3 4" xfId="21895"/>
    <cellStyle name="20% - Accent3 4 3 2 4" xfId="13654"/>
    <cellStyle name="20% - Accent3 4 3 2 4 2" xfId="27046"/>
    <cellStyle name="20% - Accent3 4 3 2 5" xfId="17605"/>
    <cellStyle name="20% - Accent3 4 3 2 5 2" xfId="30884"/>
    <cellStyle name="20% - Accent3 4 3 2 6" xfId="21893"/>
    <cellStyle name="20% - Accent3 4 3 3" xfId="2336"/>
    <cellStyle name="20% - Accent3 4 3 3 2" xfId="2337"/>
    <cellStyle name="20% - Accent3 4 3 3 2 2" xfId="13658"/>
    <cellStyle name="20% - Accent3 4 3 3 2 2 2" xfId="27050"/>
    <cellStyle name="20% - Accent3 4 3 3 2 3" xfId="17609"/>
    <cellStyle name="20% - Accent3 4 3 3 2 3 2" xfId="30888"/>
    <cellStyle name="20% - Accent3 4 3 3 2 4" xfId="21897"/>
    <cellStyle name="20% - Accent3 4 3 3 3" xfId="2338"/>
    <cellStyle name="20% - Accent3 4 3 3 3 2" xfId="13659"/>
    <cellStyle name="20% - Accent3 4 3 3 3 2 2" xfId="27051"/>
    <cellStyle name="20% - Accent3 4 3 3 3 3" xfId="17610"/>
    <cellStyle name="20% - Accent3 4 3 3 3 3 2" xfId="30889"/>
    <cellStyle name="20% - Accent3 4 3 3 3 4" xfId="21898"/>
    <cellStyle name="20% - Accent3 4 3 3 4" xfId="13657"/>
    <cellStyle name="20% - Accent3 4 3 3 4 2" xfId="27049"/>
    <cellStyle name="20% - Accent3 4 3 3 5" xfId="17608"/>
    <cellStyle name="20% - Accent3 4 3 3 5 2" xfId="30887"/>
    <cellStyle name="20% - Accent3 4 3 3 6" xfId="21896"/>
    <cellStyle name="20% - Accent3 4 3 4" xfId="2339"/>
    <cellStyle name="20% - Accent3 4 3 4 2" xfId="13660"/>
    <cellStyle name="20% - Accent3 4 3 4 2 2" xfId="27052"/>
    <cellStyle name="20% - Accent3 4 3 4 3" xfId="17611"/>
    <cellStyle name="20% - Accent3 4 3 4 3 2" xfId="30890"/>
    <cellStyle name="20% - Accent3 4 3 4 4" xfId="21899"/>
    <cellStyle name="20% - Accent3 4 3 5" xfId="2340"/>
    <cellStyle name="20% - Accent3 4 3 5 2" xfId="13661"/>
    <cellStyle name="20% - Accent3 4 3 5 2 2" xfId="27053"/>
    <cellStyle name="20% - Accent3 4 3 5 3" xfId="17612"/>
    <cellStyle name="20% - Accent3 4 3 5 3 2" xfId="30891"/>
    <cellStyle name="20% - Accent3 4 3 5 4" xfId="21900"/>
    <cellStyle name="20% - Accent3 4 3 6" xfId="13653"/>
    <cellStyle name="20% - Accent3 4 3 6 2" xfId="27045"/>
    <cellStyle name="20% - Accent3 4 3 7" xfId="17604"/>
    <cellStyle name="20% - Accent3 4 3 7 2" xfId="30883"/>
    <cellStyle name="20% - Accent3 4 3 8" xfId="21892"/>
    <cellStyle name="20% - Accent3 4 3_Volatility" xfId="2341"/>
    <cellStyle name="20% - Accent3 4 4" xfId="2342"/>
    <cellStyle name="20% - Accent3 4 4 2" xfId="2343"/>
    <cellStyle name="20% - Accent3 4 4 2 2" xfId="13663"/>
    <cellStyle name="20% - Accent3 4 4 2 2 2" xfId="27055"/>
    <cellStyle name="20% - Accent3 4 4 2 3" xfId="17614"/>
    <cellStyle name="20% - Accent3 4 4 2 3 2" xfId="30893"/>
    <cellStyle name="20% - Accent3 4 4 2 4" xfId="21902"/>
    <cellStyle name="20% - Accent3 4 4 3" xfId="2344"/>
    <cellStyle name="20% - Accent3 4 4 3 2" xfId="13664"/>
    <cellStyle name="20% - Accent3 4 4 3 2 2" xfId="27056"/>
    <cellStyle name="20% - Accent3 4 4 3 3" xfId="17615"/>
    <cellStyle name="20% - Accent3 4 4 3 3 2" xfId="30894"/>
    <cellStyle name="20% - Accent3 4 4 3 4" xfId="21903"/>
    <cellStyle name="20% - Accent3 4 4 4" xfId="13662"/>
    <cellStyle name="20% - Accent3 4 4 4 2" xfId="27054"/>
    <cellStyle name="20% - Accent3 4 4 5" xfId="17613"/>
    <cellStyle name="20% - Accent3 4 4 5 2" xfId="30892"/>
    <cellStyle name="20% - Accent3 4 4 6" xfId="21901"/>
    <cellStyle name="20% - Accent3 4 5" xfId="2345"/>
    <cellStyle name="20% - Accent3 4 5 2" xfId="2346"/>
    <cellStyle name="20% - Accent3 4 5 2 2" xfId="13666"/>
    <cellStyle name="20% - Accent3 4 5 2 2 2" xfId="27058"/>
    <cellStyle name="20% - Accent3 4 5 2 3" xfId="17617"/>
    <cellStyle name="20% - Accent3 4 5 2 3 2" xfId="30896"/>
    <cellStyle name="20% - Accent3 4 5 2 4" xfId="21905"/>
    <cellStyle name="20% - Accent3 4 5 3" xfId="2347"/>
    <cellStyle name="20% - Accent3 4 5 3 2" xfId="13667"/>
    <cellStyle name="20% - Accent3 4 5 3 2 2" xfId="27059"/>
    <cellStyle name="20% - Accent3 4 5 3 3" xfId="17618"/>
    <cellStyle name="20% - Accent3 4 5 3 3 2" xfId="30897"/>
    <cellStyle name="20% - Accent3 4 5 3 4" xfId="21906"/>
    <cellStyle name="20% - Accent3 4 5 4" xfId="13665"/>
    <cellStyle name="20% - Accent3 4 5 4 2" xfId="27057"/>
    <cellStyle name="20% - Accent3 4 5 5" xfId="17616"/>
    <cellStyle name="20% - Accent3 4 5 5 2" xfId="30895"/>
    <cellStyle name="20% - Accent3 4 5 6" xfId="21904"/>
    <cellStyle name="20% - Accent3 4 6" xfId="2348"/>
    <cellStyle name="20% - Accent3 4 6 2" xfId="2349"/>
    <cellStyle name="20% - Accent3 4 6 2 2" xfId="13669"/>
    <cellStyle name="20% - Accent3 4 6 2 2 2" xfId="27061"/>
    <cellStyle name="20% - Accent3 4 6 2 3" xfId="17620"/>
    <cellStyle name="20% - Accent3 4 6 2 3 2" xfId="30899"/>
    <cellStyle name="20% - Accent3 4 6 2 4" xfId="21908"/>
    <cellStyle name="20% - Accent3 4 6 3" xfId="2350"/>
    <cellStyle name="20% - Accent3 4 6 3 2" xfId="13670"/>
    <cellStyle name="20% - Accent3 4 6 3 2 2" xfId="27062"/>
    <cellStyle name="20% - Accent3 4 6 3 3" xfId="17621"/>
    <cellStyle name="20% - Accent3 4 6 3 3 2" xfId="30900"/>
    <cellStyle name="20% - Accent3 4 6 3 4" xfId="21909"/>
    <cellStyle name="20% - Accent3 4 6 4" xfId="13668"/>
    <cellStyle name="20% - Accent3 4 6 4 2" xfId="27060"/>
    <cellStyle name="20% - Accent3 4 6 5" xfId="17619"/>
    <cellStyle name="20% - Accent3 4 6 5 2" xfId="30898"/>
    <cellStyle name="20% - Accent3 4 6 6" xfId="21907"/>
    <cellStyle name="20% - Accent3 4 7" xfId="2351"/>
    <cellStyle name="20% - Accent3 4 7 2" xfId="13671"/>
    <cellStyle name="20% - Accent3 4 7 2 2" xfId="27063"/>
    <cellStyle name="20% - Accent3 4 7 3" xfId="17622"/>
    <cellStyle name="20% - Accent3 4 7 3 2" xfId="30901"/>
    <cellStyle name="20% - Accent3 4 7 4" xfId="21910"/>
    <cellStyle name="20% - Accent3 4 8" xfId="2352"/>
    <cellStyle name="20% - Accent3 4 8 2" xfId="13672"/>
    <cellStyle name="20% - Accent3 4 8 2 2" xfId="27064"/>
    <cellStyle name="20% - Accent3 4 8 3" xfId="17623"/>
    <cellStyle name="20% - Accent3 4 8 3 2" xfId="30902"/>
    <cellStyle name="20% - Accent3 4 8 4" xfId="21911"/>
    <cellStyle name="20% - Accent3 4 9" xfId="13640"/>
    <cellStyle name="20% - Accent3 4 9 2" xfId="27032"/>
    <cellStyle name="20% - Accent3 4_Volatility" xfId="2353"/>
    <cellStyle name="20% - Accent3 5" xfId="2354"/>
    <cellStyle name="20% - Accent3 5 10" xfId="17624"/>
    <cellStyle name="20% - Accent3 5 10 2" xfId="30903"/>
    <cellStyle name="20% - Accent3 5 11" xfId="21912"/>
    <cellStyle name="20% - Accent3 5 2" xfId="2355"/>
    <cellStyle name="20% - Accent3 5 2 2" xfId="2356"/>
    <cellStyle name="20% - Accent3 5 2 2 2" xfId="2357"/>
    <cellStyle name="20% - Accent3 5 2 2 2 2" xfId="13676"/>
    <cellStyle name="20% - Accent3 5 2 2 2 2 2" xfId="27068"/>
    <cellStyle name="20% - Accent3 5 2 2 2 3" xfId="17627"/>
    <cellStyle name="20% - Accent3 5 2 2 2 3 2" xfId="30906"/>
    <cellStyle name="20% - Accent3 5 2 2 2 4" xfId="21915"/>
    <cellStyle name="20% - Accent3 5 2 2 3" xfId="2358"/>
    <cellStyle name="20% - Accent3 5 2 2 3 2" xfId="13677"/>
    <cellStyle name="20% - Accent3 5 2 2 3 2 2" xfId="27069"/>
    <cellStyle name="20% - Accent3 5 2 2 3 3" xfId="17628"/>
    <cellStyle name="20% - Accent3 5 2 2 3 3 2" xfId="30907"/>
    <cellStyle name="20% - Accent3 5 2 2 3 4" xfId="21916"/>
    <cellStyle name="20% - Accent3 5 2 2 4" xfId="13675"/>
    <cellStyle name="20% - Accent3 5 2 2 4 2" xfId="27067"/>
    <cellStyle name="20% - Accent3 5 2 2 5" xfId="17626"/>
    <cellStyle name="20% - Accent3 5 2 2 5 2" xfId="30905"/>
    <cellStyle name="20% - Accent3 5 2 2 6" xfId="21914"/>
    <cellStyle name="20% - Accent3 5 2 3" xfId="2359"/>
    <cellStyle name="20% - Accent3 5 2 3 2" xfId="2360"/>
    <cellStyle name="20% - Accent3 5 2 3 2 2" xfId="13679"/>
    <cellStyle name="20% - Accent3 5 2 3 2 2 2" xfId="27071"/>
    <cellStyle name="20% - Accent3 5 2 3 2 3" xfId="17630"/>
    <cellStyle name="20% - Accent3 5 2 3 2 3 2" xfId="30909"/>
    <cellStyle name="20% - Accent3 5 2 3 2 4" xfId="21918"/>
    <cellStyle name="20% - Accent3 5 2 3 3" xfId="2361"/>
    <cellStyle name="20% - Accent3 5 2 3 3 2" xfId="13680"/>
    <cellStyle name="20% - Accent3 5 2 3 3 2 2" xfId="27072"/>
    <cellStyle name="20% - Accent3 5 2 3 3 3" xfId="17631"/>
    <cellStyle name="20% - Accent3 5 2 3 3 3 2" xfId="30910"/>
    <cellStyle name="20% - Accent3 5 2 3 3 4" xfId="21919"/>
    <cellStyle name="20% - Accent3 5 2 3 4" xfId="13678"/>
    <cellStyle name="20% - Accent3 5 2 3 4 2" xfId="27070"/>
    <cellStyle name="20% - Accent3 5 2 3 5" xfId="17629"/>
    <cellStyle name="20% - Accent3 5 2 3 5 2" xfId="30908"/>
    <cellStyle name="20% - Accent3 5 2 3 6" xfId="21917"/>
    <cellStyle name="20% - Accent3 5 2 4" xfId="2362"/>
    <cellStyle name="20% - Accent3 5 2 4 2" xfId="2363"/>
    <cellStyle name="20% - Accent3 5 2 4 2 2" xfId="13682"/>
    <cellStyle name="20% - Accent3 5 2 4 2 2 2" xfId="27074"/>
    <cellStyle name="20% - Accent3 5 2 4 2 3" xfId="17633"/>
    <cellStyle name="20% - Accent3 5 2 4 2 3 2" xfId="30912"/>
    <cellStyle name="20% - Accent3 5 2 4 2 4" xfId="21921"/>
    <cellStyle name="20% - Accent3 5 2 4 3" xfId="2364"/>
    <cellStyle name="20% - Accent3 5 2 4 3 2" xfId="13683"/>
    <cellStyle name="20% - Accent3 5 2 4 3 2 2" xfId="27075"/>
    <cellStyle name="20% - Accent3 5 2 4 3 3" xfId="17634"/>
    <cellStyle name="20% - Accent3 5 2 4 3 3 2" xfId="30913"/>
    <cellStyle name="20% - Accent3 5 2 4 3 4" xfId="21922"/>
    <cellStyle name="20% - Accent3 5 2 4 4" xfId="13681"/>
    <cellStyle name="20% - Accent3 5 2 4 4 2" xfId="27073"/>
    <cellStyle name="20% - Accent3 5 2 4 5" xfId="17632"/>
    <cellStyle name="20% - Accent3 5 2 4 5 2" xfId="30911"/>
    <cellStyle name="20% - Accent3 5 2 4 6" xfId="21920"/>
    <cellStyle name="20% - Accent3 5 2 5" xfId="2365"/>
    <cellStyle name="20% - Accent3 5 2 5 2" xfId="13684"/>
    <cellStyle name="20% - Accent3 5 2 5 2 2" xfId="27076"/>
    <cellStyle name="20% - Accent3 5 2 5 3" xfId="17635"/>
    <cellStyle name="20% - Accent3 5 2 5 3 2" xfId="30914"/>
    <cellStyle name="20% - Accent3 5 2 5 4" xfId="21923"/>
    <cellStyle name="20% - Accent3 5 2 6" xfId="2366"/>
    <cellStyle name="20% - Accent3 5 2 6 2" xfId="13685"/>
    <cellStyle name="20% - Accent3 5 2 6 2 2" xfId="27077"/>
    <cellStyle name="20% - Accent3 5 2 6 3" xfId="17636"/>
    <cellStyle name="20% - Accent3 5 2 6 3 2" xfId="30915"/>
    <cellStyle name="20% - Accent3 5 2 6 4" xfId="21924"/>
    <cellStyle name="20% - Accent3 5 2 7" xfId="13674"/>
    <cellStyle name="20% - Accent3 5 2 7 2" xfId="27066"/>
    <cellStyle name="20% - Accent3 5 2 8" xfId="17625"/>
    <cellStyle name="20% - Accent3 5 2 8 2" xfId="30904"/>
    <cellStyle name="20% - Accent3 5 2 9" xfId="21913"/>
    <cellStyle name="20% - Accent3 5 2_Volatility" xfId="2367"/>
    <cellStyle name="20% - Accent3 5 3" xfId="2368"/>
    <cellStyle name="20% - Accent3 5 3 2" xfId="2369"/>
    <cellStyle name="20% - Accent3 5 3 2 2" xfId="2370"/>
    <cellStyle name="20% - Accent3 5 3 2 2 2" xfId="13688"/>
    <cellStyle name="20% - Accent3 5 3 2 2 2 2" xfId="27080"/>
    <cellStyle name="20% - Accent3 5 3 2 2 3" xfId="17639"/>
    <cellStyle name="20% - Accent3 5 3 2 2 3 2" xfId="30918"/>
    <cellStyle name="20% - Accent3 5 3 2 2 4" xfId="21927"/>
    <cellStyle name="20% - Accent3 5 3 2 3" xfId="2371"/>
    <cellStyle name="20% - Accent3 5 3 2 3 2" xfId="13689"/>
    <cellStyle name="20% - Accent3 5 3 2 3 2 2" xfId="27081"/>
    <cellStyle name="20% - Accent3 5 3 2 3 3" xfId="17640"/>
    <cellStyle name="20% - Accent3 5 3 2 3 3 2" xfId="30919"/>
    <cellStyle name="20% - Accent3 5 3 2 3 4" xfId="21928"/>
    <cellStyle name="20% - Accent3 5 3 2 4" xfId="13687"/>
    <cellStyle name="20% - Accent3 5 3 2 4 2" xfId="27079"/>
    <cellStyle name="20% - Accent3 5 3 2 5" xfId="17638"/>
    <cellStyle name="20% - Accent3 5 3 2 5 2" xfId="30917"/>
    <cellStyle name="20% - Accent3 5 3 2 6" xfId="21926"/>
    <cellStyle name="20% - Accent3 5 3 3" xfId="2372"/>
    <cellStyle name="20% - Accent3 5 3 3 2" xfId="2373"/>
    <cellStyle name="20% - Accent3 5 3 3 2 2" xfId="13691"/>
    <cellStyle name="20% - Accent3 5 3 3 2 2 2" xfId="27083"/>
    <cellStyle name="20% - Accent3 5 3 3 2 3" xfId="17642"/>
    <cellStyle name="20% - Accent3 5 3 3 2 3 2" xfId="30921"/>
    <cellStyle name="20% - Accent3 5 3 3 2 4" xfId="21930"/>
    <cellStyle name="20% - Accent3 5 3 3 3" xfId="2374"/>
    <cellStyle name="20% - Accent3 5 3 3 3 2" xfId="13692"/>
    <cellStyle name="20% - Accent3 5 3 3 3 2 2" xfId="27084"/>
    <cellStyle name="20% - Accent3 5 3 3 3 3" xfId="17643"/>
    <cellStyle name="20% - Accent3 5 3 3 3 3 2" xfId="30922"/>
    <cellStyle name="20% - Accent3 5 3 3 3 4" xfId="21931"/>
    <cellStyle name="20% - Accent3 5 3 3 4" xfId="13690"/>
    <cellStyle name="20% - Accent3 5 3 3 4 2" xfId="27082"/>
    <cellStyle name="20% - Accent3 5 3 3 5" xfId="17641"/>
    <cellStyle name="20% - Accent3 5 3 3 5 2" xfId="30920"/>
    <cellStyle name="20% - Accent3 5 3 3 6" xfId="21929"/>
    <cellStyle name="20% - Accent3 5 3 4" xfId="2375"/>
    <cellStyle name="20% - Accent3 5 3 4 2" xfId="13693"/>
    <cellStyle name="20% - Accent3 5 3 4 2 2" xfId="27085"/>
    <cellStyle name="20% - Accent3 5 3 4 3" xfId="17644"/>
    <cellStyle name="20% - Accent3 5 3 4 3 2" xfId="30923"/>
    <cellStyle name="20% - Accent3 5 3 4 4" xfId="21932"/>
    <cellStyle name="20% - Accent3 5 3 5" xfId="2376"/>
    <cellStyle name="20% - Accent3 5 3 5 2" xfId="13694"/>
    <cellStyle name="20% - Accent3 5 3 5 2 2" xfId="27086"/>
    <cellStyle name="20% - Accent3 5 3 5 3" xfId="17645"/>
    <cellStyle name="20% - Accent3 5 3 5 3 2" xfId="30924"/>
    <cellStyle name="20% - Accent3 5 3 5 4" xfId="21933"/>
    <cellStyle name="20% - Accent3 5 3 6" xfId="13686"/>
    <cellStyle name="20% - Accent3 5 3 6 2" xfId="27078"/>
    <cellStyle name="20% - Accent3 5 3 7" xfId="17637"/>
    <cellStyle name="20% - Accent3 5 3 7 2" xfId="30916"/>
    <cellStyle name="20% - Accent3 5 3 8" xfId="21925"/>
    <cellStyle name="20% - Accent3 5 3_Volatility" xfId="2377"/>
    <cellStyle name="20% - Accent3 5 4" xfId="2378"/>
    <cellStyle name="20% - Accent3 5 4 2" xfId="2379"/>
    <cellStyle name="20% - Accent3 5 4 2 2" xfId="13696"/>
    <cellStyle name="20% - Accent3 5 4 2 2 2" xfId="27088"/>
    <cellStyle name="20% - Accent3 5 4 2 3" xfId="17647"/>
    <cellStyle name="20% - Accent3 5 4 2 3 2" xfId="30926"/>
    <cellStyle name="20% - Accent3 5 4 2 4" xfId="21935"/>
    <cellStyle name="20% - Accent3 5 4 3" xfId="2380"/>
    <cellStyle name="20% - Accent3 5 4 3 2" xfId="13697"/>
    <cellStyle name="20% - Accent3 5 4 3 2 2" xfId="27089"/>
    <cellStyle name="20% - Accent3 5 4 3 3" xfId="17648"/>
    <cellStyle name="20% - Accent3 5 4 3 3 2" xfId="30927"/>
    <cellStyle name="20% - Accent3 5 4 3 4" xfId="21936"/>
    <cellStyle name="20% - Accent3 5 4 4" xfId="13695"/>
    <cellStyle name="20% - Accent3 5 4 4 2" xfId="27087"/>
    <cellStyle name="20% - Accent3 5 4 5" xfId="17646"/>
    <cellStyle name="20% - Accent3 5 4 5 2" xfId="30925"/>
    <cellStyle name="20% - Accent3 5 4 6" xfId="21934"/>
    <cellStyle name="20% - Accent3 5 5" xfId="2381"/>
    <cellStyle name="20% - Accent3 5 5 2" xfId="2382"/>
    <cellStyle name="20% - Accent3 5 5 2 2" xfId="13699"/>
    <cellStyle name="20% - Accent3 5 5 2 2 2" xfId="27091"/>
    <cellStyle name="20% - Accent3 5 5 2 3" xfId="17650"/>
    <cellStyle name="20% - Accent3 5 5 2 3 2" xfId="30929"/>
    <cellStyle name="20% - Accent3 5 5 2 4" xfId="21938"/>
    <cellStyle name="20% - Accent3 5 5 3" xfId="2383"/>
    <cellStyle name="20% - Accent3 5 5 3 2" xfId="13700"/>
    <cellStyle name="20% - Accent3 5 5 3 2 2" xfId="27092"/>
    <cellStyle name="20% - Accent3 5 5 3 3" xfId="17651"/>
    <cellStyle name="20% - Accent3 5 5 3 3 2" xfId="30930"/>
    <cellStyle name="20% - Accent3 5 5 3 4" xfId="21939"/>
    <cellStyle name="20% - Accent3 5 5 4" xfId="13698"/>
    <cellStyle name="20% - Accent3 5 5 4 2" xfId="27090"/>
    <cellStyle name="20% - Accent3 5 5 5" xfId="17649"/>
    <cellStyle name="20% - Accent3 5 5 5 2" xfId="30928"/>
    <cellStyle name="20% - Accent3 5 5 6" xfId="21937"/>
    <cellStyle name="20% - Accent3 5 6" xfId="2384"/>
    <cellStyle name="20% - Accent3 5 6 2" xfId="2385"/>
    <cellStyle name="20% - Accent3 5 6 2 2" xfId="13702"/>
    <cellStyle name="20% - Accent3 5 6 2 2 2" xfId="27094"/>
    <cellStyle name="20% - Accent3 5 6 2 3" xfId="17653"/>
    <cellStyle name="20% - Accent3 5 6 2 3 2" xfId="30932"/>
    <cellStyle name="20% - Accent3 5 6 2 4" xfId="21941"/>
    <cellStyle name="20% - Accent3 5 6 3" xfId="2386"/>
    <cellStyle name="20% - Accent3 5 6 3 2" xfId="13703"/>
    <cellStyle name="20% - Accent3 5 6 3 2 2" xfId="27095"/>
    <cellStyle name="20% - Accent3 5 6 3 3" xfId="17654"/>
    <cellStyle name="20% - Accent3 5 6 3 3 2" xfId="30933"/>
    <cellStyle name="20% - Accent3 5 6 3 4" xfId="21942"/>
    <cellStyle name="20% - Accent3 5 6 4" xfId="13701"/>
    <cellStyle name="20% - Accent3 5 6 4 2" xfId="27093"/>
    <cellStyle name="20% - Accent3 5 6 5" xfId="17652"/>
    <cellStyle name="20% - Accent3 5 6 5 2" xfId="30931"/>
    <cellStyle name="20% - Accent3 5 6 6" xfId="21940"/>
    <cellStyle name="20% - Accent3 5 7" xfId="2387"/>
    <cellStyle name="20% - Accent3 5 7 2" xfId="13704"/>
    <cellStyle name="20% - Accent3 5 7 2 2" xfId="27096"/>
    <cellStyle name="20% - Accent3 5 7 3" xfId="17655"/>
    <cellStyle name="20% - Accent3 5 7 3 2" xfId="30934"/>
    <cellStyle name="20% - Accent3 5 7 4" xfId="21943"/>
    <cellStyle name="20% - Accent3 5 8" xfId="2388"/>
    <cellStyle name="20% - Accent3 5 8 2" xfId="13705"/>
    <cellStyle name="20% - Accent3 5 8 2 2" xfId="27097"/>
    <cellStyle name="20% - Accent3 5 8 3" xfId="17656"/>
    <cellStyle name="20% - Accent3 5 8 3 2" xfId="30935"/>
    <cellStyle name="20% - Accent3 5 8 4" xfId="21944"/>
    <cellStyle name="20% - Accent3 5 9" xfId="13673"/>
    <cellStyle name="20% - Accent3 5 9 2" xfId="27065"/>
    <cellStyle name="20% - Accent3 5_Volatility" xfId="2389"/>
    <cellStyle name="20% - Accent3 6" xfId="2390"/>
    <cellStyle name="20% - Accent3 6 10" xfId="17657"/>
    <cellStyle name="20% - Accent3 6 10 2" xfId="30936"/>
    <cellStyle name="20% - Accent3 6 11" xfId="21945"/>
    <cellStyle name="20% - Accent3 6 2" xfId="2391"/>
    <cellStyle name="20% - Accent3 6 2 2" xfId="2392"/>
    <cellStyle name="20% - Accent3 6 2 2 2" xfId="2393"/>
    <cellStyle name="20% - Accent3 6 2 2 2 2" xfId="13709"/>
    <cellStyle name="20% - Accent3 6 2 2 2 2 2" xfId="27101"/>
    <cellStyle name="20% - Accent3 6 2 2 2 3" xfId="17660"/>
    <cellStyle name="20% - Accent3 6 2 2 2 3 2" xfId="30939"/>
    <cellStyle name="20% - Accent3 6 2 2 2 4" xfId="21948"/>
    <cellStyle name="20% - Accent3 6 2 2 3" xfId="2394"/>
    <cellStyle name="20% - Accent3 6 2 2 3 2" xfId="13710"/>
    <cellStyle name="20% - Accent3 6 2 2 3 2 2" xfId="27102"/>
    <cellStyle name="20% - Accent3 6 2 2 3 3" xfId="17661"/>
    <cellStyle name="20% - Accent3 6 2 2 3 3 2" xfId="30940"/>
    <cellStyle name="20% - Accent3 6 2 2 3 4" xfId="21949"/>
    <cellStyle name="20% - Accent3 6 2 2 4" xfId="13708"/>
    <cellStyle name="20% - Accent3 6 2 2 4 2" xfId="27100"/>
    <cellStyle name="20% - Accent3 6 2 2 5" xfId="17659"/>
    <cellStyle name="20% - Accent3 6 2 2 5 2" xfId="30938"/>
    <cellStyle name="20% - Accent3 6 2 2 6" xfId="21947"/>
    <cellStyle name="20% - Accent3 6 2 3" xfId="2395"/>
    <cellStyle name="20% - Accent3 6 2 3 2" xfId="2396"/>
    <cellStyle name="20% - Accent3 6 2 3 2 2" xfId="13712"/>
    <cellStyle name="20% - Accent3 6 2 3 2 2 2" xfId="27104"/>
    <cellStyle name="20% - Accent3 6 2 3 2 3" xfId="17663"/>
    <cellStyle name="20% - Accent3 6 2 3 2 3 2" xfId="30942"/>
    <cellStyle name="20% - Accent3 6 2 3 2 4" xfId="21951"/>
    <cellStyle name="20% - Accent3 6 2 3 3" xfId="2397"/>
    <cellStyle name="20% - Accent3 6 2 3 3 2" xfId="13713"/>
    <cellStyle name="20% - Accent3 6 2 3 3 2 2" xfId="27105"/>
    <cellStyle name="20% - Accent3 6 2 3 3 3" xfId="17664"/>
    <cellStyle name="20% - Accent3 6 2 3 3 3 2" xfId="30943"/>
    <cellStyle name="20% - Accent3 6 2 3 3 4" xfId="21952"/>
    <cellStyle name="20% - Accent3 6 2 3 4" xfId="13711"/>
    <cellStyle name="20% - Accent3 6 2 3 4 2" xfId="27103"/>
    <cellStyle name="20% - Accent3 6 2 3 5" xfId="17662"/>
    <cellStyle name="20% - Accent3 6 2 3 5 2" xfId="30941"/>
    <cellStyle name="20% - Accent3 6 2 3 6" xfId="21950"/>
    <cellStyle name="20% - Accent3 6 2 4" xfId="2398"/>
    <cellStyle name="20% - Accent3 6 2 4 2" xfId="2399"/>
    <cellStyle name="20% - Accent3 6 2 4 2 2" xfId="13715"/>
    <cellStyle name="20% - Accent3 6 2 4 2 2 2" xfId="27107"/>
    <cellStyle name="20% - Accent3 6 2 4 2 3" xfId="17666"/>
    <cellStyle name="20% - Accent3 6 2 4 2 3 2" xfId="30945"/>
    <cellStyle name="20% - Accent3 6 2 4 2 4" xfId="21954"/>
    <cellStyle name="20% - Accent3 6 2 4 3" xfId="2400"/>
    <cellStyle name="20% - Accent3 6 2 4 3 2" xfId="13716"/>
    <cellStyle name="20% - Accent3 6 2 4 3 2 2" xfId="27108"/>
    <cellStyle name="20% - Accent3 6 2 4 3 3" xfId="17667"/>
    <cellStyle name="20% - Accent3 6 2 4 3 3 2" xfId="30946"/>
    <cellStyle name="20% - Accent3 6 2 4 3 4" xfId="21955"/>
    <cellStyle name="20% - Accent3 6 2 4 4" xfId="13714"/>
    <cellStyle name="20% - Accent3 6 2 4 4 2" xfId="27106"/>
    <cellStyle name="20% - Accent3 6 2 4 5" xfId="17665"/>
    <cellStyle name="20% - Accent3 6 2 4 5 2" xfId="30944"/>
    <cellStyle name="20% - Accent3 6 2 4 6" xfId="21953"/>
    <cellStyle name="20% - Accent3 6 2 5" xfId="2401"/>
    <cellStyle name="20% - Accent3 6 2 5 2" xfId="13717"/>
    <cellStyle name="20% - Accent3 6 2 5 2 2" xfId="27109"/>
    <cellStyle name="20% - Accent3 6 2 5 3" xfId="17668"/>
    <cellStyle name="20% - Accent3 6 2 5 3 2" xfId="30947"/>
    <cellStyle name="20% - Accent3 6 2 5 4" xfId="21956"/>
    <cellStyle name="20% - Accent3 6 2 6" xfId="2402"/>
    <cellStyle name="20% - Accent3 6 2 6 2" xfId="13718"/>
    <cellStyle name="20% - Accent3 6 2 6 2 2" xfId="27110"/>
    <cellStyle name="20% - Accent3 6 2 6 3" xfId="17669"/>
    <cellStyle name="20% - Accent3 6 2 6 3 2" xfId="30948"/>
    <cellStyle name="20% - Accent3 6 2 6 4" xfId="21957"/>
    <cellStyle name="20% - Accent3 6 2 7" xfId="13707"/>
    <cellStyle name="20% - Accent3 6 2 7 2" xfId="27099"/>
    <cellStyle name="20% - Accent3 6 2 8" xfId="17658"/>
    <cellStyle name="20% - Accent3 6 2 8 2" xfId="30937"/>
    <cellStyle name="20% - Accent3 6 2 9" xfId="21946"/>
    <cellStyle name="20% - Accent3 6 2_Volatility" xfId="2403"/>
    <cellStyle name="20% - Accent3 6 3" xfId="2404"/>
    <cellStyle name="20% - Accent3 6 3 2" xfId="2405"/>
    <cellStyle name="20% - Accent3 6 3 2 2" xfId="2406"/>
    <cellStyle name="20% - Accent3 6 3 2 2 2" xfId="13721"/>
    <cellStyle name="20% - Accent3 6 3 2 2 2 2" xfId="27113"/>
    <cellStyle name="20% - Accent3 6 3 2 2 3" xfId="17672"/>
    <cellStyle name="20% - Accent3 6 3 2 2 3 2" xfId="30951"/>
    <cellStyle name="20% - Accent3 6 3 2 2 4" xfId="21960"/>
    <cellStyle name="20% - Accent3 6 3 2 3" xfId="2407"/>
    <cellStyle name="20% - Accent3 6 3 2 3 2" xfId="13722"/>
    <cellStyle name="20% - Accent3 6 3 2 3 2 2" xfId="27114"/>
    <cellStyle name="20% - Accent3 6 3 2 3 3" xfId="17673"/>
    <cellStyle name="20% - Accent3 6 3 2 3 3 2" xfId="30952"/>
    <cellStyle name="20% - Accent3 6 3 2 3 4" xfId="21961"/>
    <cellStyle name="20% - Accent3 6 3 2 4" xfId="13720"/>
    <cellStyle name="20% - Accent3 6 3 2 4 2" xfId="27112"/>
    <cellStyle name="20% - Accent3 6 3 2 5" xfId="17671"/>
    <cellStyle name="20% - Accent3 6 3 2 5 2" xfId="30950"/>
    <cellStyle name="20% - Accent3 6 3 2 6" xfId="21959"/>
    <cellStyle name="20% - Accent3 6 3 3" xfId="2408"/>
    <cellStyle name="20% - Accent3 6 3 3 2" xfId="2409"/>
    <cellStyle name="20% - Accent3 6 3 3 2 2" xfId="13724"/>
    <cellStyle name="20% - Accent3 6 3 3 2 2 2" xfId="27116"/>
    <cellStyle name="20% - Accent3 6 3 3 2 3" xfId="17675"/>
    <cellStyle name="20% - Accent3 6 3 3 2 3 2" xfId="30954"/>
    <cellStyle name="20% - Accent3 6 3 3 2 4" xfId="21963"/>
    <cellStyle name="20% - Accent3 6 3 3 3" xfId="2410"/>
    <cellStyle name="20% - Accent3 6 3 3 3 2" xfId="13725"/>
    <cellStyle name="20% - Accent3 6 3 3 3 2 2" xfId="27117"/>
    <cellStyle name="20% - Accent3 6 3 3 3 3" xfId="17676"/>
    <cellStyle name="20% - Accent3 6 3 3 3 3 2" xfId="30955"/>
    <cellStyle name="20% - Accent3 6 3 3 3 4" xfId="21964"/>
    <cellStyle name="20% - Accent3 6 3 3 4" xfId="13723"/>
    <cellStyle name="20% - Accent3 6 3 3 4 2" xfId="27115"/>
    <cellStyle name="20% - Accent3 6 3 3 5" xfId="17674"/>
    <cellStyle name="20% - Accent3 6 3 3 5 2" xfId="30953"/>
    <cellStyle name="20% - Accent3 6 3 3 6" xfId="21962"/>
    <cellStyle name="20% - Accent3 6 3 4" xfId="2411"/>
    <cellStyle name="20% - Accent3 6 3 4 2" xfId="13726"/>
    <cellStyle name="20% - Accent3 6 3 4 2 2" xfId="27118"/>
    <cellStyle name="20% - Accent3 6 3 4 3" xfId="17677"/>
    <cellStyle name="20% - Accent3 6 3 4 3 2" xfId="30956"/>
    <cellStyle name="20% - Accent3 6 3 4 4" xfId="21965"/>
    <cellStyle name="20% - Accent3 6 3 5" xfId="2412"/>
    <cellStyle name="20% - Accent3 6 3 5 2" xfId="13727"/>
    <cellStyle name="20% - Accent3 6 3 5 2 2" xfId="27119"/>
    <cellStyle name="20% - Accent3 6 3 5 3" xfId="17678"/>
    <cellStyle name="20% - Accent3 6 3 5 3 2" xfId="30957"/>
    <cellStyle name="20% - Accent3 6 3 5 4" xfId="21966"/>
    <cellStyle name="20% - Accent3 6 3 6" xfId="13719"/>
    <cellStyle name="20% - Accent3 6 3 6 2" xfId="27111"/>
    <cellStyle name="20% - Accent3 6 3 7" xfId="17670"/>
    <cellStyle name="20% - Accent3 6 3 7 2" xfId="30949"/>
    <cellStyle name="20% - Accent3 6 3 8" xfId="21958"/>
    <cellStyle name="20% - Accent3 6 3_Volatility" xfId="2413"/>
    <cellStyle name="20% - Accent3 6 4" xfId="2414"/>
    <cellStyle name="20% - Accent3 6 4 2" xfId="2415"/>
    <cellStyle name="20% - Accent3 6 4 2 2" xfId="13729"/>
    <cellStyle name="20% - Accent3 6 4 2 2 2" xfId="27121"/>
    <cellStyle name="20% - Accent3 6 4 2 3" xfId="17680"/>
    <cellStyle name="20% - Accent3 6 4 2 3 2" xfId="30959"/>
    <cellStyle name="20% - Accent3 6 4 2 4" xfId="21968"/>
    <cellStyle name="20% - Accent3 6 4 3" xfId="2416"/>
    <cellStyle name="20% - Accent3 6 4 3 2" xfId="13730"/>
    <cellStyle name="20% - Accent3 6 4 3 2 2" xfId="27122"/>
    <cellStyle name="20% - Accent3 6 4 3 3" xfId="17681"/>
    <cellStyle name="20% - Accent3 6 4 3 3 2" xfId="30960"/>
    <cellStyle name="20% - Accent3 6 4 3 4" xfId="21969"/>
    <cellStyle name="20% - Accent3 6 4 4" xfId="13728"/>
    <cellStyle name="20% - Accent3 6 4 4 2" xfId="27120"/>
    <cellStyle name="20% - Accent3 6 4 5" xfId="17679"/>
    <cellStyle name="20% - Accent3 6 4 5 2" xfId="30958"/>
    <cellStyle name="20% - Accent3 6 4 6" xfId="21967"/>
    <cellStyle name="20% - Accent3 6 5" xfId="2417"/>
    <cellStyle name="20% - Accent3 6 5 2" xfId="2418"/>
    <cellStyle name="20% - Accent3 6 5 2 2" xfId="13732"/>
    <cellStyle name="20% - Accent3 6 5 2 2 2" xfId="27124"/>
    <cellStyle name="20% - Accent3 6 5 2 3" xfId="17683"/>
    <cellStyle name="20% - Accent3 6 5 2 3 2" xfId="30962"/>
    <cellStyle name="20% - Accent3 6 5 2 4" xfId="21971"/>
    <cellStyle name="20% - Accent3 6 5 3" xfId="2419"/>
    <cellStyle name="20% - Accent3 6 5 3 2" xfId="13733"/>
    <cellStyle name="20% - Accent3 6 5 3 2 2" xfId="27125"/>
    <cellStyle name="20% - Accent3 6 5 3 3" xfId="17684"/>
    <cellStyle name="20% - Accent3 6 5 3 3 2" xfId="30963"/>
    <cellStyle name="20% - Accent3 6 5 3 4" xfId="21972"/>
    <cellStyle name="20% - Accent3 6 5 4" xfId="13731"/>
    <cellStyle name="20% - Accent3 6 5 4 2" xfId="27123"/>
    <cellStyle name="20% - Accent3 6 5 5" xfId="17682"/>
    <cellStyle name="20% - Accent3 6 5 5 2" xfId="30961"/>
    <cellStyle name="20% - Accent3 6 5 6" xfId="21970"/>
    <cellStyle name="20% - Accent3 6 6" xfId="2420"/>
    <cellStyle name="20% - Accent3 6 6 2" xfId="2421"/>
    <cellStyle name="20% - Accent3 6 6 2 2" xfId="13735"/>
    <cellStyle name="20% - Accent3 6 6 2 2 2" xfId="27127"/>
    <cellStyle name="20% - Accent3 6 6 2 3" xfId="17686"/>
    <cellStyle name="20% - Accent3 6 6 2 3 2" xfId="30965"/>
    <cellStyle name="20% - Accent3 6 6 2 4" xfId="21974"/>
    <cellStyle name="20% - Accent3 6 6 3" xfId="2422"/>
    <cellStyle name="20% - Accent3 6 6 3 2" xfId="13736"/>
    <cellStyle name="20% - Accent3 6 6 3 2 2" xfId="27128"/>
    <cellStyle name="20% - Accent3 6 6 3 3" xfId="17687"/>
    <cellStyle name="20% - Accent3 6 6 3 3 2" xfId="30966"/>
    <cellStyle name="20% - Accent3 6 6 3 4" xfId="21975"/>
    <cellStyle name="20% - Accent3 6 6 4" xfId="13734"/>
    <cellStyle name="20% - Accent3 6 6 4 2" xfId="27126"/>
    <cellStyle name="20% - Accent3 6 6 5" xfId="17685"/>
    <cellStyle name="20% - Accent3 6 6 5 2" xfId="30964"/>
    <cellStyle name="20% - Accent3 6 6 6" xfId="21973"/>
    <cellStyle name="20% - Accent3 6 7" xfId="2423"/>
    <cellStyle name="20% - Accent3 6 7 2" xfId="13737"/>
    <cellStyle name="20% - Accent3 6 7 2 2" xfId="27129"/>
    <cellStyle name="20% - Accent3 6 7 3" xfId="17688"/>
    <cellStyle name="20% - Accent3 6 7 3 2" xfId="30967"/>
    <cellStyle name="20% - Accent3 6 7 4" xfId="21976"/>
    <cellStyle name="20% - Accent3 6 8" xfId="2424"/>
    <cellStyle name="20% - Accent3 6 8 2" xfId="13738"/>
    <cellStyle name="20% - Accent3 6 8 2 2" xfId="27130"/>
    <cellStyle name="20% - Accent3 6 8 3" xfId="17689"/>
    <cellStyle name="20% - Accent3 6 8 3 2" xfId="30968"/>
    <cellStyle name="20% - Accent3 6 8 4" xfId="21977"/>
    <cellStyle name="20% - Accent3 6 9" xfId="13706"/>
    <cellStyle name="20% - Accent3 6 9 2" xfId="27098"/>
    <cellStyle name="20% - Accent3 6_Volatility" xfId="2425"/>
    <cellStyle name="20% - Accent3 7" xfId="2426"/>
    <cellStyle name="20% - Accent3 7 10" xfId="17690"/>
    <cellStyle name="20% - Accent3 7 10 2" xfId="30969"/>
    <cellStyle name="20% - Accent3 7 11" xfId="21978"/>
    <cellStyle name="20% - Accent3 7 2" xfId="2427"/>
    <cellStyle name="20% - Accent3 7 2 2" xfId="2428"/>
    <cellStyle name="20% - Accent3 7 2 2 2" xfId="2429"/>
    <cellStyle name="20% - Accent3 7 2 2 2 2" xfId="13742"/>
    <cellStyle name="20% - Accent3 7 2 2 2 2 2" xfId="27134"/>
    <cellStyle name="20% - Accent3 7 2 2 2 3" xfId="17693"/>
    <cellStyle name="20% - Accent3 7 2 2 2 3 2" xfId="30972"/>
    <cellStyle name="20% - Accent3 7 2 2 2 4" xfId="21981"/>
    <cellStyle name="20% - Accent3 7 2 2 3" xfId="2430"/>
    <cellStyle name="20% - Accent3 7 2 2 3 2" xfId="13743"/>
    <cellStyle name="20% - Accent3 7 2 2 3 2 2" xfId="27135"/>
    <cellStyle name="20% - Accent3 7 2 2 3 3" xfId="17694"/>
    <cellStyle name="20% - Accent3 7 2 2 3 3 2" xfId="30973"/>
    <cellStyle name="20% - Accent3 7 2 2 3 4" xfId="21982"/>
    <cellStyle name="20% - Accent3 7 2 2 4" xfId="13741"/>
    <cellStyle name="20% - Accent3 7 2 2 4 2" xfId="27133"/>
    <cellStyle name="20% - Accent3 7 2 2 5" xfId="17692"/>
    <cellStyle name="20% - Accent3 7 2 2 5 2" xfId="30971"/>
    <cellStyle name="20% - Accent3 7 2 2 6" xfId="21980"/>
    <cellStyle name="20% - Accent3 7 2 3" xfId="2431"/>
    <cellStyle name="20% - Accent3 7 2 3 2" xfId="2432"/>
    <cellStyle name="20% - Accent3 7 2 3 2 2" xfId="13745"/>
    <cellStyle name="20% - Accent3 7 2 3 2 2 2" xfId="27137"/>
    <cellStyle name="20% - Accent3 7 2 3 2 3" xfId="17696"/>
    <cellStyle name="20% - Accent3 7 2 3 2 3 2" xfId="30975"/>
    <cellStyle name="20% - Accent3 7 2 3 2 4" xfId="21984"/>
    <cellStyle name="20% - Accent3 7 2 3 3" xfId="2433"/>
    <cellStyle name="20% - Accent3 7 2 3 3 2" xfId="13746"/>
    <cellStyle name="20% - Accent3 7 2 3 3 2 2" xfId="27138"/>
    <cellStyle name="20% - Accent3 7 2 3 3 3" xfId="17697"/>
    <cellStyle name="20% - Accent3 7 2 3 3 3 2" xfId="30976"/>
    <cellStyle name="20% - Accent3 7 2 3 3 4" xfId="21985"/>
    <cellStyle name="20% - Accent3 7 2 3 4" xfId="13744"/>
    <cellStyle name="20% - Accent3 7 2 3 4 2" xfId="27136"/>
    <cellStyle name="20% - Accent3 7 2 3 5" xfId="17695"/>
    <cellStyle name="20% - Accent3 7 2 3 5 2" xfId="30974"/>
    <cellStyle name="20% - Accent3 7 2 3 6" xfId="21983"/>
    <cellStyle name="20% - Accent3 7 2 4" xfId="2434"/>
    <cellStyle name="20% - Accent3 7 2 4 2" xfId="2435"/>
    <cellStyle name="20% - Accent3 7 2 4 2 2" xfId="13748"/>
    <cellStyle name="20% - Accent3 7 2 4 2 2 2" xfId="27140"/>
    <cellStyle name="20% - Accent3 7 2 4 2 3" xfId="17699"/>
    <cellStyle name="20% - Accent3 7 2 4 2 3 2" xfId="30978"/>
    <cellStyle name="20% - Accent3 7 2 4 2 4" xfId="21987"/>
    <cellStyle name="20% - Accent3 7 2 4 3" xfId="2436"/>
    <cellStyle name="20% - Accent3 7 2 4 3 2" xfId="13749"/>
    <cellStyle name="20% - Accent3 7 2 4 3 2 2" xfId="27141"/>
    <cellStyle name="20% - Accent3 7 2 4 3 3" xfId="17700"/>
    <cellStyle name="20% - Accent3 7 2 4 3 3 2" xfId="30979"/>
    <cellStyle name="20% - Accent3 7 2 4 3 4" xfId="21988"/>
    <cellStyle name="20% - Accent3 7 2 4 4" xfId="13747"/>
    <cellStyle name="20% - Accent3 7 2 4 4 2" xfId="27139"/>
    <cellStyle name="20% - Accent3 7 2 4 5" xfId="17698"/>
    <cellStyle name="20% - Accent3 7 2 4 5 2" xfId="30977"/>
    <cellStyle name="20% - Accent3 7 2 4 6" xfId="21986"/>
    <cellStyle name="20% - Accent3 7 2 5" xfId="2437"/>
    <cellStyle name="20% - Accent3 7 2 5 2" xfId="13750"/>
    <cellStyle name="20% - Accent3 7 2 5 2 2" xfId="27142"/>
    <cellStyle name="20% - Accent3 7 2 5 3" xfId="17701"/>
    <cellStyle name="20% - Accent3 7 2 5 3 2" xfId="30980"/>
    <cellStyle name="20% - Accent3 7 2 5 4" xfId="21989"/>
    <cellStyle name="20% - Accent3 7 2 6" xfId="2438"/>
    <cellStyle name="20% - Accent3 7 2 6 2" xfId="13751"/>
    <cellStyle name="20% - Accent3 7 2 6 2 2" xfId="27143"/>
    <cellStyle name="20% - Accent3 7 2 6 3" xfId="17702"/>
    <cellStyle name="20% - Accent3 7 2 6 3 2" xfId="30981"/>
    <cellStyle name="20% - Accent3 7 2 6 4" xfId="21990"/>
    <cellStyle name="20% - Accent3 7 2 7" xfId="13740"/>
    <cellStyle name="20% - Accent3 7 2 7 2" xfId="27132"/>
    <cellStyle name="20% - Accent3 7 2 8" xfId="17691"/>
    <cellStyle name="20% - Accent3 7 2 8 2" xfId="30970"/>
    <cellStyle name="20% - Accent3 7 2 9" xfId="21979"/>
    <cellStyle name="20% - Accent3 7 2_Volatility" xfId="2439"/>
    <cellStyle name="20% - Accent3 7 3" xfId="2440"/>
    <cellStyle name="20% - Accent3 7 3 2" xfId="2441"/>
    <cellStyle name="20% - Accent3 7 3 2 2" xfId="2442"/>
    <cellStyle name="20% - Accent3 7 3 2 2 2" xfId="13754"/>
    <cellStyle name="20% - Accent3 7 3 2 2 2 2" xfId="27146"/>
    <cellStyle name="20% - Accent3 7 3 2 2 3" xfId="17705"/>
    <cellStyle name="20% - Accent3 7 3 2 2 3 2" xfId="30984"/>
    <cellStyle name="20% - Accent3 7 3 2 2 4" xfId="21993"/>
    <cellStyle name="20% - Accent3 7 3 2 3" xfId="2443"/>
    <cellStyle name="20% - Accent3 7 3 2 3 2" xfId="13755"/>
    <cellStyle name="20% - Accent3 7 3 2 3 2 2" xfId="27147"/>
    <cellStyle name="20% - Accent3 7 3 2 3 3" xfId="17706"/>
    <cellStyle name="20% - Accent3 7 3 2 3 3 2" xfId="30985"/>
    <cellStyle name="20% - Accent3 7 3 2 3 4" xfId="21994"/>
    <cellStyle name="20% - Accent3 7 3 2 4" xfId="13753"/>
    <cellStyle name="20% - Accent3 7 3 2 4 2" xfId="27145"/>
    <cellStyle name="20% - Accent3 7 3 2 5" xfId="17704"/>
    <cellStyle name="20% - Accent3 7 3 2 5 2" xfId="30983"/>
    <cellStyle name="20% - Accent3 7 3 2 6" xfId="21992"/>
    <cellStyle name="20% - Accent3 7 3 3" xfId="2444"/>
    <cellStyle name="20% - Accent3 7 3 3 2" xfId="2445"/>
    <cellStyle name="20% - Accent3 7 3 3 2 2" xfId="13757"/>
    <cellStyle name="20% - Accent3 7 3 3 2 2 2" xfId="27149"/>
    <cellStyle name="20% - Accent3 7 3 3 2 3" xfId="17708"/>
    <cellStyle name="20% - Accent3 7 3 3 2 3 2" xfId="30987"/>
    <cellStyle name="20% - Accent3 7 3 3 2 4" xfId="21996"/>
    <cellStyle name="20% - Accent3 7 3 3 3" xfId="2446"/>
    <cellStyle name="20% - Accent3 7 3 3 3 2" xfId="13758"/>
    <cellStyle name="20% - Accent3 7 3 3 3 2 2" xfId="27150"/>
    <cellStyle name="20% - Accent3 7 3 3 3 3" xfId="17709"/>
    <cellStyle name="20% - Accent3 7 3 3 3 3 2" xfId="30988"/>
    <cellStyle name="20% - Accent3 7 3 3 3 4" xfId="21997"/>
    <cellStyle name="20% - Accent3 7 3 3 4" xfId="13756"/>
    <cellStyle name="20% - Accent3 7 3 3 4 2" xfId="27148"/>
    <cellStyle name="20% - Accent3 7 3 3 5" xfId="17707"/>
    <cellStyle name="20% - Accent3 7 3 3 5 2" xfId="30986"/>
    <cellStyle name="20% - Accent3 7 3 3 6" xfId="21995"/>
    <cellStyle name="20% - Accent3 7 3 4" xfId="2447"/>
    <cellStyle name="20% - Accent3 7 3 4 2" xfId="13759"/>
    <cellStyle name="20% - Accent3 7 3 4 2 2" xfId="27151"/>
    <cellStyle name="20% - Accent3 7 3 4 3" xfId="17710"/>
    <cellStyle name="20% - Accent3 7 3 4 3 2" xfId="30989"/>
    <cellStyle name="20% - Accent3 7 3 4 4" xfId="21998"/>
    <cellStyle name="20% - Accent3 7 3 5" xfId="2448"/>
    <cellStyle name="20% - Accent3 7 3 5 2" xfId="13760"/>
    <cellStyle name="20% - Accent3 7 3 5 2 2" xfId="27152"/>
    <cellStyle name="20% - Accent3 7 3 5 3" xfId="17711"/>
    <cellStyle name="20% - Accent3 7 3 5 3 2" xfId="30990"/>
    <cellStyle name="20% - Accent3 7 3 5 4" xfId="21999"/>
    <cellStyle name="20% - Accent3 7 3 6" xfId="13752"/>
    <cellStyle name="20% - Accent3 7 3 6 2" xfId="27144"/>
    <cellStyle name="20% - Accent3 7 3 7" xfId="17703"/>
    <cellStyle name="20% - Accent3 7 3 7 2" xfId="30982"/>
    <cellStyle name="20% - Accent3 7 3 8" xfId="21991"/>
    <cellStyle name="20% - Accent3 7 3_Volatility" xfId="2449"/>
    <cellStyle name="20% - Accent3 7 4" xfId="2450"/>
    <cellStyle name="20% - Accent3 7 4 2" xfId="2451"/>
    <cellStyle name="20% - Accent3 7 4 2 2" xfId="13762"/>
    <cellStyle name="20% - Accent3 7 4 2 2 2" xfId="27154"/>
    <cellStyle name="20% - Accent3 7 4 2 3" xfId="17713"/>
    <cellStyle name="20% - Accent3 7 4 2 3 2" xfId="30992"/>
    <cellStyle name="20% - Accent3 7 4 2 4" xfId="22001"/>
    <cellStyle name="20% - Accent3 7 4 3" xfId="2452"/>
    <cellStyle name="20% - Accent3 7 4 3 2" xfId="13763"/>
    <cellStyle name="20% - Accent3 7 4 3 2 2" xfId="27155"/>
    <cellStyle name="20% - Accent3 7 4 3 3" xfId="17714"/>
    <cellStyle name="20% - Accent3 7 4 3 3 2" xfId="30993"/>
    <cellStyle name="20% - Accent3 7 4 3 4" xfId="22002"/>
    <cellStyle name="20% - Accent3 7 4 4" xfId="13761"/>
    <cellStyle name="20% - Accent3 7 4 4 2" xfId="27153"/>
    <cellStyle name="20% - Accent3 7 4 5" xfId="17712"/>
    <cellStyle name="20% - Accent3 7 4 5 2" xfId="30991"/>
    <cellStyle name="20% - Accent3 7 4 6" xfId="22000"/>
    <cellStyle name="20% - Accent3 7 5" xfId="2453"/>
    <cellStyle name="20% - Accent3 7 5 2" xfId="2454"/>
    <cellStyle name="20% - Accent3 7 5 2 2" xfId="13765"/>
    <cellStyle name="20% - Accent3 7 5 2 2 2" xfId="27157"/>
    <cellStyle name="20% - Accent3 7 5 2 3" xfId="17716"/>
    <cellStyle name="20% - Accent3 7 5 2 3 2" xfId="30995"/>
    <cellStyle name="20% - Accent3 7 5 2 4" xfId="22004"/>
    <cellStyle name="20% - Accent3 7 5 3" xfId="2455"/>
    <cellStyle name="20% - Accent3 7 5 3 2" xfId="13766"/>
    <cellStyle name="20% - Accent3 7 5 3 2 2" xfId="27158"/>
    <cellStyle name="20% - Accent3 7 5 3 3" xfId="17717"/>
    <cellStyle name="20% - Accent3 7 5 3 3 2" xfId="30996"/>
    <cellStyle name="20% - Accent3 7 5 3 4" xfId="22005"/>
    <cellStyle name="20% - Accent3 7 5 4" xfId="13764"/>
    <cellStyle name="20% - Accent3 7 5 4 2" xfId="27156"/>
    <cellStyle name="20% - Accent3 7 5 5" xfId="17715"/>
    <cellStyle name="20% - Accent3 7 5 5 2" xfId="30994"/>
    <cellStyle name="20% - Accent3 7 5 6" xfId="22003"/>
    <cellStyle name="20% - Accent3 7 6" xfId="2456"/>
    <cellStyle name="20% - Accent3 7 6 2" xfId="2457"/>
    <cellStyle name="20% - Accent3 7 6 2 2" xfId="13768"/>
    <cellStyle name="20% - Accent3 7 6 2 2 2" xfId="27160"/>
    <cellStyle name="20% - Accent3 7 6 2 3" xfId="17719"/>
    <cellStyle name="20% - Accent3 7 6 2 3 2" xfId="30998"/>
    <cellStyle name="20% - Accent3 7 6 2 4" xfId="22007"/>
    <cellStyle name="20% - Accent3 7 6 3" xfId="2458"/>
    <cellStyle name="20% - Accent3 7 6 3 2" xfId="13769"/>
    <cellStyle name="20% - Accent3 7 6 3 2 2" xfId="27161"/>
    <cellStyle name="20% - Accent3 7 6 3 3" xfId="17720"/>
    <cellStyle name="20% - Accent3 7 6 3 3 2" xfId="30999"/>
    <cellStyle name="20% - Accent3 7 6 3 4" xfId="22008"/>
    <cellStyle name="20% - Accent3 7 6 4" xfId="13767"/>
    <cellStyle name="20% - Accent3 7 6 4 2" xfId="27159"/>
    <cellStyle name="20% - Accent3 7 6 5" xfId="17718"/>
    <cellStyle name="20% - Accent3 7 6 5 2" xfId="30997"/>
    <cellStyle name="20% - Accent3 7 6 6" xfId="22006"/>
    <cellStyle name="20% - Accent3 7 7" xfId="2459"/>
    <cellStyle name="20% - Accent3 7 7 2" xfId="13770"/>
    <cellStyle name="20% - Accent3 7 7 2 2" xfId="27162"/>
    <cellStyle name="20% - Accent3 7 7 3" xfId="17721"/>
    <cellStyle name="20% - Accent3 7 7 3 2" xfId="31000"/>
    <cellStyle name="20% - Accent3 7 7 4" xfId="22009"/>
    <cellStyle name="20% - Accent3 7 8" xfId="2460"/>
    <cellStyle name="20% - Accent3 7 8 2" xfId="13771"/>
    <cellStyle name="20% - Accent3 7 8 2 2" xfId="27163"/>
    <cellStyle name="20% - Accent3 7 8 3" xfId="17722"/>
    <cellStyle name="20% - Accent3 7 8 3 2" xfId="31001"/>
    <cellStyle name="20% - Accent3 7 8 4" xfId="22010"/>
    <cellStyle name="20% - Accent3 7 9" xfId="13739"/>
    <cellStyle name="20% - Accent3 7 9 2" xfId="27131"/>
    <cellStyle name="20% - Accent3 7_Volatility" xfId="2461"/>
    <cellStyle name="20% - Accent3 8" xfId="2462"/>
    <cellStyle name="20% - Accent3 8 10" xfId="17723"/>
    <cellStyle name="20% - Accent3 8 10 2" xfId="31002"/>
    <cellStyle name="20% - Accent3 8 11" xfId="22011"/>
    <cellStyle name="20% - Accent3 8 2" xfId="2463"/>
    <cellStyle name="20% - Accent3 8 2 2" xfId="2464"/>
    <cellStyle name="20% - Accent3 8 2 2 2" xfId="2465"/>
    <cellStyle name="20% - Accent3 8 2 2 2 2" xfId="13775"/>
    <cellStyle name="20% - Accent3 8 2 2 2 2 2" xfId="27167"/>
    <cellStyle name="20% - Accent3 8 2 2 2 3" xfId="17726"/>
    <cellStyle name="20% - Accent3 8 2 2 2 3 2" xfId="31005"/>
    <cellStyle name="20% - Accent3 8 2 2 2 4" xfId="22014"/>
    <cellStyle name="20% - Accent3 8 2 2 3" xfId="2466"/>
    <cellStyle name="20% - Accent3 8 2 2 3 2" xfId="13776"/>
    <cellStyle name="20% - Accent3 8 2 2 3 2 2" xfId="27168"/>
    <cellStyle name="20% - Accent3 8 2 2 3 3" xfId="17727"/>
    <cellStyle name="20% - Accent3 8 2 2 3 3 2" xfId="31006"/>
    <cellStyle name="20% - Accent3 8 2 2 3 4" xfId="22015"/>
    <cellStyle name="20% - Accent3 8 2 2 4" xfId="13774"/>
    <cellStyle name="20% - Accent3 8 2 2 4 2" xfId="27166"/>
    <cellStyle name="20% - Accent3 8 2 2 5" xfId="17725"/>
    <cellStyle name="20% - Accent3 8 2 2 5 2" xfId="31004"/>
    <cellStyle name="20% - Accent3 8 2 2 6" xfId="22013"/>
    <cellStyle name="20% - Accent3 8 2 3" xfId="2467"/>
    <cellStyle name="20% - Accent3 8 2 3 2" xfId="2468"/>
    <cellStyle name="20% - Accent3 8 2 3 2 2" xfId="13778"/>
    <cellStyle name="20% - Accent3 8 2 3 2 2 2" xfId="27170"/>
    <cellStyle name="20% - Accent3 8 2 3 2 3" xfId="17729"/>
    <cellStyle name="20% - Accent3 8 2 3 2 3 2" xfId="31008"/>
    <cellStyle name="20% - Accent3 8 2 3 2 4" xfId="22017"/>
    <cellStyle name="20% - Accent3 8 2 3 3" xfId="2469"/>
    <cellStyle name="20% - Accent3 8 2 3 3 2" xfId="13779"/>
    <cellStyle name="20% - Accent3 8 2 3 3 2 2" xfId="27171"/>
    <cellStyle name="20% - Accent3 8 2 3 3 3" xfId="17730"/>
    <cellStyle name="20% - Accent3 8 2 3 3 3 2" xfId="31009"/>
    <cellStyle name="20% - Accent3 8 2 3 3 4" xfId="22018"/>
    <cellStyle name="20% - Accent3 8 2 3 4" xfId="13777"/>
    <cellStyle name="20% - Accent3 8 2 3 4 2" xfId="27169"/>
    <cellStyle name="20% - Accent3 8 2 3 5" xfId="17728"/>
    <cellStyle name="20% - Accent3 8 2 3 5 2" xfId="31007"/>
    <cellStyle name="20% - Accent3 8 2 3 6" xfId="22016"/>
    <cellStyle name="20% - Accent3 8 2 4" xfId="2470"/>
    <cellStyle name="20% - Accent3 8 2 4 2" xfId="2471"/>
    <cellStyle name="20% - Accent3 8 2 4 2 2" xfId="13781"/>
    <cellStyle name="20% - Accent3 8 2 4 2 2 2" xfId="27173"/>
    <cellStyle name="20% - Accent3 8 2 4 2 3" xfId="17732"/>
    <cellStyle name="20% - Accent3 8 2 4 2 3 2" xfId="31011"/>
    <cellStyle name="20% - Accent3 8 2 4 2 4" xfId="22020"/>
    <cellStyle name="20% - Accent3 8 2 4 3" xfId="2472"/>
    <cellStyle name="20% - Accent3 8 2 4 3 2" xfId="13782"/>
    <cellStyle name="20% - Accent3 8 2 4 3 2 2" xfId="27174"/>
    <cellStyle name="20% - Accent3 8 2 4 3 3" xfId="17733"/>
    <cellStyle name="20% - Accent3 8 2 4 3 3 2" xfId="31012"/>
    <cellStyle name="20% - Accent3 8 2 4 3 4" xfId="22021"/>
    <cellStyle name="20% - Accent3 8 2 4 4" xfId="13780"/>
    <cellStyle name="20% - Accent3 8 2 4 4 2" xfId="27172"/>
    <cellStyle name="20% - Accent3 8 2 4 5" xfId="17731"/>
    <cellStyle name="20% - Accent3 8 2 4 5 2" xfId="31010"/>
    <cellStyle name="20% - Accent3 8 2 4 6" xfId="22019"/>
    <cellStyle name="20% - Accent3 8 2 5" xfId="2473"/>
    <cellStyle name="20% - Accent3 8 2 5 2" xfId="13783"/>
    <cellStyle name="20% - Accent3 8 2 5 2 2" xfId="27175"/>
    <cellStyle name="20% - Accent3 8 2 5 3" xfId="17734"/>
    <cellStyle name="20% - Accent3 8 2 5 3 2" xfId="31013"/>
    <cellStyle name="20% - Accent3 8 2 5 4" xfId="22022"/>
    <cellStyle name="20% - Accent3 8 2 6" xfId="2474"/>
    <cellStyle name="20% - Accent3 8 2 6 2" xfId="13784"/>
    <cellStyle name="20% - Accent3 8 2 6 2 2" xfId="27176"/>
    <cellStyle name="20% - Accent3 8 2 6 3" xfId="17735"/>
    <cellStyle name="20% - Accent3 8 2 6 3 2" xfId="31014"/>
    <cellStyle name="20% - Accent3 8 2 6 4" xfId="22023"/>
    <cellStyle name="20% - Accent3 8 2 7" xfId="13773"/>
    <cellStyle name="20% - Accent3 8 2 7 2" xfId="27165"/>
    <cellStyle name="20% - Accent3 8 2 8" xfId="17724"/>
    <cellStyle name="20% - Accent3 8 2 8 2" xfId="31003"/>
    <cellStyle name="20% - Accent3 8 2 9" xfId="22012"/>
    <cellStyle name="20% - Accent3 8 2_Volatility" xfId="2475"/>
    <cellStyle name="20% - Accent3 8 3" xfId="2476"/>
    <cellStyle name="20% - Accent3 8 3 2" xfId="2477"/>
    <cellStyle name="20% - Accent3 8 3 2 2" xfId="2478"/>
    <cellStyle name="20% - Accent3 8 3 2 2 2" xfId="13787"/>
    <cellStyle name="20% - Accent3 8 3 2 2 2 2" xfId="27179"/>
    <cellStyle name="20% - Accent3 8 3 2 2 3" xfId="17738"/>
    <cellStyle name="20% - Accent3 8 3 2 2 3 2" xfId="31017"/>
    <cellStyle name="20% - Accent3 8 3 2 2 4" xfId="22026"/>
    <cellStyle name="20% - Accent3 8 3 2 3" xfId="2479"/>
    <cellStyle name="20% - Accent3 8 3 2 3 2" xfId="13788"/>
    <cellStyle name="20% - Accent3 8 3 2 3 2 2" xfId="27180"/>
    <cellStyle name="20% - Accent3 8 3 2 3 3" xfId="17739"/>
    <cellStyle name="20% - Accent3 8 3 2 3 3 2" xfId="31018"/>
    <cellStyle name="20% - Accent3 8 3 2 3 4" xfId="22027"/>
    <cellStyle name="20% - Accent3 8 3 2 4" xfId="13786"/>
    <cellStyle name="20% - Accent3 8 3 2 4 2" xfId="27178"/>
    <cellStyle name="20% - Accent3 8 3 2 5" xfId="17737"/>
    <cellStyle name="20% - Accent3 8 3 2 5 2" xfId="31016"/>
    <cellStyle name="20% - Accent3 8 3 2 6" xfId="22025"/>
    <cellStyle name="20% - Accent3 8 3 3" xfId="2480"/>
    <cellStyle name="20% - Accent3 8 3 3 2" xfId="2481"/>
    <cellStyle name="20% - Accent3 8 3 3 2 2" xfId="13790"/>
    <cellStyle name="20% - Accent3 8 3 3 2 2 2" xfId="27182"/>
    <cellStyle name="20% - Accent3 8 3 3 2 3" xfId="17741"/>
    <cellStyle name="20% - Accent3 8 3 3 2 3 2" xfId="31020"/>
    <cellStyle name="20% - Accent3 8 3 3 2 4" xfId="22029"/>
    <cellStyle name="20% - Accent3 8 3 3 3" xfId="2482"/>
    <cellStyle name="20% - Accent3 8 3 3 3 2" xfId="13791"/>
    <cellStyle name="20% - Accent3 8 3 3 3 2 2" xfId="27183"/>
    <cellStyle name="20% - Accent3 8 3 3 3 3" xfId="17742"/>
    <cellStyle name="20% - Accent3 8 3 3 3 3 2" xfId="31021"/>
    <cellStyle name="20% - Accent3 8 3 3 3 4" xfId="22030"/>
    <cellStyle name="20% - Accent3 8 3 3 4" xfId="13789"/>
    <cellStyle name="20% - Accent3 8 3 3 4 2" xfId="27181"/>
    <cellStyle name="20% - Accent3 8 3 3 5" xfId="17740"/>
    <cellStyle name="20% - Accent3 8 3 3 5 2" xfId="31019"/>
    <cellStyle name="20% - Accent3 8 3 3 6" xfId="22028"/>
    <cellStyle name="20% - Accent3 8 3 4" xfId="2483"/>
    <cellStyle name="20% - Accent3 8 3 4 2" xfId="13792"/>
    <cellStyle name="20% - Accent3 8 3 4 2 2" xfId="27184"/>
    <cellStyle name="20% - Accent3 8 3 4 3" xfId="17743"/>
    <cellStyle name="20% - Accent3 8 3 4 3 2" xfId="31022"/>
    <cellStyle name="20% - Accent3 8 3 4 4" xfId="22031"/>
    <cellStyle name="20% - Accent3 8 3 5" xfId="2484"/>
    <cellStyle name="20% - Accent3 8 3 5 2" xfId="13793"/>
    <cellStyle name="20% - Accent3 8 3 5 2 2" xfId="27185"/>
    <cellStyle name="20% - Accent3 8 3 5 3" xfId="17744"/>
    <cellStyle name="20% - Accent3 8 3 5 3 2" xfId="31023"/>
    <cellStyle name="20% - Accent3 8 3 5 4" xfId="22032"/>
    <cellStyle name="20% - Accent3 8 3 6" xfId="13785"/>
    <cellStyle name="20% - Accent3 8 3 6 2" xfId="27177"/>
    <cellStyle name="20% - Accent3 8 3 7" xfId="17736"/>
    <cellStyle name="20% - Accent3 8 3 7 2" xfId="31015"/>
    <cellStyle name="20% - Accent3 8 3 8" xfId="22024"/>
    <cellStyle name="20% - Accent3 8 3_Volatility" xfId="2485"/>
    <cellStyle name="20% - Accent3 8 4" xfId="2486"/>
    <cellStyle name="20% - Accent3 8 4 2" xfId="2487"/>
    <cellStyle name="20% - Accent3 8 4 2 2" xfId="13795"/>
    <cellStyle name="20% - Accent3 8 4 2 2 2" xfId="27187"/>
    <cellStyle name="20% - Accent3 8 4 2 3" xfId="17746"/>
    <cellStyle name="20% - Accent3 8 4 2 3 2" xfId="31025"/>
    <cellStyle name="20% - Accent3 8 4 2 4" xfId="22034"/>
    <cellStyle name="20% - Accent3 8 4 3" xfId="2488"/>
    <cellStyle name="20% - Accent3 8 4 3 2" xfId="13796"/>
    <cellStyle name="20% - Accent3 8 4 3 2 2" xfId="27188"/>
    <cellStyle name="20% - Accent3 8 4 3 3" xfId="17747"/>
    <cellStyle name="20% - Accent3 8 4 3 3 2" xfId="31026"/>
    <cellStyle name="20% - Accent3 8 4 3 4" xfId="22035"/>
    <cellStyle name="20% - Accent3 8 4 4" xfId="13794"/>
    <cellStyle name="20% - Accent3 8 4 4 2" xfId="27186"/>
    <cellStyle name="20% - Accent3 8 4 5" xfId="17745"/>
    <cellStyle name="20% - Accent3 8 4 5 2" xfId="31024"/>
    <cellStyle name="20% - Accent3 8 4 6" xfId="22033"/>
    <cellStyle name="20% - Accent3 8 5" xfId="2489"/>
    <cellStyle name="20% - Accent3 8 5 2" xfId="2490"/>
    <cellStyle name="20% - Accent3 8 5 2 2" xfId="13798"/>
    <cellStyle name="20% - Accent3 8 5 2 2 2" xfId="27190"/>
    <cellStyle name="20% - Accent3 8 5 2 3" xfId="17749"/>
    <cellStyle name="20% - Accent3 8 5 2 3 2" xfId="31028"/>
    <cellStyle name="20% - Accent3 8 5 2 4" xfId="22037"/>
    <cellStyle name="20% - Accent3 8 5 3" xfId="2491"/>
    <cellStyle name="20% - Accent3 8 5 3 2" xfId="13799"/>
    <cellStyle name="20% - Accent3 8 5 3 2 2" xfId="27191"/>
    <cellStyle name="20% - Accent3 8 5 3 3" xfId="17750"/>
    <cellStyle name="20% - Accent3 8 5 3 3 2" xfId="31029"/>
    <cellStyle name="20% - Accent3 8 5 3 4" xfId="22038"/>
    <cellStyle name="20% - Accent3 8 5 4" xfId="13797"/>
    <cellStyle name="20% - Accent3 8 5 4 2" xfId="27189"/>
    <cellStyle name="20% - Accent3 8 5 5" xfId="17748"/>
    <cellStyle name="20% - Accent3 8 5 5 2" xfId="31027"/>
    <cellStyle name="20% - Accent3 8 5 6" xfId="22036"/>
    <cellStyle name="20% - Accent3 8 6" xfId="2492"/>
    <cellStyle name="20% - Accent3 8 6 2" xfId="2493"/>
    <cellStyle name="20% - Accent3 8 6 2 2" xfId="13801"/>
    <cellStyle name="20% - Accent3 8 6 2 2 2" xfId="27193"/>
    <cellStyle name="20% - Accent3 8 6 2 3" xfId="17752"/>
    <cellStyle name="20% - Accent3 8 6 2 3 2" xfId="31031"/>
    <cellStyle name="20% - Accent3 8 6 2 4" xfId="22040"/>
    <cellStyle name="20% - Accent3 8 6 3" xfId="2494"/>
    <cellStyle name="20% - Accent3 8 6 3 2" xfId="13802"/>
    <cellStyle name="20% - Accent3 8 6 3 2 2" xfId="27194"/>
    <cellStyle name="20% - Accent3 8 6 3 3" xfId="17753"/>
    <cellStyle name="20% - Accent3 8 6 3 3 2" xfId="31032"/>
    <cellStyle name="20% - Accent3 8 6 3 4" xfId="22041"/>
    <cellStyle name="20% - Accent3 8 6 4" xfId="13800"/>
    <cellStyle name="20% - Accent3 8 6 4 2" xfId="27192"/>
    <cellStyle name="20% - Accent3 8 6 5" xfId="17751"/>
    <cellStyle name="20% - Accent3 8 6 5 2" xfId="31030"/>
    <cellStyle name="20% - Accent3 8 6 6" xfId="22039"/>
    <cellStyle name="20% - Accent3 8 7" xfId="2495"/>
    <cellStyle name="20% - Accent3 8 7 2" xfId="13803"/>
    <cellStyle name="20% - Accent3 8 7 2 2" xfId="27195"/>
    <cellStyle name="20% - Accent3 8 7 3" xfId="17754"/>
    <cellStyle name="20% - Accent3 8 7 3 2" xfId="31033"/>
    <cellStyle name="20% - Accent3 8 7 4" xfId="22042"/>
    <cellStyle name="20% - Accent3 8 8" xfId="2496"/>
    <cellStyle name="20% - Accent3 8 8 2" xfId="13804"/>
    <cellStyle name="20% - Accent3 8 8 2 2" xfId="27196"/>
    <cellStyle name="20% - Accent3 8 8 3" xfId="17755"/>
    <cellStyle name="20% - Accent3 8 8 3 2" xfId="31034"/>
    <cellStyle name="20% - Accent3 8 8 4" xfId="22043"/>
    <cellStyle name="20% - Accent3 8 9" xfId="13772"/>
    <cellStyle name="20% - Accent3 8 9 2" xfId="27164"/>
    <cellStyle name="20% - Accent3 8_Volatility" xfId="2497"/>
    <cellStyle name="20% - Accent3 9" xfId="2498"/>
    <cellStyle name="20% - Accent3 9 10" xfId="17756"/>
    <cellStyle name="20% - Accent3 9 10 2" xfId="31035"/>
    <cellStyle name="20% - Accent3 9 11" xfId="22044"/>
    <cellStyle name="20% - Accent3 9 2" xfId="2499"/>
    <cellStyle name="20% - Accent3 9 2 2" xfId="2500"/>
    <cellStyle name="20% - Accent3 9 2 2 2" xfId="2501"/>
    <cellStyle name="20% - Accent3 9 2 2 2 2" xfId="13808"/>
    <cellStyle name="20% - Accent3 9 2 2 2 2 2" xfId="27200"/>
    <cellStyle name="20% - Accent3 9 2 2 2 3" xfId="17759"/>
    <cellStyle name="20% - Accent3 9 2 2 2 3 2" xfId="31038"/>
    <cellStyle name="20% - Accent3 9 2 2 2 4" xfId="22047"/>
    <cellStyle name="20% - Accent3 9 2 2 3" xfId="2502"/>
    <cellStyle name="20% - Accent3 9 2 2 3 2" xfId="13809"/>
    <cellStyle name="20% - Accent3 9 2 2 3 2 2" xfId="27201"/>
    <cellStyle name="20% - Accent3 9 2 2 3 3" xfId="17760"/>
    <cellStyle name="20% - Accent3 9 2 2 3 3 2" xfId="31039"/>
    <cellStyle name="20% - Accent3 9 2 2 3 4" xfId="22048"/>
    <cellStyle name="20% - Accent3 9 2 2 4" xfId="13807"/>
    <cellStyle name="20% - Accent3 9 2 2 4 2" xfId="27199"/>
    <cellStyle name="20% - Accent3 9 2 2 5" xfId="17758"/>
    <cellStyle name="20% - Accent3 9 2 2 5 2" xfId="31037"/>
    <cellStyle name="20% - Accent3 9 2 2 6" xfId="22046"/>
    <cellStyle name="20% - Accent3 9 2 3" xfId="2503"/>
    <cellStyle name="20% - Accent3 9 2 3 2" xfId="2504"/>
    <cellStyle name="20% - Accent3 9 2 3 2 2" xfId="13811"/>
    <cellStyle name="20% - Accent3 9 2 3 2 2 2" xfId="27203"/>
    <cellStyle name="20% - Accent3 9 2 3 2 3" xfId="17762"/>
    <cellStyle name="20% - Accent3 9 2 3 2 3 2" xfId="31041"/>
    <cellStyle name="20% - Accent3 9 2 3 2 4" xfId="22050"/>
    <cellStyle name="20% - Accent3 9 2 3 3" xfId="2505"/>
    <cellStyle name="20% - Accent3 9 2 3 3 2" xfId="13812"/>
    <cellStyle name="20% - Accent3 9 2 3 3 2 2" xfId="27204"/>
    <cellStyle name="20% - Accent3 9 2 3 3 3" xfId="17763"/>
    <cellStyle name="20% - Accent3 9 2 3 3 3 2" xfId="31042"/>
    <cellStyle name="20% - Accent3 9 2 3 3 4" xfId="22051"/>
    <cellStyle name="20% - Accent3 9 2 3 4" xfId="13810"/>
    <cellStyle name="20% - Accent3 9 2 3 4 2" xfId="27202"/>
    <cellStyle name="20% - Accent3 9 2 3 5" xfId="17761"/>
    <cellStyle name="20% - Accent3 9 2 3 5 2" xfId="31040"/>
    <cellStyle name="20% - Accent3 9 2 3 6" xfId="22049"/>
    <cellStyle name="20% - Accent3 9 2 4" xfId="2506"/>
    <cellStyle name="20% - Accent3 9 2 4 2" xfId="2507"/>
    <cellStyle name="20% - Accent3 9 2 4 2 2" xfId="13814"/>
    <cellStyle name="20% - Accent3 9 2 4 2 2 2" xfId="27206"/>
    <cellStyle name="20% - Accent3 9 2 4 2 3" xfId="17765"/>
    <cellStyle name="20% - Accent3 9 2 4 2 3 2" xfId="31044"/>
    <cellStyle name="20% - Accent3 9 2 4 2 4" xfId="22053"/>
    <cellStyle name="20% - Accent3 9 2 4 3" xfId="2508"/>
    <cellStyle name="20% - Accent3 9 2 4 3 2" xfId="13815"/>
    <cellStyle name="20% - Accent3 9 2 4 3 2 2" xfId="27207"/>
    <cellStyle name="20% - Accent3 9 2 4 3 3" xfId="17766"/>
    <cellStyle name="20% - Accent3 9 2 4 3 3 2" xfId="31045"/>
    <cellStyle name="20% - Accent3 9 2 4 3 4" xfId="22054"/>
    <cellStyle name="20% - Accent3 9 2 4 4" xfId="13813"/>
    <cellStyle name="20% - Accent3 9 2 4 4 2" xfId="27205"/>
    <cellStyle name="20% - Accent3 9 2 4 5" xfId="17764"/>
    <cellStyle name="20% - Accent3 9 2 4 5 2" xfId="31043"/>
    <cellStyle name="20% - Accent3 9 2 4 6" xfId="22052"/>
    <cellStyle name="20% - Accent3 9 2 5" xfId="2509"/>
    <cellStyle name="20% - Accent3 9 2 5 2" xfId="13816"/>
    <cellStyle name="20% - Accent3 9 2 5 2 2" xfId="27208"/>
    <cellStyle name="20% - Accent3 9 2 5 3" xfId="17767"/>
    <cellStyle name="20% - Accent3 9 2 5 3 2" xfId="31046"/>
    <cellStyle name="20% - Accent3 9 2 5 4" xfId="22055"/>
    <cellStyle name="20% - Accent3 9 2 6" xfId="2510"/>
    <cellStyle name="20% - Accent3 9 2 6 2" xfId="13817"/>
    <cellStyle name="20% - Accent3 9 2 6 2 2" xfId="27209"/>
    <cellStyle name="20% - Accent3 9 2 6 3" xfId="17768"/>
    <cellStyle name="20% - Accent3 9 2 6 3 2" xfId="31047"/>
    <cellStyle name="20% - Accent3 9 2 6 4" xfId="22056"/>
    <cellStyle name="20% - Accent3 9 2 7" xfId="13806"/>
    <cellStyle name="20% - Accent3 9 2 7 2" xfId="27198"/>
    <cellStyle name="20% - Accent3 9 2 8" xfId="17757"/>
    <cellStyle name="20% - Accent3 9 2 8 2" xfId="31036"/>
    <cellStyle name="20% - Accent3 9 2 9" xfId="22045"/>
    <cellStyle name="20% - Accent3 9 2_Volatility" xfId="2511"/>
    <cellStyle name="20% - Accent3 9 3" xfId="2512"/>
    <cellStyle name="20% - Accent3 9 3 2" xfId="2513"/>
    <cellStyle name="20% - Accent3 9 3 2 2" xfId="2514"/>
    <cellStyle name="20% - Accent3 9 3 2 2 2" xfId="13820"/>
    <cellStyle name="20% - Accent3 9 3 2 2 2 2" xfId="27212"/>
    <cellStyle name="20% - Accent3 9 3 2 2 3" xfId="17771"/>
    <cellStyle name="20% - Accent3 9 3 2 2 3 2" xfId="31050"/>
    <cellStyle name="20% - Accent3 9 3 2 2 4" xfId="22059"/>
    <cellStyle name="20% - Accent3 9 3 2 3" xfId="2515"/>
    <cellStyle name="20% - Accent3 9 3 2 3 2" xfId="13821"/>
    <cellStyle name="20% - Accent3 9 3 2 3 2 2" xfId="27213"/>
    <cellStyle name="20% - Accent3 9 3 2 3 3" xfId="17772"/>
    <cellStyle name="20% - Accent3 9 3 2 3 3 2" xfId="31051"/>
    <cellStyle name="20% - Accent3 9 3 2 3 4" xfId="22060"/>
    <cellStyle name="20% - Accent3 9 3 2 4" xfId="13819"/>
    <cellStyle name="20% - Accent3 9 3 2 4 2" xfId="27211"/>
    <cellStyle name="20% - Accent3 9 3 2 5" xfId="17770"/>
    <cellStyle name="20% - Accent3 9 3 2 5 2" xfId="31049"/>
    <cellStyle name="20% - Accent3 9 3 2 6" xfId="22058"/>
    <cellStyle name="20% - Accent3 9 3 3" xfId="2516"/>
    <cellStyle name="20% - Accent3 9 3 3 2" xfId="2517"/>
    <cellStyle name="20% - Accent3 9 3 3 2 2" xfId="13823"/>
    <cellStyle name="20% - Accent3 9 3 3 2 2 2" xfId="27215"/>
    <cellStyle name="20% - Accent3 9 3 3 2 3" xfId="17774"/>
    <cellStyle name="20% - Accent3 9 3 3 2 3 2" xfId="31053"/>
    <cellStyle name="20% - Accent3 9 3 3 2 4" xfId="22062"/>
    <cellStyle name="20% - Accent3 9 3 3 3" xfId="2518"/>
    <cellStyle name="20% - Accent3 9 3 3 3 2" xfId="13824"/>
    <cellStyle name="20% - Accent3 9 3 3 3 2 2" xfId="27216"/>
    <cellStyle name="20% - Accent3 9 3 3 3 3" xfId="17775"/>
    <cellStyle name="20% - Accent3 9 3 3 3 3 2" xfId="31054"/>
    <cellStyle name="20% - Accent3 9 3 3 3 4" xfId="22063"/>
    <cellStyle name="20% - Accent3 9 3 3 4" xfId="13822"/>
    <cellStyle name="20% - Accent3 9 3 3 4 2" xfId="27214"/>
    <cellStyle name="20% - Accent3 9 3 3 5" xfId="17773"/>
    <cellStyle name="20% - Accent3 9 3 3 5 2" xfId="31052"/>
    <cellStyle name="20% - Accent3 9 3 3 6" xfId="22061"/>
    <cellStyle name="20% - Accent3 9 3 4" xfId="2519"/>
    <cellStyle name="20% - Accent3 9 3 4 2" xfId="13825"/>
    <cellStyle name="20% - Accent3 9 3 4 2 2" xfId="27217"/>
    <cellStyle name="20% - Accent3 9 3 4 3" xfId="17776"/>
    <cellStyle name="20% - Accent3 9 3 4 3 2" xfId="31055"/>
    <cellStyle name="20% - Accent3 9 3 4 4" xfId="22064"/>
    <cellStyle name="20% - Accent3 9 3 5" xfId="2520"/>
    <cellStyle name="20% - Accent3 9 3 5 2" xfId="13826"/>
    <cellStyle name="20% - Accent3 9 3 5 2 2" xfId="27218"/>
    <cellStyle name="20% - Accent3 9 3 5 3" xfId="17777"/>
    <cellStyle name="20% - Accent3 9 3 5 3 2" xfId="31056"/>
    <cellStyle name="20% - Accent3 9 3 5 4" xfId="22065"/>
    <cellStyle name="20% - Accent3 9 3 6" xfId="13818"/>
    <cellStyle name="20% - Accent3 9 3 6 2" xfId="27210"/>
    <cellStyle name="20% - Accent3 9 3 7" xfId="17769"/>
    <cellStyle name="20% - Accent3 9 3 7 2" xfId="31048"/>
    <cellStyle name="20% - Accent3 9 3 8" xfId="22057"/>
    <cellStyle name="20% - Accent3 9 3_Volatility" xfId="2521"/>
    <cellStyle name="20% - Accent3 9 4" xfId="2522"/>
    <cellStyle name="20% - Accent3 9 4 2" xfId="2523"/>
    <cellStyle name="20% - Accent3 9 4 2 2" xfId="13828"/>
    <cellStyle name="20% - Accent3 9 4 2 2 2" xfId="27220"/>
    <cellStyle name="20% - Accent3 9 4 2 3" xfId="17779"/>
    <cellStyle name="20% - Accent3 9 4 2 3 2" xfId="31058"/>
    <cellStyle name="20% - Accent3 9 4 2 4" xfId="22067"/>
    <cellStyle name="20% - Accent3 9 4 3" xfId="2524"/>
    <cellStyle name="20% - Accent3 9 4 3 2" xfId="13829"/>
    <cellStyle name="20% - Accent3 9 4 3 2 2" xfId="27221"/>
    <cellStyle name="20% - Accent3 9 4 3 3" xfId="17780"/>
    <cellStyle name="20% - Accent3 9 4 3 3 2" xfId="31059"/>
    <cellStyle name="20% - Accent3 9 4 3 4" xfId="22068"/>
    <cellStyle name="20% - Accent3 9 4 4" xfId="13827"/>
    <cellStyle name="20% - Accent3 9 4 4 2" xfId="27219"/>
    <cellStyle name="20% - Accent3 9 4 5" xfId="17778"/>
    <cellStyle name="20% - Accent3 9 4 5 2" xfId="31057"/>
    <cellStyle name="20% - Accent3 9 4 6" xfId="22066"/>
    <cellStyle name="20% - Accent3 9 5" xfId="2525"/>
    <cellStyle name="20% - Accent3 9 5 2" xfId="2526"/>
    <cellStyle name="20% - Accent3 9 5 2 2" xfId="13831"/>
    <cellStyle name="20% - Accent3 9 5 2 2 2" xfId="27223"/>
    <cellStyle name="20% - Accent3 9 5 2 3" xfId="17782"/>
    <cellStyle name="20% - Accent3 9 5 2 3 2" xfId="31061"/>
    <cellStyle name="20% - Accent3 9 5 2 4" xfId="22070"/>
    <cellStyle name="20% - Accent3 9 5 3" xfId="2527"/>
    <cellStyle name="20% - Accent3 9 5 3 2" xfId="13832"/>
    <cellStyle name="20% - Accent3 9 5 3 2 2" xfId="27224"/>
    <cellStyle name="20% - Accent3 9 5 3 3" xfId="17783"/>
    <cellStyle name="20% - Accent3 9 5 3 3 2" xfId="31062"/>
    <cellStyle name="20% - Accent3 9 5 3 4" xfId="22071"/>
    <cellStyle name="20% - Accent3 9 5 4" xfId="13830"/>
    <cellStyle name="20% - Accent3 9 5 4 2" xfId="27222"/>
    <cellStyle name="20% - Accent3 9 5 5" xfId="17781"/>
    <cellStyle name="20% - Accent3 9 5 5 2" xfId="31060"/>
    <cellStyle name="20% - Accent3 9 5 6" xfId="22069"/>
    <cellStyle name="20% - Accent3 9 6" xfId="2528"/>
    <cellStyle name="20% - Accent3 9 6 2" xfId="2529"/>
    <cellStyle name="20% - Accent3 9 6 2 2" xfId="13834"/>
    <cellStyle name="20% - Accent3 9 6 2 2 2" xfId="27226"/>
    <cellStyle name="20% - Accent3 9 6 2 3" xfId="17785"/>
    <cellStyle name="20% - Accent3 9 6 2 3 2" xfId="31064"/>
    <cellStyle name="20% - Accent3 9 6 2 4" xfId="22073"/>
    <cellStyle name="20% - Accent3 9 6 3" xfId="2530"/>
    <cellStyle name="20% - Accent3 9 6 3 2" xfId="13835"/>
    <cellStyle name="20% - Accent3 9 6 3 2 2" xfId="27227"/>
    <cellStyle name="20% - Accent3 9 6 3 3" xfId="17786"/>
    <cellStyle name="20% - Accent3 9 6 3 3 2" xfId="31065"/>
    <cellStyle name="20% - Accent3 9 6 3 4" xfId="22074"/>
    <cellStyle name="20% - Accent3 9 6 4" xfId="13833"/>
    <cellStyle name="20% - Accent3 9 6 4 2" xfId="27225"/>
    <cellStyle name="20% - Accent3 9 6 5" xfId="17784"/>
    <cellStyle name="20% - Accent3 9 6 5 2" xfId="31063"/>
    <cellStyle name="20% - Accent3 9 6 6" xfId="22072"/>
    <cellStyle name="20% - Accent3 9 7" xfId="2531"/>
    <cellStyle name="20% - Accent3 9 7 2" xfId="13836"/>
    <cellStyle name="20% - Accent3 9 7 2 2" xfId="27228"/>
    <cellStyle name="20% - Accent3 9 7 3" xfId="17787"/>
    <cellStyle name="20% - Accent3 9 7 3 2" xfId="31066"/>
    <cellStyle name="20% - Accent3 9 7 4" xfId="22075"/>
    <cellStyle name="20% - Accent3 9 8" xfId="2532"/>
    <cellStyle name="20% - Accent3 9 8 2" xfId="13837"/>
    <cellStyle name="20% - Accent3 9 8 2 2" xfId="27229"/>
    <cellStyle name="20% - Accent3 9 8 3" xfId="17788"/>
    <cellStyle name="20% - Accent3 9 8 3 2" xfId="31067"/>
    <cellStyle name="20% - Accent3 9 8 4" xfId="22076"/>
    <cellStyle name="20% - Accent3 9 9" xfId="13805"/>
    <cellStyle name="20% - Accent3 9 9 2" xfId="27197"/>
    <cellStyle name="20% - Accent3 9_Volatility" xfId="2533"/>
    <cellStyle name="20% - Accent4 10" xfId="2534"/>
    <cellStyle name="20% - Accent4 10 10" xfId="17789"/>
    <cellStyle name="20% - Accent4 10 10 2" xfId="31068"/>
    <cellStyle name="20% - Accent4 10 11" xfId="22077"/>
    <cellStyle name="20% - Accent4 10 2" xfId="2535"/>
    <cellStyle name="20% - Accent4 10 2 2" xfId="2536"/>
    <cellStyle name="20% - Accent4 10 2 2 2" xfId="2537"/>
    <cellStyle name="20% - Accent4 10 2 2 2 2" xfId="13841"/>
    <cellStyle name="20% - Accent4 10 2 2 2 2 2" xfId="27233"/>
    <cellStyle name="20% - Accent4 10 2 2 2 3" xfId="17792"/>
    <cellStyle name="20% - Accent4 10 2 2 2 3 2" xfId="31071"/>
    <cellStyle name="20% - Accent4 10 2 2 2 4" xfId="22080"/>
    <cellStyle name="20% - Accent4 10 2 2 3" xfId="2538"/>
    <cellStyle name="20% - Accent4 10 2 2 3 2" xfId="13842"/>
    <cellStyle name="20% - Accent4 10 2 2 3 2 2" xfId="27234"/>
    <cellStyle name="20% - Accent4 10 2 2 3 3" xfId="17793"/>
    <cellStyle name="20% - Accent4 10 2 2 3 3 2" xfId="31072"/>
    <cellStyle name="20% - Accent4 10 2 2 3 4" xfId="22081"/>
    <cellStyle name="20% - Accent4 10 2 2 4" xfId="13840"/>
    <cellStyle name="20% - Accent4 10 2 2 4 2" xfId="27232"/>
    <cellStyle name="20% - Accent4 10 2 2 5" xfId="17791"/>
    <cellStyle name="20% - Accent4 10 2 2 5 2" xfId="31070"/>
    <cellStyle name="20% - Accent4 10 2 2 6" xfId="22079"/>
    <cellStyle name="20% - Accent4 10 2 3" xfId="2539"/>
    <cellStyle name="20% - Accent4 10 2 3 2" xfId="2540"/>
    <cellStyle name="20% - Accent4 10 2 3 2 2" xfId="13844"/>
    <cellStyle name="20% - Accent4 10 2 3 2 2 2" xfId="27236"/>
    <cellStyle name="20% - Accent4 10 2 3 2 3" xfId="17795"/>
    <cellStyle name="20% - Accent4 10 2 3 2 3 2" xfId="31074"/>
    <cellStyle name="20% - Accent4 10 2 3 2 4" xfId="22083"/>
    <cellStyle name="20% - Accent4 10 2 3 3" xfId="2541"/>
    <cellStyle name="20% - Accent4 10 2 3 3 2" xfId="13845"/>
    <cellStyle name="20% - Accent4 10 2 3 3 2 2" xfId="27237"/>
    <cellStyle name="20% - Accent4 10 2 3 3 3" xfId="17796"/>
    <cellStyle name="20% - Accent4 10 2 3 3 3 2" xfId="31075"/>
    <cellStyle name="20% - Accent4 10 2 3 3 4" xfId="22084"/>
    <cellStyle name="20% - Accent4 10 2 3 4" xfId="13843"/>
    <cellStyle name="20% - Accent4 10 2 3 4 2" xfId="27235"/>
    <cellStyle name="20% - Accent4 10 2 3 5" xfId="17794"/>
    <cellStyle name="20% - Accent4 10 2 3 5 2" xfId="31073"/>
    <cellStyle name="20% - Accent4 10 2 3 6" xfId="22082"/>
    <cellStyle name="20% - Accent4 10 2 4" xfId="2542"/>
    <cellStyle name="20% - Accent4 10 2 4 2" xfId="2543"/>
    <cellStyle name="20% - Accent4 10 2 4 2 2" xfId="13847"/>
    <cellStyle name="20% - Accent4 10 2 4 2 2 2" xfId="27239"/>
    <cellStyle name="20% - Accent4 10 2 4 2 3" xfId="17798"/>
    <cellStyle name="20% - Accent4 10 2 4 2 3 2" xfId="31077"/>
    <cellStyle name="20% - Accent4 10 2 4 2 4" xfId="22086"/>
    <cellStyle name="20% - Accent4 10 2 4 3" xfId="2544"/>
    <cellStyle name="20% - Accent4 10 2 4 3 2" xfId="13848"/>
    <cellStyle name="20% - Accent4 10 2 4 3 2 2" xfId="27240"/>
    <cellStyle name="20% - Accent4 10 2 4 3 3" xfId="17799"/>
    <cellStyle name="20% - Accent4 10 2 4 3 3 2" xfId="31078"/>
    <cellStyle name="20% - Accent4 10 2 4 3 4" xfId="22087"/>
    <cellStyle name="20% - Accent4 10 2 4 4" xfId="13846"/>
    <cellStyle name="20% - Accent4 10 2 4 4 2" xfId="27238"/>
    <cellStyle name="20% - Accent4 10 2 4 5" xfId="17797"/>
    <cellStyle name="20% - Accent4 10 2 4 5 2" xfId="31076"/>
    <cellStyle name="20% - Accent4 10 2 4 6" xfId="22085"/>
    <cellStyle name="20% - Accent4 10 2 5" xfId="2545"/>
    <cellStyle name="20% - Accent4 10 2 5 2" xfId="13849"/>
    <cellStyle name="20% - Accent4 10 2 5 2 2" xfId="27241"/>
    <cellStyle name="20% - Accent4 10 2 5 3" xfId="17800"/>
    <cellStyle name="20% - Accent4 10 2 5 3 2" xfId="31079"/>
    <cellStyle name="20% - Accent4 10 2 5 4" xfId="22088"/>
    <cellStyle name="20% - Accent4 10 2 6" xfId="2546"/>
    <cellStyle name="20% - Accent4 10 2 6 2" xfId="13850"/>
    <cellStyle name="20% - Accent4 10 2 6 2 2" xfId="27242"/>
    <cellStyle name="20% - Accent4 10 2 6 3" xfId="17801"/>
    <cellStyle name="20% - Accent4 10 2 6 3 2" xfId="31080"/>
    <cellStyle name="20% - Accent4 10 2 6 4" xfId="22089"/>
    <cellStyle name="20% - Accent4 10 2 7" xfId="13839"/>
    <cellStyle name="20% - Accent4 10 2 7 2" xfId="27231"/>
    <cellStyle name="20% - Accent4 10 2 8" xfId="17790"/>
    <cellStyle name="20% - Accent4 10 2 8 2" xfId="31069"/>
    <cellStyle name="20% - Accent4 10 2 9" xfId="22078"/>
    <cellStyle name="20% - Accent4 10 2_Volatility" xfId="2547"/>
    <cellStyle name="20% - Accent4 10 3" xfId="2548"/>
    <cellStyle name="20% - Accent4 10 3 2" xfId="2549"/>
    <cellStyle name="20% - Accent4 10 3 2 2" xfId="2550"/>
    <cellStyle name="20% - Accent4 10 3 2 2 2" xfId="13853"/>
    <cellStyle name="20% - Accent4 10 3 2 2 2 2" xfId="27245"/>
    <cellStyle name="20% - Accent4 10 3 2 2 3" xfId="17804"/>
    <cellStyle name="20% - Accent4 10 3 2 2 3 2" xfId="31083"/>
    <cellStyle name="20% - Accent4 10 3 2 2 4" xfId="22092"/>
    <cellStyle name="20% - Accent4 10 3 2 3" xfId="2551"/>
    <cellStyle name="20% - Accent4 10 3 2 3 2" xfId="13854"/>
    <cellStyle name="20% - Accent4 10 3 2 3 2 2" xfId="27246"/>
    <cellStyle name="20% - Accent4 10 3 2 3 3" xfId="17805"/>
    <cellStyle name="20% - Accent4 10 3 2 3 3 2" xfId="31084"/>
    <cellStyle name="20% - Accent4 10 3 2 3 4" xfId="22093"/>
    <cellStyle name="20% - Accent4 10 3 2 4" xfId="13852"/>
    <cellStyle name="20% - Accent4 10 3 2 4 2" xfId="27244"/>
    <cellStyle name="20% - Accent4 10 3 2 5" xfId="17803"/>
    <cellStyle name="20% - Accent4 10 3 2 5 2" xfId="31082"/>
    <cellStyle name="20% - Accent4 10 3 2 6" xfId="22091"/>
    <cellStyle name="20% - Accent4 10 3 3" xfId="2552"/>
    <cellStyle name="20% - Accent4 10 3 3 2" xfId="2553"/>
    <cellStyle name="20% - Accent4 10 3 3 2 2" xfId="13856"/>
    <cellStyle name="20% - Accent4 10 3 3 2 2 2" xfId="27248"/>
    <cellStyle name="20% - Accent4 10 3 3 2 3" xfId="17807"/>
    <cellStyle name="20% - Accent4 10 3 3 2 3 2" xfId="31086"/>
    <cellStyle name="20% - Accent4 10 3 3 2 4" xfId="22095"/>
    <cellStyle name="20% - Accent4 10 3 3 3" xfId="2554"/>
    <cellStyle name="20% - Accent4 10 3 3 3 2" xfId="13857"/>
    <cellStyle name="20% - Accent4 10 3 3 3 2 2" xfId="27249"/>
    <cellStyle name="20% - Accent4 10 3 3 3 3" xfId="17808"/>
    <cellStyle name="20% - Accent4 10 3 3 3 3 2" xfId="31087"/>
    <cellStyle name="20% - Accent4 10 3 3 3 4" xfId="22096"/>
    <cellStyle name="20% - Accent4 10 3 3 4" xfId="13855"/>
    <cellStyle name="20% - Accent4 10 3 3 4 2" xfId="27247"/>
    <cellStyle name="20% - Accent4 10 3 3 5" xfId="17806"/>
    <cellStyle name="20% - Accent4 10 3 3 5 2" xfId="31085"/>
    <cellStyle name="20% - Accent4 10 3 3 6" xfId="22094"/>
    <cellStyle name="20% - Accent4 10 3 4" xfId="2555"/>
    <cellStyle name="20% - Accent4 10 3 4 2" xfId="13858"/>
    <cellStyle name="20% - Accent4 10 3 4 2 2" xfId="27250"/>
    <cellStyle name="20% - Accent4 10 3 4 3" xfId="17809"/>
    <cellStyle name="20% - Accent4 10 3 4 3 2" xfId="31088"/>
    <cellStyle name="20% - Accent4 10 3 4 4" xfId="22097"/>
    <cellStyle name="20% - Accent4 10 3 5" xfId="2556"/>
    <cellStyle name="20% - Accent4 10 3 5 2" xfId="13859"/>
    <cellStyle name="20% - Accent4 10 3 5 2 2" xfId="27251"/>
    <cellStyle name="20% - Accent4 10 3 5 3" xfId="17810"/>
    <cellStyle name="20% - Accent4 10 3 5 3 2" xfId="31089"/>
    <cellStyle name="20% - Accent4 10 3 5 4" xfId="22098"/>
    <cellStyle name="20% - Accent4 10 3 6" xfId="13851"/>
    <cellStyle name="20% - Accent4 10 3 6 2" xfId="27243"/>
    <cellStyle name="20% - Accent4 10 3 7" xfId="17802"/>
    <cellStyle name="20% - Accent4 10 3 7 2" xfId="31081"/>
    <cellStyle name="20% - Accent4 10 3 8" xfId="22090"/>
    <cellStyle name="20% - Accent4 10 3_Volatility" xfId="2557"/>
    <cellStyle name="20% - Accent4 10 4" xfId="2558"/>
    <cellStyle name="20% - Accent4 10 4 2" xfId="2559"/>
    <cellStyle name="20% - Accent4 10 4 2 2" xfId="13861"/>
    <cellStyle name="20% - Accent4 10 4 2 2 2" xfId="27253"/>
    <cellStyle name="20% - Accent4 10 4 2 3" xfId="17812"/>
    <cellStyle name="20% - Accent4 10 4 2 3 2" xfId="31091"/>
    <cellStyle name="20% - Accent4 10 4 2 4" xfId="22100"/>
    <cellStyle name="20% - Accent4 10 4 3" xfId="2560"/>
    <cellStyle name="20% - Accent4 10 4 3 2" xfId="13862"/>
    <cellStyle name="20% - Accent4 10 4 3 2 2" xfId="27254"/>
    <cellStyle name="20% - Accent4 10 4 3 3" xfId="17813"/>
    <cellStyle name="20% - Accent4 10 4 3 3 2" xfId="31092"/>
    <cellStyle name="20% - Accent4 10 4 3 4" xfId="22101"/>
    <cellStyle name="20% - Accent4 10 4 4" xfId="13860"/>
    <cellStyle name="20% - Accent4 10 4 4 2" xfId="27252"/>
    <cellStyle name="20% - Accent4 10 4 5" xfId="17811"/>
    <cellStyle name="20% - Accent4 10 4 5 2" xfId="31090"/>
    <cellStyle name="20% - Accent4 10 4 6" xfId="22099"/>
    <cellStyle name="20% - Accent4 10 5" xfId="2561"/>
    <cellStyle name="20% - Accent4 10 5 2" xfId="2562"/>
    <cellStyle name="20% - Accent4 10 5 2 2" xfId="13864"/>
    <cellStyle name="20% - Accent4 10 5 2 2 2" xfId="27256"/>
    <cellStyle name="20% - Accent4 10 5 2 3" xfId="17815"/>
    <cellStyle name="20% - Accent4 10 5 2 3 2" xfId="31094"/>
    <cellStyle name="20% - Accent4 10 5 2 4" xfId="22103"/>
    <cellStyle name="20% - Accent4 10 5 3" xfId="2563"/>
    <cellStyle name="20% - Accent4 10 5 3 2" xfId="13865"/>
    <cellStyle name="20% - Accent4 10 5 3 2 2" xfId="27257"/>
    <cellStyle name="20% - Accent4 10 5 3 3" xfId="17816"/>
    <cellStyle name="20% - Accent4 10 5 3 3 2" xfId="31095"/>
    <cellStyle name="20% - Accent4 10 5 3 4" xfId="22104"/>
    <cellStyle name="20% - Accent4 10 5 4" xfId="13863"/>
    <cellStyle name="20% - Accent4 10 5 4 2" xfId="27255"/>
    <cellStyle name="20% - Accent4 10 5 5" xfId="17814"/>
    <cellStyle name="20% - Accent4 10 5 5 2" xfId="31093"/>
    <cellStyle name="20% - Accent4 10 5 6" xfId="22102"/>
    <cellStyle name="20% - Accent4 10 6" xfId="2564"/>
    <cellStyle name="20% - Accent4 10 6 2" xfId="2565"/>
    <cellStyle name="20% - Accent4 10 6 2 2" xfId="13867"/>
    <cellStyle name="20% - Accent4 10 6 2 2 2" xfId="27259"/>
    <cellStyle name="20% - Accent4 10 6 2 3" xfId="17818"/>
    <cellStyle name="20% - Accent4 10 6 2 3 2" xfId="31097"/>
    <cellStyle name="20% - Accent4 10 6 2 4" xfId="22106"/>
    <cellStyle name="20% - Accent4 10 6 3" xfId="2566"/>
    <cellStyle name="20% - Accent4 10 6 3 2" xfId="13868"/>
    <cellStyle name="20% - Accent4 10 6 3 2 2" xfId="27260"/>
    <cellStyle name="20% - Accent4 10 6 3 3" xfId="17819"/>
    <cellStyle name="20% - Accent4 10 6 3 3 2" xfId="31098"/>
    <cellStyle name="20% - Accent4 10 6 3 4" xfId="22107"/>
    <cellStyle name="20% - Accent4 10 6 4" xfId="13866"/>
    <cellStyle name="20% - Accent4 10 6 4 2" xfId="27258"/>
    <cellStyle name="20% - Accent4 10 6 5" xfId="17817"/>
    <cellStyle name="20% - Accent4 10 6 5 2" xfId="31096"/>
    <cellStyle name="20% - Accent4 10 6 6" xfId="22105"/>
    <cellStyle name="20% - Accent4 10 7" xfId="2567"/>
    <cellStyle name="20% - Accent4 10 7 2" xfId="13869"/>
    <cellStyle name="20% - Accent4 10 7 2 2" xfId="27261"/>
    <cellStyle name="20% - Accent4 10 7 3" xfId="17820"/>
    <cellStyle name="20% - Accent4 10 7 3 2" xfId="31099"/>
    <cellStyle name="20% - Accent4 10 7 4" xfId="22108"/>
    <cellStyle name="20% - Accent4 10 8" xfId="2568"/>
    <cellStyle name="20% - Accent4 10 8 2" xfId="13870"/>
    <cellStyle name="20% - Accent4 10 8 2 2" xfId="27262"/>
    <cellStyle name="20% - Accent4 10 8 3" xfId="17821"/>
    <cellStyle name="20% - Accent4 10 8 3 2" xfId="31100"/>
    <cellStyle name="20% - Accent4 10 8 4" xfId="22109"/>
    <cellStyle name="20% - Accent4 10 9" xfId="13838"/>
    <cellStyle name="20% - Accent4 10 9 2" xfId="27230"/>
    <cellStyle name="20% - Accent4 10_Volatility" xfId="2569"/>
    <cellStyle name="20% - Accent4 11" xfId="2570"/>
    <cellStyle name="20% - Accent4 11 10" xfId="17822"/>
    <cellStyle name="20% - Accent4 11 10 2" xfId="31101"/>
    <cellStyle name="20% - Accent4 11 11" xfId="22110"/>
    <cellStyle name="20% - Accent4 11 2" xfId="2571"/>
    <cellStyle name="20% - Accent4 11 2 2" xfId="2572"/>
    <cellStyle name="20% - Accent4 11 2 2 2" xfId="2573"/>
    <cellStyle name="20% - Accent4 11 2 2 2 2" xfId="13874"/>
    <cellStyle name="20% - Accent4 11 2 2 2 2 2" xfId="27266"/>
    <cellStyle name="20% - Accent4 11 2 2 2 3" xfId="17825"/>
    <cellStyle name="20% - Accent4 11 2 2 2 3 2" xfId="31104"/>
    <cellStyle name="20% - Accent4 11 2 2 2 4" xfId="22113"/>
    <cellStyle name="20% - Accent4 11 2 2 3" xfId="2574"/>
    <cellStyle name="20% - Accent4 11 2 2 3 2" xfId="13875"/>
    <cellStyle name="20% - Accent4 11 2 2 3 2 2" xfId="27267"/>
    <cellStyle name="20% - Accent4 11 2 2 3 3" xfId="17826"/>
    <cellStyle name="20% - Accent4 11 2 2 3 3 2" xfId="31105"/>
    <cellStyle name="20% - Accent4 11 2 2 3 4" xfId="22114"/>
    <cellStyle name="20% - Accent4 11 2 2 4" xfId="13873"/>
    <cellStyle name="20% - Accent4 11 2 2 4 2" xfId="27265"/>
    <cellStyle name="20% - Accent4 11 2 2 5" xfId="17824"/>
    <cellStyle name="20% - Accent4 11 2 2 5 2" xfId="31103"/>
    <cellStyle name="20% - Accent4 11 2 2 6" xfId="22112"/>
    <cellStyle name="20% - Accent4 11 2 3" xfId="2575"/>
    <cellStyle name="20% - Accent4 11 2 3 2" xfId="2576"/>
    <cellStyle name="20% - Accent4 11 2 3 2 2" xfId="13877"/>
    <cellStyle name="20% - Accent4 11 2 3 2 2 2" xfId="27269"/>
    <cellStyle name="20% - Accent4 11 2 3 2 3" xfId="17828"/>
    <cellStyle name="20% - Accent4 11 2 3 2 3 2" xfId="31107"/>
    <cellStyle name="20% - Accent4 11 2 3 2 4" xfId="22116"/>
    <cellStyle name="20% - Accent4 11 2 3 3" xfId="2577"/>
    <cellStyle name="20% - Accent4 11 2 3 3 2" xfId="13878"/>
    <cellStyle name="20% - Accent4 11 2 3 3 2 2" xfId="27270"/>
    <cellStyle name="20% - Accent4 11 2 3 3 3" xfId="17829"/>
    <cellStyle name="20% - Accent4 11 2 3 3 3 2" xfId="31108"/>
    <cellStyle name="20% - Accent4 11 2 3 3 4" xfId="22117"/>
    <cellStyle name="20% - Accent4 11 2 3 4" xfId="13876"/>
    <cellStyle name="20% - Accent4 11 2 3 4 2" xfId="27268"/>
    <cellStyle name="20% - Accent4 11 2 3 5" xfId="17827"/>
    <cellStyle name="20% - Accent4 11 2 3 5 2" xfId="31106"/>
    <cellStyle name="20% - Accent4 11 2 3 6" xfId="22115"/>
    <cellStyle name="20% - Accent4 11 2 4" xfId="2578"/>
    <cellStyle name="20% - Accent4 11 2 4 2" xfId="2579"/>
    <cellStyle name="20% - Accent4 11 2 4 2 2" xfId="13880"/>
    <cellStyle name="20% - Accent4 11 2 4 2 2 2" xfId="27272"/>
    <cellStyle name="20% - Accent4 11 2 4 2 3" xfId="17831"/>
    <cellStyle name="20% - Accent4 11 2 4 2 3 2" xfId="31110"/>
    <cellStyle name="20% - Accent4 11 2 4 2 4" xfId="22119"/>
    <cellStyle name="20% - Accent4 11 2 4 3" xfId="2580"/>
    <cellStyle name="20% - Accent4 11 2 4 3 2" xfId="13881"/>
    <cellStyle name="20% - Accent4 11 2 4 3 2 2" xfId="27273"/>
    <cellStyle name="20% - Accent4 11 2 4 3 3" xfId="17832"/>
    <cellStyle name="20% - Accent4 11 2 4 3 3 2" xfId="31111"/>
    <cellStyle name="20% - Accent4 11 2 4 3 4" xfId="22120"/>
    <cellStyle name="20% - Accent4 11 2 4 4" xfId="13879"/>
    <cellStyle name="20% - Accent4 11 2 4 4 2" xfId="27271"/>
    <cellStyle name="20% - Accent4 11 2 4 5" xfId="17830"/>
    <cellStyle name="20% - Accent4 11 2 4 5 2" xfId="31109"/>
    <cellStyle name="20% - Accent4 11 2 4 6" xfId="22118"/>
    <cellStyle name="20% - Accent4 11 2 5" xfId="2581"/>
    <cellStyle name="20% - Accent4 11 2 5 2" xfId="13882"/>
    <cellStyle name="20% - Accent4 11 2 5 2 2" xfId="27274"/>
    <cellStyle name="20% - Accent4 11 2 5 3" xfId="17833"/>
    <cellStyle name="20% - Accent4 11 2 5 3 2" xfId="31112"/>
    <cellStyle name="20% - Accent4 11 2 5 4" xfId="22121"/>
    <cellStyle name="20% - Accent4 11 2 6" xfId="2582"/>
    <cellStyle name="20% - Accent4 11 2 6 2" xfId="13883"/>
    <cellStyle name="20% - Accent4 11 2 6 2 2" xfId="27275"/>
    <cellStyle name="20% - Accent4 11 2 6 3" xfId="17834"/>
    <cellStyle name="20% - Accent4 11 2 6 3 2" xfId="31113"/>
    <cellStyle name="20% - Accent4 11 2 6 4" xfId="22122"/>
    <cellStyle name="20% - Accent4 11 2 7" xfId="13872"/>
    <cellStyle name="20% - Accent4 11 2 7 2" xfId="27264"/>
    <cellStyle name="20% - Accent4 11 2 8" xfId="17823"/>
    <cellStyle name="20% - Accent4 11 2 8 2" xfId="31102"/>
    <cellStyle name="20% - Accent4 11 2 9" xfId="22111"/>
    <cellStyle name="20% - Accent4 11 2_Volatility" xfId="2583"/>
    <cellStyle name="20% - Accent4 11 3" xfId="2584"/>
    <cellStyle name="20% - Accent4 11 3 2" xfId="2585"/>
    <cellStyle name="20% - Accent4 11 3 2 2" xfId="2586"/>
    <cellStyle name="20% - Accent4 11 3 2 2 2" xfId="13886"/>
    <cellStyle name="20% - Accent4 11 3 2 2 2 2" xfId="27278"/>
    <cellStyle name="20% - Accent4 11 3 2 2 3" xfId="17837"/>
    <cellStyle name="20% - Accent4 11 3 2 2 3 2" xfId="31116"/>
    <cellStyle name="20% - Accent4 11 3 2 2 4" xfId="22125"/>
    <cellStyle name="20% - Accent4 11 3 2 3" xfId="2587"/>
    <cellStyle name="20% - Accent4 11 3 2 3 2" xfId="13887"/>
    <cellStyle name="20% - Accent4 11 3 2 3 2 2" xfId="27279"/>
    <cellStyle name="20% - Accent4 11 3 2 3 3" xfId="17838"/>
    <cellStyle name="20% - Accent4 11 3 2 3 3 2" xfId="31117"/>
    <cellStyle name="20% - Accent4 11 3 2 3 4" xfId="22126"/>
    <cellStyle name="20% - Accent4 11 3 2 4" xfId="13885"/>
    <cellStyle name="20% - Accent4 11 3 2 4 2" xfId="27277"/>
    <cellStyle name="20% - Accent4 11 3 2 5" xfId="17836"/>
    <cellStyle name="20% - Accent4 11 3 2 5 2" xfId="31115"/>
    <cellStyle name="20% - Accent4 11 3 2 6" xfId="22124"/>
    <cellStyle name="20% - Accent4 11 3 3" xfId="2588"/>
    <cellStyle name="20% - Accent4 11 3 3 2" xfId="2589"/>
    <cellStyle name="20% - Accent4 11 3 3 2 2" xfId="13889"/>
    <cellStyle name="20% - Accent4 11 3 3 2 2 2" xfId="27281"/>
    <cellStyle name="20% - Accent4 11 3 3 2 3" xfId="17840"/>
    <cellStyle name="20% - Accent4 11 3 3 2 3 2" xfId="31119"/>
    <cellStyle name="20% - Accent4 11 3 3 2 4" xfId="22128"/>
    <cellStyle name="20% - Accent4 11 3 3 3" xfId="2590"/>
    <cellStyle name="20% - Accent4 11 3 3 3 2" xfId="13890"/>
    <cellStyle name="20% - Accent4 11 3 3 3 2 2" xfId="27282"/>
    <cellStyle name="20% - Accent4 11 3 3 3 3" xfId="17841"/>
    <cellStyle name="20% - Accent4 11 3 3 3 3 2" xfId="31120"/>
    <cellStyle name="20% - Accent4 11 3 3 3 4" xfId="22129"/>
    <cellStyle name="20% - Accent4 11 3 3 4" xfId="13888"/>
    <cellStyle name="20% - Accent4 11 3 3 4 2" xfId="27280"/>
    <cellStyle name="20% - Accent4 11 3 3 5" xfId="17839"/>
    <cellStyle name="20% - Accent4 11 3 3 5 2" xfId="31118"/>
    <cellStyle name="20% - Accent4 11 3 3 6" xfId="22127"/>
    <cellStyle name="20% - Accent4 11 3 4" xfId="2591"/>
    <cellStyle name="20% - Accent4 11 3 4 2" xfId="13891"/>
    <cellStyle name="20% - Accent4 11 3 4 2 2" xfId="27283"/>
    <cellStyle name="20% - Accent4 11 3 4 3" xfId="17842"/>
    <cellStyle name="20% - Accent4 11 3 4 3 2" xfId="31121"/>
    <cellStyle name="20% - Accent4 11 3 4 4" xfId="22130"/>
    <cellStyle name="20% - Accent4 11 3 5" xfId="2592"/>
    <cellStyle name="20% - Accent4 11 3 5 2" xfId="13892"/>
    <cellStyle name="20% - Accent4 11 3 5 2 2" xfId="27284"/>
    <cellStyle name="20% - Accent4 11 3 5 3" xfId="17843"/>
    <cellStyle name="20% - Accent4 11 3 5 3 2" xfId="31122"/>
    <cellStyle name="20% - Accent4 11 3 5 4" xfId="22131"/>
    <cellStyle name="20% - Accent4 11 3 6" xfId="13884"/>
    <cellStyle name="20% - Accent4 11 3 6 2" xfId="27276"/>
    <cellStyle name="20% - Accent4 11 3 7" xfId="17835"/>
    <cellStyle name="20% - Accent4 11 3 7 2" xfId="31114"/>
    <cellStyle name="20% - Accent4 11 3 8" xfId="22123"/>
    <cellStyle name="20% - Accent4 11 3_Volatility" xfId="2593"/>
    <cellStyle name="20% - Accent4 11 4" xfId="2594"/>
    <cellStyle name="20% - Accent4 11 4 2" xfId="2595"/>
    <cellStyle name="20% - Accent4 11 4 2 2" xfId="13894"/>
    <cellStyle name="20% - Accent4 11 4 2 2 2" xfId="27286"/>
    <cellStyle name="20% - Accent4 11 4 2 3" xfId="17845"/>
    <cellStyle name="20% - Accent4 11 4 2 3 2" xfId="31124"/>
    <cellStyle name="20% - Accent4 11 4 2 4" xfId="22133"/>
    <cellStyle name="20% - Accent4 11 4 3" xfId="2596"/>
    <cellStyle name="20% - Accent4 11 4 3 2" xfId="13895"/>
    <cellStyle name="20% - Accent4 11 4 3 2 2" xfId="27287"/>
    <cellStyle name="20% - Accent4 11 4 3 3" xfId="17846"/>
    <cellStyle name="20% - Accent4 11 4 3 3 2" xfId="31125"/>
    <cellStyle name="20% - Accent4 11 4 3 4" xfId="22134"/>
    <cellStyle name="20% - Accent4 11 4 4" xfId="13893"/>
    <cellStyle name="20% - Accent4 11 4 4 2" xfId="27285"/>
    <cellStyle name="20% - Accent4 11 4 5" xfId="17844"/>
    <cellStyle name="20% - Accent4 11 4 5 2" xfId="31123"/>
    <cellStyle name="20% - Accent4 11 4 6" xfId="22132"/>
    <cellStyle name="20% - Accent4 11 5" xfId="2597"/>
    <cellStyle name="20% - Accent4 11 5 2" xfId="2598"/>
    <cellStyle name="20% - Accent4 11 5 2 2" xfId="13897"/>
    <cellStyle name="20% - Accent4 11 5 2 2 2" xfId="27289"/>
    <cellStyle name="20% - Accent4 11 5 2 3" xfId="17848"/>
    <cellStyle name="20% - Accent4 11 5 2 3 2" xfId="31127"/>
    <cellStyle name="20% - Accent4 11 5 2 4" xfId="22136"/>
    <cellStyle name="20% - Accent4 11 5 3" xfId="2599"/>
    <cellStyle name="20% - Accent4 11 5 3 2" xfId="13898"/>
    <cellStyle name="20% - Accent4 11 5 3 2 2" xfId="27290"/>
    <cellStyle name="20% - Accent4 11 5 3 3" xfId="17849"/>
    <cellStyle name="20% - Accent4 11 5 3 3 2" xfId="31128"/>
    <cellStyle name="20% - Accent4 11 5 3 4" xfId="22137"/>
    <cellStyle name="20% - Accent4 11 5 4" xfId="13896"/>
    <cellStyle name="20% - Accent4 11 5 4 2" xfId="27288"/>
    <cellStyle name="20% - Accent4 11 5 5" xfId="17847"/>
    <cellStyle name="20% - Accent4 11 5 5 2" xfId="31126"/>
    <cellStyle name="20% - Accent4 11 5 6" xfId="22135"/>
    <cellStyle name="20% - Accent4 11 6" xfId="2600"/>
    <cellStyle name="20% - Accent4 11 6 2" xfId="2601"/>
    <cellStyle name="20% - Accent4 11 6 2 2" xfId="13900"/>
    <cellStyle name="20% - Accent4 11 6 2 2 2" xfId="27292"/>
    <cellStyle name="20% - Accent4 11 6 2 3" xfId="17851"/>
    <cellStyle name="20% - Accent4 11 6 2 3 2" xfId="31130"/>
    <cellStyle name="20% - Accent4 11 6 2 4" xfId="22139"/>
    <cellStyle name="20% - Accent4 11 6 3" xfId="2602"/>
    <cellStyle name="20% - Accent4 11 6 3 2" xfId="13901"/>
    <cellStyle name="20% - Accent4 11 6 3 2 2" xfId="27293"/>
    <cellStyle name="20% - Accent4 11 6 3 3" xfId="17852"/>
    <cellStyle name="20% - Accent4 11 6 3 3 2" xfId="31131"/>
    <cellStyle name="20% - Accent4 11 6 3 4" xfId="22140"/>
    <cellStyle name="20% - Accent4 11 6 4" xfId="13899"/>
    <cellStyle name="20% - Accent4 11 6 4 2" xfId="27291"/>
    <cellStyle name="20% - Accent4 11 6 5" xfId="17850"/>
    <cellStyle name="20% - Accent4 11 6 5 2" xfId="31129"/>
    <cellStyle name="20% - Accent4 11 6 6" xfId="22138"/>
    <cellStyle name="20% - Accent4 11 7" xfId="2603"/>
    <cellStyle name="20% - Accent4 11 7 2" xfId="13902"/>
    <cellStyle name="20% - Accent4 11 7 2 2" xfId="27294"/>
    <cellStyle name="20% - Accent4 11 7 3" xfId="17853"/>
    <cellStyle name="20% - Accent4 11 7 3 2" xfId="31132"/>
    <cellStyle name="20% - Accent4 11 7 4" xfId="22141"/>
    <cellStyle name="20% - Accent4 11 8" xfId="2604"/>
    <cellStyle name="20% - Accent4 11 8 2" xfId="13903"/>
    <cellStyle name="20% - Accent4 11 8 2 2" xfId="27295"/>
    <cellStyle name="20% - Accent4 11 8 3" xfId="17854"/>
    <cellStyle name="20% - Accent4 11 8 3 2" xfId="31133"/>
    <cellStyle name="20% - Accent4 11 8 4" xfId="22142"/>
    <cellStyle name="20% - Accent4 11 9" xfId="13871"/>
    <cellStyle name="20% - Accent4 11 9 2" xfId="27263"/>
    <cellStyle name="20% - Accent4 11_Volatility" xfId="2605"/>
    <cellStyle name="20% - Accent4 12" xfId="2606"/>
    <cellStyle name="20% - Accent4 12 10" xfId="17855"/>
    <cellStyle name="20% - Accent4 12 10 2" xfId="31134"/>
    <cellStyle name="20% - Accent4 12 11" xfId="22143"/>
    <cellStyle name="20% - Accent4 12 2" xfId="2607"/>
    <cellStyle name="20% - Accent4 12 2 2" xfId="2608"/>
    <cellStyle name="20% - Accent4 12 2 2 2" xfId="2609"/>
    <cellStyle name="20% - Accent4 12 2 2 2 2" xfId="13907"/>
    <cellStyle name="20% - Accent4 12 2 2 2 2 2" xfId="27299"/>
    <cellStyle name="20% - Accent4 12 2 2 2 3" xfId="17858"/>
    <cellStyle name="20% - Accent4 12 2 2 2 3 2" xfId="31137"/>
    <cellStyle name="20% - Accent4 12 2 2 2 4" xfId="22146"/>
    <cellStyle name="20% - Accent4 12 2 2 3" xfId="2610"/>
    <cellStyle name="20% - Accent4 12 2 2 3 2" xfId="13908"/>
    <cellStyle name="20% - Accent4 12 2 2 3 2 2" xfId="27300"/>
    <cellStyle name="20% - Accent4 12 2 2 3 3" xfId="17859"/>
    <cellStyle name="20% - Accent4 12 2 2 3 3 2" xfId="31138"/>
    <cellStyle name="20% - Accent4 12 2 2 3 4" xfId="22147"/>
    <cellStyle name="20% - Accent4 12 2 2 4" xfId="13906"/>
    <cellStyle name="20% - Accent4 12 2 2 4 2" xfId="27298"/>
    <cellStyle name="20% - Accent4 12 2 2 5" xfId="17857"/>
    <cellStyle name="20% - Accent4 12 2 2 5 2" xfId="31136"/>
    <cellStyle name="20% - Accent4 12 2 2 6" xfId="22145"/>
    <cellStyle name="20% - Accent4 12 2 3" xfId="2611"/>
    <cellStyle name="20% - Accent4 12 2 3 2" xfId="2612"/>
    <cellStyle name="20% - Accent4 12 2 3 2 2" xfId="13910"/>
    <cellStyle name="20% - Accent4 12 2 3 2 2 2" xfId="27302"/>
    <cellStyle name="20% - Accent4 12 2 3 2 3" xfId="17861"/>
    <cellStyle name="20% - Accent4 12 2 3 2 3 2" xfId="31140"/>
    <cellStyle name="20% - Accent4 12 2 3 2 4" xfId="22149"/>
    <cellStyle name="20% - Accent4 12 2 3 3" xfId="2613"/>
    <cellStyle name="20% - Accent4 12 2 3 3 2" xfId="13911"/>
    <cellStyle name="20% - Accent4 12 2 3 3 2 2" xfId="27303"/>
    <cellStyle name="20% - Accent4 12 2 3 3 3" xfId="17862"/>
    <cellStyle name="20% - Accent4 12 2 3 3 3 2" xfId="31141"/>
    <cellStyle name="20% - Accent4 12 2 3 3 4" xfId="22150"/>
    <cellStyle name="20% - Accent4 12 2 3 4" xfId="13909"/>
    <cellStyle name="20% - Accent4 12 2 3 4 2" xfId="27301"/>
    <cellStyle name="20% - Accent4 12 2 3 5" xfId="17860"/>
    <cellStyle name="20% - Accent4 12 2 3 5 2" xfId="31139"/>
    <cellStyle name="20% - Accent4 12 2 3 6" xfId="22148"/>
    <cellStyle name="20% - Accent4 12 2 4" xfId="2614"/>
    <cellStyle name="20% - Accent4 12 2 4 2" xfId="2615"/>
    <cellStyle name="20% - Accent4 12 2 4 2 2" xfId="13913"/>
    <cellStyle name="20% - Accent4 12 2 4 2 2 2" xfId="27305"/>
    <cellStyle name="20% - Accent4 12 2 4 2 3" xfId="17864"/>
    <cellStyle name="20% - Accent4 12 2 4 2 3 2" xfId="31143"/>
    <cellStyle name="20% - Accent4 12 2 4 2 4" xfId="22152"/>
    <cellStyle name="20% - Accent4 12 2 4 3" xfId="2616"/>
    <cellStyle name="20% - Accent4 12 2 4 3 2" xfId="13914"/>
    <cellStyle name="20% - Accent4 12 2 4 3 2 2" xfId="27306"/>
    <cellStyle name="20% - Accent4 12 2 4 3 3" xfId="17865"/>
    <cellStyle name="20% - Accent4 12 2 4 3 3 2" xfId="31144"/>
    <cellStyle name="20% - Accent4 12 2 4 3 4" xfId="22153"/>
    <cellStyle name="20% - Accent4 12 2 4 4" xfId="13912"/>
    <cellStyle name="20% - Accent4 12 2 4 4 2" xfId="27304"/>
    <cellStyle name="20% - Accent4 12 2 4 5" xfId="17863"/>
    <cellStyle name="20% - Accent4 12 2 4 5 2" xfId="31142"/>
    <cellStyle name="20% - Accent4 12 2 4 6" xfId="22151"/>
    <cellStyle name="20% - Accent4 12 2 5" xfId="2617"/>
    <cellStyle name="20% - Accent4 12 2 5 2" xfId="13915"/>
    <cellStyle name="20% - Accent4 12 2 5 2 2" xfId="27307"/>
    <cellStyle name="20% - Accent4 12 2 5 3" xfId="17866"/>
    <cellStyle name="20% - Accent4 12 2 5 3 2" xfId="31145"/>
    <cellStyle name="20% - Accent4 12 2 5 4" xfId="22154"/>
    <cellStyle name="20% - Accent4 12 2 6" xfId="2618"/>
    <cellStyle name="20% - Accent4 12 2 6 2" xfId="13916"/>
    <cellStyle name="20% - Accent4 12 2 6 2 2" xfId="27308"/>
    <cellStyle name="20% - Accent4 12 2 6 3" xfId="17867"/>
    <cellStyle name="20% - Accent4 12 2 6 3 2" xfId="31146"/>
    <cellStyle name="20% - Accent4 12 2 6 4" xfId="22155"/>
    <cellStyle name="20% - Accent4 12 2 7" xfId="13905"/>
    <cellStyle name="20% - Accent4 12 2 7 2" xfId="27297"/>
    <cellStyle name="20% - Accent4 12 2 8" xfId="17856"/>
    <cellStyle name="20% - Accent4 12 2 8 2" xfId="31135"/>
    <cellStyle name="20% - Accent4 12 2 9" xfId="22144"/>
    <cellStyle name="20% - Accent4 12 2_Volatility" xfId="2619"/>
    <cellStyle name="20% - Accent4 12 3" xfId="2620"/>
    <cellStyle name="20% - Accent4 12 3 2" xfId="2621"/>
    <cellStyle name="20% - Accent4 12 3 2 2" xfId="2622"/>
    <cellStyle name="20% - Accent4 12 3 2 2 2" xfId="13919"/>
    <cellStyle name="20% - Accent4 12 3 2 2 2 2" xfId="27311"/>
    <cellStyle name="20% - Accent4 12 3 2 2 3" xfId="17870"/>
    <cellStyle name="20% - Accent4 12 3 2 2 3 2" xfId="31149"/>
    <cellStyle name="20% - Accent4 12 3 2 2 4" xfId="22158"/>
    <cellStyle name="20% - Accent4 12 3 2 3" xfId="2623"/>
    <cellStyle name="20% - Accent4 12 3 2 3 2" xfId="13920"/>
    <cellStyle name="20% - Accent4 12 3 2 3 2 2" xfId="27312"/>
    <cellStyle name="20% - Accent4 12 3 2 3 3" xfId="17871"/>
    <cellStyle name="20% - Accent4 12 3 2 3 3 2" xfId="31150"/>
    <cellStyle name="20% - Accent4 12 3 2 3 4" xfId="22159"/>
    <cellStyle name="20% - Accent4 12 3 2 4" xfId="13918"/>
    <cellStyle name="20% - Accent4 12 3 2 4 2" xfId="27310"/>
    <cellStyle name="20% - Accent4 12 3 2 5" xfId="17869"/>
    <cellStyle name="20% - Accent4 12 3 2 5 2" xfId="31148"/>
    <cellStyle name="20% - Accent4 12 3 2 6" xfId="22157"/>
    <cellStyle name="20% - Accent4 12 3 3" xfId="2624"/>
    <cellStyle name="20% - Accent4 12 3 3 2" xfId="2625"/>
    <cellStyle name="20% - Accent4 12 3 3 2 2" xfId="13922"/>
    <cellStyle name="20% - Accent4 12 3 3 2 2 2" xfId="27314"/>
    <cellStyle name="20% - Accent4 12 3 3 2 3" xfId="17873"/>
    <cellStyle name="20% - Accent4 12 3 3 2 3 2" xfId="31152"/>
    <cellStyle name="20% - Accent4 12 3 3 2 4" xfId="22161"/>
    <cellStyle name="20% - Accent4 12 3 3 3" xfId="2626"/>
    <cellStyle name="20% - Accent4 12 3 3 3 2" xfId="13923"/>
    <cellStyle name="20% - Accent4 12 3 3 3 2 2" xfId="27315"/>
    <cellStyle name="20% - Accent4 12 3 3 3 3" xfId="17874"/>
    <cellStyle name="20% - Accent4 12 3 3 3 3 2" xfId="31153"/>
    <cellStyle name="20% - Accent4 12 3 3 3 4" xfId="22162"/>
    <cellStyle name="20% - Accent4 12 3 3 4" xfId="13921"/>
    <cellStyle name="20% - Accent4 12 3 3 4 2" xfId="27313"/>
    <cellStyle name="20% - Accent4 12 3 3 5" xfId="17872"/>
    <cellStyle name="20% - Accent4 12 3 3 5 2" xfId="31151"/>
    <cellStyle name="20% - Accent4 12 3 3 6" xfId="22160"/>
    <cellStyle name="20% - Accent4 12 3 4" xfId="2627"/>
    <cellStyle name="20% - Accent4 12 3 4 2" xfId="13924"/>
    <cellStyle name="20% - Accent4 12 3 4 2 2" xfId="27316"/>
    <cellStyle name="20% - Accent4 12 3 4 3" xfId="17875"/>
    <cellStyle name="20% - Accent4 12 3 4 3 2" xfId="31154"/>
    <cellStyle name="20% - Accent4 12 3 4 4" xfId="22163"/>
    <cellStyle name="20% - Accent4 12 3 5" xfId="2628"/>
    <cellStyle name="20% - Accent4 12 3 5 2" xfId="13925"/>
    <cellStyle name="20% - Accent4 12 3 5 2 2" xfId="27317"/>
    <cellStyle name="20% - Accent4 12 3 5 3" xfId="17876"/>
    <cellStyle name="20% - Accent4 12 3 5 3 2" xfId="31155"/>
    <cellStyle name="20% - Accent4 12 3 5 4" xfId="22164"/>
    <cellStyle name="20% - Accent4 12 3 6" xfId="13917"/>
    <cellStyle name="20% - Accent4 12 3 6 2" xfId="27309"/>
    <cellStyle name="20% - Accent4 12 3 7" xfId="17868"/>
    <cellStyle name="20% - Accent4 12 3 7 2" xfId="31147"/>
    <cellStyle name="20% - Accent4 12 3 8" xfId="22156"/>
    <cellStyle name="20% - Accent4 12 3_Volatility" xfId="2629"/>
    <cellStyle name="20% - Accent4 12 4" xfId="2630"/>
    <cellStyle name="20% - Accent4 12 4 2" xfId="2631"/>
    <cellStyle name="20% - Accent4 12 4 2 2" xfId="13927"/>
    <cellStyle name="20% - Accent4 12 4 2 2 2" xfId="27319"/>
    <cellStyle name="20% - Accent4 12 4 2 3" xfId="17878"/>
    <cellStyle name="20% - Accent4 12 4 2 3 2" xfId="31157"/>
    <cellStyle name="20% - Accent4 12 4 2 4" xfId="22166"/>
    <cellStyle name="20% - Accent4 12 4 3" xfId="2632"/>
    <cellStyle name="20% - Accent4 12 4 3 2" xfId="13928"/>
    <cellStyle name="20% - Accent4 12 4 3 2 2" xfId="27320"/>
    <cellStyle name="20% - Accent4 12 4 3 3" xfId="17879"/>
    <cellStyle name="20% - Accent4 12 4 3 3 2" xfId="31158"/>
    <cellStyle name="20% - Accent4 12 4 3 4" xfId="22167"/>
    <cellStyle name="20% - Accent4 12 4 4" xfId="13926"/>
    <cellStyle name="20% - Accent4 12 4 4 2" xfId="27318"/>
    <cellStyle name="20% - Accent4 12 4 5" xfId="17877"/>
    <cellStyle name="20% - Accent4 12 4 5 2" xfId="31156"/>
    <cellStyle name="20% - Accent4 12 4 6" xfId="22165"/>
    <cellStyle name="20% - Accent4 12 5" xfId="2633"/>
    <cellStyle name="20% - Accent4 12 5 2" xfId="2634"/>
    <cellStyle name="20% - Accent4 12 5 2 2" xfId="13930"/>
    <cellStyle name="20% - Accent4 12 5 2 2 2" xfId="27322"/>
    <cellStyle name="20% - Accent4 12 5 2 3" xfId="17881"/>
    <cellStyle name="20% - Accent4 12 5 2 3 2" xfId="31160"/>
    <cellStyle name="20% - Accent4 12 5 2 4" xfId="22169"/>
    <cellStyle name="20% - Accent4 12 5 3" xfId="2635"/>
    <cellStyle name="20% - Accent4 12 5 3 2" xfId="13931"/>
    <cellStyle name="20% - Accent4 12 5 3 2 2" xfId="27323"/>
    <cellStyle name="20% - Accent4 12 5 3 3" xfId="17882"/>
    <cellStyle name="20% - Accent4 12 5 3 3 2" xfId="31161"/>
    <cellStyle name="20% - Accent4 12 5 3 4" xfId="22170"/>
    <cellStyle name="20% - Accent4 12 5 4" xfId="13929"/>
    <cellStyle name="20% - Accent4 12 5 4 2" xfId="27321"/>
    <cellStyle name="20% - Accent4 12 5 5" xfId="17880"/>
    <cellStyle name="20% - Accent4 12 5 5 2" xfId="31159"/>
    <cellStyle name="20% - Accent4 12 5 6" xfId="22168"/>
    <cellStyle name="20% - Accent4 12 6" xfId="2636"/>
    <cellStyle name="20% - Accent4 12 6 2" xfId="2637"/>
    <cellStyle name="20% - Accent4 12 6 2 2" xfId="13933"/>
    <cellStyle name="20% - Accent4 12 6 2 2 2" xfId="27325"/>
    <cellStyle name="20% - Accent4 12 6 2 3" xfId="17884"/>
    <cellStyle name="20% - Accent4 12 6 2 3 2" xfId="31163"/>
    <cellStyle name="20% - Accent4 12 6 2 4" xfId="22172"/>
    <cellStyle name="20% - Accent4 12 6 3" xfId="2638"/>
    <cellStyle name="20% - Accent4 12 6 3 2" xfId="13934"/>
    <cellStyle name="20% - Accent4 12 6 3 2 2" xfId="27326"/>
    <cellStyle name="20% - Accent4 12 6 3 3" xfId="17885"/>
    <cellStyle name="20% - Accent4 12 6 3 3 2" xfId="31164"/>
    <cellStyle name="20% - Accent4 12 6 3 4" xfId="22173"/>
    <cellStyle name="20% - Accent4 12 6 4" xfId="13932"/>
    <cellStyle name="20% - Accent4 12 6 4 2" xfId="27324"/>
    <cellStyle name="20% - Accent4 12 6 5" xfId="17883"/>
    <cellStyle name="20% - Accent4 12 6 5 2" xfId="31162"/>
    <cellStyle name="20% - Accent4 12 6 6" xfId="22171"/>
    <cellStyle name="20% - Accent4 12 7" xfId="2639"/>
    <cellStyle name="20% - Accent4 12 7 2" xfId="13935"/>
    <cellStyle name="20% - Accent4 12 7 2 2" xfId="27327"/>
    <cellStyle name="20% - Accent4 12 7 3" xfId="17886"/>
    <cellStyle name="20% - Accent4 12 7 3 2" xfId="31165"/>
    <cellStyle name="20% - Accent4 12 7 4" xfId="22174"/>
    <cellStyle name="20% - Accent4 12 8" xfId="2640"/>
    <cellStyle name="20% - Accent4 12 8 2" xfId="13936"/>
    <cellStyle name="20% - Accent4 12 8 2 2" xfId="27328"/>
    <cellStyle name="20% - Accent4 12 8 3" xfId="17887"/>
    <cellStyle name="20% - Accent4 12 8 3 2" xfId="31166"/>
    <cellStyle name="20% - Accent4 12 8 4" xfId="22175"/>
    <cellStyle name="20% - Accent4 12 9" xfId="13904"/>
    <cellStyle name="20% - Accent4 12 9 2" xfId="27296"/>
    <cellStyle name="20% - Accent4 12_Volatility" xfId="2641"/>
    <cellStyle name="20% - Accent4 13" xfId="2642"/>
    <cellStyle name="20% - Accent4 13 10" xfId="17888"/>
    <cellStyle name="20% - Accent4 13 10 2" xfId="31167"/>
    <cellStyle name="20% - Accent4 13 11" xfId="22176"/>
    <cellStyle name="20% - Accent4 13 2" xfId="2643"/>
    <cellStyle name="20% - Accent4 13 2 2" xfId="2644"/>
    <cellStyle name="20% - Accent4 13 2 2 2" xfId="2645"/>
    <cellStyle name="20% - Accent4 13 2 2 2 2" xfId="13940"/>
    <cellStyle name="20% - Accent4 13 2 2 2 2 2" xfId="27332"/>
    <cellStyle name="20% - Accent4 13 2 2 2 3" xfId="17891"/>
    <cellStyle name="20% - Accent4 13 2 2 2 3 2" xfId="31170"/>
    <cellStyle name="20% - Accent4 13 2 2 2 4" xfId="22179"/>
    <cellStyle name="20% - Accent4 13 2 2 3" xfId="2646"/>
    <cellStyle name="20% - Accent4 13 2 2 3 2" xfId="13941"/>
    <cellStyle name="20% - Accent4 13 2 2 3 2 2" xfId="27333"/>
    <cellStyle name="20% - Accent4 13 2 2 3 3" xfId="17892"/>
    <cellStyle name="20% - Accent4 13 2 2 3 3 2" xfId="31171"/>
    <cellStyle name="20% - Accent4 13 2 2 3 4" xfId="22180"/>
    <cellStyle name="20% - Accent4 13 2 2 4" xfId="13939"/>
    <cellStyle name="20% - Accent4 13 2 2 4 2" xfId="27331"/>
    <cellStyle name="20% - Accent4 13 2 2 5" xfId="17890"/>
    <cellStyle name="20% - Accent4 13 2 2 5 2" xfId="31169"/>
    <cellStyle name="20% - Accent4 13 2 2 6" xfId="22178"/>
    <cellStyle name="20% - Accent4 13 2 3" xfId="2647"/>
    <cellStyle name="20% - Accent4 13 2 3 2" xfId="2648"/>
    <cellStyle name="20% - Accent4 13 2 3 2 2" xfId="13943"/>
    <cellStyle name="20% - Accent4 13 2 3 2 2 2" xfId="27335"/>
    <cellStyle name="20% - Accent4 13 2 3 2 3" xfId="17894"/>
    <cellStyle name="20% - Accent4 13 2 3 2 3 2" xfId="31173"/>
    <cellStyle name="20% - Accent4 13 2 3 2 4" xfId="22182"/>
    <cellStyle name="20% - Accent4 13 2 3 3" xfId="2649"/>
    <cellStyle name="20% - Accent4 13 2 3 3 2" xfId="13944"/>
    <cellStyle name="20% - Accent4 13 2 3 3 2 2" xfId="27336"/>
    <cellStyle name="20% - Accent4 13 2 3 3 3" xfId="17895"/>
    <cellStyle name="20% - Accent4 13 2 3 3 3 2" xfId="31174"/>
    <cellStyle name="20% - Accent4 13 2 3 3 4" xfId="22183"/>
    <cellStyle name="20% - Accent4 13 2 3 4" xfId="13942"/>
    <cellStyle name="20% - Accent4 13 2 3 4 2" xfId="27334"/>
    <cellStyle name="20% - Accent4 13 2 3 5" xfId="17893"/>
    <cellStyle name="20% - Accent4 13 2 3 5 2" xfId="31172"/>
    <cellStyle name="20% - Accent4 13 2 3 6" xfId="22181"/>
    <cellStyle name="20% - Accent4 13 2 4" xfId="2650"/>
    <cellStyle name="20% - Accent4 13 2 4 2" xfId="2651"/>
    <cellStyle name="20% - Accent4 13 2 4 2 2" xfId="13946"/>
    <cellStyle name="20% - Accent4 13 2 4 2 2 2" xfId="27338"/>
    <cellStyle name="20% - Accent4 13 2 4 2 3" xfId="17897"/>
    <cellStyle name="20% - Accent4 13 2 4 2 3 2" xfId="31176"/>
    <cellStyle name="20% - Accent4 13 2 4 2 4" xfId="22185"/>
    <cellStyle name="20% - Accent4 13 2 4 3" xfId="2652"/>
    <cellStyle name="20% - Accent4 13 2 4 3 2" xfId="13947"/>
    <cellStyle name="20% - Accent4 13 2 4 3 2 2" xfId="27339"/>
    <cellStyle name="20% - Accent4 13 2 4 3 3" xfId="17898"/>
    <cellStyle name="20% - Accent4 13 2 4 3 3 2" xfId="31177"/>
    <cellStyle name="20% - Accent4 13 2 4 3 4" xfId="22186"/>
    <cellStyle name="20% - Accent4 13 2 4 4" xfId="13945"/>
    <cellStyle name="20% - Accent4 13 2 4 4 2" xfId="27337"/>
    <cellStyle name="20% - Accent4 13 2 4 5" xfId="17896"/>
    <cellStyle name="20% - Accent4 13 2 4 5 2" xfId="31175"/>
    <cellStyle name="20% - Accent4 13 2 4 6" xfId="22184"/>
    <cellStyle name="20% - Accent4 13 2 5" xfId="2653"/>
    <cellStyle name="20% - Accent4 13 2 5 2" xfId="13948"/>
    <cellStyle name="20% - Accent4 13 2 5 2 2" xfId="27340"/>
    <cellStyle name="20% - Accent4 13 2 5 3" xfId="17899"/>
    <cellStyle name="20% - Accent4 13 2 5 3 2" xfId="31178"/>
    <cellStyle name="20% - Accent4 13 2 5 4" xfId="22187"/>
    <cellStyle name="20% - Accent4 13 2 6" xfId="2654"/>
    <cellStyle name="20% - Accent4 13 2 6 2" xfId="13949"/>
    <cellStyle name="20% - Accent4 13 2 6 2 2" xfId="27341"/>
    <cellStyle name="20% - Accent4 13 2 6 3" xfId="17900"/>
    <cellStyle name="20% - Accent4 13 2 6 3 2" xfId="31179"/>
    <cellStyle name="20% - Accent4 13 2 6 4" xfId="22188"/>
    <cellStyle name="20% - Accent4 13 2 7" xfId="13938"/>
    <cellStyle name="20% - Accent4 13 2 7 2" xfId="27330"/>
    <cellStyle name="20% - Accent4 13 2 8" xfId="17889"/>
    <cellStyle name="20% - Accent4 13 2 8 2" xfId="31168"/>
    <cellStyle name="20% - Accent4 13 2 9" xfId="22177"/>
    <cellStyle name="20% - Accent4 13 2_Volatility" xfId="2655"/>
    <cellStyle name="20% - Accent4 13 3" xfId="2656"/>
    <cellStyle name="20% - Accent4 13 3 2" xfId="2657"/>
    <cellStyle name="20% - Accent4 13 3 2 2" xfId="2658"/>
    <cellStyle name="20% - Accent4 13 3 2 2 2" xfId="13952"/>
    <cellStyle name="20% - Accent4 13 3 2 2 2 2" xfId="27344"/>
    <cellStyle name="20% - Accent4 13 3 2 2 3" xfId="17903"/>
    <cellStyle name="20% - Accent4 13 3 2 2 3 2" xfId="31182"/>
    <cellStyle name="20% - Accent4 13 3 2 2 4" xfId="22191"/>
    <cellStyle name="20% - Accent4 13 3 2 3" xfId="2659"/>
    <cellStyle name="20% - Accent4 13 3 2 3 2" xfId="13953"/>
    <cellStyle name="20% - Accent4 13 3 2 3 2 2" xfId="27345"/>
    <cellStyle name="20% - Accent4 13 3 2 3 3" xfId="17904"/>
    <cellStyle name="20% - Accent4 13 3 2 3 3 2" xfId="31183"/>
    <cellStyle name="20% - Accent4 13 3 2 3 4" xfId="22192"/>
    <cellStyle name="20% - Accent4 13 3 2 4" xfId="13951"/>
    <cellStyle name="20% - Accent4 13 3 2 4 2" xfId="27343"/>
    <cellStyle name="20% - Accent4 13 3 2 5" xfId="17902"/>
    <cellStyle name="20% - Accent4 13 3 2 5 2" xfId="31181"/>
    <cellStyle name="20% - Accent4 13 3 2 6" xfId="22190"/>
    <cellStyle name="20% - Accent4 13 3 3" xfId="2660"/>
    <cellStyle name="20% - Accent4 13 3 3 2" xfId="2661"/>
    <cellStyle name="20% - Accent4 13 3 3 2 2" xfId="13955"/>
    <cellStyle name="20% - Accent4 13 3 3 2 2 2" xfId="27347"/>
    <cellStyle name="20% - Accent4 13 3 3 2 3" xfId="17906"/>
    <cellStyle name="20% - Accent4 13 3 3 2 3 2" xfId="31185"/>
    <cellStyle name="20% - Accent4 13 3 3 2 4" xfId="22194"/>
    <cellStyle name="20% - Accent4 13 3 3 3" xfId="2662"/>
    <cellStyle name="20% - Accent4 13 3 3 3 2" xfId="13956"/>
    <cellStyle name="20% - Accent4 13 3 3 3 2 2" xfId="27348"/>
    <cellStyle name="20% - Accent4 13 3 3 3 3" xfId="17907"/>
    <cellStyle name="20% - Accent4 13 3 3 3 3 2" xfId="31186"/>
    <cellStyle name="20% - Accent4 13 3 3 3 4" xfId="22195"/>
    <cellStyle name="20% - Accent4 13 3 3 4" xfId="13954"/>
    <cellStyle name="20% - Accent4 13 3 3 4 2" xfId="27346"/>
    <cellStyle name="20% - Accent4 13 3 3 5" xfId="17905"/>
    <cellStyle name="20% - Accent4 13 3 3 5 2" xfId="31184"/>
    <cellStyle name="20% - Accent4 13 3 3 6" xfId="22193"/>
    <cellStyle name="20% - Accent4 13 3 4" xfId="2663"/>
    <cellStyle name="20% - Accent4 13 3 4 2" xfId="13957"/>
    <cellStyle name="20% - Accent4 13 3 4 2 2" xfId="27349"/>
    <cellStyle name="20% - Accent4 13 3 4 3" xfId="17908"/>
    <cellStyle name="20% - Accent4 13 3 4 3 2" xfId="31187"/>
    <cellStyle name="20% - Accent4 13 3 4 4" xfId="22196"/>
    <cellStyle name="20% - Accent4 13 3 5" xfId="2664"/>
    <cellStyle name="20% - Accent4 13 3 5 2" xfId="13958"/>
    <cellStyle name="20% - Accent4 13 3 5 2 2" xfId="27350"/>
    <cellStyle name="20% - Accent4 13 3 5 3" xfId="17909"/>
    <cellStyle name="20% - Accent4 13 3 5 3 2" xfId="31188"/>
    <cellStyle name="20% - Accent4 13 3 5 4" xfId="22197"/>
    <cellStyle name="20% - Accent4 13 3 6" xfId="13950"/>
    <cellStyle name="20% - Accent4 13 3 6 2" xfId="27342"/>
    <cellStyle name="20% - Accent4 13 3 7" xfId="17901"/>
    <cellStyle name="20% - Accent4 13 3 7 2" xfId="31180"/>
    <cellStyle name="20% - Accent4 13 3 8" xfId="22189"/>
    <cellStyle name="20% - Accent4 13 3_Volatility" xfId="2665"/>
    <cellStyle name="20% - Accent4 13 4" xfId="2666"/>
    <cellStyle name="20% - Accent4 13 4 2" xfId="2667"/>
    <cellStyle name="20% - Accent4 13 4 2 2" xfId="13960"/>
    <cellStyle name="20% - Accent4 13 4 2 2 2" xfId="27352"/>
    <cellStyle name="20% - Accent4 13 4 2 3" xfId="17911"/>
    <cellStyle name="20% - Accent4 13 4 2 3 2" xfId="31190"/>
    <cellStyle name="20% - Accent4 13 4 2 4" xfId="22199"/>
    <cellStyle name="20% - Accent4 13 4 3" xfId="2668"/>
    <cellStyle name="20% - Accent4 13 4 3 2" xfId="13961"/>
    <cellStyle name="20% - Accent4 13 4 3 2 2" xfId="27353"/>
    <cellStyle name="20% - Accent4 13 4 3 3" xfId="17912"/>
    <cellStyle name="20% - Accent4 13 4 3 3 2" xfId="31191"/>
    <cellStyle name="20% - Accent4 13 4 3 4" xfId="22200"/>
    <cellStyle name="20% - Accent4 13 4 4" xfId="13959"/>
    <cellStyle name="20% - Accent4 13 4 4 2" xfId="27351"/>
    <cellStyle name="20% - Accent4 13 4 5" xfId="17910"/>
    <cellStyle name="20% - Accent4 13 4 5 2" xfId="31189"/>
    <cellStyle name="20% - Accent4 13 4 6" xfId="22198"/>
    <cellStyle name="20% - Accent4 13 5" xfId="2669"/>
    <cellStyle name="20% - Accent4 13 5 2" xfId="2670"/>
    <cellStyle name="20% - Accent4 13 5 2 2" xfId="13963"/>
    <cellStyle name="20% - Accent4 13 5 2 2 2" xfId="27355"/>
    <cellStyle name="20% - Accent4 13 5 2 3" xfId="17914"/>
    <cellStyle name="20% - Accent4 13 5 2 3 2" xfId="31193"/>
    <cellStyle name="20% - Accent4 13 5 2 4" xfId="22202"/>
    <cellStyle name="20% - Accent4 13 5 3" xfId="2671"/>
    <cellStyle name="20% - Accent4 13 5 3 2" xfId="13964"/>
    <cellStyle name="20% - Accent4 13 5 3 2 2" xfId="27356"/>
    <cellStyle name="20% - Accent4 13 5 3 3" xfId="17915"/>
    <cellStyle name="20% - Accent4 13 5 3 3 2" xfId="31194"/>
    <cellStyle name="20% - Accent4 13 5 3 4" xfId="22203"/>
    <cellStyle name="20% - Accent4 13 5 4" xfId="13962"/>
    <cellStyle name="20% - Accent4 13 5 4 2" xfId="27354"/>
    <cellStyle name="20% - Accent4 13 5 5" xfId="17913"/>
    <cellStyle name="20% - Accent4 13 5 5 2" xfId="31192"/>
    <cellStyle name="20% - Accent4 13 5 6" xfId="22201"/>
    <cellStyle name="20% - Accent4 13 6" xfId="2672"/>
    <cellStyle name="20% - Accent4 13 6 2" xfId="2673"/>
    <cellStyle name="20% - Accent4 13 6 2 2" xfId="13966"/>
    <cellStyle name="20% - Accent4 13 6 2 2 2" xfId="27358"/>
    <cellStyle name="20% - Accent4 13 6 2 3" xfId="17917"/>
    <cellStyle name="20% - Accent4 13 6 2 3 2" xfId="31196"/>
    <cellStyle name="20% - Accent4 13 6 2 4" xfId="22205"/>
    <cellStyle name="20% - Accent4 13 6 3" xfId="2674"/>
    <cellStyle name="20% - Accent4 13 6 3 2" xfId="13967"/>
    <cellStyle name="20% - Accent4 13 6 3 2 2" xfId="27359"/>
    <cellStyle name="20% - Accent4 13 6 3 3" xfId="17918"/>
    <cellStyle name="20% - Accent4 13 6 3 3 2" xfId="31197"/>
    <cellStyle name="20% - Accent4 13 6 3 4" xfId="22206"/>
    <cellStyle name="20% - Accent4 13 6 4" xfId="13965"/>
    <cellStyle name="20% - Accent4 13 6 4 2" xfId="27357"/>
    <cellStyle name="20% - Accent4 13 6 5" xfId="17916"/>
    <cellStyle name="20% - Accent4 13 6 5 2" xfId="31195"/>
    <cellStyle name="20% - Accent4 13 6 6" xfId="22204"/>
    <cellStyle name="20% - Accent4 13 7" xfId="2675"/>
    <cellStyle name="20% - Accent4 13 7 2" xfId="13968"/>
    <cellStyle name="20% - Accent4 13 7 2 2" xfId="27360"/>
    <cellStyle name="20% - Accent4 13 7 3" xfId="17919"/>
    <cellStyle name="20% - Accent4 13 7 3 2" xfId="31198"/>
    <cellStyle name="20% - Accent4 13 7 4" xfId="22207"/>
    <cellStyle name="20% - Accent4 13 8" xfId="2676"/>
    <cellStyle name="20% - Accent4 13 8 2" xfId="13969"/>
    <cellStyle name="20% - Accent4 13 8 2 2" xfId="27361"/>
    <cellStyle name="20% - Accent4 13 8 3" xfId="17920"/>
    <cellStyle name="20% - Accent4 13 8 3 2" xfId="31199"/>
    <cellStyle name="20% - Accent4 13 8 4" xfId="22208"/>
    <cellStyle name="20% - Accent4 13 9" xfId="13937"/>
    <cellStyle name="20% - Accent4 13 9 2" xfId="27329"/>
    <cellStyle name="20% - Accent4 13_Volatility" xfId="2677"/>
    <cellStyle name="20% - Accent4 14" xfId="2678"/>
    <cellStyle name="20% - Accent4 14 10" xfId="17921"/>
    <cellStyle name="20% - Accent4 14 10 2" xfId="31200"/>
    <cellStyle name="20% - Accent4 14 11" xfId="22209"/>
    <cellStyle name="20% - Accent4 14 2" xfId="2679"/>
    <cellStyle name="20% - Accent4 14 2 2" xfId="2680"/>
    <cellStyle name="20% - Accent4 14 2 2 2" xfId="2681"/>
    <cellStyle name="20% - Accent4 14 2 2 2 2" xfId="13973"/>
    <cellStyle name="20% - Accent4 14 2 2 2 2 2" xfId="27365"/>
    <cellStyle name="20% - Accent4 14 2 2 2 3" xfId="17924"/>
    <cellStyle name="20% - Accent4 14 2 2 2 3 2" xfId="31203"/>
    <cellStyle name="20% - Accent4 14 2 2 2 4" xfId="22212"/>
    <cellStyle name="20% - Accent4 14 2 2 3" xfId="2682"/>
    <cellStyle name="20% - Accent4 14 2 2 3 2" xfId="13974"/>
    <cellStyle name="20% - Accent4 14 2 2 3 2 2" xfId="27366"/>
    <cellStyle name="20% - Accent4 14 2 2 3 3" xfId="17925"/>
    <cellStyle name="20% - Accent4 14 2 2 3 3 2" xfId="31204"/>
    <cellStyle name="20% - Accent4 14 2 2 3 4" xfId="22213"/>
    <cellStyle name="20% - Accent4 14 2 2 4" xfId="13972"/>
    <cellStyle name="20% - Accent4 14 2 2 4 2" xfId="27364"/>
    <cellStyle name="20% - Accent4 14 2 2 5" xfId="17923"/>
    <cellStyle name="20% - Accent4 14 2 2 5 2" xfId="31202"/>
    <cellStyle name="20% - Accent4 14 2 2 6" xfId="22211"/>
    <cellStyle name="20% - Accent4 14 2 3" xfId="2683"/>
    <cellStyle name="20% - Accent4 14 2 3 2" xfId="2684"/>
    <cellStyle name="20% - Accent4 14 2 3 2 2" xfId="13976"/>
    <cellStyle name="20% - Accent4 14 2 3 2 2 2" xfId="27368"/>
    <cellStyle name="20% - Accent4 14 2 3 2 3" xfId="17927"/>
    <cellStyle name="20% - Accent4 14 2 3 2 3 2" xfId="31206"/>
    <cellStyle name="20% - Accent4 14 2 3 2 4" xfId="22215"/>
    <cellStyle name="20% - Accent4 14 2 3 3" xfId="2685"/>
    <cellStyle name="20% - Accent4 14 2 3 3 2" xfId="13977"/>
    <cellStyle name="20% - Accent4 14 2 3 3 2 2" xfId="27369"/>
    <cellStyle name="20% - Accent4 14 2 3 3 3" xfId="17928"/>
    <cellStyle name="20% - Accent4 14 2 3 3 3 2" xfId="31207"/>
    <cellStyle name="20% - Accent4 14 2 3 3 4" xfId="22216"/>
    <cellStyle name="20% - Accent4 14 2 3 4" xfId="13975"/>
    <cellStyle name="20% - Accent4 14 2 3 4 2" xfId="27367"/>
    <cellStyle name="20% - Accent4 14 2 3 5" xfId="17926"/>
    <cellStyle name="20% - Accent4 14 2 3 5 2" xfId="31205"/>
    <cellStyle name="20% - Accent4 14 2 3 6" xfId="22214"/>
    <cellStyle name="20% - Accent4 14 2 4" xfId="2686"/>
    <cellStyle name="20% - Accent4 14 2 4 2" xfId="2687"/>
    <cellStyle name="20% - Accent4 14 2 4 2 2" xfId="13979"/>
    <cellStyle name="20% - Accent4 14 2 4 2 2 2" xfId="27371"/>
    <cellStyle name="20% - Accent4 14 2 4 2 3" xfId="17930"/>
    <cellStyle name="20% - Accent4 14 2 4 2 3 2" xfId="31209"/>
    <cellStyle name="20% - Accent4 14 2 4 2 4" xfId="22218"/>
    <cellStyle name="20% - Accent4 14 2 4 3" xfId="2688"/>
    <cellStyle name="20% - Accent4 14 2 4 3 2" xfId="13980"/>
    <cellStyle name="20% - Accent4 14 2 4 3 2 2" xfId="27372"/>
    <cellStyle name="20% - Accent4 14 2 4 3 3" xfId="17931"/>
    <cellStyle name="20% - Accent4 14 2 4 3 3 2" xfId="31210"/>
    <cellStyle name="20% - Accent4 14 2 4 3 4" xfId="22219"/>
    <cellStyle name="20% - Accent4 14 2 4 4" xfId="13978"/>
    <cellStyle name="20% - Accent4 14 2 4 4 2" xfId="27370"/>
    <cellStyle name="20% - Accent4 14 2 4 5" xfId="17929"/>
    <cellStyle name="20% - Accent4 14 2 4 5 2" xfId="31208"/>
    <cellStyle name="20% - Accent4 14 2 4 6" xfId="22217"/>
    <cellStyle name="20% - Accent4 14 2 5" xfId="2689"/>
    <cellStyle name="20% - Accent4 14 2 5 2" xfId="13981"/>
    <cellStyle name="20% - Accent4 14 2 5 2 2" xfId="27373"/>
    <cellStyle name="20% - Accent4 14 2 5 3" xfId="17932"/>
    <cellStyle name="20% - Accent4 14 2 5 3 2" xfId="31211"/>
    <cellStyle name="20% - Accent4 14 2 5 4" xfId="22220"/>
    <cellStyle name="20% - Accent4 14 2 6" xfId="2690"/>
    <cellStyle name="20% - Accent4 14 2 6 2" xfId="13982"/>
    <cellStyle name="20% - Accent4 14 2 6 2 2" xfId="27374"/>
    <cellStyle name="20% - Accent4 14 2 6 3" xfId="17933"/>
    <cellStyle name="20% - Accent4 14 2 6 3 2" xfId="31212"/>
    <cellStyle name="20% - Accent4 14 2 6 4" xfId="22221"/>
    <cellStyle name="20% - Accent4 14 2 7" xfId="13971"/>
    <cellStyle name="20% - Accent4 14 2 7 2" xfId="27363"/>
    <cellStyle name="20% - Accent4 14 2 8" xfId="17922"/>
    <cellStyle name="20% - Accent4 14 2 8 2" xfId="31201"/>
    <cellStyle name="20% - Accent4 14 2 9" xfId="22210"/>
    <cellStyle name="20% - Accent4 14 2_Volatility" xfId="2691"/>
    <cellStyle name="20% - Accent4 14 3" xfId="2692"/>
    <cellStyle name="20% - Accent4 14 3 2" xfId="2693"/>
    <cellStyle name="20% - Accent4 14 3 2 2" xfId="2694"/>
    <cellStyle name="20% - Accent4 14 3 2 2 2" xfId="13985"/>
    <cellStyle name="20% - Accent4 14 3 2 2 2 2" xfId="27377"/>
    <cellStyle name="20% - Accent4 14 3 2 2 3" xfId="17936"/>
    <cellStyle name="20% - Accent4 14 3 2 2 3 2" xfId="31215"/>
    <cellStyle name="20% - Accent4 14 3 2 2 4" xfId="22224"/>
    <cellStyle name="20% - Accent4 14 3 2 3" xfId="2695"/>
    <cellStyle name="20% - Accent4 14 3 2 3 2" xfId="13986"/>
    <cellStyle name="20% - Accent4 14 3 2 3 2 2" xfId="27378"/>
    <cellStyle name="20% - Accent4 14 3 2 3 3" xfId="17937"/>
    <cellStyle name="20% - Accent4 14 3 2 3 3 2" xfId="31216"/>
    <cellStyle name="20% - Accent4 14 3 2 3 4" xfId="22225"/>
    <cellStyle name="20% - Accent4 14 3 2 4" xfId="13984"/>
    <cellStyle name="20% - Accent4 14 3 2 4 2" xfId="27376"/>
    <cellStyle name="20% - Accent4 14 3 2 5" xfId="17935"/>
    <cellStyle name="20% - Accent4 14 3 2 5 2" xfId="31214"/>
    <cellStyle name="20% - Accent4 14 3 2 6" xfId="22223"/>
    <cellStyle name="20% - Accent4 14 3 3" xfId="2696"/>
    <cellStyle name="20% - Accent4 14 3 3 2" xfId="2697"/>
    <cellStyle name="20% - Accent4 14 3 3 2 2" xfId="13988"/>
    <cellStyle name="20% - Accent4 14 3 3 2 2 2" xfId="27380"/>
    <cellStyle name="20% - Accent4 14 3 3 2 3" xfId="17939"/>
    <cellStyle name="20% - Accent4 14 3 3 2 3 2" xfId="31218"/>
    <cellStyle name="20% - Accent4 14 3 3 2 4" xfId="22227"/>
    <cellStyle name="20% - Accent4 14 3 3 3" xfId="2698"/>
    <cellStyle name="20% - Accent4 14 3 3 3 2" xfId="13989"/>
    <cellStyle name="20% - Accent4 14 3 3 3 2 2" xfId="27381"/>
    <cellStyle name="20% - Accent4 14 3 3 3 3" xfId="17940"/>
    <cellStyle name="20% - Accent4 14 3 3 3 3 2" xfId="31219"/>
    <cellStyle name="20% - Accent4 14 3 3 3 4" xfId="22228"/>
    <cellStyle name="20% - Accent4 14 3 3 4" xfId="13987"/>
    <cellStyle name="20% - Accent4 14 3 3 4 2" xfId="27379"/>
    <cellStyle name="20% - Accent4 14 3 3 5" xfId="17938"/>
    <cellStyle name="20% - Accent4 14 3 3 5 2" xfId="31217"/>
    <cellStyle name="20% - Accent4 14 3 3 6" xfId="22226"/>
    <cellStyle name="20% - Accent4 14 3 4" xfId="2699"/>
    <cellStyle name="20% - Accent4 14 3 4 2" xfId="13990"/>
    <cellStyle name="20% - Accent4 14 3 4 2 2" xfId="27382"/>
    <cellStyle name="20% - Accent4 14 3 4 3" xfId="17941"/>
    <cellStyle name="20% - Accent4 14 3 4 3 2" xfId="31220"/>
    <cellStyle name="20% - Accent4 14 3 4 4" xfId="22229"/>
    <cellStyle name="20% - Accent4 14 3 5" xfId="2700"/>
    <cellStyle name="20% - Accent4 14 3 5 2" xfId="13991"/>
    <cellStyle name="20% - Accent4 14 3 5 2 2" xfId="27383"/>
    <cellStyle name="20% - Accent4 14 3 5 3" xfId="17942"/>
    <cellStyle name="20% - Accent4 14 3 5 3 2" xfId="31221"/>
    <cellStyle name="20% - Accent4 14 3 5 4" xfId="22230"/>
    <cellStyle name="20% - Accent4 14 3 6" xfId="13983"/>
    <cellStyle name="20% - Accent4 14 3 6 2" xfId="27375"/>
    <cellStyle name="20% - Accent4 14 3 7" xfId="17934"/>
    <cellStyle name="20% - Accent4 14 3 7 2" xfId="31213"/>
    <cellStyle name="20% - Accent4 14 3 8" xfId="22222"/>
    <cellStyle name="20% - Accent4 14 3_Volatility" xfId="2701"/>
    <cellStyle name="20% - Accent4 14 4" xfId="2702"/>
    <cellStyle name="20% - Accent4 14 4 2" xfId="2703"/>
    <cellStyle name="20% - Accent4 14 4 2 2" xfId="13993"/>
    <cellStyle name="20% - Accent4 14 4 2 2 2" xfId="27385"/>
    <cellStyle name="20% - Accent4 14 4 2 3" xfId="17944"/>
    <cellStyle name="20% - Accent4 14 4 2 3 2" xfId="31223"/>
    <cellStyle name="20% - Accent4 14 4 2 4" xfId="22232"/>
    <cellStyle name="20% - Accent4 14 4 3" xfId="2704"/>
    <cellStyle name="20% - Accent4 14 4 3 2" xfId="13994"/>
    <cellStyle name="20% - Accent4 14 4 3 2 2" xfId="27386"/>
    <cellStyle name="20% - Accent4 14 4 3 3" xfId="17945"/>
    <cellStyle name="20% - Accent4 14 4 3 3 2" xfId="31224"/>
    <cellStyle name="20% - Accent4 14 4 3 4" xfId="22233"/>
    <cellStyle name="20% - Accent4 14 4 4" xfId="13992"/>
    <cellStyle name="20% - Accent4 14 4 4 2" xfId="27384"/>
    <cellStyle name="20% - Accent4 14 4 5" xfId="17943"/>
    <cellStyle name="20% - Accent4 14 4 5 2" xfId="31222"/>
    <cellStyle name="20% - Accent4 14 4 6" xfId="22231"/>
    <cellStyle name="20% - Accent4 14 5" xfId="2705"/>
    <cellStyle name="20% - Accent4 14 5 2" xfId="2706"/>
    <cellStyle name="20% - Accent4 14 5 2 2" xfId="13996"/>
    <cellStyle name="20% - Accent4 14 5 2 2 2" xfId="27388"/>
    <cellStyle name="20% - Accent4 14 5 2 3" xfId="17947"/>
    <cellStyle name="20% - Accent4 14 5 2 3 2" xfId="31226"/>
    <cellStyle name="20% - Accent4 14 5 2 4" xfId="22235"/>
    <cellStyle name="20% - Accent4 14 5 3" xfId="2707"/>
    <cellStyle name="20% - Accent4 14 5 3 2" xfId="13997"/>
    <cellStyle name="20% - Accent4 14 5 3 2 2" xfId="27389"/>
    <cellStyle name="20% - Accent4 14 5 3 3" xfId="17948"/>
    <cellStyle name="20% - Accent4 14 5 3 3 2" xfId="31227"/>
    <cellStyle name="20% - Accent4 14 5 3 4" xfId="22236"/>
    <cellStyle name="20% - Accent4 14 5 4" xfId="13995"/>
    <cellStyle name="20% - Accent4 14 5 4 2" xfId="27387"/>
    <cellStyle name="20% - Accent4 14 5 5" xfId="17946"/>
    <cellStyle name="20% - Accent4 14 5 5 2" xfId="31225"/>
    <cellStyle name="20% - Accent4 14 5 6" xfId="22234"/>
    <cellStyle name="20% - Accent4 14 6" xfId="2708"/>
    <cellStyle name="20% - Accent4 14 6 2" xfId="2709"/>
    <cellStyle name="20% - Accent4 14 6 2 2" xfId="13999"/>
    <cellStyle name="20% - Accent4 14 6 2 2 2" xfId="27391"/>
    <cellStyle name="20% - Accent4 14 6 2 3" xfId="17950"/>
    <cellStyle name="20% - Accent4 14 6 2 3 2" xfId="31229"/>
    <cellStyle name="20% - Accent4 14 6 2 4" xfId="22238"/>
    <cellStyle name="20% - Accent4 14 6 3" xfId="2710"/>
    <cellStyle name="20% - Accent4 14 6 3 2" xfId="14000"/>
    <cellStyle name="20% - Accent4 14 6 3 2 2" xfId="27392"/>
    <cellStyle name="20% - Accent4 14 6 3 3" xfId="17951"/>
    <cellStyle name="20% - Accent4 14 6 3 3 2" xfId="31230"/>
    <cellStyle name="20% - Accent4 14 6 3 4" xfId="22239"/>
    <cellStyle name="20% - Accent4 14 6 4" xfId="13998"/>
    <cellStyle name="20% - Accent4 14 6 4 2" xfId="27390"/>
    <cellStyle name="20% - Accent4 14 6 5" xfId="17949"/>
    <cellStyle name="20% - Accent4 14 6 5 2" xfId="31228"/>
    <cellStyle name="20% - Accent4 14 6 6" xfId="22237"/>
    <cellStyle name="20% - Accent4 14 7" xfId="2711"/>
    <cellStyle name="20% - Accent4 14 7 2" xfId="14001"/>
    <cellStyle name="20% - Accent4 14 7 2 2" xfId="27393"/>
    <cellStyle name="20% - Accent4 14 7 3" xfId="17952"/>
    <cellStyle name="20% - Accent4 14 7 3 2" xfId="31231"/>
    <cellStyle name="20% - Accent4 14 7 4" xfId="22240"/>
    <cellStyle name="20% - Accent4 14 8" xfId="2712"/>
    <cellStyle name="20% - Accent4 14 8 2" xfId="14002"/>
    <cellStyle name="20% - Accent4 14 8 2 2" xfId="27394"/>
    <cellStyle name="20% - Accent4 14 8 3" xfId="17953"/>
    <cellStyle name="20% - Accent4 14 8 3 2" xfId="31232"/>
    <cellStyle name="20% - Accent4 14 8 4" xfId="22241"/>
    <cellStyle name="20% - Accent4 14 9" xfId="13970"/>
    <cellStyle name="20% - Accent4 14 9 2" xfId="27362"/>
    <cellStyle name="20% - Accent4 14_Volatility" xfId="2713"/>
    <cellStyle name="20% - Accent4 15" xfId="2714"/>
    <cellStyle name="20% - Accent4 15 10" xfId="17954"/>
    <cellStyle name="20% - Accent4 15 10 2" xfId="31233"/>
    <cellStyle name="20% - Accent4 15 11" xfId="22242"/>
    <cellStyle name="20% - Accent4 15 2" xfId="2715"/>
    <cellStyle name="20% - Accent4 15 2 2" xfId="2716"/>
    <cellStyle name="20% - Accent4 15 2 2 2" xfId="2717"/>
    <cellStyle name="20% - Accent4 15 2 2 2 2" xfId="14006"/>
    <cellStyle name="20% - Accent4 15 2 2 2 2 2" xfId="27398"/>
    <cellStyle name="20% - Accent4 15 2 2 2 3" xfId="17957"/>
    <cellStyle name="20% - Accent4 15 2 2 2 3 2" xfId="31236"/>
    <cellStyle name="20% - Accent4 15 2 2 2 4" xfId="22245"/>
    <cellStyle name="20% - Accent4 15 2 2 3" xfId="2718"/>
    <cellStyle name="20% - Accent4 15 2 2 3 2" xfId="14007"/>
    <cellStyle name="20% - Accent4 15 2 2 3 2 2" xfId="27399"/>
    <cellStyle name="20% - Accent4 15 2 2 3 3" xfId="17958"/>
    <cellStyle name="20% - Accent4 15 2 2 3 3 2" xfId="31237"/>
    <cellStyle name="20% - Accent4 15 2 2 3 4" xfId="22246"/>
    <cellStyle name="20% - Accent4 15 2 2 4" xfId="14005"/>
    <cellStyle name="20% - Accent4 15 2 2 4 2" xfId="27397"/>
    <cellStyle name="20% - Accent4 15 2 2 5" xfId="17956"/>
    <cellStyle name="20% - Accent4 15 2 2 5 2" xfId="31235"/>
    <cellStyle name="20% - Accent4 15 2 2 6" xfId="22244"/>
    <cellStyle name="20% - Accent4 15 2 3" xfId="2719"/>
    <cellStyle name="20% - Accent4 15 2 3 2" xfId="2720"/>
    <cellStyle name="20% - Accent4 15 2 3 2 2" xfId="14009"/>
    <cellStyle name="20% - Accent4 15 2 3 2 2 2" xfId="27401"/>
    <cellStyle name="20% - Accent4 15 2 3 2 3" xfId="17960"/>
    <cellStyle name="20% - Accent4 15 2 3 2 3 2" xfId="31239"/>
    <cellStyle name="20% - Accent4 15 2 3 2 4" xfId="22248"/>
    <cellStyle name="20% - Accent4 15 2 3 3" xfId="2721"/>
    <cellStyle name="20% - Accent4 15 2 3 3 2" xfId="14010"/>
    <cellStyle name="20% - Accent4 15 2 3 3 2 2" xfId="27402"/>
    <cellStyle name="20% - Accent4 15 2 3 3 3" xfId="17961"/>
    <cellStyle name="20% - Accent4 15 2 3 3 3 2" xfId="31240"/>
    <cellStyle name="20% - Accent4 15 2 3 3 4" xfId="22249"/>
    <cellStyle name="20% - Accent4 15 2 3 4" xfId="14008"/>
    <cellStyle name="20% - Accent4 15 2 3 4 2" xfId="27400"/>
    <cellStyle name="20% - Accent4 15 2 3 5" xfId="17959"/>
    <cellStyle name="20% - Accent4 15 2 3 5 2" xfId="31238"/>
    <cellStyle name="20% - Accent4 15 2 3 6" xfId="22247"/>
    <cellStyle name="20% - Accent4 15 2 4" xfId="2722"/>
    <cellStyle name="20% - Accent4 15 2 4 2" xfId="2723"/>
    <cellStyle name="20% - Accent4 15 2 4 2 2" xfId="14012"/>
    <cellStyle name="20% - Accent4 15 2 4 2 2 2" xfId="27404"/>
    <cellStyle name="20% - Accent4 15 2 4 2 3" xfId="17963"/>
    <cellStyle name="20% - Accent4 15 2 4 2 3 2" xfId="31242"/>
    <cellStyle name="20% - Accent4 15 2 4 2 4" xfId="22251"/>
    <cellStyle name="20% - Accent4 15 2 4 3" xfId="2724"/>
    <cellStyle name="20% - Accent4 15 2 4 3 2" xfId="14013"/>
    <cellStyle name="20% - Accent4 15 2 4 3 2 2" xfId="27405"/>
    <cellStyle name="20% - Accent4 15 2 4 3 3" xfId="17964"/>
    <cellStyle name="20% - Accent4 15 2 4 3 3 2" xfId="31243"/>
    <cellStyle name="20% - Accent4 15 2 4 3 4" xfId="22252"/>
    <cellStyle name="20% - Accent4 15 2 4 4" xfId="14011"/>
    <cellStyle name="20% - Accent4 15 2 4 4 2" xfId="27403"/>
    <cellStyle name="20% - Accent4 15 2 4 5" xfId="17962"/>
    <cellStyle name="20% - Accent4 15 2 4 5 2" xfId="31241"/>
    <cellStyle name="20% - Accent4 15 2 4 6" xfId="22250"/>
    <cellStyle name="20% - Accent4 15 2 5" xfId="2725"/>
    <cellStyle name="20% - Accent4 15 2 5 2" xfId="14014"/>
    <cellStyle name="20% - Accent4 15 2 5 2 2" xfId="27406"/>
    <cellStyle name="20% - Accent4 15 2 5 3" xfId="17965"/>
    <cellStyle name="20% - Accent4 15 2 5 3 2" xfId="31244"/>
    <cellStyle name="20% - Accent4 15 2 5 4" xfId="22253"/>
    <cellStyle name="20% - Accent4 15 2 6" xfId="2726"/>
    <cellStyle name="20% - Accent4 15 2 6 2" xfId="14015"/>
    <cellStyle name="20% - Accent4 15 2 6 2 2" xfId="27407"/>
    <cellStyle name="20% - Accent4 15 2 6 3" xfId="17966"/>
    <cellStyle name="20% - Accent4 15 2 6 3 2" xfId="31245"/>
    <cellStyle name="20% - Accent4 15 2 6 4" xfId="22254"/>
    <cellStyle name="20% - Accent4 15 2 7" xfId="14004"/>
    <cellStyle name="20% - Accent4 15 2 7 2" xfId="27396"/>
    <cellStyle name="20% - Accent4 15 2 8" xfId="17955"/>
    <cellStyle name="20% - Accent4 15 2 8 2" xfId="31234"/>
    <cellStyle name="20% - Accent4 15 2 9" xfId="22243"/>
    <cellStyle name="20% - Accent4 15 2_Volatility" xfId="2727"/>
    <cellStyle name="20% - Accent4 15 3" xfId="2728"/>
    <cellStyle name="20% - Accent4 15 3 2" xfId="2729"/>
    <cellStyle name="20% - Accent4 15 3 2 2" xfId="2730"/>
    <cellStyle name="20% - Accent4 15 3 2 2 2" xfId="14018"/>
    <cellStyle name="20% - Accent4 15 3 2 2 2 2" xfId="27410"/>
    <cellStyle name="20% - Accent4 15 3 2 2 3" xfId="17969"/>
    <cellStyle name="20% - Accent4 15 3 2 2 3 2" xfId="31248"/>
    <cellStyle name="20% - Accent4 15 3 2 2 4" xfId="22257"/>
    <cellStyle name="20% - Accent4 15 3 2 3" xfId="2731"/>
    <cellStyle name="20% - Accent4 15 3 2 3 2" xfId="14019"/>
    <cellStyle name="20% - Accent4 15 3 2 3 2 2" xfId="27411"/>
    <cellStyle name="20% - Accent4 15 3 2 3 3" xfId="17970"/>
    <cellStyle name="20% - Accent4 15 3 2 3 3 2" xfId="31249"/>
    <cellStyle name="20% - Accent4 15 3 2 3 4" xfId="22258"/>
    <cellStyle name="20% - Accent4 15 3 2 4" xfId="14017"/>
    <cellStyle name="20% - Accent4 15 3 2 4 2" xfId="27409"/>
    <cellStyle name="20% - Accent4 15 3 2 5" xfId="17968"/>
    <cellStyle name="20% - Accent4 15 3 2 5 2" xfId="31247"/>
    <cellStyle name="20% - Accent4 15 3 2 6" xfId="22256"/>
    <cellStyle name="20% - Accent4 15 3 3" xfId="2732"/>
    <cellStyle name="20% - Accent4 15 3 3 2" xfId="2733"/>
    <cellStyle name="20% - Accent4 15 3 3 2 2" xfId="14021"/>
    <cellStyle name="20% - Accent4 15 3 3 2 2 2" xfId="27413"/>
    <cellStyle name="20% - Accent4 15 3 3 2 3" xfId="17972"/>
    <cellStyle name="20% - Accent4 15 3 3 2 3 2" xfId="31251"/>
    <cellStyle name="20% - Accent4 15 3 3 2 4" xfId="22260"/>
    <cellStyle name="20% - Accent4 15 3 3 3" xfId="2734"/>
    <cellStyle name="20% - Accent4 15 3 3 3 2" xfId="14022"/>
    <cellStyle name="20% - Accent4 15 3 3 3 2 2" xfId="27414"/>
    <cellStyle name="20% - Accent4 15 3 3 3 3" xfId="17973"/>
    <cellStyle name="20% - Accent4 15 3 3 3 3 2" xfId="31252"/>
    <cellStyle name="20% - Accent4 15 3 3 3 4" xfId="22261"/>
    <cellStyle name="20% - Accent4 15 3 3 4" xfId="14020"/>
    <cellStyle name="20% - Accent4 15 3 3 4 2" xfId="27412"/>
    <cellStyle name="20% - Accent4 15 3 3 5" xfId="17971"/>
    <cellStyle name="20% - Accent4 15 3 3 5 2" xfId="31250"/>
    <cellStyle name="20% - Accent4 15 3 3 6" xfId="22259"/>
    <cellStyle name="20% - Accent4 15 3 4" xfId="2735"/>
    <cellStyle name="20% - Accent4 15 3 4 2" xfId="14023"/>
    <cellStyle name="20% - Accent4 15 3 4 2 2" xfId="27415"/>
    <cellStyle name="20% - Accent4 15 3 4 3" xfId="17974"/>
    <cellStyle name="20% - Accent4 15 3 4 3 2" xfId="31253"/>
    <cellStyle name="20% - Accent4 15 3 4 4" xfId="22262"/>
    <cellStyle name="20% - Accent4 15 3 5" xfId="2736"/>
    <cellStyle name="20% - Accent4 15 3 5 2" xfId="14024"/>
    <cellStyle name="20% - Accent4 15 3 5 2 2" xfId="27416"/>
    <cellStyle name="20% - Accent4 15 3 5 3" xfId="17975"/>
    <cellStyle name="20% - Accent4 15 3 5 3 2" xfId="31254"/>
    <cellStyle name="20% - Accent4 15 3 5 4" xfId="22263"/>
    <cellStyle name="20% - Accent4 15 3 6" xfId="14016"/>
    <cellStyle name="20% - Accent4 15 3 6 2" xfId="27408"/>
    <cellStyle name="20% - Accent4 15 3 7" xfId="17967"/>
    <cellStyle name="20% - Accent4 15 3 7 2" xfId="31246"/>
    <cellStyle name="20% - Accent4 15 3 8" xfId="22255"/>
    <cellStyle name="20% - Accent4 15 3_Volatility" xfId="2737"/>
    <cellStyle name="20% - Accent4 15 4" xfId="2738"/>
    <cellStyle name="20% - Accent4 15 4 2" xfId="2739"/>
    <cellStyle name="20% - Accent4 15 4 2 2" xfId="14026"/>
    <cellStyle name="20% - Accent4 15 4 2 2 2" xfId="27418"/>
    <cellStyle name="20% - Accent4 15 4 2 3" xfId="17977"/>
    <cellStyle name="20% - Accent4 15 4 2 3 2" xfId="31256"/>
    <cellStyle name="20% - Accent4 15 4 2 4" xfId="22265"/>
    <cellStyle name="20% - Accent4 15 4 3" xfId="2740"/>
    <cellStyle name="20% - Accent4 15 4 3 2" xfId="14027"/>
    <cellStyle name="20% - Accent4 15 4 3 2 2" xfId="27419"/>
    <cellStyle name="20% - Accent4 15 4 3 3" xfId="17978"/>
    <cellStyle name="20% - Accent4 15 4 3 3 2" xfId="31257"/>
    <cellStyle name="20% - Accent4 15 4 3 4" xfId="22266"/>
    <cellStyle name="20% - Accent4 15 4 4" xfId="14025"/>
    <cellStyle name="20% - Accent4 15 4 4 2" xfId="27417"/>
    <cellStyle name="20% - Accent4 15 4 5" xfId="17976"/>
    <cellStyle name="20% - Accent4 15 4 5 2" xfId="31255"/>
    <cellStyle name="20% - Accent4 15 4 6" xfId="22264"/>
    <cellStyle name="20% - Accent4 15 5" xfId="2741"/>
    <cellStyle name="20% - Accent4 15 5 2" xfId="2742"/>
    <cellStyle name="20% - Accent4 15 5 2 2" xfId="14029"/>
    <cellStyle name="20% - Accent4 15 5 2 2 2" xfId="27421"/>
    <cellStyle name="20% - Accent4 15 5 2 3" xfId="17980"/>
    <cellStyle name="20% - Accent4 15 5 2 3 2" xfId="31259"/>
    <cellStyle name="20% - Accent4 15 5 2 4" xfId="22268"/>
    <cellStyle name="20% - Accent4 15 5 3" xfId="2743"/>
    <cellStyle name="20% - Accent4 15 5 3 2" xfId="14030"/>
    <cellStyle name="20% - Accent4 15 5 3 2 2" xfId="27422"/>
    <cellStyle name="20% - Accent4 15 5 3 3" xfId="17981"/>
    <cellStyle name="20% - Accent4 15 5 3 3 2" xfId="31260"/>
    <cellStyle name="20% - Accent4 15 5 3 4" xfId="22269"/>
    <cellStyle name="20% - Accent4 15 5 4" xfId="14028"/>
    <cellStyle name="20% - Accent4 15 5 4 2" xfId="27420"/>
    <cellStyle name="20% - Accent4 15 5 5" xfId="17979"/>
    <cellStyle name="20% - Accent4 15 5 5 2" xfId="31258"/>
    <cellStyle name="20% - Accent4 15 5 6" xfId="22267"/>
    <cellStyle name="20% - Accent4 15 6" xfId="2744"/>
    <cellStyle name="20% - Accent4 15 6 2" xfId="2745"/>
    <cellStyle name="20% - Accent4 15 6 2 2" xfId="14032"/>
    <cellStyle name="20% - Accent4 15 6 2 2 2" xfId="27424"/>
    <cellStyle name="20% - Accent4 15 6 2 3" xfId="17983"/>
    <cellStyle name="20% - Accent4 15 6 2 3 2" xfId="31262"/>
    <cellStyle name="20% - Accent4 15 6 2 4" xfId="22271"/>
    <cellStyle name="20% - Accent4 15 6 3" xfId="2746"/>
    <cellStyle name="20% - Accent4 15 6 3 2" xfId="14033"/>
    <cellStyle name="20% - Accent4 15 6 3 2 2" xfId="27425"/>
    <cellStyle name="20% - Accent4 15 6 3 3" xfId="17984"/>
    <cellStyle name="20% - Accent4 15 6 3 3 2" xfId="31263"/>
    <cellStyle name="20% - Accent4 15 6 3 4" xfId="22272"/>
    <cellStyle name="20% - Accent4 15 6 4" xfId="14031"/>
    <cellStyle name="20% - Accent4 15 6 4 2" xfId="27423"/>
    <cellStyle name="20% - Accent4 15 6 5" xfId="17982"/>
    <cellStyle name="20% - Accent4 15 6 5 2" xfId="31261"/>
    <cellStyle name="20% - Accent4 15 6 6" xfId="22270"/>
    <cellStyle name="20% - Accent4 15 7" xfId="2747"/>
    <cellStyle name="20% - Accent4 15 7 2" xfId="14034"/>
    <cellStyle name="20% - Accent4 15 7 2 2" xfId="27426"/>
    <cellStyle name="20% - Accent4 15 7 3" xfId="17985"/>
    <cellStyle name="20% - Accent4 15 7 3 2" xfId="31264"/>
    <cellStyle name="20% - Accent4 15 7 4" xfId="22273"/>
    <cellStyle name="20% - Accent4 15 8" xfId="2748"/>
    <cellStyle name="20% - Accent4 15 8 2" xfId="14035"/>
    <cellStyle name="20% - Accent4 15 8 2 2" xfId="27427"/>
    <cellStyle name="20% - Accent4 15 8 3" xfId="17986"/>
    <cellStyle name="20% - Accent4 15 8 3 2" xfId="31265"/>
    <cellStyle name="20% - Accent4 15 8 4" xfId="22274"/>
    <cellStyle name="20% - Accent4 15 9" xfId="14003"/>
    <cellStyle name="20% - Accent4 15 9 2" xfId="27395"/>
    <cellStyle name="20% - Accent4 15_Volatility" xfId="2749"/>
    <cellStyle name="20% - Accent4 16" xfId="2750"/>
    <cellStyle name="20% - Accent4 16 2" xfId="14036"/>
    <cellStyle name="20% - Accent4 16 2 2" xfId="27428"/>
    <cellStyle name="20% - Accent4 16 3" xfId="17987"/>
    <cellStyle name="20% - Accent4 16 3 2" xfId="31266"/>
    <cellStyle name="20% - Accent4 16 4" xfId="22275"/>
    <cellStyle name="20% - Accent4 17" xfId="2751"/>
    <cellStyle name="20% - Accent4 17 2" xfId="14037"/>
    <cellStyle name="20% - Accent4 17 2 2" xfId="27429"/>
    <cellStyle name="20% - Accent4 17 3" xfId="17988"/>
    <cellStyle name="20% - Accent4 17 3 2" xfId="31267"/>
    <cellStyle name="20% - Accent4 17 4" xfId="22276"/>
    <cellStyle name="20% - Accent4 18" xfId="2752"/>
    <cellStyle name="20% - Accent4 18 2" xfId="14038"/>
    <cellStyle name="20% - Accent4 18 2 2" xfId="27430"/>
    <cellStyle name="20% - Accent4 18 3" xfId="17989"/>
    <cellStyle name="20% - Accent4 18 3 2" xfId="31268"/>
    <cellStyle name="20% - Accent4 18 4" xfId="22277"/>
    <cellStyle name="20% - Accent4 19" xfId="2753"/>
    <cellStyle name="20% - Accent4 19 2" xfId="14039"/>
    <cellStyle name="20% - Accent4 19 2 2" xfId="27431"/>
    <cellStyle name="20% - Accent4 19 3" xfId="17990"/>
    <cellStyle name="20% - Accent4 19 3 2" xfId="31269"/>
    <cellStyle name="20% - Accent4 19 4" xfId="22278"/>
    <cellStyle name="20% - Accent4 2" xfId="2754"/>
    <cellStyle name="20% - Accent4 2 10" xfId="17991"/>
    <cellStyle name="20% - Accent4 2 10 2" xfId="31270"/>
    <cellStyle name="20% - Accent4 2 11" xfId="22279"/>
    <cellStyle name="20% - Accent4 2 2" xfId="2755"/>
    <cellStyle name="20% - Accent4 2 2 2" xfId="2756"/>
    <cellStyle name="20% - Accent4 2 2 2 2" xfId="2757"/>
    <cellStyle name="20% - Accent4 2 2 2 2 2" xfId="14043"/>
    <cellStyle name="20% - Accent4 2 2 2 2 2 2" xfId="27435"/>
    <cellStyle name="20% - Accent4 2 2 2 2 3" xfId="17994"/>
    <cellStyle name="20% - Accent4 2 2 2 2 3 2" xfId="31273"/>
    <cellStyle name="20% - Accent4 2 2 2 2 4" xfId="22282"/>
    <cellStyle name="20% - Accent4 2 2 2 3" xfId="2758"/>
    <cellStyle name="20% - Accent4 2 2 2 3 2" xfId="14044"/>
    <cellStyle name="20% - Accent4 2 2 2 3 2 2" xfId="27436"/>
    <cellStyle name="20% - Accent4 2 2 2 3 3" xfId="17995"/>
    <cellStyle name="20% - Accent4 2 2 2 3 3 2" xfId="31274"/>
    <cellStyle name="20% - Accent4 2 2 2 3 4" xfId="22283"/>
    <cellStyle name="20% - Accent4 2 2 2 4" xfId="14042"/>
    <cellStyle name="20% - Accent4 2 2 2 4 2" xfId="27434"/>
    <cellStyle name="20% - Accent4 2 2 2 5" xfId="17993"/>
    <cellStyle name="20% - Accent4 2 2 2 5 2" xfId="31272"/>
    <cellStyle name="20% - Accent4 2 2 2 6" xfId="22281"/>
    <cellStyle name="20% - Accent4 2 2 3" xfId="2759"/>
    <cellStyle name="20% - Accent4 2 2 3 2" xfId="2760"/>
    <cellStyle name="20% - Accent4 2 2 3 2 2" xfId="14046"/>
    <cellStyle name="20% - Accent4 2 2 3 2 2 2" xfId="27438"/>
    <cellStyle name="20% - Accent4 2 2 3 2 3" xfId="17997"/>
    <cellStyle name="20% - Accent4 2 2 3 2 3 2" xfId="31276"/>
    <cellStyle name="20% - Accent4 2 2 3 2 4" xfId="22285"/>
    <cellStyle name="20% - Accent4 2 2 3 3" xfId="2761"/>
    <cellStyle name="20% - Accent4 2 2 3 3 2" xfId="14047"/>
    <cellStyle name="20% - Accent4 2 2 3 3 2 2" xfId="27439"/>
    <cellStyle name="20% - Accent4 2 2 3 3 3" xfId="17998"/>
    <cellStyle name="20% - Accent4 2 2 3 3 3 2" xfId="31277"/>
    <cellStyle name="20% - Accent4 2 2 3 3 4" xfId="22286"/>
    <cellStyle name="20% - Accent4 2 2 3 4" xfId="14045"/>
    <cellStyle name="20% - Accent4 2 2 3 4 2" xfId="27437"/>
    <cellStyle name="20% - Accent4 2 2 3 5" xfId="17996"/>
    <cellStyle name="20% - Accent4 2 2 3 5 2" xfId="31275"/>
    <cellStyle name="20% - Accent4 2 2 3 6" xfId="22284"/>
    <cellStyle name="20% - Accent4 2 2 4" xfId="2762"/>
    <cellStyle name="20% - Accent4 2 2 4 2" xfId="2763"/>
    <cellStyle name="20% - Accent4 2 2 4 2 2" xfId="14049"/>
    <cellStyle name="20% - Accent4 2 2 4 2 2 2" xfId="27441"/>
    <cellStyle name="20% - Accent4 2 2 4 2 3" xfId="18000"/>
    <cellStyle name="20% - Accent4 2 2 4 2 3 2" xfId="31279"/>
    <cellStyle name="20% - Accent4 2 2 4 2 4" xfId="22288"/>
    <cellStyle name="20% - Accent4 2 2 4 3" xfId="2764"/>
    <cellStyle name="20% - Accent4 2 2 4 3 2" xfId="14050"/>
    <cellStyle name="20% - Accent4 2 2 4 3 2 2" xfId="27442"/>
    <cellStyle name="20% - Accent4 2 2 4 3 3" xfId="18001"/>
    <cellStyle name="20% - Accent4 2 2 4 3 3 2" xfId="31280"/>
    <cellStyle name="20% - Accent4 2 2 4 3 4" xfId="22289"/>
    <cellStyle name="20% - Accent4 2 2 4 4" xfId="14048"/>
    <cellStyle name="20% - Accent4 2 2 4 4 2" xfId="27440"/>
    <cellStyle name="20% - Accent4 2 2 4 5" xfId="17999"/>
    <cellStyle name="20% - Accent4 2 2 4 5 2" xfId="31278"/>
    <cellStyle name="20% - Accent4 2 2 4 6" xfId="22287"/>
    <cellStyle name="20% - Accent4 2 2 5" xfId="2765"/>
    <cellStyle name="20% - Accent4 2 2 5 2" xfId="14051"/>
    <cellStyle name="20% - Accent4 2 2 5 2 2" xfId="27443"/>
    <cellStyle name="20% - Accent4 2 2 5 3" xfId="18002"/>
    <cellStyle name="20% - Accent4 2 2 5 3 2" xfId="31281"/>
    <cellStyle name="20% - Accent4 2 2 5 4" xfId="22290"/>
    <cellStyle name="20% - Accent4 2 2 6" xfId="2766"/>
    <cellStyle name="20% - Accent4 2 2 6 2" xfId="14052"/>
    <cellStyle name="20% - Accent4 2 2 6 2 2" xfId="27444"/>
    <cellStyle name="20% - Accent4 2 2 6 3" xfId="18003"/>
    <cellStyle name="20% - Accent4 2 2 6 3 2" xfId="31282"/>
    <cellStyle name="20% - Accent4 2 2 6 4" xfId="22291"/>
    <cellStyle name="20% - Accent4 2 2 7" xfId="14041"/>
    <cellStyle name="20% - Accent4 2 2 7 2" xfId="27433"/>
    <cellStyle name="20% - Accent4 2 2 8" xfId="17992"/>
    <cellStyle name="20% - Accent4 2 2 8 2" xfId="31271"/>
    <cellStyle name="20% - Accent4 2 2 9" xfId="22280"/>
    <cellStyle name="20% - Accent4 2 2_Volatility" xfId="2767"/>
    <cellStyle name="20% - Accent4 2 3" xfId="2768"/>
    <cellStyle name="20% - Accent4 2 3 2" xfId="2769"/>
    <cellStyle name="20% - Accent4 2 3 2 2" xfId="2770"/>
    <cellStyle name="20% - Accent4 2 3 2 2 2" xfId="14055"/>
    <cellStyle name="20% - Accent4 2 3 2 2 2 2" xfId="27447"/>
    <cellStyle name="20% - Accent4 2 3 2 2 3" xfId="18006"/>
    <cellStyle name="20% - Accent4 2 3 2 2 3 2" xfId="31285"/>
    <cellStyle name="20% - Accent4 2 3 2 2 4" xfId="22294"/>
    <cellStyle name="20% - Accent4 2 3 2 3" xfId="2771"/>
    <cellStyle name="20% - Accent4 2 3 2 3 2" xfId="14056"/>
    <cellStyle name="20% - Accent4 2 3 2 3 2 2" xfId="27448"/>
    <cellStyle name="20% - Accent4 2 3 2 3 3" xfId="18007"/>
    <cellStyle name="20% - Accent4 2 3 2 3 3 2" xfId="31286"/>
    <cellStyle name="20% - Accent4 2 3 2 3 4" xfId="22295"/>
    <cellStyle name="20% - Accent4 2 3 2 4" xfId="14054"/>
    <cellStyle name="20% - Accent4 2 3 2 4 2" xfId="27446"/>
    <cellStyle name="20% - Accent4 2 3 2 5" xfId="18005"/>
    <cellStyle name="20% - Accent4 2 3 2 5 2" xfId="31284"/>
    <cellStyle name="20% - Accent4 2 3 2 6" xfId="22293"/>
    <cellStyle name="20% - Accent4 2 3 3" xfId="2772"/>
    <cellStyle name="20% - Accent4 2 3 3 2" xfId="2773"/>
    <cellStyle name="20% - Accent4 2 3 3 2 2" xfId="14058"/>
    <cellStyle name="20% - Accent4 2 3 3 2 2 2" xfId="27450"/>
    <cellStyle name="20% - Accent4 2 3 3 2 3" xfId="18009"/>
    <cellStyle name="20% - Accent4 2 3 3 2 3 2" xfId="31288"/>
    <cellStyle name="20% - Accent4 2 3 3 2 4" xfId="22297"/>
    <cellStyle name="20% - Accent4 2 3 3 3" xfId="2774"/>
    <cellStyle name="20% - Accent4 2 3 3 3 2" xfId="14059"/>
    <cellStyle name="20% - Accent4 2 3 3 3 2 2" xfId="27451"/>
    <cellStyle name="20% - Accent4 2 3 3 3 3" xfId="18010"/>
    <cellStyle name="20% - Accent4 2 3 3 3 3 2" xfId="31289"/>
    <cellStyle name="20% - Accent4 2 3 3 3 4" xfId="22298"/>
    <cellStyle name="20% - Accent4 2 3 3 4" xfId="14057"/>
    <cellStyle name="20% - Accent4 2 3 3 4 2" xfId="27449"/>
    <cellStyle name="20% - Accent4 2 3 3 5" xfId="18008"/>
    <cellStyle name="20% - Accent4 2 3 3 5 2" xfId="31287"/>
    <cellStyle name="20% - Accent4 2 3 3 6" xfId="22296"/>
    <cellStyle name="20% - Accent4 2 3 4" xfId="2775"/>
    <cellStyle name="20% - Accent4 2 3 4 2" xfId="14060"/>
    <cellStyle name="20% - Accent4 2 3 4 2 2" xfId="27452"/>
    <cellStyle name="20% - Accent4 2 3 4 3" xfId="18011"/>
    <cellStyle name="20% - Accent4 2 3 4 3 2" xfId="31290"/>
    <cellStyle name="20% - Accent4 2 3 4 4" xfId="22299"/>
    <cellStyle name="20% - Accent4 2 3 5" xfId="2776"/>
    <cellStyle name="20% - Accent4 2 3 5 2" xfId="14061"/>
    <cellStyle name="20% - Accent4 2 3 5 2 2" xfId="27453"/>
    <cellStyle name="20% - Accent4 2 3 5 3" xfId="18012"/>
    <cellStyle name="20% - Accent4 2 3 5 3 2" xfId="31291"/>
    <cellStyle name="20% - Accent4 2 3 5 4" xfId="22300"/>
    <cellStyle name="20% - Accent4 2 3 6" xfId="14053"/>
    <cellStyle name="20% - Accent4 2 3 6 2" xfId="27445"/>
    <cellStyle name="20% - Accent4 2 3 7" xfId="18004"/>
    <cellStyle name="20% - Accent4 2 3 7 2" xfId="31283"/>
    <cellStyle name="20% - Accent4 2 3 8" xfId="22292"/>
    <cellStyle name="20% - Accent4 2 3_Volatility" xfId="2777"/>
    <cellStyle name="20% - Accent4 2 4" xfId="2778"/>
    <cellStyle name="20% - Accent4 2 4 2" xfId="2779"/>
    <cellStyle name="20% - Accent4 2 4 2 2" xfId="14063"/>
    <cellStyle name="20% - Accent4 2 4 2 2 2" xfId="27455"/>
    <cellStyle name="20% - Accent4 2 4 2 3" xfId="18014"/>
    <cellStyle name="20% - Accent4 2 4 2 3 2" xfId="31293"/>
    <cellStyle name="20% - Accent4 2 4 2 4" xfId="22302"/>
    <cellStyle name="20% - Accent4 2 4 3" xfId="2780"/>
    <cellStyle name="20% - Accent4 2 4 3 2" xfId="14064"/>
    <cellStyle name="20% - Accent4 2 4 3 2 2" xfId="27456"/>
    <cellStyle name="20% - Accent4 2 4 3 3" xfId="18015"/>
    <cellStyle name="20% - Accent4 2 4 3 3 2" xfId="31294"/>
    <cellStyle name="20% - Accent4 2 4 3 4" xfId="22303"/>
    <cellStyle name="20% - Accent4 2 4 4" xfId="14062"/>
    <cellStyle name="20% - Accent4 2 4 4 2" xfId="27454"/>
    <cellStyle name="20% - Accent4 2 4 5" xfId="18013"/>
    <cellStyle name="20% - Accent4 2 4 5 2" xfId="31292"/>
    <cellStyle name="20% - Accent4 2 4 6" xfId="22301"/>
    <cellStyle name="20% - Accent4 2 5" xfId="2781"/>
    <cellStyle name="20% - Accent4 2 5 2" xfId="2782"/>
    <cellStyle name="20% - Accent4 2 5 2 2" xfId="14066"/>
    <cellStyle name="20% - Accent4 2 5 2 2 2" xfId="27458"/>
    <cellStyle name="20% - Accent4 2 5 2 3" xfId="18017"/>
    <cellStyle name="20% - Accent4 2 5 2 3 2" xfId="31296"/>
    <cellStyle name="20% - Accent4 2 5 2 4" xfId="22305"/>
    <cellStyle name="20% - Accent4 2 5 3" xfId="2783"/>
    <cellStyle name="20% - Accent4 2 5 3 2" xfId="14067"/>
    <cellStyle name="20% - Accent4 2 5 3 2 2" xfId="27459"/>
    <cellStyle name="20% - Accent4 2 5 3 3" xfId="18018"/>
    <cellStyle name="20% - Accent4 2 5 3 3 2" xfId="31297"/>
    <cellStyle name="20% - Accent4 2 5 3 4" xfId="22306"/>
    <cellStyle name="20% - Accent4 2 5 4" xfId="14065"/>
    <cellStyle name="20% - Accent4 2 5 4 2" xfId="27457"/>
    <cellStyle name="20% - Accent4 2 5 5" xfId="18016"/>
    <cellStyle name="20% - Accent4 2 5 5 2" xfId="31295"/>
    <cellStyle name="20% - Accent4 2 5 6" xfId="22304"/>
    <cellStyle name="20% - Accent4 2 6" xfId="2784"/>
    <cellStyle name="20% - Accent4 2 6 2" xfId="2785"/>
    <cellStyle name="20% - Accent4 2 6 2 2" xfId="14069"/>
    <cellStyle name="20% - Accent4 2 6 2 2 2" xfId="27461"/>
    <cellStyle name="20% - Accent4 2 6 2 3" xfId="18020"/>
    <cellStyle name="20% - Accent4 2 6 2 3 2" xfId="31299"/>
    <cellStyle name="20% - Accent4 2 6 2 4" xfId="22308"/>
    <cellStyle name="20% - Accent4 2 6 3" xfId="2786"/>
    <cellStyle name="20% - Accent4 2 6 3 2" xfId="14070"/>
    <cellStyle name="20% - Accent4 2 6 3 2 2" xfId="27462"/>
    <cellStyle name="20% - Accent4 2 6 3 3" xfId="18021"/>
    <cellStyle name="20% - Accent4 2 6 3 3 2" xfId="31300"/>
    <cellStyle name="20% - Accent4 2 6 3 4" xfId="22309"/>
    <cellStyle name="20% - Accent4 2 6 4" xfId="14068"/>
    <cellStyle name="20% - Accent4 2 6 4 2" xfId="27460"/>
    <cellStyle name="20% - Accent4 2 6 5" xfId="18019"/>
    <cellStyle name="20% - Accent4 2 6 5 2" xfId="31298"/>
    <cellStyle name="20% - Accent4 2 6 6" xfId="22307"/>
    <cellStyle name="20% - Accent4 2 7" xfId="2787"/>
    <cellStyle name="20% - Accent4 2 7 2" xfId="14071"/>
    <cellStyle name="20% - Accent4 2 7 2 2" xfId="27463"/>
    <cellStyle name="20% - Accent4 2 7 3" xfId="18022"/>
    <cellStyle name="20% - Accent4 2 7 3 2" xfId="31301"/>
    <cellStyle name="20% - Accent4 2 7 4" xfId="22310"/>
    <cellStyle name="20% - Accent4 2 8" xfId="2788"/>
    <cellStyle name="20% - Accent4 2 8 2" xfId="14072"/>
    <cellStyle name="20% - Accent4 2 8 2 2" xfId="27464"/>
    <cellStyle name="20% - Accent4 2 8 3" xfId="18023"/>
    <cellStyle name="20% - Accent4 2 8 3 2" xfId="31302"/>
    <cellStyle name="20% - Accent4 2 8 4" xfId="22311"/>
    <cellStyle name="20% - Accent4 2 9" xfId="14040"/>
    <cellStyle name="20% - Accent4 2 9 2" xfId="27432"/>
    <cellStyle name="20% - Accent4 2_Volatility" xfId="2789"/>
    <cellStyle name="20% - Accent4 3" xfId="2790"/>
    <cellStyle name="20% - Accent4 3 10" xfId="18024"/>
    <cellStyle name="20% - Accent4 3 10 2" xfId="31303"/>
    <cellStyle name="20% - Accent4 3 11" xfId="22312"/>
    <cellStyle name="20% - Accent4 3 2" xfId="2791"/>
    <cellStyle name="20% - Accent4 3 2 2" xfId="2792"/>
    <cellStyle name="20% - Accent4 3 2 2 2" xfId="2793"/>
    <cellStyle name="20% - Accent4 3 2 2 2 2" xfId="14076"/>
    <cellStyle name="20% - Accent4 3 2 2 2 2 2" xfId="27468"/>
    <cellStyle name="20% - Accent4 3 2 2 2 3" xfId="18027"/>
    <cellStyle name="20% - Accent4 3 2 2 2 3 2" xfId="31306"/>
    <cellStyle name="20% - Accent4 3 2 2 2 4" xfId="22315"/>
    <cellStyle name="20% - Accent4 3 2 2 3" xfId="2794"/>
    <cellStyle name="20% - Accent4 3 2 2 3 2" xfId="14077"/>
    <cellStyle name="20% - Accent4 3 2 2 3 2 2" xfId="27469"/>
    <cellStyle name="20% - Accent4 3 2 2 3 3" xfId="18028"/>
    <cellStyle name="20% - Accent4 3 2 2 3 3 2" xfId="31307"/>
    <cellStyle name="20% - Accent4 3 2 2 3 4" xfId="22316"/>
    <cellStyle name="20% - Accent4 3 2 2 4" xfId="14075"/>
    <cellStyle name="20% - Accent4 3 2 2 4 2" xfId="27467"/>
    <cellStyle name="20% - Accent4 3 2 2 5" xfId="18026"/>
    <cellStyle name="20% - Accent4 3 2 2 5 2" xfId="31305"/>
    <cellStyle name="20% - Accent4 3 2 2 6" xfId="22314"/>
    <cellStyle name="20% - Accent4 3 2 3" xfId="2795"/>
    <cellStyle name="20% - Accent4 3 2 3 2" xfId="2796"/>
    <cellStyle name="20% - Accent4 3 2 3 2 2" xfId="14079"/>
    <cellStyle name="20% - Accent4 3 2 3 2 2 2" xfId="27471"/>
    <cellStyle name="20% - Accent4 3 2 3 2 3" xfId="18030"/>
    <cellStyle name="20% - Accent4 3 2 3 2 3 2" xfId="31309"/>
    <cellStyle name="20% - Accent4 3 2 3 2 4" xfId="22318"/>
    <cellStyle name="20% - Accent4 3 2 3 3" xfId="2797"/>
    <cellStyle name="20% - Accent4 3 2 3 3 2" xfId="14080"/>
    <cellStyle name="20% - Accent4 3 2 3 3 2 2" xfId="27472"/>
    <cellStyle name="20% - Accent4 3 2 3 3 3" xfId="18031"/>
    <cellStyle name="20% - Accent4 3 2 3 3 3 2" xfId="31310"/>
    <cellStyle name="20% - Accent4 3 2 3 3 4" xfId="22319"/>
    <cellStyle name="20% - Accent4 3 2 3 4" xfId="14078"/>
    <cellStyle name="20% - Accent4 3 2 3 4 2" xfId="27470"/>
    <cellStyle name="20% - Accent4 3 2 3 5" xfId="18029"/>
    <cellStyle name="20% - Accent4 3 2 3 5 2" xfId="31308"/>
    <cellStyle name="20% - Accent4 3 2 3 6" xfId="22317"/>
    <cellStyle name="20% - Accent4 3 2 4" xfId="2798"/>
    <cellStyle name="20% - Accent4 3 2 4 2" xfId="2799"/>
    <cellStyle name="20% - Accent4 3 2 4 2 2" xfId="14082"/>
    <cellStyle name="20% - Accent4 3 2 4 2 2 2" xfId="27474"/>
    <cellStyle name="20% - Accent4 3 2 4 2 3" xfId="18033"/>
    <cellStyle name="20% - Accent4 3 2 4 2 3 2" xfId="31312"/>
    <cellStyle name="20% - Accent4 3 2 4 2 4" xfId="22321"/>
    <cellStyle name="20% - Accent4 3 2 4 3" xfId="2800"/>
    <cellStyle name="20% - Accent4 3 2 4 3 2" xfId="14083"/>
    <cellStyle name="20% - Accent4 3 2 4 3 2 2" xfId="27475"/>
    <cellStyle name="20% - Accent4 3 2 4 3 3" xfId="18034"/>
    <cellStyle name="20% - Accent4 3 2 4 3 3 2" xfId="31313"/>
    <cellStyle name="20% - Accent4 3 2 4 3 4" xfId="22322"/>
    <cellStyle name="20% - Accent4 3 2 4 4" xfId="14081"/>
    <cellStyle name="20% - Accent4 3 2 4 4 2" xfId="27473"/>
    <cellStyle name="20% - Accent4 3 2 4 5" xfId="18032"/>
    <cellStyle name="20% - Accent4 3 2 4 5 2" xfId="31311"/>
    <cellStyle name="20% - Accent4 3 2 4 6" xfId="22320"/>
    <cellStyle name="20% - Accent4 3 2 5" xfId="2801"/>
    <cellStyle name="20% - Accent4 3 2 5 2" xfId="14084"/>
    <cellStyle name="20% - Accent4 3 2 5 2 2" xfId="27476"/>
    <cellStyle name="20% - Accent4 3 2 5 3" xfId="18035"/>
    <cellStyle name="20% - Accent4 3 2 5 3 2" xfId="31314"/>
    <cellStyle name="20% - Accent4 3 2 5 4" xfId="22323"/>
    <cellStyle name="20% - Accent4 3 2 6" xfId="2802"/>
    <cellStyle name="20% - Accent4 3 2 6 2" xfId="14085"/>
    <cellStyle name="20% - Accent4 3 2 6 2 2" xfId="27477"/>
    <cellStyle name="20% - Accent4 3 2 6 3" xfId="18036"/>
    <cellStyle name="20% - Accent4 3 2 6 3 2" xfId="31315"/>
    <cellStyle name="20% - Accent4 3 2 6 4" xfId="22324"/>
    <cellStyle name="20% - Accent4 3 2 7" xfId="14074"/>
    <cellStyle name="20% - Accent4 3 2 7 2" xfId="27466"/>
    <cellStyle name="20% - Accent4 3 2 8" xfId="18025"/>
    <cellStyle name="20% - Accent4 3 2 8 2" xfId="31304"/>
    <cellStyle name="20% - Accent4 3 2 9" xfId="22313"/>
    <cellStyle name="20% - Accent4 3 2_Volatility" xfId="2803"/>
    <cellStyle name="20% - Accent4 3 3" xfId="2804"/>
    <cellStyle name="20% - Accent4 3 3 2" xfId="2805"/>
    <cellStyle name="20% - Accent4 3 3 2 2" xfId="2806"/>
    <cellStyle name="20% - Accent4 3 3 2 2 2" xfId="14088"/>
    <cellStyle name="20% - Accent4 3 3 2 2 2 2" xfId="27480"/>
    <cellStyle name="20% - Accent4 3 3 2 2 3" xfId="18039"/>
    <cellStyle name="20% - Accent4 3 3 2 2 3 2" xfId="31318"/>
    <cellStyle name="20% - Accent4 3 3 2 2 4" xfId="22327"/>
    <cellStyle name="20% - Accent4 3 3 2 3" xfId="2807"/>
    <cellStyle name="20% - Accent4 3 3 2 3 2" xfId="14089"/>
    <cellStyle name="20% - Accent4 3 3 2 3 2 2" xfId="27481"/>
    <cellStyle name="20% - Accent4 3 3 2 3 3" xfId="18040"/>
    <cellStyle name="20% - Accent4 3 3 2 3 3 2" xfId="31319"/>
    <cellStyle name="20% - Accent4 3 3 2 3 4" xfId="22328"/>
    <cellStyle name="20% - Accent4 3 3 2 4" xfId="14087"/>
    <cellStyle name="20% - Accent4 3 3 2 4 2" xfId="27479"/>
    <cellStyle name="20% - Accent4 3 3 2 5" xfId="18038"/>
    <cellStyle name="20% - Accent4 3 3 2 5 2" xfId="31317"/>
    <cellStyle name="20% - Accent4 3 3 2 6" xfId="22326"/>
    <cellStyle name="20% - Accent4 3 3 3" xfId="2808"/>
    <cellStyle name="20% - Accent4 3 3 3 2" xfId="2809"/>
    <cellStyle name="20% - Accent4 3 3 3 2 2" xfId="14091"/>
    <cellStyle name="20% - Accent4 3 3 3 2 2 2" xfId="27483"/>
    <cellStyle name="20% - Accent4 3 3 3 2 3" xfId="18042"/>
    <cellStyle name="20% - Accent4 3 3 3 2 3 2" xfId="31321"/>
    <cellStyle name="20% - Accent4 3 3 3 2 4" xfId="22330"/>
    <cellStyle name="20% - Accent4 3 3 3 3" xfId="2810"/>
    <cellStyle name="20% - Accent4 3 3 3 3 2" xfId="14092"/>
    <cellStyle name="20% - Accent4 3 3 3 3 2 2" xfId="27484"/>
    <cellStyle name="20% - Accent4 3 3 3 3 3" xfId="18043"/>
    <cellStyle name="20% - Accent4 3 3 3 3 3 2" xfId="31322"/>
    <cellStyle name="20% - Accent4 3 3 3 3 4" xfId="22331"/>
    <cellStyle name="20% - Accent4 3 3 3 4" xfId="14090"/>
    <cellStyle name="20% - Accent4 3 3 3 4 2" xfId="27482"/>
    <cellStyle name="20% - Accent4 3 3 3 5" xfId="18041"/>
    <cellStyle name="20% - Accent4 3 3 3 5 2" xfId="31320"/>
    <cellStyle name="20% - Accent4 3 3 3 6" xfId="22329"/>
    <cellStyle name="20% - Accent4 3 3 4" xfId="2811"/>
    <cellStyle name="20% - Accent4 3 3 4 2" xfId="14093"/>
    <cellStyle name="20% - Accent4 3 3 4 2 2" xfId="27485"/>
    <cellStyle name="20% - Accent4 3 3 4 3" xfId="18044"/>
    <cellStyle name="20% - Accent4 3 3 4 3 2" xfId="31323"/>
    <cellStyle name="20% - Accent4 3 3 4 4" xfId="22332"/>
    <cellStyle name="20% - Accent4 3 3 5" xfId="2812"/>
    <cellStyle name="20% - Accent4 3 3 5 2" xfId="14094"/>
    <cellStyle name="20% - Accent4 3 3 5 2 2" xfId="27486"/>
    <cellStyle name="20% - Accent4 3 3 5 3" xfId="18045"/>
    <cellStyle name="20% - Accent4 3 3 5 3 2" xfId="31324"/>
    <cellStyle name="20% - Accent4 3 3 5 4" xfId="22333"/>
    <cellStyle name="20% - Accent4 3 3 6" xfId="14086"/>
    <cellStyle name="20% - Accent4 3 3 6 2" xfId="27478"/>
    <cellStyle name="20% - Accent4 3 3 7" xfId="18037"/>
    <cellStyle name="20% - Accent4 3 3 7 2" xfId="31316"/>
    <cellStyle name="20% - Accent4 3 3 8" xfId="22325"/>
    <cellStyle name="20% - Accent4 3 3_Volatility" xfId="2813"/>
    <cellStyle name="20% - Accent4 3 4" xfId="2814"/>
    <cellStyle name="20% - Accent4 3 4 2" xfId="2815"/>
    <cellStyle name="20% - Accent4 3 4 2 2" xfId="14096"/>
    <cellStyle name="20% - Accent4 3 4 2 2 2" xfId="27488"/>
    <cellStyle name="20% - Accent4 3 4 2 3" xfId="18047"/>
    <cellStyle name="20% - Accent4 3 4 2 3 2" xfId="31326"/>
    <cellStyle name="20% - Accent4 3 4 2 4" xfId="22335"/>
    <cellStyle name="20% - Accent4 3 4 3" xfId="2816"/>
    <cellStyle name="20% - Accent4 3 4 3 2" xfId="14097"/>
    <cellStyle name="20% - Accent4 3 4 3 2 2" xfId="27489"/>
    <cellStyle name="20% - Accent4 3 4 3 3" xfId="18048"/>
    <cellStyle name="20% - Accent4 3 4 3 3 2" xfId="31327"/>
    <cellStyle name="20% - Accent4 3 4 3 4" xfId="22336"/>
    <cellStyle name="20% - Accent4 3 4 4" xfId="14095"/>
    <cellStyle name="20% - Accent4 3 4 4 2" xfId="27487"/>
    <cellStyle name="20% - Accent4 3 4 5" xfId="18046"/>
    <cellStyle name="20% - Accent4 3 4 5 2" xfId="31325"/>
    <cellStyle name="20% - Accent4 3 4 6" xfId="22334"/>
    <cellStyle name="20% - Accent4 3 5" xfId="2817"/>
    <cellStyle name="20% - Accent4 3 5 2" xfId="2818"/>
    <cellStyle name="20% - Accent4 3 5 2 2" xfId="14099"/>
    <cellStyle name="20% - Accent4 3 5 2 2 2" xfId="27491"/>
    <cellStyle name="20% - Accent4 3 5 2 3" xfId="18050"/>
    <cellStyle name="20% - Accent4 3 5 2 3 2" xfId="31329"/>
    <cellStyle name="20% - Accent4 3 5 2 4" xfId="22338"/>
    <cellStyle name="20% - Accent4 3 5 3" xfId="2819"/>
    <cellStyle name="20% - Accent4 3 5 3 2" xfId="14100"/>
    <cellStyle name="20% - Accent4 3 5 3 2 2" xfId="27492"/>
    <cellStyle name="20% - Accent4 3 5 3 3" xfId="18051"/>
    <cellStyle name="20% - Accent4 3 5 3 3 2" xfId="31330"/>
    <cellStyle name="20% - Accent4 3 5 3 4" xfId="22339"/>
    <cellStyle name="20% - Accent4 3 5 4" xfId="14098"/>
    <cellStyle name="20% - Accent4 3 5 4 2" xfId="27490"/>
    <cellStyle name="20% - Accent4 3 5 5" xfId="18049"/>
    <cellStyle name="20% - Accent4 3 5 5 2" xfId="31328"/>
    <cellStyle name="20% - Accent4 3 5 6" xfId="22337"/>
    <cellStyle name="20% - Accent4 3 6" xfId="2820"/>
    <cellStyle name="20% - Accent4 3 6 2" xfId="2821"/>
    <cellStyle name="20% - Accent4 3 6 2 2" xfId="14102"/>
    <cellStyle name="20% - Accent4 3 6 2 2 2" xfId="27494"/>
    <cellStyle name="20% - Accent4 3 6 2 3" xfId="18053"/>
    <cellStyle name="20% - Accent4 3 6 2 3 2" xfId="31332"/>
    <cellStyle name="20% - Accent4 3 6 2 4" xfId="22341"/>
    <cellStyle name="20% - Accent4 3 6 3" xfId="2822"/>
    <cellStyle name="20% - Accent4 3 6 3 2" xfId="14103"/>
    <cellStyle name="20% - Accent4 3 6 3 2 2" xfId="27495"/>
    <cellStyle name="20% - Accent4 3 6 3 3" xfId="18054"/>
    <cellStyle name="20% - Accent4 3 6 3 3 2" xfId="31333"/>
    <cellStyle name="20% - Accent4 3 6 3 4" xfId="22342"/>
    <cellStyle name="20% - Accent4 3 6 4" xfId="14101"/>
    <cellStyle name="20% - Accent4 3 6 4 2" xfId="27493"/>
    <cellStyle name="20% - Accent4 3 6 5" xfId="18052"/>
    <cellStyle name="20% - Accent4 3 6 5 2" xfId="31331"/>
    <cellStyle name="20% - Accent4 3 6 6" xfId="22340"/>
    <cellStyle name="20% - Accent4 3 7" xfId="2823"/>
    <cellStyle name="20% - Accent4 3 7 2" xfId="14104"/>
    <cellStyle name="20% - Accent4 3 7 2 2" xfId="27496"/>
    <cellStyle name="20% - Accent4 3 7 3" xfId="18055"/>
    <cellStyle name="20% - Accent4 3 7 3 2" xfId="31334"/>
    <cellStyle name="20% - Accent4 3 7 4" xfId="22343"/>
    <cellStyle name="20% - Accent4 3 8" xfId="2824"/>
    <cellStyle name="20% - Accent4 3 8 2" xfId="14105"/>
    <cellStyle name="20% - Accent4 3 8 2 2" xfId="27497"/>
    <cellStyle name="20% - Accent4 3 8 3" xfId="18056"/>
    <cellStyle name="20% - Accent4 3 8 3 2" xfId="31335"/>
    <cellStyle name="20% - Accent4 3 8 4" xfId="22344"/>
    <cellStyle name="20% - Accent4 3 9" xfId="14073"/>
    <cellStyle name="20% - Accent4 3 9 2" xfId="27465"/>
    <cellStyle name="20% - Accent4 3_Volatility" xfId="2825"/>
    <cellStyle name="20% - Accent4 4" xfId="2826"/>
    <cellStyle name="20% - Accent4 4 10" xfId="18057"/>
    <cellStyle name="20% - Accent4 4 10 2" xfId="31336"/>
    <cellStyle name="20% - Accent4 4 11" xfId="22345"/>
    <cellStyle name="20% - Accent4 4 2" xfId="2827"/>
    <cellStyle name="20% - Accent4 4 2 2" xfId="2828"/>
    <cellStyle name="20% - Accent4 4 2 2 2" xfId="2829"/>
    <cellStyle name="20% - Accent4 4 2 2 2 2" xfId="14109"/>
    <cellStyle name="20% - Accent4 4 2 2 2 2 2" xfId="27501"/>
    <cellStyle name="20% - Accent4 4 2 2 2 3" xfId="18060"/>
    <cellStyle name="20% - Accent4 4 2 2 2 3 2" xfId="31339"/>
    <cellStyle name="20% - Accent4 4 2 2 2 4" xfId="22348"/>
    <cellStyle name="20% - Accent4 4 2 2 3" xfId="2830"/>
    <cellStyle name="20% - Accent4 4 2 2 3 2" xfId="14110"/>
    <cellStyle name="20% - Accent4 4 2 2 3 2 2" xfId="27502"/>
    <cellStyle name="20% - Accent4 4 2 2 3 3" xfId="18061"/>
    <cellStyle name="20% - Accent4 4 2 2 3 3 2" xfId="31340"/>
    <cellStyle name="20% - Accent4 4 2 2 3 4" xfId="22349"/>
    <cellStyle name="20% - Accent4 4 2 2 4" xfId="14108"/>
    <cellStyle name="20% - Accent4 4 2 2 4 2" xfId="27500"/>
    <cellStyle name="20% - Accent4 4 2 2 5" xfId="18059"/>
    <cellStyle name="20% - Accent4 4 2 2 5 2" xfId="31338"/>
    <cellStyle name="20% - Accent4 4 2 2 6" xfId="22347"/>
    <cellStyle name="20% - Accent4 4 2 3" xfId="2831"/>
    <cellStyle name="20% - Accent4 4 2 3 2" xfId="2832"/>
    <cellStyle name="20% - Accent4 4 2 3 2 2" xfId="14112"/>
    <cellStyle name="20% - Accent4 4 2 3 2 2 2" xfId="27504"/>
    <cellStyle name="20% - Accent4 4 2 3 2 3" xfId="18063"/>
    <cellStyle name="20% - Accent4 4 2 3 2 3 2" xfId="31342"/>
    <cellStyle name="20% - Accent4 4 2 3 2 4" xfId="22351"/>
    <cellStyle name="20% - Accent4 4 2 3 3" xfId="2833"/>
    <cellStyle name="20% - Accent4 4 2 3 3 2" xfId="14113"/>
    <cellStyle name="20% - Accent4 4 2 3 3 2 2" xfId="27505"/>
    <cellStyle name="20% - Accent4 4 2 3 3 3" xfId="18064"/>
    <cellStyle name="20% - Accent4 4 2 3 3 3 2" xfId="31343"/>
    <cellStyle name="20% - Accent4 4 2 3 3 4" xfId="22352"/>
    <cellStyle name="20% - Accent4 4 2 3 4" xfId="14111"/>
    <cellStyle name="20% - Accent4 4 2 3 4 2" xfId="27503"/>
    <cellStyle name="20% - Accent4 4 2 3 5" xfId="18062"/>
    <cellStyle name="20% - Accent4 4 2 3 5 2" xfId="31341"/>
    <cellStyle name="20% - Accent4 4 2 3 6" xfId="22350"/>
    <cellStyle name="20% - Accent4 4 2 4" xfId="2834"/>
    <cellStyle name="20% - Accent4 4 2 4 2" xfId="2835"/>
    <cellStyle name="20% - Accent4 4 2 4 2 2" xfId="14115"/>
    <cellStyle name="20% - Accent4 4 2 4 2 2 2" xfId="27507"/>
    <cellStyle name="20% - Accent4 4 2 4 2 3" xfId="18066"/>
    <cellStyle name="20% - Accent4 4 2 4 2 3 2" xfId="31345"/>
    <cellStyle name="20% - Accent4 4 2 4 2 4" xfId="22354"/>
    <cellStyle name="20% - Accent4 4 2 4 3" xfId="2836"/>
    <cellStyle name="20% - Accent4 4 2 4 3 2" xfId="14116"/>
    <cellStyle name="20% - Accent4 4 2 4 3 2 2" xfId="27508"/>
    <cellStyle name="20% - Accent4 4 2 4 3 3" xfId="18067"/>
    <cellStyle name="20% - Accent4 4 2 4 3 3 2" xfId="31346"/>
    <cellStyle name="20% - Accent4 4 2 4 3 4" xfId="22355"/>
    <cellStyle name="20% - Accent4 4 2 4 4" xfId="14114"/>
    <cellStyle name="20% - Accent4 4 2 4 4 2" xfId="27506"/>
    <cellStyle name="20% - Accent4 4 2 4 5" xfId="18065"/>
    <cellStyle name="20% - Accent4 4 2 4 5 2" xfId="31344"/>
    <cellStyle name="20% - Accent4 4 2 4 6" xfId="22353"/>
    <cellStyle name="20% - Accent4 4 2 5" xfId="2837"/>
    <cellStyle name="20% - Accent4 4 2 5 2" xfId="14117"/>
    <cellStyle name="20% - Accent4 4 2 5 2 2" xfId="27509"/>
    <cellStyle name="20% - Accent4 4 2 5 3" xfId="18068"/>
    <cellStyle name="20% - Accent4 4 2 5 3 2" xfId="31347"/>
    <cellStyle name="20% - Accent4 4 2 5 4" xfId="22356"/>
    <cellStyle name="20% - Accent4 4 2 6" xfId="2838"/>
    <cellStyle name="20% - Accent4 4 2 6 2" xfId="14118"/>
    <cellStyle name="20% - Accent4 4 2 6 2 2" xfId="27510"/>
    <cellStyle name="20% - Accent4 4 2 6 3" xfId="18069"/>
    <cellStyle name="20% - Accent4 4 2 6 3 2" xfId="31348"/>
    <cellStyle name="20% - Accent4 4 2 6 4" xfId="22357"/>
    <cellStyle name="20% - Accent4 4 2 7" xfId="14107"/>
    <cellStyle name="20% - Accent4 4 2 7 2" xfId="27499"/>
    <cellStyle name="20% - Accent4 4 2 8" xfId="18058"/>
    <cellStyle name="20% - Accent4 4 2 8 2" xfId="31337"/>
    <cellStyle name="20% - Accent4 4 2 9" xfId="22346"/>
    <cellStyle name="20% - Accent4 4 2_Volatility" xfId="2839"/>
    <cellStyle name="20% - Accent4 4 3" xfId="2840"/>
    <cellStyle name="20% - Accent4 4 3 2" xfId="2841"/>
    <cellStyle name="20% - Accent4 4 3 2 2" xfId="2842"/>
    <cellStyle name="20% - Accent4 4 3 2 2 2" xfId="14121"/>
    <cellStyle name="20% - Accent4 4 3 2 2 2 2" xfId="27513"/>
    <cellStyle name="20% - Accent4 4 3 2 2 3" xfId="18072"/>
    <cellStyle name="20% - Accent4 4 3 2 2 3 2" xfId="31351"/>
    <cellStyle name="20% - Accent4 4 3 2 2 4" xfId="22360"/>
    <cellStyle name="20% - Accent4 4 3 2 3" xfId="2843"/>
    <cellStyle name="20% - Accent4 4 3 2 3 2" xfId="14122"/>
    <cellStyle name="20% - Accent4 4 3 2 3 2 2" xfId="27514"/>
    <cellStyle name="20% - Accent4 4 3 2 3 3" xfId="18073"/>
    <cellStyle name="20% - Accent4 4 3 2 3 3 2" xfId="31352"/>
    <cellStyle name="20% - Accent4 4 3 2 3 4" xfId="22361"/>
    <cellStyle name="20% - Accent4 4 3 2 4" xfId="14120"/>
    <cellStyle name="20% - Accent4 4 3 2 4 2" xfId="27512"/>
    <cellStyle name="20% - Accent4 4 3 2 5" xfId="18071"/>
    <cellStyle name="20% - Accent4 4 3 2 5 2" xfId="31350"/>
    <cellStyle name="20% - Accent4 4 3 2 6" xfId="22359"/>
    <cellStyle name="20% - Accent4 4 3 3" xfId="2844"/>
    <cellStyle name="20% - Accent4 4 3 3 2" xfId="2845"/>
    <cellStyle name="20% - Accent4 4 3 3 2 2" xfId="14124"/>
    <cellStyle name="20% - Accent4 4 3 3 2 2 2" xfId="27516"/>
    <cellStyle name="20% - Accent4 4 3 3 2 3" xfId="18075"/>
    <cellStyle name="20% - Accent4 4 3 3 2 3 2" xfId="31354"/>
    <cellStyle name="20% - Accent4 4 3 3 2 4" xfId="22363"/>
    <cellStyle name="20% - Accent4 4 3 3 3" xfId="2846"/>
    <cellStyle name="20% - Accent4 4 3 3 3 2" xfId="14125"/>
    <cellStyle name="20% - Accent4 4 3 3 3 2 2" xfId="27517"/>
    <cellStyle name="20% - Accent4 4 3 3 3 3" xfId="18076"/>
    <cellStyle name="20% - Accent4 4 3 3 3 3 2" xfId="31355"/>
    <cellStyle name="20% - Accent4 4 3 3 3 4" xfId="22364"/>
    <cellStyle name="20% - Accent4 4 3 3 4" xfId="14123"/>
    <cellStyle name="20% - Accent4 4 3 3 4 2" xfId="27515"/>
    <cellStyle name="20% - Accent4 4 3 3 5" xfId="18074"/>
    <cellStyle name="20% - Accent4 4 3 3 5 2" xfId="31353"/>
    <cellStyle name="20% - Accent4 4 3 3 6" xfId="22362"/>
    <cellStyle name="20% - Accent4 4 3 4" xfId="2847"/>
    <cellStyle name="20% - Accent4 4 3 4 2" xfId="14126"/>
    <cellStyle name="20% - Accent4 4 3 4 2 2" xfId="27518"/>
    <cellStyle name="20% - Accent4 4 3 4 3" xfId="18077"/>
    <cellStyle name="20% - Accent4 4 3 4 3 2" xfId="31356"/>
    <cellStyle name="20% - Accent4 4 3 4 4" xfId="22365"/>
    <cellStyle name="20% - Accent4 4 3 5" xfId="2848"/>
    <cellStyle name="20% - Accent4 4 3 5 2" xfId="14127"/>
    <cellStyle name="20% - Accent4 4 3 5 2 2" xfId="27519"/>
    <cellStyle name="20% - Accent4 4 3 5 3" xfId="18078"/>
    <cellStyle name="20% - Accent4 4 3 5 3 2" xfId="31357"/>
    <cellStyle name="20% - Accent4 4 3 5 4" xfId="22366"/>
    <cellStyle name="20% - Accent4 4 3 6" xfId="14119"/>
    <cellStyle name="20% - Accent4 4 3 6 2" xfId="27511"/>
    <cellStyle name="20% - Accent4 4 3 7" xfId="18070"/>
    <cellStyle name="20% - Accent4 4 3 7 2" xfId="31349"/>
    <cellStyle name="20% - Accent4 4 3 8" xfId="22358"/>
    <cellStyle name="20% - Accent4 4 3_Volatility" xfId="2849"/>
    <cellStyle name="20% - Accent4 4 4" xfId="2850"/>
    <cellStyle name="20% - Accent4 4 4 2" xfId="2851"/>
    <cellStyle name="20% - Accent4 4 4 2 2" xfId="14129"/>
    <cellStyle name="20% - Accent4 4 4 2 2 2" xfId="27521"/>
    <cellStyle name="20% - Accent4 4 4 2 3" xfId="18080"/>
    <cellStyle name="20% - Accent4 4 4 2 3 2" xfId="31359"/>
    <cellStyle name="20% - Accent4 4 4 2 4" xfId="22368"/>
    <cellStyle name="20% - Accent4 4 4 3" xfId="2852"/>
    <cellStyle name="20% - Accent4 4 4 3 2" xfId="14130"/>
    <cellStyle name="20% - Accent4 4 4 3 2 2" xfId="27522"/>
    <cellStyle name="20% - Accent4 4 4 3 3" xfId="18081"/>
    <cellStyle name="20% - Accent4 4 4 3 3 2" xfId="31360"/>
    <cellStyle name="20% - Accent4 4 4 3 4" xfId="22369"/>
    <cellStyle name="20% - Accent4 4 4 4" xfId="14128"/>
    <cellStyle name="20% - Accent4 4 4 4 2" xfId="27520"/>
    <cellStyle name="20% - Accent4 4 4 5" xfId="18079"/>
    <cellStyle name="20% - Accent4 4 4 5 2" xfId="31358"/>
    <cellStyle name="20% - Accent4 4 4 6" xfId="22367"/>
    <cellStyle name="20% - Accent4 4 5" xfId="2853"/>
    <cellStyle name="20% - Accent4 4 5 2" xfId="2854"/>
    <cellStyle name="20% - Accent4 4 5 2 2" xfId="14132"/>
    <cellStyle name="20% - Accent4 4 5 2 2 2" xfId="27524"/>
    <cellStyle name="20% - Accent4 4 5 2 3" xfId="18083"/>
    <cellStyle name="20% - Accent4 4 5 2 3 2" xfId="31362"/>
    <cellStyle name="20% - Accent4 4 5 2 4" xfId="22371"/>
    <cellStyle name="20% - Accent4 4 5 3" xfId="2855"/>
    <cellStyle name="20% - Accent4 4 5 3 2" xfId="14133"/>
    <cellStyle name="20% - Accent4 4 5 3 2 2" xfId="27525"/>
    <cellStyle name="20% - Accent4 4 5 3 3" xfId="18084"/>
    <cellStyle name="20% - Accent4 4 5 3 3 2" xfId="31363"/>
    <cellStyle name="20% - Accent4 4 5 3 4" xfId="22372"/>
    <cellStyle name="20% - Accent4 4 5 4" xfId="14131"/>
    <cellStyle name="20% - Accent4 4 5 4 2" xfId="27523"/>
    <cellStyle name="20% - Accent4 4 5 5" xfId="18082"/>
    <cellStyle name="20% - Accent4 4 5 5 2" xfId="31361"/>
    <cellStyle name="20% - Accent4 4 5 6" xfId="22370"/>
    <cellStyle name="20% - Accent4 4 6" xfId="2856"/>
    <cellStyle name="20% - Accent4 4 6 2" xfId="2857"/>
    <cellStyle name="20% - Accent4 4 6 2 2" xfId="14135"/>
    <cellStyle name="20% - Accent4 4 6 2 2 2" xfId="27527"/>
    <cellStyle name="20% - Accent4 4 6 2 3" xfId="18086"/>
    <cellStyle name="20% - Accent4 4 6 2 3 2" xfId="31365"/>
    <cellStyle name="20% - Accent4 4 6 2 4" xfId="22374"/>
    <cellStyle name="20% - Accent4 4 6 3" xfId="2858"/>
    <cellStyle name="20% - Accent4 4 6 3 2" xfId="14136"/>
    <cellStyle name="20% - Accent4 4 6 3 2 2" xfId="27528"/>
    <cellStyle name="20% - Accent4 4 6 3 3" xfId="18087"/>
    <cellStyle name="20% - Accent4 4 6 3 3 2" xfId="31366"/>
    <cellStyle name="20% - Accent4 4 6 3 4" xfId="22375"/>
    <cellStyle name="20% - Accent4 4 6 4" xfId="14134"/>
    <cellStyle name="20% - Accent4 4 6 4 2" xfId="27526"/>
    <cellStyle name="20% - Accent4 4 6 5" xfId="18085"/>
    <cellStyle name="20% - Accent4 4 6 5 2" xfId="31364"/>
    <cellStyle name="20% - Accent4 4 6 6" xfId="22373"/>
    <cellStyle name="20% - Accent4 4 7" xfId="2859"/>
    <cellStyle name="20% - Accent4 4 7 2" xfId="14137"/>
    <cellStyle name="20% - Accent4 4 7 2 2" xfId="27529"/>
    <cellStyle name="20% - Accent4 4 7 3" xfId="18088"/>
    <cellStyle name="20% - Accent4 4 7 3 2" xfId="31367"/>
    <cellStyle name="20% - Accent4 4 7 4" xfId="22376"/>
    <cellStyle name="20% - Accent4 4 8" xfId="2860"/>
    <cellStyle name="20% - Accent4 4 8 2" xfId="14138"/>
    <cellStyle name="20% - Accent4 4 8 2 2" xfId="27530"/>
    <cellStyle name="20% - Accent4 4 8 3" xfId="18089"/>
    <cellStyle name="20% - Accent4 4 8 3 2" xfId="31368"/>
    <cellStyle name="20% - Accent4 4 8 4" xfId="22377"/>
    <cellStyle name="20% - Accent4 4 9" xfId="14106"/>
    <cellStyle name="20% - Accent4 4 9 2" xfId="27498"/>
    <cellStyle name="20% - Accent4 4_Volatility" xfId="2861"/>
    <cellStyle name="20% - Accent4 5" xfId="2862"/>
    <cellStyle name="20% - Accent4 5 10" xfId="18090"/>
    <cellStyle name="20% - Accent4 5 10 2" xfId="31369"/>
    <cellStyle name="20% - Accent4 5 11" xfId="22378"/>
    <cellStyle name="20% - Accent4 5 2" xfId="2863"/>
    <cellStyle name="20% - Accent4 5 2 2" xfId="2864"/>
    <cellStyle name="20% - Accent4 5 2 2 2" xfId="2865"/>
    <cellStyle name="20% - Accent4 5 2 2 2 2" xfId="14142"/>
    <cellStyle name="20% - Accent4 5 2 2 2 2 2" xfId="27534"/>
    <cellStyle name="20% - Accent4 5 2 2 2 3" xfId="18093"/>
    <cellStyle name="20% - Accent4 5 2 2 2 3 2" xfId="31372"/>
    <cellStyle name="20% - Accent4 5 2 2 2 4" xfId="22381"/>
    <cellStyle name="20% - Accent4 5 2 2 3" xfId="2866"/>
    <cellStyle name="20% - Accent4 5 2 2 3 2" xfId="14143"/>
    <cellStyle name="20% - Accent4 5 2 2 3 2 2" xfId="27535"/>
    <cellStyle name="20% - Accent4 5 2 2 3 3" xfId="18094"/>
    <cellStyle name="20% - Accent4 5 2 2 3 3 2" xfId="31373"/>
    <cellStyle name="20% - Accent4 5 2 2 3 4" xfId="22382"/>
    <cellStyle name="20% - Accent4 5 2 2 4" xfId="14141"/>
    <cellStyle name="20% - Accent4 5 2 2 4 2" xfId="27533"/>
    <cellStyle name="20% - Accent4 5 2 2 5" xfId="18092"/>
    <cellStyle name="20% - Accent4 5 2 2 5 2" xfId="31371"/>
    <cellStyle name="20% - Accent4 5 2 2 6" xfId="22380"/>
    <cellStyle name="20% - Accent4 5 2 3" xfId="2867"/>
    <cellStyle name="20% - Accent4 5 2 3 2" xfId="2868"/>
    <cellStyle name="20% - Accent4 5 2 3 2 2" xfId="14145"/>
    <cellStyle name="20% - Accent4 5 2 3 2 2 2" xfId="27537"/>
    <cellStyle name="20% - Accent4 5 2 3 2 3" xfId="18096"/>
    <cellStyle name="20% - Accent4 5 2 3 2 3 2" xfId="31375"/>
    <cellStyle name="20% - Accent4 5 2 3 2 4" xfId="22384"/>
    <cellStyle name="20% - Accent4 5 2 3 3" xfId="2869"/>
    <cellStyle name="20% - Accent4 5 2 3 3 2" xfId="14146"/>
    <cellStyle name="20% - Accent4 5 2 3 3 2 2" xfId="27538"/>
    <cellStyle name="20% - Accent4 5 2 3 3 3" xfId="18097"/>
    <cellStyle name="20% - Accent4 5 2 3 3 3 2" xfId="31376"/>
    <cellStyle name="20% - Accent4 5 2 3 3 4" xfId="22385"/>
    <cellStyle name="20% - Accent4 5 2 3 4" xfId="14144"/>
    <cellStyle name="20% - Accent4 5 2 3 4 2" xfId="27536"/>
    <cellStyle name="20% - Accent4 5 2 3 5" xfId="18095"/>
    <cellStyle name="20% - Accent4 5 2 3 5 2" xfId="31374"/>
    <cellStyle name="20% - Accent4 5 2 3 6" xfId="22383"/>
    <cellStyle name="20% - Accent4 5 2 4" xfId="2870"/>
    <cellStyle name="20% - Accent4 5 2 4 2" xfId="2871"/>
    <cellStyle name="20% - Accent4 5 2 4 2 2" xfId="14148"/>
    <cellStyle name="20% - Accent4 5 2 4 2 2 2" xfId="27540"/>
    <cellStyle name="20% - Accent4 5 2 4 2 3" xfId="18099"/>
    <cellStyle name="20% - Accent4 5 2 4 2 3 2" xfId="31378"/>
    <cellStyle name="20% - Accent4 5 2 4 2 4" xfId="22387"/>
    <cellStyle name="20% - Accent4 5 2 4 3" xfId="2872"/>
    <cellStyle name="20% - Accent4 5 2 4 3 2" xfId="14149"/>
    <cellStyle name="20% - Accent4 5 2 4 3 2 2" xfId="27541"/>
    <cellStyle name="20% - Accent4 5 2 4 3 3" xfId="18100"/>
    <cellStyle name="20% - Accent4 5 2 4 3 3 2" xfId="31379"/>
    <cellStyle name="20% - Accent4 5 2 4 3 4" xfId="22388"/>
    <cellStyle name="20% - Accent4 5 2 4 4" xfId="14147"/>
    <cellStyle name="20% - Accent4 5 2 4 4 2" xfId="27539"/>
    <cellStyle name="20% - Accent4 5 2 4 5" xfId="18098"/>
    <cellStyle name="20% - Accent4 5 2 4 5 2" xfId="31377"/>
    <cellStyle name="20% - Accent4 5 2 4 6" xfId="22386"/>
    <cellStyle name="20% - Accent4 5 2 5" xfId="2873"/>
    <cellStyle name="20% - Accent4 5 2 5 2" xfId="14150"/>
    <cellStyle name="20% - Accent4 5 2 5 2 2" xfId="27542"/>
    <cellStyle name="20% - Accent4 5 2 5 3" xfId="18101"/>
    <cellStyle name="20% - Accent4 5 2 5 3 2" xfId="31380"/>
    <cellStyle name="20% - Accent4 5 2 5 4" xfId="22389"/>
    <cellStyle name="20% - Accent4 5 2 6" xfId="2874"/>
    <cellStyle name="20% - Accent4 5 2 6 2" xfId="14151"/>
    <cellStyle name="20% - Accent4 5 2 6 2 2" xfId="27543"/>
    <cellStyle name="20% - Accent4 5 2 6 3" xfId="18102"/>
    <cellStyle name="20% - Accent4 5 2 6 3 2" xfId="31381"/>
    <cellStyle name="20% - Accent4 5 2 6 4" xfId="22390"/>
    <cellStyle name="20% - Accent4 5 2 7" xfId="14140"/>
    <cellStyle name="20% - Accent4 5 2 7 2" xfId="27532"/>
    <cellStyle name="20% - Accent4 5 2 8" xfId="18091"/>
    <cellStyle name="20% - Accent4 5 2 8 2" xfId="31370"/>
    <cellStyle name="20% - Accent4 5 2 9" xfId="22379"/>
    <cellStyle name="20% - Accent4 5 2_Volatility" xfId="2875"/>
    <cellStyle name="20% - Accent4 5 3" xfId="2876"/>
    <cellStyle name="20% - Accent4 5 3 2" xfId="2877"/>
    <cellStyle name="20% - Accent4 5 3 2 2" xfId="2878"/>
    <cellStyle name="20% - Accent4 5 3 2 2 2" xfId="14154"/>
    <cellStyle name="20% - Accent4 5 3 2 2 2 2" xfId="27546"/>
    <cellStyle name="20% - Accent4 5 3 2 2 3" xfId="18105"/>
    <cellStyle name="20% - Accent4 5 3 2 2 3 2" xfId="31384"/>
    <cellStyle name="20% - Accent4 5 3 2 2 4" xfId="22393"/>
    <cellStyle name="20% - Accent4 5 3 2 3" xfId="2879"/>
    <cellStyle name="20% - Accent4 5 3 2 3 2" xfId="14155"/>
    <cellStyle name="20% - Accent4 5 3 2 3 2 2" xfId="27547"/>
    <cellStyle name="20% - Accent4 5 3 2 3 3" xfId="18106"/>
    <cellStyle name="20% - Accent4 5 3 2 3 3 2" xfId="31385"/>
    <cellStyle name="20% - Accent4 5 3 2 3 4" xfId="22394"/>
    <cellStyle name="20% - Accent4 5 3 2 4" xfId="14153"/>
    <cellStyle name="20% - Accent4 5 3 2 4 2" xfId="27545"/>
    <cellStyle name="20% - Accent4 5 3 2 5" xfId="18104"/>
    <cellStyle name="20% - Accent4 5 3 2 5 2" xfId="31383"/>
    <cellStyle name="20% - Accent4 5 3 2 6" xfId="22392"/>
    <cellStyle name="20% - Accent4 5 3 3" xfId="2880"/>
    <cellStyle name="20% - Accent4 5 3 3 2" xfId="2881"/>
    <cellStyle name="20% - Accent4 5 3 3 2 2" xfId="14157"/>
    <cellStyle name="20% - Accent4 5 3 3 2 2 2" xfId="27549"/>
    <cellStyle name="20% - Accent4 5 3 3 2 3" xfId="18108"/>
    <cellStyle name="20% - Accent4 5 3 3 2 3 2" xfId="31387"/>
    <cellStyle name="20% - Accent4 5 3 3 2 4" xfId="22396"/>
    <cellStyle name="20% - Accent4 5 3 3 3" xfId="2882"/>
    <cellStyle name="20% - Accent4 5 3 3 3 2" xfId="14158"/>
    <cellStyle name="20% - Accent4 5 3 3 3 2 2" xfId="27550"/>
    <cellStyle name="20% - Accent4 5 3 3 3 3" xfId="18109"/>
    <cellStyle name="20% - Accent4 5 3 3 3 3 2" xfId="31388"/>
    <cellStyle name="20% - Accent4 5 3 3 3 4" xfId="22397"/>
    <cellStyle name="20% - Accent4 5 3 3 4" xfId="14156"/>
    <cellStyle name="20% - Accent4 5 3 3 4 2" xfId="27548"/>
    <cellStyle name="20% - Accent4 5 3 3 5" xfId="18107"/>
    <cellStyle name="20% - Accent4 5 3 3 5 2" xfId="31386"/>
    <cellStyle name="20% - Accent4 5 3 3 6" xfId="22395"/>
    <cellStyle name="20% - Accent4 5 3 4" xfId="2883"/>
    <cellStyle name="20% - Accent4 5 3 4 2" xfId="14159"/>
    <cellStyle name="20% - Accent4 5 3 4 2 2" xfId="27551"/>
    <cellStyle name="20% - Accent4 5 3 4 3" xfId="18110"/>
    <cellStyle name="20% - Accent4 5 3 4 3 2" xfId="31389"/>
    <cellStyle name="20% - Accent4 5 3 4 4" xfId="22398"/>
    <cellStyle name="20% - Accent4 5 3 5" xfId="2884"/>
    <cellStyle name="20% - Accent4 5 3 5 2" xfId="14160"/>
    <cellStyle name="20% - Accent4 5 3 5 2 2" xfId="27552"/>
    <cellStyle name="20% - Accent4 5 3 5 3" xfId="18111"/>
    <cellStyle name="20% - Accent4 5 3 5 3 2" xfId="31390"/>
    <cellStyle name="20% - Accent4 5 3 5 4" xfId="22399"/>
    <cellStyle name="20% - Accent4 5 3 6" xfId="14152"/>
    <cellStyle name="20% - Accent4 5 3 6 2" xfId="27544"/>
    <cellStyle name="20% - Accent4 5 3 7" xfId="18103"/>
    <cellStyle name="20% - Accent4 5 3 7 2" xfId="31382"/>
    <cellStyle name="20% - Accent4 5 3 8" xfId="22391"/>
    <cellStyle name="20% - Accent4 5 3_Volatility" xfId="2885"/>
    <cellStyle name="20% - Accent4 5 4" xfId="2886"/>
    <cellStyle name="20% - Accent4 5 4 2" xfId="2887"/>
    <cellStyle name="20% - Accent4 5 4 2 2" xfId="14162"/>
    <cellStyle name="20% - Accent4 5 4 2 2 2" xfId="27554"/>
    <cellStyle name="20% - Accent4 5 4 2 3" xfId="18113"/>
    <cellStyle name="20% - Accent4 5 4 2 3 2" xfId="31392"/>
    <cellStyle name="20% - Accent4 5 4 2 4" xfId="22401"/>
    <cellStyle name="20% - Accent4 5 4 3" xfId="2888"/>
    <cellStyle name="20% - Accent4 5 4 3 2" xfId="14163"/>
    <cellStyle name="20% - Accent4 5 4 3 2 2" xfId="27555"/>
    <cellStyle name="20% - Accent4 5 4 3 3" xfId="18114"/>
    <cellStyle name="20% - Accent4 5 4 3 3 2" xfId="31393"/>
    <cellStyle name="20% - Accent4 5 4 3 4" xfId="22402"/>
    <cellStyle name="20% - Accent4 5 4 4" xfId="14161"/>
    <cellStyle name="20% - Accent4 5 4 4 2" xfId="27553"/>
    <cellStyle name="20% - Accent4 5 4 5" xfId="18112"/>
    <cellStyle name="20% - Accent4 5 4 5 2" xfId="31391"/>
    <cellStyle name="20% - Accent4 5 4 6" xfId="22400"/>
    <cellStyle name="20% - Accent4 5 5" xfId="2889"/>
    <cellStyle name="20% - Accent4 5 5 2" xfId="2890"/>
    <cellStyle name="20% - Accent4 5 5 2 2" xfId="14165"/>
    <cellStyle name="20% - Accent4 5 5 2 2 2" xfId="27557"/>
    <cellStyle name="20% - Accent4 5 5 2 3" xfId="18116"/>
    <cellStyle name="20% - Accent4 5 5 2 3 2" xfId="31395"/>
    <cellStyle name="20% - Accent4 5 5 2 4" xfId="22404"/>
    <cellStyle name="20% - Accent4 5 5 3" xfId="2891"/>
    <cellStyle name="20% - Accent4 5 5 3 2" xfId="14166"/>
    <cellStyle name="20% - Accent4 5 5 3 2 2" xfId="27558"/>
    <cellStyle name="20% - Accent4 5 5 3 3" xfId="18117"/>
    <cellStyle name="20% - Accent4 5 5 3 3 2" xfId="31396"/>
    <cellStyle name="20% - Accent4 5 5 3 4" xfId="22405"/>
    <cellStyle name="20% - Accent4 5 5 4" xfId="14164"/>
    <cellStyle name="20% - Accent4 5 5 4 2" xfId="27556"/>
    <cellStyle name="20% - Accent4 5 5 5" xfId="18115"/>
    <cellStyle name="20% - Accent4 5 5 5 2" xfId="31394"/>
    <cellStyle name="20% - Accent4 5 5 6" xfId="22403"/>
    <cellStyle name="20% - Accent4 5 6" xfId="2892"/>
    <cellStyle name="20% - Accent4 5 6 2" xfId="2893"/>
    <cellStyle name="20% - Accent4 5 6 2 2" xfId="14168"/>
    <cellStyle name="20% - Accent4 5 6 2 2 2" xfId="27560"/>
    <cellStyle name="20% - Accent4 5 6 2 3" xfId="18119"/>
    <cellStyle name="20% - Accent4 5 6 2 3 2" xfId="31398"/>
    <cellStyle name="20% - Accent4 5 6 2 4" xfId="22407"/>
    <cellStyle name="20% - Accent4 5 6 3" xfId="2894"/>
    <cellStyle name="20% - Accent4 5 6 3 2" xfId="14169"/>
    <cellStyle name="20% - Accent4 5 6 3 2 2" xfId="27561"/>
    <cellStyle name="20% - Accent4 5 6 3 3" xfId="18120"/>
    <cellStyle name="20% - Accent4 5 6 3 3 2" xfId="31399"/>
    <cellStyle name="20% - Accent4 5 6 3 4" xfId="22408"/>
    <cellStyle name="20% - Accent4 5 6 4" xfId="14167"/>
    <cellStyle name="20% - Accent4 5 6 4 2" xfId="27559"/>
    <cellStyle name="20% - Accent4 5 6 5" xfId="18118"/>
    <cellStyle name="20% - Accent4 5 6 5 2" xfId="31397"/>
    <cellStyle name="20% - Accent4 5 6 6" xfId="22406"/>
    <cellStyle name="20% - Accent4 5 7" xfId="2895"/>
    <cellStyle name="20% - Accent4 5 7 2" xfId="14170"/>
    <cellStyle name="20% - Accent4 5 7 2 2" xfId="27562"/>
    <cellStyle name="20% - Accent4 5 7 3" xfId="18121"/>
    <cellStyle name="20% - Accent4 5 7 3 2" xfId="31400"/>
    <cellStyle name="20% - Accent4 5 7 4" xfId="22409"/>
    <cellStyle name="20% - Accent4 5 8" xfId="2896"/>
    <cellStyle name="20% - Accent4 5 8 2" xfId="14171"/>
    <cellStyle name="20% - Accent4 5 8 2 2" xfId="27563"/>
    <cellStyle name="20% - Accent4 5 8 3" xfId="18122"/>
    <cellStyle name="20% - Accent4 5 8 3 2" xfId="31401"/>
    <cellStyle name="20% - Accent4 5 8 4" xfId="22410"/>
    <cellStyle name="20% - Accent4 5 9" xfId="14139"/>
    <cellStyle name="20% - Accent4 5 9 2" xfId="27531"/>
    <cellStyle name="20% - Accent4 5_Volatility" xfId="2897"/>
    <cellStyle name="20% - Accent4 6" xfId="2898"/>
    <cellStyle name="20% - Accent4 6 10" xfId="18123"/>
    <cellStyle name="20% - Accent4 6 10 2" xfId="31402"/>
    <cellStyle name="20% - Accent4 6 11" xfId="22411"/>
    <cellStyle name="20% - Accent4 6 2" xfId="2899"/>
    <cellStyle name="20% - Accent4 6 2 2" xfId="2900"/>
    <cellStyle name="20% - Accent4 6 2 2 2" xfId="2901"/>
    <cellStyle name="20% - Accent4 6 2 2 2 2" xfId="14175"/>
    <cellStyle name="20% - Accent4 6 2 2 2 2 2" xfId="27567"/>
    <cellStyle name="20% - Accent4 6 2 2 2 3" xfId="18126"/>
    <cellStyle name="20% - Accent4 6 2 2 2 3 2" xfId="31405"/>
    <cellStyle name="20% - Accent4 6 2 2 2 4" xfId="22414"/>
    <cellStyle name="20% - Accent4 6 2 2 3" xfId="2902"/>
    <cellStyle name="20% - Accent4 6 2 2 3 2" xfId="14176"/>
    <cellStyle name="20% - Accent4 6 2 2 3 2 2" xfId="27568"/>
    <cellStyle name="20% - Accent4 6 2 2 3 3" xfId="18127"/>
    <cellStyle name="20% - Accent4 6 2 2 3 3 2" xfId="31406"/>
    <cellStyle name="20% - Accent4 6 2 2 3 4" xfId="22415"/>
    <cellStyle name="20% - Accent4 6 2 2 4" xfId="14174"/>
    <cellStyle name="20% - Accent4 6 2 2 4 2" xfId="27566"/>
    <cellStyle name="20% - Accent4 6 2 2 5" xfId="18125"/>
    <cellStyle name="20% - Accent4 6 2 2 5 2" xfId="31404"/>
    <cellStyle name="20% - Accent4 6 2 2 6" xfId="22413"/>
    <cellStyle name="20% - Accent4 6 2 3" xfId="2903"/>
    <cellStyle name="20% - Accent4 6 2 3 2" xfId="2904"/>
    <cellStyle name="20% - Accent4 6 2 3 2 2" xfId="14178"/>
    <cellStyle name="20% - Accent4 6 2 3 2 2 2" xfId="27570"/>
    <cellStyle name="20% - Accent4 6 2 3 2 3" xfId="18129"/>
    <cellStyle name="20% - Accent4 6 2 3 2 3 2" xfId="31408"/>
    <cellStyle name="20% - Accent4 6 2 3 2 4" xfId="22417"/>
    <cellStyle name="20% - Accent4 6 2 3 3" xfId="2905"/>
    <cellStyle name="20% - Accent4 6 2 3 3 2" xfId="14179"/>
    <cellStyle name="20% - Accent4 6 2 3 3 2 2" xfId="27571"/>
    <cellStyle name="20% - Accent4 6 2 3 3 3" xfId="18130"/>
    <cellStyle name="20% - Accent4 6 2 3 3 3 2" xfId="31409"/>
    <cellStyle name="20% - Accent4 6 2 3 3 4" xfId="22418"/>
    <cellStyle name="20% - Accent4 6 2 3 4" xfId="14177"/>
    <cellStyle name="20% - Accent4 6 2 3 4 2" xfId="27569"/>
    <cellStyle name="20% - Accent4 6 2 3 5" xfId="18128"/>
    <cellStyle name="20% - Accent4 6 2 3 5 2" xfId="31407"/>
    <cellStyle name="20% - Accent4 6 2 3 6" xfId="22416"/>
    <cellStyle name="20% - Accent4 6 2 4" xfId="2906"/>
    <cellStyle name="20% - Accent4 6 2 4 2" xfId="2907"/>
    <cellStyle name="20% - Accent4 6 2 4 2 2" xfId="14181"/>
    <cellStyle name="20% - Accent4 6 2 4 2 2 2" xfId="27573"/>
    <cellStyle name="20% - Accent4 6 2 4 2 3" xfId="18132"/>
    <cellStyle name="20% - Accent4 6 2 4 2 3 2" xfId="31411"/>
    <cellStyle name="20% - Accent4 6 2 4 2 4" xfId="22420"/>
    <cellStyle name="20% - Accent4 6 2 4 3" xfId="2908"/>
    <cellStyle name="20% - Accent4 6 2 4 3 2" xfId="14182"/>
    <cellStyle name="20% - Accent4 6 2 4 3 2 2" xfId="27574"/>
    <cellStyle name="20% - Accent4 6 2 4 3 3" xfId="18133"/>
    <cellStyle name="20% - Accent4 6 2 4 3 3 2" xfId="31412"/>
    <cellStyle name="20% - Accent4 6 2 4 3 4" xfId="22421"/>
    <cellStyle name="20% - Accent4 6 2 4 4" xfId="14180"/>
    <cellStyle name="20% - Accent4 6 2 4 4 2" xfId="27572"/>
    <cellStyle name="20% - Accent4 6 2 4 5" xfId="18131"/>
    <cellStyle name="20% - Accent4 6 2 4 5 2" xfId="31410"/>
    <cellStyle name="20% - Accent4 6 2 4 6" xfId="22419"/>
    <cellStyle name="20% - Accent4 6 2 5" xfId="2909"/>
    <cellStyle name="20% - Accent4 6 2 5 2" xfId="14183"/>
    <cellStyle name="20% - Accent4 6 2 5 2 2" xfId="27575"/>
    <cellStyle name="20% - Accent4 6 2 5 3" xfId="18134"/>
    <cellStyle name="20% - Accent4 6 2 5 3 2" xfId="31413"/>
    <cellStyle name="20% - Accent4 6 2 5 4" xfId="22422"/>
    <cellStyle name="20% - Accent4 6 2 6" xfId="2910"/>
    <cellStyle name="20% - Accent4 6 2 6 2" xfId="14184"/>
    <cellStyle name="20% - Accent4 6 2 6 2 2" xfId="27576"/>
    <cellStyle name="20% - Accent4 6 2 6 3" xfId="18135"/>
    <cellStyle name="20% - Accent4 6 2 6 3 2" xfId="31414"/>
    <cellStyle name="20% - Accent4 6 2 6 4" xfId="22423"/>
    <cellStyle name="20% - Accent4 6 2 7" xfId="14173"/>
    <cellStyle name="20% - Accent4 6 2 7 2" xfId="27565"/>
    <cellStyle name="20% - Accent4 6 2 8" xfId="18124"/>
    <cellStyle name="20% - Accent4 6 2 8 2" xfId="31403"/>
    <cellStyle name="20% - Accent4 6 2 9" xfId="22412"/>
    <cellStyle name="20% - Accent4 6 2_Volatility" xfId="2911"/>
    <cellStyle name="20% - Accent4 6 3" xfId="2912"/>
    <cellStyle name="20% - Accent4 6 3 2" xfId="2913"/>
    <cellStyle name="20% - Accent4 6 3 2 2" xfId="2914"/>
    <cellStyle name="20% - Accent4 6 3 2 2 2" xfId="14187"/>
    <cellStyle name="20% - Accent4 6 3 2 2 2 2" xfId="27579"/>
    <cellStyle name="20% - Accent4 6 3 2 2 3" xfId="18138"/>
    <cellStyle name="20% - Accent4 6 3 2 2 3 2" xfId="31417"/>
    <cellStyle name="20% - Accent4 6 3 2 2 4" xfId="22426"/>
    <cellStyle name="20% - Accent4 6 3 2 3" xfId="2915"/>
    <cellStyle name="20% - Accent4 6 3 2 3 2" xfId="14188"/>
    <cellStyle name="20% - Accent4 6 3 2 3 2 2" xfId="27580"/>
    <cellStyle name="20% - Accent4 6 3 2 3 3" xfId="18139"/>
    <cellStyle name="20% - Accent4 6 3 2 3 3 2" xfId="31418"/>
    <cellStyle name="20% - Accent4 6 3 2 3 4" xfId="22427"/>
    <cellStyle name="20% - Accent4 6 3 2 4" xfId="14186"/>
    <cellStyle name="20% - Accent4 6 3 2 4 2" xfId="27578"/>
    <cellStyle name="20% - Accent4 6 3 2 5" xfId="18137"/>
    <cellStyle name="20% - Accent4 6 3 2 5 2" xfId="31416"/>
    <cellStyle name="20% - Accent4 6 3 2 6" xfId="22425"/>
    <cellStyle name="20% - Accent4 6 3 3" xfId="2916"/>
    <cellStyle name="20% - Accent4 6 3 3 2" xfId="2917"/>
    <cellStyle name="20% - Accent4 6 3 3 2 2" xfId="14190"/>
    <cellStyle name="20% - Accent4 6 3 3 2 2 2" xfId="27582"/>
    <cellStyle name="20% - Accent4 6 3 3 2 3" xfId="18141"/>
    <cellStyle name="20% - Accent4 6 3 3 2 3 2" xfId="31420"/>
    <cellStyle name="20% - Accent4 6 3 3 2 4" xfId="22429"/>
    <cellStyle name="20% - Accent4 6 3 3 3" xfId="2918"/>
    <cellStyle name="20% - Accent4 6 3 3 3 2" xfId="14191"/>
    <cellStyle name="20% - Accent4 6 3 3 3 2 2" xfId="27583"/>
    <cellStyle name="20% - Accent4 6 3 3 3 3" xfId="18142"/>
    <cellStyle name="20% - Accent4 6 3 3 3 3 2" xfId="31421"/>
    <cellStyle name="20% - Accent4 6 3 3 3 4" xfId="22430"/>
    <cellStyle name="20% - Accent4 6 3 3 4" xfId="14189"/>
    <cellStyle name="20% - Accent4 6 3 3 4 2" xfId="27581"/>
    <cellStyle name="20% - Accent4 6 3 3 5" xfId="18140"/>
    <cellStyle name="20% - Accent4 6 3 3 5 2" xfId="31419"/>
    <cellStyle name="20% - Accent4 6 3 3 6" xfId="22428"/>
    <cellStyle name="20% - Accent4 6 3 4" xfId="2919"/>
    <cellStyle name="20% - Accent4 6 3 4 2" xfId="14192"/>
    <cellStyle name="20% - Accent4 6 3 4 2 2" xfId="27584"/>
    <cellStyle name="20% - Accent4 6 3 4 3" xfId="18143"/>
    <cellStyle name="20% - Accent4 6 3 4 3 2" xfId="31422"/>
    <cellStyle name="20% - Accent4 6 3 4 4" xfId="22431"/>
    <cellStyle name="20% - Accent4 6 3 5" xfId="2920"/>
    <cellStyle name="20% - Accent4 6 3 5 2" xfId="14193"/>
    <cellStyle name="20% - Accent4 6 3 5 2 2" xfId="27585"/>
    <cellStyle name="20% - Accent4 6 3 5 3" xfId="18144"/>
    <cellStyle name="20% - Accent4 6 3 5 3 2" xfId="31423"/>
    <cellStyle name="20% - Accent4 6 3 5 4" xfId="22432"/>
    <cellStyle name="20% - Accent4 6 3 6" xfId="14185"/>
    <cellStyle name="20% - Accent4 6 3 6 2" xfId="27577"/>
    <cellStyle name="20% - Accent4 6 3 7" xfId="18136"/>
    <cellStyle name="20% - Accent4 6 3 7 2" xfId="31415"/>
    <cellStyle name="20% - Accent4 6 3 8" xfId="22424"/>
    <cellStyle name="20% - Accent4 6 3_Volatility" xfId="2921"/>
    <cellStyle name="20% - Accent4 6 4" xfId="2922"/>
    <cellStyle name="20% - Accent4 6 4 2" xfId="2923"/>
    <cellStyle name="20% - Accent4 6 4 2 2" xfId="14195"/>
    <cellStyle name="20% - Accent4 6 4 2 2 2" xfId="27587"/>
    <cellStyle name="20% - Accent4 6 4 2 3" xfId="18146"/>
    <cellStyle name="20% - Accent4 6 4 2 3 2" xfId="31425"/>
    <cellStyle name="20% - Accent4 6 4 2 4" xfId="22434"/>
    <cellStyle name="20% - Accent4 6 4 3" xfId="2924"/>
    <cellStyle name="20% - Accent4 6 4 3 2" xfId="14196"/>
    <cellStyle name="20% - Accent4 6 4 3 2 2" xfId="27588"/>
    <cellStyle name="20% - Accent4 6 4 3 3" xfId="18147"/>
    <cellStyle name="20% - Accent4 6 4 3 3 2" xfId="31426"/>
    <cellStyle name="20% - Accent4 6 4 3 4" xfId="22435"/>
    <cellStyle name="20% - Accent4 6 4 4" xfId="14194"/>
    <cellStyle name="20% - Accent4 6 4 4 2" xfId="27586"/>
    <cellStyle name="20% - Accent4 6 4 5" xfId="18145"/>
    <cellStyle name="20% - Accent4 6 4 5 2" xfId="31424"/>
    <cellStyle name="20% - Accent4 6 4 6" xfId="22433"/>
    <cellStyle name="20% - Accent4 6 5" xfId="2925"/>
    <cellStyle name="20% - Accent4 6 5 2" xfId="2926"/>
    <cellStyle name="20% - Accent4 6 5 2 2" xfId="14198"/>
    <cellStyle name="20% - Accent4 6 5 2 2 2" xfId="27590"/>
    <cellStyle name="20% - Accent4 6 5 2 3" xfId="18149"/>
    <cellStyle name="20% - Accent4 6 5 2 3 2" xfId="31428"/>
    <cellStyle name="20% - Accent4 6 5 2 4" xfId="22437"/>
    <cellStyle name="20% - Accent4 6 5 3" xfId="2927"/>
    <cellStyle name="20% - Accent4 6 5 3 2" xfId="14199"/>
    <cellStyle name="20% - Accent4 6 5 3 2 2" xfId="27591"/>
    <cellStyle name="20% - Accent4 6 5 3 3" xfId="18150"/>
    <cellStyle name="20% - Accent4 6 5 3 3 2" xfId="31429"/>
    <cellStyle name="20% - Accent4 6 5 3 4" xfId="22438"/>
    <cellStyle name="20% - Accent4 6 5 4" xfId="14197"/>
    <cellStyle name="20% - Accent4 6 5 4 2" xfId="27589"/>
    <cellStyle name="20% - Accent4 6 5 5" xfId="18148"/>
    <cellStyle name="20% - Accent4 6 5 5 2" xfId="31427"/>
    <cellStyle name="20% - Accent4 6 5 6" xfId="22436"/>
    <cellStyle name="20% - Accent4 6 6" xfId="2928"/>
    <cellStyle name="20% - Accent4 6 6 2" xfId="2929"/>
    <cellStyle name="20% - Accent4 6 6 2 2" xfId="14201"/>
    <cellStyle name="20% - Accent4 6 6 2 2 2" xfId="27593"/>
    <cellStyle name="20% - Accent4 6 6 2 3" xfId="18152"/>
    <cellStyle name="20% - Accent4 6 6 2 3 2" xfId="31431"/>
    <cellStyle name="20% - Accent4 6 6 2 4" xfId="22440"/>
    <cellStyle name="20% - Accent4 6 6 3" xfId="2930"/>
    <cellStyle name="20% - Accent4 6 6 3 2" xfId="14202"/>
    <cellStyle name="20% - Accent4 6 6 3 2 2" xfId="27594"/>
    <cellStyle name="20% - Accent4 6 6 3 3" xfId="18153"/>
    <cellStyle name="20% - Accent4 6 6 3 3 2" xfId="31432"/>
    <cellStyle name="20% - Accent4 6 6 3 4" xfId="22441"/>
    <cellStyle name="20% - Accent4 6 6 4" xfId="14200"/>
    <cellStyle name="20% - Accent4 6 6 4 2" xfId="27592"/>
    <cellStyle name="20% - Accent4 6 6 5" xfId="18151"/>
    <cellStyle name="20% - Accent4 6 6 5 2" xfId="31430"/>
    <cellStyle name="20% - Accent4 6 6 6" xfId="22439"/>
    <cellStyle name="20% - Accent4 6 7" xfId="2931"/>
    <cellStyle name="20% - Accent4 6 7 2" xfId="14203"/>
    <cellStyle name="20% - Accent4 6 7 2 2" xfId="27595"/>
    <cellStyle name="20% - Accent4 6 7 3" xfId="18154"/>
    <cellStyle name="20% - Accent4 6 7 3 2" xfId="31433"/>
    <cellStyle name="20% - Accent4 6 7 4" xfId="22442"/>
    <cellStyle name="20% - Accent4 6 8" xfId="2932"/>
    <cellStyle name="20% - Accent4 6 8 2" xfId="14204"/>
    <cellStyle name="20% - Accent4 6 8 2 2" xfId="27596"/>
    <cellStyle name="20% - Accent4 6 8 3" xfId="18155"/>
    <cellStyle name="20% - Accent4 6 8 3 2" xfId="31434"/>
    <cellStyle name="20% - Accent4 6 8 4" xfId="22443"/>
    <cellStyle name="20% - Accent4 6 9" xfId="14172"/>
    <cellStyle name="20% - Accent4 6 9 2" xfId="27564"/>
    <cellStyle name="20% - Accent4 6_Volatility" xfId="2933"/>
    <cellStyle name="20% - Accent4 7" xfId="2934"/>
    <cellStyle name="20% - Accent4 7 10" xfId="18156"/>
    <cellStyle name="20% - Accent4 7 10 2" xfId="31435"/>
    <cellStyle name="20% - Accent4 7 11" xfId="22444"/>
    <cellStyle name="20% - Accent4 7 2" xfId="2935"/>
    <cellStyle name="20% - Accent4 7 2 2" xfId="2936"/>
    <cellStyle name="20% - Accent4 7 2 2 2" xfId="2937"/>
    <cellStyle name="20% - Accent4 7 2 2 2 2" xfId="14208"/>
    <cellStyle name="20% - Accent4 7 2 2 2 2 2" xfId="27600"/>
    <cellStyle name="20% - Accent4 7 2 2 2 3" xfId="18159"/>
    <cellStyle name="20% - Accent4 7 2 2 2 3 2" xfId="31438"/>
    <cellStyle name="20% - Accent4 7 2 2 2 4" xfId="22447"/>
    <cellStyle name="20% - Accent4 7 2 2 3" xfId="2938"/>
    <cellStyle name="20% - Accent4 7 2 2 3 2" xfId="14209"/>
    <cellStyle name="20% - Accent4 7 2 2 3 2 2" xfId="27601"/>
    <cellStyle name="20% - Accent4 7 2 2 3 3" xfId="18160"/>
    <cellStyle name="20% - Accent4 7 2 2 3 3 2" xfId="31439"/>
    <cellStyle name="20% - Accent4 7 2 2 3 4" xfId="22448"/>
    <cellStyle name="20% - Accent4 7 2 2 4" xfId="14207"/>
    <cellStyle name="20% - Accent4 7 2 2 4 2" xfId="27599"/>
    <cellStyle name="20% - Accent4 7 2 2 5" xfId="18158"/>
    <cellStyle name="20% - Accent4 7 2 2 5 2" xfId="31437"/>
    <cellStyle name="20% - Accent4 7 2 2 6" xfId="22446"/>
    <cellStyle name="20% - Accent4 7 2 3" xfId="2939"/>
    <cellStyle name="20% - Accent4 7 2 3 2" xfId="2940"/>
    <cellStyle name="20% - Accent4 7 2 3 2 2" xfId="14211"/>
    <cellStyle name="20% - Accent4 7 2 3 2 2 2" xfId="27603"/>
    <cellStyle name="20% - Accent4 7 2 3 2 3" xfId="18162"/>
    <cellStyle name="20% - Accent4 7 2 3 2 3 2" xfId="31441"/>
    <cellStyle name="20% - Accent4 7 2 3 2 4" xfId="22450"/>
    <cellStyle name="20% - Accent4 7 2 3 3" xfId="2941"/>
    <cellStyle name="20% - Accent4 7 2 3 3 2" xfId="14212"/>
    <cellStyle name="20% - Accent4 7 2 3 3 2 2" xfId="27604"/>
    <cellStyle name="20% - Accent4 7 2 3 3 3" xfId="18163"/>
    <cellStyle name="20% - Accent4 7 2 3 3 3 2" xfId="31442"/>
    <cellStyle name="20% - Accent4 7 2 3 3 4" xfId="22451"/>
    <cellStyle name="20% - Accent4 7 2 3 4" xfId="14210"/>
    <cellStyle name="20% - Accent4 7 2 3 4 2" xfId="27602"/>
    <cellStyle name="20% - Accent4 7 2 3 5" xfId="18161"/>
    <cellStyle name="20% - Accent4 7 2 3 5 2" xfId="31440"/>
    <cellStyle name="20% - Accent4 7 2 3 6" xfId="22449"/>
    <cellStyle name="20% - Accent4 7 2 4" xfId="2942"/>
    <cellStyle name="20% - Accent4 7 2 4 2" xfId="2943"/>
    <cellStyle name="20% - Accent4 7 2 4 2 2" xfId="14214"/>
    <cellStyle name="20% - Accent4 7 2 4 2 2 2" xfId="27606"/>
    <cellStyle name="20% - Accent4 7 2 4 2 3" xfId="18165"/>
    <cellStyle name="20% - Accent4 7 2 4 2 3 2" xfId="31444"/>
    <cellStyle name="20% - Accent4 7 2 4 2 4" xfId="22453"/>
    <cellStyle name="20% - Accent4 7 2 4 3" xfId="2944"/>
    <cellStyle name="20% - Accent4 7 2 4 3 2" xfId="14215"/>
    <cellStyle name="20% - Accent4 7 2 4 3 2 2" xfId="27607"/>
    <cellStyle name="20% - Accent4 7 2 4 3 3" xfId="18166"/>
    <cellStyle name="20% - Accent4 7 2 4 3 3 2" xfId="31445"/>
    <cellStyle name="20% - Accent4 7 2 4 3 4" xfId="22454"/>
    <cellStyle name="20% - Accent4 7 2 4 4" xfId="14213"/>
    <cellStyle name="20% - Accent4 7 2 4 4 2" xfId="27605"/>
    <cellStyle name="20% - Accent4 7 2 4 5" xfId="18164"/>
    <cellStyle name="20% - Accent4 7 2 4 5 2" xfId="31443"/>
    <cellStyle name="20% - Accent4 7 2 4 6" xfId="22452"/>
    <cellStyle name="20% - Accent4 7 2 5" xfId="2945"/>
    <cellStyle name="20% - Accent4 7 2 5 2" xfId="14216"/>
    <cellStyle name="20% - Accent4 7 2 5 2 2" xfId="27608"/>
    <cellStyle name="20% - Accent4 7 2 5 3" xfId="18167"/>
    <cellStyle name="20% - Accent4 7 2 5 3 2" xfId="31446"/>
    <cellStyle name="20% - Accent4 7 2 5 4" xfId="22455"/>
    <cellStyle name="20% - Accent4 7 2 6" xfId="2946"/>
    <cellStyle name="20% - Accent4 7 2 6 2" xfId="14217"/>
    <cellStyle name="20% - Accent4 7 2 6 2 2" xfId="27609"/>
    <cellStyle name="20% - Accent4 7 2 6 3" xfId="18168"/>
    <cellStyle name="20% - Accent4 7 2 6 3 2" xfId="31447"/>
    <cellStyle name="20% - Accent4 7 2 6 4" xfId="22456"/>
    <cellStyle name="20% - Accent4 7 2 7" xfId="14206"/>
    <cellStyle name="20% - Accent4 7 2 7 2" xfId="27598"/>
    <cellStyle name="20% - Accent4 7 2 8" xfId="18157"/>
    <cellStyle name="20% - Accent4 7 2 8 2" xfId="31436"/>
    <cellStyle name="20% - Accent4 7 2 9" xfId="22445"/>
    <cellStyle name="20% - Accent4 7 2_Volatility" xfId="2947"/>
    <cellStyle name="20% - Accent4 7 3" xfId="2948"/>
    <cellStyle name="20% - Accent4 7 3 2" xfId="2949"/>
    <cellStyle name="20% - Accent4 7 3 2 2" xfId="2950"/>
    <cellStyle name="20% - Accent4 7 3 2 2 2" xfId="14220"/>
    <cellStyle name="20% - Accent4 7 3 2 2 2 2" xfId="27612"/>
    <cellStyle name="20% - Accent4 7 3 2 2 3" xfId="18171"/>
    <cellStyle name="20% - Accent4 7 3 2 2 3 2" xfId="31450"/>
    <cellStyle name="20% - Accent4 7 3 2 2 4" xfId="22459"/>
    <cellStyle name="20% - Accent4 7 3 2 3" xfId="2951"/>
    <cellStyle name="20% - Accent4 7 3 2 3 2" xfId="14221"/>
    <cellStyle name="20% - Accent4 7 3 2 3 2 2" xfId="27613"/>
    <cellStyle name="20% - Accent4 7 3 2 3 3" xfId="18172"/>
    <cellStyle name="20% - Accent4 7 3 2 3 3 2" xfId="31451"/>
    <cellStyle name="20% - Accent4 7 3 2 3 4" xfId="22460"/>
    <cellStyle name="20% - Accent4 7 3 2 4" xfId="14219"/>
    <cellStyle name="20% - Accent4 7 3 2 4 2" xfId="27611"/>
    <cellStyle name="20% - Accent4 7 3 2 5" xfId="18170"/>
    <cellStyle name="20% - Accent4 7 3 2 5 2" xfId="31449"/>
    <cellStyle name="20% - Accent4 7 3 2 6" xfId="22458"/>
    <cellStyle name="20% - Accent4 7 3 3" xfId="2952"/>
    <cellStyle name="20% - Accent4 7 3 3 2" xfId="2953"/>
    <cellStyle name="20% - Accent4 7 3 3 2 2" xfId="14223"/>
    <cellStyle name="20% - Accent4 7 3 3 2 2 2" xfId="27615"/>
    <cellStyle name="20% - Accent4 7 3 3 2 3" xfId="18174"/>
    <cellStyle name="20% - Accent4 7 3 3 2 3 2" xfId="31453"/>
    <cellStyle name="20% - Accent4 7 3 3 2 4" xfId="22462"/>
    <cellStyle name="20% - Accent4 7 3 3 3" xfId="2954"/>
    <cellStyle name="20% - Accent4 7 3 3 3 2" xfId="14224"/>
    <cellStyle name="20% - Accent4 7 3 3 3 2 2" xfId="27616"/>
    <cellStyle name="20% - Accent4 7 3 3 3 3" xfId="18175"/>
    <cellStyle name="20% - Accent4 7 3 3 3 3 2" xfId="31454"/>
    <cellStyle name="20% - Accent4 7 3 3 3 4" xfId="22463"/>
    <cellStyle name="20% - Accent4 7 3 3 4" xfId="14222"/>
    <cellStyle name="20% - Accent4 7 3 3 4 2" xfId="27614"/>
    <cellStyle name="20% - Accent4 7 3 3 5" xfId="18173"/>
    <cellStyle name="20% - Accent4 7 3 3 5 2" xfId="31452"/>
    <cellStyle name="20% - Accent4 7 3 3 6" xfId="22461"/>
    <cellStyle name="20% - Accent4 7 3 4" xfId="2955"/>
    <cellStyle name="20% - Accent4 7 3 4 2" xfId="14225"/>
    <cellStyle name="20% - Accent4 7 3 4 2 2" xfId="27617"/>
    <cellStyle name="20% - Accent4 7 3 4 3" xfId="18176"/>
    <cellStyle name="20% - Accent4 7 3 4 3 2" xfId="31455"/>
    <cellStyle name="20% - Accent4 7 3 4 4" xfId="22464"/>
    <cellStyle name="20% - Accent4 7 3 5" xfId="2956"/>
    <cellStyle name="20% - Accent4 7 3 5 2" xfId="14226"/>
    <cellStyle name="20% - Accent4 7 3 5 2 2" xfId="27618"/>
    <cellStyle name="20% - Accent4 7 3 5 3" xfId="18177"/>
    <cellStyle name="20% - Accent4 7 3 5 3 2" xfId="31456"/>
    <cellStyle name="20% - Accent4 7 3 5 4" xfId="22465"/>
    <cellStyle name="20% - Accent4 7 3 6" xfId="14218"/>
    <cellStyle name="20% - Accent4 7 3 6 2" xfId="27610"/>
    <cellStyle name="20% - Accent4 7 3 7" xfId="18169"/>
    <cellStyle name="20% - Accent4 7 3 7 2" xfId="31448"/>
    <cellStyle name="20% - Accent4 7 3 8" xfId="22457"/>
    <cellStyle name="20% - Accent4 7 3_Volatility" xfId="2957"/>
    <cellStyle name="20% - Accent4 7 4" xfId="2958"/>
    <cellStyle name="20% - Accent4 7 4 2" xfId="2959"/>
    <cellStyle name="20% - Accent4 7 4 2 2" xfId="14228"/>
    <cellStyle name="20% - Accent4 7 4 2 2 2" xfId="27620"/>
    <cellStyle name="20% - Accent4 7 4 2 3" xfId="18179"/>
    <cellStyle name="20% - Accent4 7 4 2 3 2" xfId="31458"/>
    <cellStyle name="20% - Accent4 7 4 2 4" xfId="22467"/>
    <cellStyle name="20% - Accent4 7 4 3" xfId="2960"/>
    <cellStyle name="20% - Accent4 7 4 3 2" xfId="14229"/>
    <cellStyle name="20% - Accent4 7 4 3 2 2" xfId="27621"/>
    <cellStyle name="20% - Accent4 7 4 3 3" xfId="18180"/>
    <cellStyle name="20% - Accent4 7 4 3 3 2" xfId="31459"/>
    <cellStyle name="20% - Accent4 7 4 3 4" xfId="22468"/>
    <cellStyle name="20% - Accent4 7 4 4" xfId="14227"/>
    <cellStyle name="20% - Accent4 7 4 4 2" xfId="27619"/>
    <cellStyle name="20% - Accent4 7 4 5" xfId="18178"/>
    <cellStyle name="20% - Accent4 7 4 5 2" xfId="31457"/>
    <cellStyle name="20% - Accent4 7 4 6" xfId="22466"/>
    <cellStyle name="20% - Accent4 7 5" xfId="2961"/>
    <cellStyle name="20% - Accent4 7 5 2" xfId="2962"/>
    <cellStyle name="20% - Accent4 7 5 2 2" xfId="14231"/>
    <cellStyle name="20% - Accent4 7 5 2 2 2" xfId="27623"/>
    <cellStyle name="20% - Accent4 7 5 2 3" xfId="18182"/>
    <cellStyle name="20% - Accent4 7 5 2 3 2" xfId="31461"/>
    <cellStyle name="20% - Accent4 7 5 2 4" xfId="22470"/>
    <cellStyle name="20% - Accent4 7 5 3" xfId="2963"/>
    <cellStyle name="20% - Accent4 7 5 3 2" xfId="14232"/>
    <cellStyle name="20% - Accent4 7 5 3 2 2" xfId="27624"/>
    <cellStyle name="20% - Accent4 7 5 3 3" xfId="18183"/>
    <cellStyle name="20% - Accent4 7 5 3 3 2" xfId="31462"/>
    <cellStyle name="20% - Accent4 7 5 3 4" xfId="22471"/>
    <cellStyle name="20% - Accent4 7 5 4" xfId="14230"/>
    <cellStyle name="20% - Accent4 7 5 4 2" xfId="27622"/>
    <cellStyle name="20% - Accent4 7 5 5" xfId="18181"/>
    <cellStyle name="20% - Accent4 7 5 5 2" xfId="31460"/>
    <cellStyle name="20% - Accent4 7 5 6" xfId="22469"/>
    <cellStyle name="20% - Accent4 7 6" xfId="2964"/>
    <cellStyle name="20% - Accent4 7 6 2" xfId="2965"/>
    <cellStyle name="20% - Accent4 7 6 2 2" xfId="14234"/>
    <cellStyle name="20% - Accent4 7 6 2 2 2" xfId="27626"/>
    <cellStyle name="20% - Accent4 7 6 2 3" xfId="18185"/>
    <cellStyle name="20% - Accent4 7 6 2 3 2" xfId="31464"/>
    <cellStyle name="20% - Accent4 7 6 2 4" xfId="22473"/>
    <cellStyle name="20% - Accent4 7 6 3" xfId="2966"/>
    <cellStyle name="20% - Accent4 7 6 3 2" xfId="14235"/>
    <cellStyle name="20% - Accent4 7 6 3 2 2" xfId="27627"/>
    <cellStyle name="20% - Accent4 7 6 3 3" xfId="18186"/>
    <cellStyle name="20% - Accent4 7 6 3 3 2" xfId="31465"/>
    <cellStyle name="20% - Accent4 7 6 3 4" xfId="22474"/>
    <cellStyle name="20% - Accent4 7 6 4" xfId="14233"/>
    <cellStyle name="20% - Accent4 7 6 4 2" xfId="27625"/>
    <cellStyle name="20% - Accent4 7 6 5" xfId="18184"/>
    <cellStyle name="20% - Accent4 7 6 5 2" xfId="31463"/>
    <cellStyle name="20% - Accent4 7 6 6" xfId="22472"/>
    <cellStyle name="20% - Accent4 7 7" xfId="2967"/>
    <cellStyle name="20% - Accent4 7 7 2" xfId="14236"/>
    <cellStyle name="20% - Accent4 7 7 2 2" xfId="27628"/>
    <cellStyle name="20% - Accent4 7 7 3" xfId="18187"/>
    <cellStyle name="20% - Accent4 7 7 3 2" xfId="31466"/>
    <cellStyle name="20% - Accent4 7 7 4" xfId="22475"/>
    <cellStyle name="20% - Accent4 7 8" xfId="2968"/>
    <cellStyle name="20% - Accent4 7 8 2" xfId="14237"/>
    <cellStyle name="20% - Accent4 7 8 2 2" xfId="27629"/>
    <cellStyle name="20% - Accent4 7 8 3" xfId="18188"/>
    <cellStyle name="20% - Accent4 7 8 3 2" xfId="31467"/>
    <cellStyle name="20% - Accent4 7 8 4" xfId="22476"/>
    <cellStyle name="20% - Accent4 7 9" xfId="14205"/>
    <cellStyle name="20% - Accent4 7 9 2" xfId="27597"/>
    <cellStyle name="20% - Accent4 7_Volatility" xfId="2969"/>
    <cellStyle name="20% - Accent4 8" xfId="2970"/>
    <cellStyle name="20% - Accent4 8 10" xfId="18189"/>
    <cellStyle name="20% - Accent4 8 10 2" xfId="31468"/>
    <cellStyle name="20% - Accent4 8 11" xfId="22477"/>
    <cellStyle name="20% - Accent4 8 2" xfId="2971"/>
    <cellStyle name="20% - Accent4 8 2 2" xfId="2972"/>
    <cellStyle name="20% - Accent4 8 2 2 2" xfId="2973"/>
    <cellStyle name="20% - Accent4 8 2 2 2 2" xfId="14241"/>
    <cellStyle name="20% - Accent4 8 2 2 2 2 2" xfId="27633"/>
    <cellStyle name="20% - Accent4 8 2 2 2 3" xfId="18192"/>
    <cellStyle name="20% - Accent4 8 2 2 2 3 2" xfId="31471"/>
    <cellStyle name="20% - Accent4 8 2 2 2 4" xfId="22480"/>
    <cellStyle name="20% - Accent4 8 2 2 3" xfId="2974"/>
    <cellStyle name="20% - Accent4 8 2 2 3 2" xfId="14242"/>
    <cellStyle name="20% - Accent4 8 2 2 3 2 2" xfId="27634"/>
    <cellStyle name="20% - Accent4 8 2 2 3 3" xfId="18193"/>
    <cellStyle name="20% - Accent4 8 2 2 3 3 2" xfId="31472"/>
    <cellStyle name="20% - Accent4 8 2 2 3 4" xfId="22481"/>
    <cellStyle name="20% - Accent4 8 2 2 4" xfId="14240"/>
    <cellStyle name="20% - Accent4 8 2 2 4 2" xfId="27632"/>
    <cellStyle name="20% - Accent4 8 2 2 5" xfId="18191"/>
    <cellStyle name="20% - Accent4 8 2 2 5 2" xfId="31470"/>
    <cellStyle name="20% - Accent4 8 2 2 6" xfId="22479"/>
    <cellStyle name="20% - Accent4 8 2 3" xfId="2975"/>
    <cellStyle name="20% - Accent4 8 2 3 2" xfId="2976"/>
    <cellStyle name="20% - Accent4 8 2 3 2 2" xfId="14244"/>
    <cellStyle name="20% - Accent4 8 2 3 2 2 2" xfId="27636"/>
    <cellStyle name="20% - Accent4 8 2 3 2 3" xfId="18195"/>
    <cellStyle name="20% - Accent4 8 2 3 2 3 2" xfId="31474"/>
    <cellStyle name="20% - Accent4 8 2 3 2 4" xfId="22483"/>
    <cellStyle name="20% - Accent4 8 2 3 3" xfId="2977"/>
    <cellStyle name="20% - Accent4 8 2 3 3 2" xfId="14245"/>
    <cellStyle name="20% - Accent4 8 2 3 3 2 2" xfId="27637"/>
    <cellStyle name="20% - Accent4 8 2 3 3 3" xfId="18196"/>
    <cellStyle name="20% - Accent4 8 2 3 3 3 2" xfId="31475"/>
    <cellStyle name="20% - Accent4 8 2 3 3 4" xfId="22484"/>
    <cellStyle name="20% - Accent4 8 2 3 4" xfId="14243"/>
    <cellStyle name="20% - Accent4 8 2 3 4 2" xfId="27635"/>
    <cellStyle name="20% - Accent4 8 2 3 5" xfId="18194"/>
    <cellStyle name="20% - Accent4 8 2 3 5 2" xfId="31473"/>
    <cellStyle name="20% - Accent4 8 2 3 6" xfId="22482"/>
    <cellStyle name="20% - Accent4 8 2 4" xfId="2978"/>
    <cellStyle name="20% - Accent4 8 2 4 2" xfId="2979"/>
    <cellStyle name="20% - Accent4 8 2 4 2 2" xfId="14247"/>
    <cellStyle name="20% - Accent4 8 2 4 2 2 2" xfId="27639"/>
    <cellStyle name="20% - Accent4 8 2 4 2 3" xfId="18198"/>
    <cellStyle name="20% - Accent4 8 2 4 2 3 2" xfId="31477"/>
    <cellStyle name="20% - Accent4 8 2 4 2 4" xfId="22486"/>
    <cellStyle name="20% - Accent4 8 2 4 3" xfId="2980"/>
    <cellStyle name="20% - Accent4 8 2 4 3 2" xfId="14248"/>
    <cellStyle name="20% - Accent4 8 2 4 3 2 2" xfId="27640"/>
    <cellStyle name="20% - Accent4 8 2 4 3 3" xfId="18199"/>
    <cellStyle name="20% - Accent4 8 2 4 3 3 2" xfId="31478"/>
    <cellStyle name="20% - Accent4 8 2 4 3 4" xfId="22487"/>
    <cellStyle name="20% - Accent4 8 2 4 4" xfId="14246"/>
    <cellStyle name="20% - Accent4 8 2 4 4 2" xfId="27638"/>
    <cellStyle name="20% - Accent4 8 2 4 5" xfId="18197"/>
    <cellStyle name="20% - Accent4 8 2 4 5 2" xfId="31476"/>
    <cellStyle name="20% - Accent4 8 2 4 6" xfId="22485"/>
    <cellStyle name="20% - Accent4 8 2 5" xfId="2981"/>
    <cellStyle name="20% - Accent4 8 2 5 2" xfId="14249"/>
    <cellStyle name="20% - Accent4 8 2 5 2 2" xfId="27641"/>
    <cellStyle name="20% - Accent4 8 2 5 3" xfId="18200"/>
    <cellStyle name="20% - Accent4 8 2 5 3 2" xfId="31479"/>
    <cellStyle name="20% - Accent4 8 2 5 4" xfId="22488"/>
    <cellStyle name="20% - Accent4 8 2 6" xfId="2982"/>
    <cellStyle name="20% - Accent4 8 2 6 2" xfId="14250"/>
    <cellStyle name="20% - Accent4 8 2 6 2 2" xfId="27642"/>
    <cellStyle name="20% - Accent4 8 2 6 3" xfId="18201"/>
    <cellStyle name="20% - Accent4 8 2 6 3 2" xfId="31480"/>
    <cellStyle name="20% - Accent4 8 2 6 4" xfId="22489"/>
    <cellStyle name="20% - Accent4 8 2 7" xfId="14239"/>
    <cellStyle name="20% - Accent4 8 2 7 2" xfId="27631"/>
    <cellStyle name="20% - Accent4 8 2 8" xfId="18190"/>
    <cellStyle name="20% - Accent4 8 2 8 2" xfId="31469"/>
    <cellStyle name="20% - Accent4 8 2 9" xfId="22478"/>
    <cellStyle name="20% - Accent4 8 2_Volatility" xfId="2983"/>
    <cellStyle name="20% - Accent4 8 3" xfId="2984"/>
    <cellStyle name="20% - Accent4 8 3 2" xfId="2985"/>
    <cellStyle name="20% - Accent4 8 3 2 2" xfId="2986"/>
    <cellStyle name="20% - Accent4 8 3 2 2 2" xfId="14253"/>
    <cellStyle name="20% - Accent4 8 3 2 2 2 2" xfId="27645"/>
    <cellStyle name="20% - Accent4 8 3 2 2 3" xfId="18204"/>
    <cellStyle name="20% - Accent4 8 3 2 2 3 2" xfId="31483"/>
    <cellStyle name="20% - Accent4 8 3 2 2 4" xfId="22492"/>
    <cellStyle name="20% - Accent4 8 3 2 3" xfId="2987"/>
    <cellStyle name="20% - Accent4 8 3 2 3 2" xfId="14254"/>
    <cellStyle name="20% - Accent4 8 3 2 3 2 2" xfId="27646"/>
    <cellStyle name="20% - Accent4 8 3 2 3 3" xfId="18205"/>
    <cellStyle name="20% - Accent4 8 3 2 3 3 2" xfId="31484"/>
    <cellStyle name="20% - Accent4 8 3 2 3 4" xfId="22493"/>
    <cellStyle name="20% - Accent4 8 3 2 4" xfId="14252"/>
    <cellStyle name="20% - Accent4 8 3 2 4 2" xfId="27644"/>
    <cellStyle name="20% - Accent4 8 3 2 5" xfId="18203"/>
    <cellStyle name="20% - Accent4 8 3 2 5 2" xfId="31482"/>
    <cellStyle name="20% - Accent4 8 3 2 6" xfId="22491"/>
    <cellStyle name="20% - Accent4 8 3 3" xfId="2988"/>
    <cellStyle name="20% - Accent4 8 3 3 2" xfId="2989"/>
    <cellStyle name="20% - Accent4 8 3 3 2 2" xfId="14256"/>
    <cellStyle name="20% - Accent4 8 3 3 2 2 2" xfId="27648"/>
    <cellStyle name="20% - Accent4 8 3 3 2 3" xfId="18207"/>
    <cellStyle name="20% - Accent4 8 3 3 2 3 2" xfId="31486"/>
    <cellStyle name="20% - Accent4 8 3 3 2 4" xfId="22495"/>
    <cellStyle name="20% - Accent4 8 3 3 3" xfId="2990"/>
    <cellStyle name="20% - Accent4 8 3 3 3 2" xfId="14257"/>
    <cellStyle name="20% - Accent4 8 3 3 3 2 2" xfId="27649"/>
    <cellStyle name="20% - Accent4 8 3 3 3 3" xfId="18208"/>
    <cellStyle name="20% - Accent4 8 3 3 3 3 2" xfId="31487"/>
    <cellStyle name="20% - Accent4 8 3 3 3 4" xfId="22496"/>
    <cellStyle name="20% - Accent4 8 3 3 4" xfId="14255"/>
    <cellStyle name="20% - Accent4 8 3 3 4 2" xfId="27647"/>
    <cellStyle name="20% - Accent4 8 3 3 5" xfId="18206"/>
    <cellStyle name="20% - Accent4 8 3 3 5 2" xfId="31485"/>
    <cellStyle name="20% - Accent4 8 3 3 6" xfId="22494"/>
    <cellStyle name="20% - Accent4 8 3 4" xfId="2991"/>
    <cellStyle name="20% - Accent4 8 3 4 2" xfId="14258"/>
    <cellStyle name="20% - Accent4 8 3 4 2 2" xfId="27650"/>
    <cellStyle name="20% - Accent4 8 3 4 3" xfId="18209"/>
    <cellStyle name="20% - Accent4 8 3 4 3 2" xfId="31488"/>
    <cellStyle name="20% - Accent4 8 3 4 4" xfId="22497"/>
    <cellStyle name="20% - Accent4 8 3 5" xfId="2992"/>
    <cellStyle name="20% - Accent4 8 3 5 2" xfId="14259"/>
    <cellStyle name="20% - Accent4 8 3 5 2 2" xfId="27651"/>
    <cellStyle name="20% - Accent4 8 3 5 3" xfId="18210"/>
    <cellStyle name="20% - Accent4 8 3 5 3 2" xfId="31489"/>
    <cellStyle name="20% - Accent4 8 3 5 4" xfId="22498"/>
    <cellStyle name="20% - Accent4 8 3 6" xfId="14251"/>
    <cellStyle name="20% - Accent4 8 3 6 2" xfId="27643"/>
    <cellStyle name="20% - Accent4 8 3 7" xfId="18202"/>
    <cellStyle name="20% - Accent4 8 3 7 2" xfId="31481"/>
    <cellStyle name="20% - Accent4 8 3 8" xfId="22490"/>
    <cellStyle name="20% - Accent4 8 3_Volatility" xfId="2993"/>
    <cellStyle name="20% - Accent4 8 4" xfId="2994"/>
    <cellStyle name="20% - Accent4 8 4 2" xfId="2995"/>
    <cellStyle name="20% - Accent4 8 4 2 2" xfId="14261"/>
    <cellStyle name="20% - Accent4 8 4 2 2 2" xfId="27653"/>
    <cellStyle name="20% - Accent4 8 4 2 3" xfId="18212"/>
    <cellStyle name="20% - Accent4 8 4 2 3 2" xfId="31491"/>
    <cellStyle name="20% - Accent4 8 4 2 4" xfId="22500"/>
    <cellStyle name="20% - Accent4 8 4 3" xfId="2996"/>
    <cellStyle name="20% - Accent4 8 4 3 2" xfId="14262"/>
    <cellStyle name="20% - Accent4 8 4 3 2 2" xfId="27654"/>
    <cellStyle name="20% - Accent4 8 4 3 3" xfId="18213"/>
    <cellStyle name="20% - Accent4 8 4 3 3 2" xfId="31492"/>
    <cellStyle name="20% - Accent4 8 4 3 4" xfId="22501"/>
    <cellStyle name="20% - Accent4 8 4 4" xfId="14260"/>
    <cellStyle name="20% - Accent4 8 4 4 2" xfId="27652"/>
    <cellStyle name="20% - Accent4 8 4 5" xfId="18211"/>
    <cellStyle name="20% - Accent4 8 4 5 2" xfId="31490"/>
    <cellStyle name="20% - Accent4 8 4 6" xfId="22499"/>
    <cellStyle name="20% - Accent4 8 5" xfId="2997"/>
    <cellStyle name="20% - Accent4 8 5 2" xfId="2998"/>
    <cellStyle name="20% - Accent4 8 5 2 2" xfId="14264"/>
    <cellStyle name="20% - Accent4 8 5 2 2 2" xfId="27656"/>
    <cellStyle name="20% - Accent4 8 5 2 3" xfId="18215"/>
    <cellStyle name="20% - Accent4 8 5 2 3 2" xfId="31494"/>
    <cellStyle name="20% - Accent4 8 5 2 4" xfId="22503"/>
    <cellStyle name="20% - Accent4 8 5 3" xfId="2999"/>
    <cellStyle name="20% - Accent4 8 5 3 2" xfId="14265"/>
    <cellStyle name="20% - Accent4 8 5 3 2 2" xfId="27657"/>
    <cellStyle name="20% - Accent4 8 5 3 3" xfId="18216"/>
    <cellStyle name="20% - Accent4 8 5 3 3 2" xfId="31495"/>
    <cellStyle name="20% - Accent4 8 5 3 4" xfId="22504"/>
    <cellStyle name="20% - Accent4 8 5 4" xfId="14263"/>
    <cellStyle name="20% - Accent4 8 5 4 2" xfId="27655"/>
    <cellStyle name="20% - Accent4 8 5 5" xfId="18214"/>
    <cellStyle name="20% - Accent4 8 5 5 2" xfId="31493"/>
    <cellStyle name="20% - Accent4 8 5 6" xfId="22502"/>
    <cellStyle name="20% - Accent4 8 6" xfId="3000"/>
    <cellStyle name="20% - Accent4 8 6 2" xfId="3001"/>
    <cellStyle name="20% - Accent4 8 6 2 2" xfId="14267"/>
    <cellStyle name="20% - Accent4 8 6 2 2 2" xfId="27659"/>
    <cellStyle name="20% - Accent4 8 6 2 3" xfId="18218"/>
    <cellStyle name="20% - Accent4 8 6 2 3 2" xfId="31497"/>
    <cellStyle name="20% - Accent4 8 6 2 4" xfId="22506"/>
    <cellStyle name="20% - Accent4 8 6 3" xfId="3002"/>
    <cellStyle name="20% - Accent4 8 6 3 2" xfId="14268"/>
    <cellStyle name="20% - Accent4 8 6 3 2 2" xfId="27660"/>
    <cellStyle name="20% - Accent4 8 6 3 3" xfId="18219"/>
    <cellStyle name="20% - Accent4 8 6 3 3 2" xfId="31498"/>
    <cellStyle name="20% - Accent4 8 6 3 4" xfId="22507"/>
    <cellStyle name="20% - Accent4 8 6 4" xfId="14266"/>
    <cellStyle name="20% - Accent4 8 6 4 2" xfId="27658"/>
    <cellStyle name="20% - Accent4 8 6 5" xfId="18217"/>
    <cellStyle name="20% - Accent4 8 6 5 2" xfId="31496"/>
    <cellStyle name="20% - Accent4 8 6 6" xfId="22505"/>
    <cellStyle name="20% - Accent4 8 7" xfId="3003"/>
    <cellStyle name="20% - Accent4 8 7 2" xfId="14269"/>
    <cellStyle name="20% - Accent4 8 7 2 2" xfId="27661"/>
    <cellStyle name="20% - Accent4 8 7 3" xfId="18220"/>
    <cellStyle name="20% - Accent4 8 7 3 2" xfId="31499"/>
    <cellStyle name="20% - Accent4 8 7 4" xfId="22508"/>
    <cellStyle name="20% - Accent4 8 8" xfId="3004"/>
    <cellStyle name="20% - Accent4 8 8 2" xfId="14270"/>
    <cellStyle name="20% - Accent4 8 8 2 2" xfId="27662"/>
    <cellStyle name="20% - Accent4 8 8 3" xfId="18221"/>
    <cellStyle name="20% - Accent4 8 8 3 2" xfId="31500"/>
    <cellStyle name="20% - Accent4 8 8 4" xfId="22509"/>
    <cellStyle name="20% - Accent4 8 9" xfId="14238"/>
    <cellStyle name="20% - Accent4 8 9 2" xfId="27630"/>
    <cellStyle name="20% - Accent4 8_Volatility" xfId="3005"/>
    <cellStyle name="20% - Accent4 9" xfId="3006"/>
    <cellStyle name="20% - Accent4 9 10" xfId="18222"/>
    <cellStyle name="20% - Accent4 9 10 2" xfId="31501"/>
    <cellStyle name="20% - Accent4 9 11" xfId="22510"/>
    <cellStyle name="20% - Accent4 9 2" xfId="3007"/>
    <cellStyle name="20% - Accent4 9 2 2" xfId="3008"/>
    <cellStyle name="20% - Accent4 9 2 2 2" xfId="3009"/>
    <cellStyle name="20% - Accent4 9 2 2 2 2" xfId="14274"/>
    <cellStyle name="20% - Accent4 9 2 2 2 2 2" xfId="27666"/>
    <cellStyle name="20% - Accent4 9 2 2 2 3" xfId="18225"/>
    <cellStyle name="20% - Accent4 9 2 2 2 3 2" xfId="31504"/>
    <cellStyle name="20% - Accent4 9 2 2 2 4" xfId="22513"/>
    <cellStyle name="20% - Accent4 9 2 2 3" xfId="3010"/>
    <cellStyle name="20% - Accent4 9 2 2 3 2" xfId="14275"/>
    <cellStyle name="20% - Accent4 9 2 2 3 2 2" xfId="27667"/>
    <cellStyle name="20% - Accent4 9 2 2 3 3" xfId="18226"/>
    <cellStyle name="20% - Accent4 9 2 2 3 3 2" xfId="31505"/>
    <cellStyle name="20% - Accent4 9 2 2 3 4" xfId="22514"/>
    <cellStyle name="20% - Accent4 9 2 2 4" xfId="14273"/>
    <cellStyle name="20% - Accent4 9 2 2 4 2" xfId="27665"/>
    <cellStyle name="20% - Accent4 9 2 2 5" xfId="18224"/>
    <cellStyle name="20% - Accent4 9 2 2 5 2" xfId="31503"/>
    <cellStyle name="20% - Accent4 9 2 2 6" xfId="22512"/>
    <cellStyle name="20% - Accent4 9 2 3" xfId="3011"/>
    <cellStyle name="20% - Accent4 9 2 3 2" xfId="3012"/>
    <cellStyle name="20% - Accent4 9 2 3 2 2" xfId="14277"/>
    <cellStyle name="20% - Accent4 9 2 3 2 2 2" xfId="27669"/>
    <cellStyle name="20% - Accent4 9 2 3 2 3" xfId="18228"/>
    <cellStyle name="20% - Accent4 9 2 3 2 3 2" xfId="31507"/>
    <cellStyle name="20% - Accent4 9 2 3 2 4" xfId="22516"/>
    <cellStyle name="20% - Accent4 9 2 3 3" xfId="3013"/>
    <cellStyle name="20% - Accent4 9 2 3 3 2" xfId="14278"/>
    <cellStyle name="20% - Accent4 9 2 3 3 2 2" xfId="27670"/>
    <cellStyle name="20% - Accent4 9 2 3 3 3" xfId="18229"/>
    <cellStyle name="20% - Accent4 9 2 3 3 3 2" xfId="31508"/>
    <cellStyle name="20% - Accent4 9 2 3 3 4" xfId="22517"/>
    <cellStyle name="20% - Accent4 9 2 3 4" xfId="14276"/>
    <cellStyle name="20% - Accent4 9 2 3 4 2" xfId="27668"/>
    <cellStyle name="20% - Accent4 9 2 3 5" xfId="18227"/>
    <cellStyle name="20% - Accent4 9 2 3 5 2" xfId="31506"/>
    <cellStyle name="20% - Accent4 9 2 3 6" xfId="22515"/>
    <cellStyle name="20% - Accent4 9 2 4" xfId="3014"/>
    <cellStyle name="20% - Accent4 9 2 4 2" xfId="3015"/>
    <cellStyle name="20% - Accent4 9 2 4 2 2" xfId="14280"/>
    <cellStyle name="20% - Accent4 9 2 4 2 2 2" xfId="27672"/>
    <cellStyle name="20% - Accent4 9 2 4 2 3" xfId="18231"/>
    <cellStyle name="20% - Accent4 9 2 4 2 3 2" xfId="31510"/>
    <cellStyle name="20% - Accent4 9 2 4 2 4" xfId="22519"/>
    <cellStyle name="20% - Accent4 9 2 4 3" xfId="3016"/>
    <cellStyle name="20% - Accent4 9 2 4 3 2" xfId="14281"/>
    <cellStyle name="20% - Accent4 9 2 4 3 2 2" xfId="27673"/>
    <cellStyle name="20% - Accent4 9 2 4 3 3" xfId="18232"/>
    <cellStyle name="20% - Accent4 9 2 4 3 3 2" xfId="31511"/>
    <cellStyle name="20% - Accent4 9 2 4 3 4" xfId="22520"/>
    <cellStyle name="20% - Accent4 9 2 4 4" xfId="14279"/>
    <cellStyle name="20% - Accent4 9 2 4 4 2" xfId="27671"/>
    <cellStyle name="20% - Accent4 9 2 4 5" xfId="18230"/>
    <cellStyle name="20% - Accent4 9 2 4 5 2" xfId="31509"/>
    <cellStyle name="20% - Accent4 9 2 4 6" xfId="22518"/>
    <cellStyle name="20% - Accent4 9 2 5" xfId="3017"/>
    <cellStyle name="20% - Accent4 9 2 5 2" xfId="14282"/>
    <cellStyle name="20% - Accent4 9 2 5 2 2" xfId="27674"/>
    <cellStyle name="20% - Accent4 9 2 5 3" xfId="18233"/>
    <cellStyle name="20% - Accent4 9 2 5 3 2" xfId="31512"/>
    <cellStyle name="20% - Accent4 9 2 5 4" xfId="22521"/>
    <cellStyle name="20% - Accent4 9 2 6" xfId="3018"/>
    <cellStyle name="20% - Accent4 9 2 6 2" xfId="14283"/>
    <cellStyle name="20% - Accent4 9 2 6 2 2" xfId="27675"/>
    <cellStyle name="20% - Accent4 9 2 6 3" xfId="18234"/>
    <cellStyle name="20% - Accent4 9 2 6 3 2" xfId="31513"/>
    <cellStyle name="20% - Accent4 9 2 6 4" xfId="22522"/>
    <cellStyle name="20% - Accent4 9 2 7" xfId="14272"/>
    <cellStyle name="20% - Accent4 9 2 7 2" xfId="27664"/>
    <cellStyle name="20% - Accent4 9 2 8" xfId="18223"/>
    <cellStyle name="20% - Accent4 9 2 8 2" xfId="31502"/>
    <cellStyle name="20% - Accent4 9 2 9" xfId="22511"/>
    <cellStyle name="20% - Accent4 9 2_Volatility" xfId="3019"/>
    <cellStyle name="20% - Accent4 9 3" xfId="3020"/>
    <cellStyle name="20% - Accent4 9 3 2" xfId="3021"/>
    <cellStyle name="20% - Accent4 9 3 2 2" xfId="3022"/>
    <cellStyle name="20% - Accent4 9 3 2 2 2" xfId="14286"/>
    <cellStyle name="20% - Accent4 9 3 2 2 2 2" xfId="27678"/>
    <cellStyle name="20% - Accent4 9 3 2 2 3" xfId="18237"/>
    <cellStyle name="20% - Accent4 9 3 2 2 3 2" xfId="31516"/>
    <cellStyle name="20% - Accent4 9 3 2 2 4" xfId="22525"/>
    <cellStyle name="20% - Accent4 9 3 2 3" xfId="3023"/>
    <cellStyle name="20% - Accent4 9 3 2 3 2" xfId="14287"/>
    <cellStyle name="20% - Accent4 9 3 2 3 2 2" xfId="27679"/>
    <cellStyle name="20% - Accent4 9 3 2 3 3" xfId="18238"/>
    <cellStyle name="20% - Accent4 9 3 2 3 3 2" xfId="31517"/>
    <cellStyle name="20% - Accent4 9 3 2 3 4" xfId="22526"/>
    <cellStyle name="20% - Accent4 9 3 2 4" xfId="14285"/>
    <cellStyle name="20% - Accent4 9 3 2 4 2" xfId="27677"/>
    <cellStyle name="20% - Accent4 9 3 2 5" xfId="18236"/>
    <cellStyle name="20% - Accent4 9 3 2 5 2" xfId="31515"/>
    <cellStyle name="20% - Accent4 9 3 2 6" xfId="22524"/>
    <cellStyle name="20% - Accent4 9 3 3" xfId="3024"/>
    <cellStyle name="20% - Accent4 9 3 3 2" xfId="3025"/>
    <cellStyle name="20% - Accent4 9 3 3 2 2" xfId="14289"/>
    <cellStyle name="20% - Accent4 9 3 3 2 2 2" xfId="27681"/>
    <cellStyle name="20% - Accent4 9 3 3 2 3" xfId="18240"/>
    <cellStyle name="20% - Accent4 9 3 3 2 3 2" xfId="31519"/>
    <cellStyle name="20% - Accent4 9 3 3 2 4" xfId="22528"/>
    <cellStyle name="20% - Accent4 9 3 3 3" xfId="3026"/>
    <cellStyle name="20% - Accent4 9 3 3 3 2" xfId="14290"/>
    <cellStyle name="20% - Accent4 9 3 3 3 2 2" xfId="27682"/>
    <cellStyle name="20% - Accent4 9 3 3 3 3" xfId="18241"/>
    <cellStyle name="20% - Accent4 9 3 3 3 3 2" xfId="31520"/>
    <cellStyle name="20% - Accent4 9 3 3 3 4" xfId="22529"/>
    <cellStyle name="20% - Accent4 9 3 3 4" xfId="14288"/>
    <cellStyle name="20% - Accent4 9 3 3 4 2" xfId="27680"/>
    <cellStyle name="20% - Accent4 9 3 3 5" xfId="18239"/>
    <cellStyle name="20% - Accent4 9 3 3 5 2" xfId="31518"/>
    <cellStyle name="20% - Accent4 9 3 3 6" xfId="22527"/>
    <cellStyle name="20% - Accent4 9 3 4" xfId="3027"/>
    <cellStyle name="20% - Accent4 9 3 4 2" xfId="14291"/>
    <cellStyle name="20% - Accent4 9 3 4 2 2" xfId="27683"/>
    <cellStyle name="20% - Accent4 9 3 4 3" xfId="18242"/>
    <cellStyle name="20% - Accent4 9 3 4 3 2" xfId="31521"/>
    <cellStyle name="20% - Accent4 9 3 4 4" xfId="22530"/>
    <cellStyle name="20% - Accent4 9 3 5" xfId="3028"/>
    <cellStyle name="20% - Accent4 9 3 5 2" xfId="14292"/>
    <cellStyle name="20% - Accent4 9 3 5 2 2" xfId="27684"/>
    <cellStyle name="20% - Accent4 9 3 5 3" xfId="18243"/>
    <cellStyle name="20% - Accent4 9 3 5 3 2" xfId="31522"/>
    <cellStyle name="20% - Accent4 9 3 5 4" xfId="22531"/>
    <cellStyle name="20% - Accent4 9 3 6" xfId="14284"/>
    <cellStyle name="20% - Accent4 9 3 6 2" xfId="27676"/>
    <cellStyle name="20% - Accent4 9 3 7" xfId="18235"/>
    <cellStyle name="20% - Accent4 9 3 7 2" xfId="31514"/>
    <cellStyle name="20% - Accent4 9 3 8" xfId="22523"/>
    <cellStyle name="20% - Accent4 9 3_Volatility" xfId="3029"/>
    <cellStyle name="20% - Accent4 9 4" xfId="3030"/>
    <cellStyle name="20% - Accent4 9 4 2" xfId="3031"/>
    <cellStyle name="20% - Accent4 9 4 2 2" xfId="14294"/>
    <cellStyle name="20% - Accent4 9 4 2 2 2" xfId="27686"/>
    <cellStyle name="20% - Accent4 9 4 2 3" xfId="18245"/>
    <cellStyle name="20% - Accent4 9 4 2 3 2" xfId="31524"/>
    <cellStyle name="20% - Accent4 9 4 2 4" xfId="22533"/>
    <cellStyle name="20% - Accent4 9 4 3" xfId="3032"/>
    <cellStyle name="20% - Accent4 9 4 3 2" xfId="14295"/>
    <cellStyle name="20% - Accent4 9 4 3 2 2" xfId="27687"/>
    <cellStyle name="20% - Accent4 9 4 3 3" xfId="18246"/>
    <cellStyle name="20% - Accent4 9 4 3 3 2" xfId="31525"/>
    <cellStyle name="20% - Accent4 9 4 3 4" xfId="22534"/>
    <cellStyle name="20% - Accent4 9 4 4" xfId="14293"/>
    <cellStyle name="20% - Accent4 9 4 4 2" xfId="27685"/>
    <cellStyle name="20% - Accent4 9 4 5" xfId="18244"/>
    <cellStyle name="20% - Accent4 9 4 5 2" xfId="31523"/>
    <cellStyle name="20% - Accent4 9 4 6" xfId="22532"/>
    <cellStyle name="20% - Accent4 9 5" xfId="3033"/>
    <cellStyle name="20% - Accent4 9 5 2" xfId="3034"/>
    <cellStyle name="20% - Accent4 9 5 2 2" xfId="14297"/>
    <cellStyle name="20% - Accent4 9 5 2 2 2" xfId="27689"/>
    <cellStyle name="20% - Accent4 9 5 2 3" xfId="18248"/>
    <cellStyle name="20% - Accent4 9 5 2 3 2" xfId="31527"/>
    <cellStyle name="20% - Accent4 9 5 2 4" xfId="22536"/>
    <cellStyle name="20% - Accent4 9 5 3" xfId="3035"/>
    <cellStyle name="20% - Accent4 9 5 3 2" xfId="14298"/>
    <cellStyle name="20% - Accent4 9 5 3 2 2" xfId="27690"/>
    <cellStyle name="20% - Accent4 9 5 3 3" xfId="18249"/>
    <cellStyle name="20% - Accent4 9 5 3 3 2" xfId="31528"/>
    <cellStyle name="20% - Accent4 9 5 3 4" xfId="22537"/>
    <cellStyle name="20% - Accent4 9 5 4" xfId="14296"/>
    <cellStyle name="20% - Accent4 9 5 4 2" xfId="27688"/>
    <cellStyle name="20% - Accent4 9 5 5" xfId="18247"/>
    <cellStyle name="20% - Accent4 9 5 5 2" xfId="31526"/>
    <cellStyle name="20% - Accent4 9 5 6" xfId="22535"/>
    <cellStyle name="20% - Accent4 9 6" xfId="3036"/>
    <cellStyle name="20% - Accent4 9 6 2" xfId="3037"/>
    <cellStyle name="20% - Accent4 9 6 2 2" xfId="14300"/>
    <cellStyle name="20% - Accent4 9 6 2 2 2" xfId="27692"/>
    <cellStyle name="20% - Accent4 9 6 2 3" xfId="18251"/>
    <cellStyle name="20% - Accent4 9 6 2 3 2" xfId="31530"/>
    <cellStyle name="20% - Accent4 9 6 2 4" xfId="22539"/>
    <cellStyle name="20% - Accent4 9 6 3" xfId="3038"/>
    <cellStyle name="20% - Accent4 9 6 3 2" xfId="14301"/>
    <cellStyle name="20% - Accent4 9 6 3 2 2" xfId="27693"/>
    <cellStyle name="20% - Accent4 9 6 3 3" xfId="18252"/>
    <cellStyle name="20% - Accent4 9 6 3 3 2" xfId="31531"/>
    <cellStyle name="20% - Accent4 9 6 3 4" xfId="22540"/>
    <cellStyle name="20% - Accent4 9 6 4" xfId="14299"/>
    <cellStyle name="20% - Accent4 9 6 4 2" xfId="27691"/>
    <cellStyle name="20% - Accent4 9 6 5" xfId="18250"/>
    <cellStyle name="20% - Accent4 9 6 5 2" xfId="31529"/>
    <cellStyle name="20% - Accent4 9 6 6" xfId="22538"/>
    <cellStyle name="20% - Accent4 9 7" xfId="3039"/>
    <cellStyle name="20% - Accent4 9 7 2" xfId="14302"/>
    <cellStyle name="20% - Accent4 9 7 2 2" xfId="27694"/>
    <cellStyle name="20% - Accent4 9 7 3" xfId="18253"/>
    <cellStyle name="20% - Accent4 9 7 3 2" xfId="31532"/>
    <cellStyle name="20% - Accent4 9 7 4" xfId="22541"/>
    <cellStyle name="20% - Accent4 9 8" xfId="3040"/>
    <cellStyle name="20% - Accent4 9 8 2" xfId="14303"/>
    <cellStyle name="20% - Accent4 9 8 2 2" xfId="27695"/>
    <cellStyle name="20% - Accent4 9 8 3" xfId="18254"/>
    <cellStyle name="20% - Accent4 9 8 3 2" xfId="31533"/>
    <cellStyle name="20% - Accent4 9 8 4" xfId="22542"/>
    <cellStyle name="20% - Accent4 9 9" xfId="14271"/>
    <cellStyle name="20% - Accent4 9 9 2" xfId="27663"/>
    <cellStyle name="20% - Accent4 9_Volatility" xfId="3041"/>
    <cellStyle name="20% - Accent5 10" xfId="3042"/>
    <cellStyle name="20% - Accent5 10 10" xfId="18255"/>
    <cellStyle name="20% - Accent5 10 10 2" xfId="31534"/>
    <cellStyle name="20% - Accent5 10 11" xfId="22543"/>
    <cellStyle name="20% - Accent5 10 2" xfId="3043"/>
    <cellStyle name="20% - Accent5 10 2 2" xfId="3044"/>
    <cellStyle name="20% - Accent5 10 2 2 2" xfId="3045"/>
    <cellStyle name="20% - Accent5 10 2 2 2 2" xfId="14307"/>
    <cellStyle name="20% - Accent5 10 2 2 2 2 2" xfId="27699"/>
    <cellStyle name="20% - Accent5 10 2 2 2 3" xfId="18258"/>
    <cellStyle name="20% - Accent5 10 2 2 2 3 2" xfId="31537"/>
    <cellStyle name="20% - Accent5 10 2 2 2 4" xfId="22546"/>
    <cellStyle name="20% - Accent5 10 2 2 3" xfId="3046"/>
    <cellStyle name="20% - Accent5 10 2 2 3 2" xfId="14308"/>
    <cellStyle name="20% - Accent5 10 2 2 3 2 2" xfId="27700"/>
    <cellStyle name="20% - Accent5 10 2 2 3 3" xfId="18259"/>
    <cellStyle name="20% - Accent5 10 2 2 3 3 2" xfId="31538"/>
    <cellStyle name="20% - Accent5 10 2 2 3 4" xfId="22547"/>
    <cellStyle name="20% - Accent5 10 2 2 4" xfId="14306"/>
    <cellStyle name="20% - Accent5 10 2 2 4 2" xfId="27698"/>
    <cellStyle name="20% - Accent5 10 2 2 5" xfId="18257"/>
    <cellStyle name="20% - Accent5 10 2 2 5 2" xfId="31536"/>
    <cellStyle name="20% - Accent5 10 2 2 6" xfId="22545"/>
    <cellStyle name="20% - Accent5 10 2 3" xfId="3047"/>
    <cellStyle name="20% - Accent5 10 2 3 2" xfId="3048"/>
    <cellStyle name="20% - Accent5 10 2 3 2 2" xfId="14310"/>
    <cellStyle name="20% - Accent5 10 2 3 2 2 2" xfId="27702"/>
    <cellStyle name="20% - Accent5 10 2 3 2 3" xfId="18261"/>
    <cellStyle name="20% - Accent5 10 2 3 2 3 2" xfId="31540"/>
    <cellStyle name="20% - Accent5 10 2 3 2 4" xfId="22549"/>
    <cellStyle name="20% - Accent5 10 2 3 3" xfId="3049"/>
    <cellStyle name="20% - Accent5 10 2 3 3 2" xfId="14311"/>
    <cellStyle name="20% - Accent5 10 2 3 3 2 2" xfId="27703"/>
    <cellStyle name="20% - Accent5 10 2 3 3 3" xfId="18262"/>
    <cellStyle name="20% - Accent5 10 2 3 3 3 2" xfId="31541"/>
    <cellStyle name="20% - Accent5 10 2 3 3 4" xfId="22550"/>
    <cellStyle name="20% - Accent5 10 2 3 4" xfId="14309"/>
    <cellStyle name="20% - Accent5 10 2 3 4 2" xfId="27701"/>
    <cellStyle name="20% - Accent5 10 2 3 5" xfId="18260"/>
    <cellStyle name="20% - Accent5 10 2 3 5 2" xfId="31539"/>
    <cellStyle name="20% - Accent5 10 2 3 6" xfId="22548"/>
    <cellStyle name="20% - Accent5 10 2 4" xfId="3050"/>
    <cellStyle name="20% - Accent5 10 2 4 2" xfId="3051"/>
    <cellStyle name="20% - Accent5 10 2 4 2 2" xfId="14313"/>
    <cellStyle name="20% - Accent5 10 2 4 2 2 2" xfId="27705"/>
    <cellStyle name="20% - Accent5 10 2 4 2 3" xfId="18264"/>
    <cellStyle name="20% - Accent5 10 2 4 2 3 2" xfId="31543"/>
    <cellStyle name="20% - Accent5 10 2 4 2 4" xfId="22552"/>
    <cellStyle name="20% - Accent5 10 2 4 3" xfId="3052"/>
    <cellStyle name="20% - Accent5 10 2 4 3 2" xfId="14314"/>
    <cellStyle name="20% - Accent5 10 2 4 3 2 2" xfId="27706"/>
    <cellStyle name="20% - Accent5 10 2 4 3 3" xfId="18265"/>
    <cellStyle name="20% - Accent5 10 2 4 3 3 2" xfId="31544"/>
    <cellStyle name="20% - Accent5 10 2 4 3 4" xfId="22553"/>
    <cellStyle name="20% - Accent5 10 2 4 4" xfId="14312"/>
    <cellStyle name="20% - Accent5 10 2 4 4 2" xfId="27704"/>
    <cellStyle name="20% - Accent5 10 2 4 5" xfId="18263"/>
    <cellStyle name="20% - Accent5 10 2 4 5 2" xfId="31542"/>
    <cellStyle name="20% - Accent5 10 2 4 6" xfId="22551"/>
    <cellStyle name="20% - Accent5 10 2 5" xfId="3053"/>
    <cellStyle name="20% - Accent5 10 2 5 2" xfId="14315"/>
    <cellStyle name="20% - Accent5 10 2 5 2 2" xfId="27707"/>
    <cellStyle name="20% - Accent5 10 2 5 3" xfId="18266"/>
    <cellStyle name="20% - Accent5 10 2 5 3 2" xfId="31545"/>
    <cellStyle name="20% - Accent5 10 2 5 4" xfId="22554"/>
    <cellStyle name="20% - Accent5 10 2 6" xfId="3054"/>
    <cellStyle name="20% - Accent5 10 2 6 2" xfId="14316"/>
    <cellStyle name="20% - Accent5 10 2 6 2 2" xfId="27708"/>
    <cellStyle name="20% - Accent5 10 2 6 3" xfId="18267"/>
    <cellStyle name="20% - Accent5 10 2 6 3 2" xfId="31546"/>
    <cellStyle name="20% - Accent5 10 2 6 4" xfId="22555"/>
    <cellStyle name="20% - Accent5 10 2 7" xfId="14305"/>
    <cellStyle name="20% - Accent5 10 2 7 2" xfId="27697"/>
    <cellStyle name="20% - Accent5 10 2 8" xfId="18256"/>
    <cellStyle name="20% - Accent5 10 2 8 2" xfId="31535"/>
    <cellStyle name="20% - Accent5 10 2 9" xfId="22544"/>
    <cellStyle name="20% - Accent5 10 2_Volatility" xfId="3055"/>
    <cellStyle name="20% - Accent5 10 3" xfId="3056"/>
    <cellStyle name="20% - Accent5 10 3 2" xfId="3057"/>
    <cellStyle name="20% - Accent5 10 3 2 2" xfId="3058"/>
    <cellStyle name="20% - Accent5 10 3 2 2 2" xfId="14319"/>
    <cellStyle name="20% - Accent5 10 3 2 2 2 2" xfId="27711"/>
    <cellStyle name="20% - Accent5 10 3 2 2 3" xfId="18270"/>
    <cellStyle name="20% - Accent5 10 3 2 2 3 2" xfId="31549"/>
    <cellStyle name="20% - Accent5 10 3 2 2 4" xfId="22558"/>
    <cellStyle name="20% - Accent5 10 3 2 3" xfId="3059"/>
    <cellStyle name="20% - Accent5 10 3 2 3 2" xfId="14320"/>
    <cellStyle name="20% - Accent5 10 3 2 3 2 2" xfId="27712"/>
    <cellStyle name="20% - Accent5 10 3 2 3 3" xfId="18271"/>
    <cellStyle name="20% - Accent5 10 3 2 3 3 2" xfId="31550"/>
    <cellStyle name="20% - Accent5 10 3 2 3 4" xfId="22559"/>
    <cellStyle name="20% - Accent5 10 3 2 4" xfId="14318"/>
    <cellStyle name="20% - Accent5 10 3 2 4 2" xfId="27710"/>
    <cellStyle name="20% - Accent5 10 3 2 5" xfId="18269"/>
    <cellStyle name="20% - Accent5 10 3 2 5 2" xfId="31548"/>
    <cellStyle name="20% - Accent5 10 3 2 6" xfId="22557"/>
    <cellStyle name="20% - Accent5 10 3 3" xfId="3060"/>
    <cellStyle name="20% - Accent5 10 3 3 2" xfId="3061"/>
    <cellStyle name="20% - Accent5 10 3 3 2 2" xfId="14322"/>
    <cellStyle name="20% - Accent5 10 3 3 2 2 2" xfId="27714"/>
    <cellStyle name="20% - Accent5 10 3 3 2 3" xfId="18273"/>
    <cellStyle name="20% - Accent5 10 3 3 2 3 2" xfId="31552"/>
    <cellStyle name="20% - Accent5 10 3 3 2 4" xfId="22561"/>
    <cellStyle name="20% - Accent5 10 3 3 3" xfId="3062"/>
    <cellStyle name="20% - Accent5 10 3 3 3 2" xfId="14323"/>
    <cellStyle name="20% - Accent5 10 3 3 3 2 2" xfId="27715"/>
    <cellStyle name="20% - Accent5 10 3 3 3 3" xfId="18274"/>
    <cellStyle name="20% - Accent5 10 3 3 3 3 2" xfId="31553"/>
    <cellStyle name="20% - Accent5 10 3 3 3 4" xfId="22562"/>
    <cellStyle name="20% - Accent5 10 3 3 4" xfId="14321"/>
    <cellStyle name="20% - Accent5 10 3 3 4 2" xfId="27713"/>
    <cellStyle name="20% - Accent5 10 3 3 5" xfId="18272"/>
    <cellStyle name="20% - Accent5 10 3 3 5 2" xfId="31551"/>
    <cellStyle name="20% - Accent5 10 3 3 6" xfId="22560"/>
    <cellStyle name="20% - Accent5 10 3 4" xfId="3063"/>
    <cellStyle name="20% - Accent5 10 3 4 2" xfId="14324"/>
    <cellStyle name="20% - Accent5 10 3 4 2 2" xfId="27716"/>
    <cellStyle name="20% - Accent5 10 3 4 3" xfId="18275"/>
    <cellStyle name="20% - Accent5 10 3 4 3 2" xfId="31554"/>
    <cellStyle name="20% - Accent5 10 3 4 4" xfId="22563"/>
    <cellStyle name="20% - Accent5 10 3 5" xfId="3064"/>
    <cellStyle name="20% - Accent5 10 3 5 2" xfId="14325"/>
    <cellStyle name="20% - Accent5 10 3 5 2 2" xfId="27717"/>
    <cellStyle name="20% - Accent5 10 3 5 3" xfId="18276"/>
    <cellStyle name="20% - Accent5 10 3 5 3 2" xfId="31555"/>
    <cellStyle name="20% - Accent5 10 3 5 4" xfId="22564"/>
    <cellStyle name="20% - Accent5 10 3 6" xfId="14317"/>
    <cellStyle name="20% - Accent5 10 3 6 2" xfId="27709"/>
    <cellStyle name="20% - Accent5 10 3 7" xfId="18268"/>
    <cellStyle name="20% - Accent5 10 3 7 2" xfId="31547"/>
    <cellStyle name="20% - Accent5 10 3 8" xfId="22556"/>
    <cellStyle name="20% - Accent5 10 3_Volatility" xfId="3065"/>
    <cellStyle name="20% - Accent5 10 4" xfId="3066"/>
    <cellStyle name="20% - Accent5 10 4 2" xfId="3067"/>
    <cellStyle name="20% - Accent5 10 4 2 2" xfId="14327"/>
    <cellStyle name="20% - Accent5 10 4 2 2 2" xfId="27719"/>
    <cellStyle name="20% - Accent5 10 4 2 3" xfId="18278"/>
    <cellStyle name="20% - Accent5 10 4 2 3 2" xfId="31557"/>
    <cellStyle name="20% - Accent5 10 4 2 4" xfId="22566"/>
    <cellStyle name="20% - Accent5 10 4 3" xfId="3068"/>
    <cellStyle name="20% - Accent5 10 4 3 2" xfId="14328"/>
    <cellStyle name="20% - Accent5 10 4 3 2 2" xfId="27720"/>
    <cellStyle name="20% - Accent5 10 4 3 3" xfId="18279"/>
    <cellStyle name="20% - Accent5 10 4 3 3 2" xfId="31558"/>
    <cellStyle name="20% - Accent5 10 4 3 4" xfId="22567"/>
    <cellStyle name="20% - Accent5 10 4 4" xfId="14326"/>
    <cellStyle name="20% - Accent5 10 4 4 2" xfId="27718"/>
    <cellStyle name="20% - Accent5 10 4 5" xfId="18277"/>
    <cellStyle name="20% - Accent5 10 4 5 2" xfId="31556"/>
    <cellStyle name="20% - Accent5 10 4 6" xfId="22565"/>
    <cellStyle name="20% - Accent5 10 5" xfId="3069"/>
    <cellStyle name="20% - Accent5 10 5 2" xfId="3070"/>
    <cellStyle name="20% - Accent5 10 5 2 2" xfId="14330"/>
    <cellStyle name="20% - Accent5 10 5 2 2 2" xfId="27722"/>
    <cellStyle name="20% - Accent5 10 5 2 3" xfId="18281"/>
    <cellStyle name="20% - Accent5 10 5 2 3 2" xfId="31560"/>
    <cellStyle name="20% - Accent5 10 5 2 4" xfId="22569"/>
    <cellStyle name="20% - Accent5 10 5 3" xfId="3071"/>
    <cellStyle name="20% - Accent5 10 5 3 2" xfId="14331"/>
    <cellStyle name="20% - Accent5 10 5 3 2 2" xfId="27723"/>
    <cellStyle name="20% - Accent5 10 5 3 3" xfId="18282"/>
    <cellStyle name="20% - Accent5 10 5 3 3 2" xfId="31561"/>
    <cellStyle name="20% - Accent5 10 5 3 4" xfId="22570"/>
    <cellStyle name="20% - Accent5 10 5 4" xfId="14329"/>
    <cellStyle name="20% - Accent5 10 5 4 2" xfId="27721"/>
    <cellStyle name="20% - Accent5 10 5 5" xfId="18280"/>
    <cellStyle name="20% - Accent5 10 5 5 2" xfId="31559"/>
    <cellStyle name="20% - Accent5 10 5 6" xfId="22568"/>
    <cellStyle name="20% - Accent5 10 6" xfId="3072"/>
    <cellStyle name="20% - Accent5 10 6 2" xfId="3073"/>
    <cellStyle name="20% - Accent5 10 6 2 2" xfId="14333"/>
    <cellStyle name="20% - Accent5 10 6 2 2 2" xfId="27725"/>
    <cellStyle name="20% - Accent5 10 6 2 3" xfId="18284"/>
    <cellStyle name="20% - Accent5 10 6 2 3 2" xfId="31563"/>
    <cellStyle name="20% - Accent5 10 6 2 4" xfId="22572"/>
    <cellStyle name="20% - Accent5 10 6 3" xfId="3074"/>
    <cellStyle name="20% - Accent5 10 6 3 2" xfId="14334"/>
    <cellStyle name="20% - Accent5 10 6 3 2 2" xfId="27726"/>
    <cellStyle name="20% - Accent5 10 6 3 3" xfId="18285"/>
    <cellStyle name="20% - Accent5 10 6 3 3 2" xfId="31564"/>
    <cellStyle name="20% - Accent5 10 6 3 4" xfId="22573"/>
    <cellStyle name="20% - Accent5 10 6 4" xfId="14332"/>
    <cellStyle name="20% - Accent5 10 6 4 2" xfId="27724"/>
    <cellStyle name="20% - Accent5 10 6 5" xfId="18283"/>
    <cellStyle name="20% - Accent5 10 6 5 2" xfId="31562"/>
    <cellStyle name="20% - Accent5 10 6 6" xfId="22571"/>
    <cellStyle name="20% - Accent5 10 7" xfId="3075"/>
    <cellStyle name="20% - Accent5 10 7 2" xfId="14335"/>
    <cellStyle name="20% - Accent5 10 7 2 2" xfId="27727"/>
    <cellStyle name="20% - Accent5 10 7 3" xfId="18286"/>
    <cellStyle name="20% - Accent5 10 7 3 2" xfId="31565"/>
    <cellStyle name="20% - Accent5 10 7 4" xfId="22574"/>
    <cellStyle name="20% - Accent5 10 8" xfId="3076"/>
    <cellStyle name="20% - Accent5 10 8 2" xfId="14336"/>
    <cellStyle name="20% - Accent5 10 8 2 2" xfId="27728"/>
    <cellStyle name="20% - Accent5 10 8 3" xfId="18287"/>
    <cellStyle name="20% - Accent5 10 8 3 2" xfId="31566"/>
    <cellStyle name="20% - Accent5 10 8 4" xfId="22575"/>
    <cellStyle name="20% - Accent5 10 9" xfId="14304"/>
    <cellStyle name="20% - Accent5 10 9 2" xfId="27696"/>
    <cellStyle name="20% - Accent5 10_Volatility" xfId="3077"/>
    <cellStyle name="20% - Accent5 11" xfId="3078"/>
    <cellStyle name="20% - Accent5 11 10" xfId="18288"/>
    <cellStyle name="20% - Accent5 11 10 2" xfId="31567"/>
    <cellStyle name="20% - Accent5 11 11" xfId="22576"/>
    <cellStyle name="20% - Accent5 11 2" xfId="3079"/>
    <cellStyle name="20% - Accent5 11 2 2" xfId="3080"/>
    <cellStyle name="20% - Accent5 11 2 2 2" xfId="3081"/>
    <cellStyle name="20% - Accent5 11 2 2 2 2" xfId="14340"/>
    <cellStyle name="20% - Accent5 11 2 2 2 2 2" xfId="27732"/>
    <cellStyle name="20% - Accent5 11 2 2 2 3" xfId="18291"/>
    <cellStyle name="20% - Accent5 11 2 2 2 3 2" xfId="31570"/>
    <cellStyle name="20% - Accent5 11 2 2 2 4" xfId="22579"/>
    <cellStyle name="20% - Accent5 11 2 2 3" xfId="3082"/>
    <cellStyle name="20% - Accent5 11 2 2 3 2" xfId="14341"/>
    <cellStyle name="20% - Accent5 11 2 2 3 2 2" xfId="27733"/>
    <cellStyle name="20% - Accent5 11 2 2 3 3" xfId="18292"/>
    <cellStyle name="20% - Accent5 11 2 2 3 3 2" xfId="31571"/>
    <cellStyle name="20% - Accent5 11 2 2 3 4" xfId="22580"/>
    <cellStyle name="20% - Accent5 11 2 2 4" xfId="14339"/>
    <cellStyle name="20% - Accent5 11 2 2 4 2" xfId="27731"/>
    <cellStyle name="20% - Accent5 11 2 2 5" xfId="18290"/>
    <cellStyle name="20% - Accent5 11 2 2 5 2" xfId="31569"/>
    <cellStyle name="20% - Accent5 11 2 2 6" xfId="22578"/>
    <cellStyle name="20% - Accent5 11 2 3" xfId="3083"/>
    <cellStyle name="20% - Accent5 11 2 3 2" xfId="3084"/>
    <cellStyle name="20% - Accent5 11 2 3 2 2" xfId="14343"/>
    <cellStyle name="20% - Accent5 11 2 3 2 2 2" xfId="27735"/>
    <cellStyle name="20% - Accent5 11 2 3 2 3" xfId="18294"/>
    <cellStyle name="20% - Accent5 11 2 3 2 3 2" xfId="31573"/>
    <cellStyle name="20% - Accent5 11 2 3 2 4" xfId="22582"/>
    <cellStyle name="20% - Accent5 11 2 3 3" xfId="3085"/>
    <cellStyle name="20% - Accent5 11 2 3 3 2" xfId="14344"/>
    <cellStyle name="20% - Accent5 11 2 3 3 2 2" xfId="27736"/>
    <cellStyle name="20% - Accent5 11 2 3 3 3" xfId="18295"/>
    <cellStyle name="20% - Accent5 11 2 3 3 3 2" xfId="31574"/>
    <cellStyle name="20% - Accent5 11 2 3 3 4" xfId="22583"/>
    <cellStyle name="20% - Accent5 11 2 3 4" xfId="14342"/>
    <cellStyle name="20% - Accent5 11 2 3 4 2" xfId="27734"/>
    <cellStyle name="20% - Accent5 11 2 3 5" xfId="18293"/>
    <cellStyle name="20% - Accent5 11 2 3 5 2" xfId="31572"/>
    <cellStyle name="20% - Accent5 11 2 3 6" xfId="22581"/>
    <cellStyle name="20% - Accent5 11 2 4" xfId="3086"/>
    <cellStyle name="20% - Accent5 11 2 4 2" xfId="3087"/>
    <cellStyle name="20% - Accent5 11 2 4 2 2" xfId="14346"/>
    <cellStyle name="20% - Accent5 11 2 4 2 2 2" xfId="27738"/>
    <cellStyle name="20% - Accent5 11 2 4 2 3" xfId="18297"/>
    <cellStyle name="20% - Accent5 11 2 4 2 3 2" xfId="31576"/>
    <cellStyle name="20% - Accent5 11 2 4 2 4" xfId="22585"/>
    <cellStyle name="20% - Accent5 11 2 4 3" xfId="3088"/>
    <cellStyle name="20% - Accent5 11 2 4 3 2" xfId="14347"/>
    <cellStyle name="20% - Accent5 11 2 4 3 2 2" xfId="27739"/>
    <cellStyle name="20% - Accent5 11 2 4 3 3" xfId="18298"/>
    <cellStyle name="20% - Accent5 11 2 4 3 3 2" xfId="31577"/>
    <cellStyle name="20% - Accent5 11 2 4 3 4" xfId="22586"/>
    <cellStyle name="20% - Accent5 11 2 4 4" xfId="14345"/>
    <cellStyle name="20% - Accent5 11 2 4 4 2" xfId="27737"/>
    <cellStyle name="20% - Accent5 11 2 4 5" xfId="18296"/>
    <cellStyle name="20% - Accent5 11 2 4 5 2" xfId="31575"/>
    <cellStyle name="20% - Accent5 11 2 4 6" xfId="22584"/>
    <cellStyle name="20% - Accent5 11 2 5" xfId="3089"/>
    <cellStyle name="20% - Accent5 11 2 5 2" xfId="14348"/>
    <cellStyle name="20% - Accent5 11 2 5 2 2" xfId="27740"/>
    <cellStyle name="20% - Accent5 11 2 5 3" xfId="18299"/>
    <cellStyle name="20% - Accent5 11 2 5 3 2" xfId="31578"/>
    <cellStyle name="20% - Accent5 11 2 5 4" xfId="22587"/>
    <cellStyle name="20% - Accent5 11 2 6" xfId="3090"/>
    <cellStyle name="20% - Accent5 11 2 6 2" xfId="14349"/>
    <cellStyle name="20% - Accent5 11 2 6 2 2" xfId="27741"/>
    <cellStyle name="20% - Accent5 11 2 6 3" xfId="18300"/>
    <cellStyle name="20% - Accent5 11 2 6 3 2" xfId="31579"/>
    <cellStyle name="20% - Accent5 11 2 6 4" xfId="22588"/>
    <cellStyle name="20% - Accent5 11 2 7" xfId="14338"/>
    <cellStyle name="20% - Accent5 11 2 7 2" xfId="27730"/>
    <cellStyle name="20% - Accent5 11 2 8" xfId="18289"/>
    <cellStyle name="20% - Accent5 11 2 8 2" xfId="31568"/>
    <cellStyle name="20% - Accent5 11 2 9" xfId="22577"/>
    <cellStyle name="20% - Accent5 11 2_Volatility" xfId="3091"/>
    <cellStyle name="20% - Accent5 11 3" xfId="3092"/>
    <cellStyle name="20% - Accent5 11 3 2" xfId="3093"/>
    <cellStyle name="20% - Accent5 11 3 2 2" xfId="3094"/>
    <cellStyle name="20% - Accent5 11 3 2 2 2" xfId="14352"/>
    <cellStyle name="20% - Accent5 11 3 2 2 2 2" xfId="27744"/>
    <cellStyle name="20% - Accent5 11 3 2 2 3" xfId="18303"/>
    <cellStyle name="20% - Accent5 11 3 2 2 3 2" xfId="31582"/>
    <cellStyle name="20% - Accent5 11 3 2 2 4" xfId="22591"/>
    <cellStyle name="20% - Accent5 11 3 2 3" xfId="3095"/>
    <cellStyle name="20% - Accent5 11 3 2 3 2" xfId="14353"/>
    <cellStyle name="20% - Accent5 11 3 2 3 2 2" xfId="27745"/>
    <cellStyle name="20% - Accent5 11 3 2 3 3" xfId="18304"/>
    <cellStyle name="20% - Accent5 11 3 2 3 3 2" xfId="31583"/>
    <cellStyle name="20% - Accent5 11 3 2 3 4" xfId="22592"/>
    <cellStyle name="20% - Accent5 11 3 2 4" xfId="14351"/>
    <cellStyle name="20% - Accent5 11 3 2 4 2" xfId="27743"/>
    <cellStyle name="20% - Accent5 11 3 2 5" xfId="18302"/>
    <cellStyle name="20% - Accent5 11 3 2 5 2" xfId="31581"/>
    <cellStyle name="20% - Accent5 11 3 2 6" xfId="22590"/>
    <cellStyle name="20% - Accent5 11 3 3" xfId="3096"/>
    <cellStyle name="20% - Accent5 11 3 3 2" xfId="3097"/>
    <cellStyle name="20% - Accent5 11 3 3 2 2" xfId="14355"/>
    <cellStyle name="20% - Accent5 11 3 3 2 2 2" xfId="27747"/>
    <cellStyle name="20% - Accent5 11 3 3 2 3" xfId="18306"/>
    <cellStyle name="20% - Accent5 11 3 3 2 3 2" xfId="31585"/>
    <cellStyle name="20% - Accent5 11 3 3 2 4" xfId="22594"/>
    <cellStyle name="20% - Accent5 11 3 3 3" xfId="3098"/>
    <cellStyle name="20% - Accent5 11 3 3 3 2" xfId="14356"/>
    <cellStyle name="20% - Accent5 11 3 3 3 2 2" xfId="27748"/>
    <cellStyle name="20% - Accent5 11 3 3 3 3" xfId="18307"/>
    <cellStyle name="20% - Accent5 11 3 3 3 3 2" xfId="31586"/>
    <cellStyle name="20% - Accent5 11 3 3 3 4" xfId="22595"/>
    <cellStyle name="20% - Accent5 11 3 3 4" xfId="14354"/>
    <cellStyle name="20% - Accent5 11 3 3 4 2" xfId="27746"/>
    <cellStyle name="20% - Accent5 11 3 3 5" xfId="18305"/>
    <cellStyle name="20% - Accent5 11 3 3 5 2" xfId="31584"/>
    <cellStyle name="20% - Accent5 11 3 3 6" xfId="22593"/>
    <cellStyle name="20% - Accent5 11 3 4" xfId="3099"/>
    <cellStyle name="20% - Accent5 11 3 4 2" xfId="14357"/>
    <cellStyle name="20% - Accent5 11 3 4 2 2" xfId="27749"/>
    <cellStyle name="20% - Accent5 11 3 4 3" xfId="18308"/>
    <cellStyle name="20% - Accent5 11 3 4 3 2" xfId="31587"/>
    <cellStyle name="20% - Accent5 11 3 4 4" xfId="22596"/>
    <cellStyle name="20% - Accent5 11 3 5" xfId="3100"/>
    <cellStyle name="20% - Accent5 11 3 5 2" xfId="14358"/>
    <cellStyle name="20% - Accent5 11 3 5 2 2" xfId="27750"/>
    <cellStyle name="20% - Accent5 11 3 5 3" xfId="18309"/>
    <cellStyle name="20% - Accent5 11 3 5 3 2" xfId="31588"/>
    <cellStyle name="20% - Accent5 11 3 5 4" xfId="22597"/>
    <cellStyle name="20% - Accent5 11 3 6" xfId="14350"/>
    <cellStyle name="20% - Accent5 11 3 6 2" xfId="27742"/>
    <cellStyle name="20% - Accent5 11 3 7" xfId="18301"/>
    <cellStyle name="20% - Accent5 11 3 7 2" xfId="31580"/>
    <cellStyle name="20% - Accent5 11 3 8" xfId="22589"/>
    <cellStyle name="20% - Accent5 11 3_Volatility" xfId="3101"/>
    <cellStyle name="20% - Accent5 11 4" xfId="3102"/>
    <cellStyle name="20% - Accent5 11 4 2" xfId="3103"/>
    <cellStyle name="20% - Accent5 11 4 2 2" xfId="14360"/>
    <cellStyle name="20% - Accent5 11 4 2 2 2" xfId="27752"/>
    <cellStyle name="20% - Accent5 11 4 2 3" xfId="18311"/>
    <cellStyle name="20% - Accent5 11 4 2 3 2" xfId="31590"/>
    <cellStyle name="20% - Accent5 11 4 2 4" xfId="22599"/>
    <cellStyle name="20% - Accent5 11 4 3" xfId="3104"/>
    <cellStyle name="20% - Accent5 11 4 3 2" xfId="14361"/>
    <cellStyle name="20% - Accent5 11 4 3 2 2" xfId="27753"/>
    <cellStyle name="20% - Accent5 11 4 3 3" xfId="18312"/>
    <cellStyle name="20% - Accent5 11 4 3 3 2" xfId="31591"/>
    <cellStyle name="20% - Accent5 11 4 3 4" xfId="22600"/>
    <cellStyle name="20% - Accent5 11 4 4" xfId="14359"/>
    <cellStyle name="20% - Accent5 11 4 4 2" xfId="27751"/>
    <cellStyle name="20% - Accent5 11 4 5" xfId="18310"/>
    <cellStyle name="20% - Accent5 11 4 5 2" xfId="31589"/>
    <cellStyle name="20% - Accent5 11 4 6" xfId="22598"/>
    <cellStyle name="20% - Accent5 11 5" xfId="3105"/>
    <cellStyle name="20% - Accent5 11 5 2" xfId="3106"/>
    <cellStyle name="20% - Accent5 11 5 2 2" xfId="14363"/>
    <cellStyle name="20% - Accent5 11 5 2 2 2" xfId="27755"/>
    <cellStyle name="20% - Accent5 11 5 2 3" xfId="18314"/>
    <cellStyle name="20% - Accent5 11 5 2 3 2" xfId="31593"/>
    <cellStyle name="20% - Accent5 11 5 2 4" xfId="22602"/>
    <cellStyle name="20% - Accent5 11 5 3" xfId="3107"/>
    <cellStyle name="20% - Accent5 11 5 3 2" xfId="14364"/>
    <cellStyle name="20% - Accent5 11 5 3 2 2" xfId="27756"/>
    <cellStyle name="20% - Accent5 11 5 3 3" xfId="18315"/>
    <cellStyle name="20% - Accent5 11 5 3 3 2" xfId="31594"/>
    <cellStyle name="20% - Accent5 11 5 3 4" xfId="22603"/>
    <cellStyle name="20% - Accent5 11 5 4" xfId="14362"/>
    <cellStyle name="20% - Accent5 11 5 4 2" xfId="27754"/>
    <cellStyle name="20% - Accent5 11 5 5" xfId="18313"/>
    <cellStyle name="20% - Accent5 11 5 5 2" xfId="31592"/>
    <cellStyle name="20% - Accent5 11 5 6" xfId="22601"/>
    <cellStyle name="20% - Accent5 11 6" xfId="3108"/>
    <cellStyle name="20% - Accent5 11 6 2" xfId="3109"/>
    <cellStyle name="20% - Accent5 11 6 2 2" xfId="14366"/>
    <cellStyle name="20% - Accent5 11 6 2 2 2" xfId="27758"/>
    <cellStyle name="20% - Accent5 11 6 2 3" xfId="18317"/>
    <cellStyle name="20% - Accent5 11 6 2 3 2" xfId="31596"/>
    <cellStyle name="20% - Accent5 11 6 2 4" xfId="22605"/>
    <cellStyle name="20% - Accent5 11 6 3" xfId="3110"/>
    <cellStyle name="20% - Accent5 11 6 3 2" xfId="14367"/>
    <cellStyle name="20% - Accent5 11 6 3 2 2" xfId="27759"/>
    <cellStyle name="20% - Accent5 11 6 3 3" xfId="18318"/>
    <cellStyle name="20% - Accent5 11 6 3 3 2" xfId="31597"/>
    <cellStyle name="20% - Accent5 11 6 3 4" xfId="22606"/>
    <cellStyle name="20% - Accent5 11 6 4" xfId="14365"/>
    <cellStyle name="20% - Accent5 11 6 4 2" xfId="27757"/>
    <cellStyle name="20% - Accent5 11 6 5" xfId="18316"/>
    <cellStyle name="20% - Accent5 11 6 5 2" xfId="31595"/>
    <cellStyle name="20% - Accent5 11 6 6" xfId="22604"/>
    <cellStyle name="20% - Accent5 11 7" xfId="3111"/>
    <cellStyle name="20% - Accent5 11 7 2" xfId="14368"/>
    <cellStyle name="20% - Accent5 11 7 2 2" xfId="27760"/>
    <cellStyle name="20% - Accent5 11 7 3" xfId="18319"/>
    <cellStyle name="20% - Accent5 11 7 3 2" xfId="31598"/>
    <cellStyle name="20% - Accent5 11 7 4" xfId="22607"/>
    <cellStyle name="20% - Accent5 11 8" xfId="3112"/>
    <cellStyle name="20% - Accent5 11 8 2" xfId="14369"/>
    <cellStyle name="20% - Accent5 11 8 2 2" xfId="27761"/>
    <cellStyle name="20% - Accent5 11 8 3" xfId="18320"/>
    <cellStyle name="20% - Accent5 11 8 3 2" xfId="31599"/>
    <cellStyle name="20% - Accent5 11 8 4" xfId="22608"/>
    <cellStyle name="20% - Accent5 11 9" xfId="14337"/>
    <cellStyle name="20% - Accent5 11 9 2" xfId="27729"/>
    <cellStyle name="20% - Accent5 11_Volatility" xfId="3113"/>
    <cellStyle name="20% - Accent5 12" xfId="3114"/>
    <cellStyle name="20% - Accent5 12 10" xfId="18321"/>
    <cellStyle name="20% - Accent5 12 10 2" xfId="31600"/>
    <cellStyle name="20% - Accent5 12 11" xfId="22609"/>
    <cellStyle name="20% - Accent5 12 2" xfId="3115"/>
    <cellStyle name="20% - Accent5 12 2 2" xfId="3116"/>
    <cellStyle name="20% - Accent5 12 2 2 2" xfId="3117"/>
    <cellStyle name="20% - Accent5 12 2 2 2 2" xfId="14373"/>
    <cellStyle name="20% - Accent5 12 2 2 2 2 2" xfId="27765"/>
    <cellStyle name="20% - Accent5 12 2 2 2 3" xfId="18324"/>
    <cellStyle name="20% - Accent5 12 2 2 2 3 2" xfId="31603"/>
    <cellStyle name="20% - Accent5 12 2 2 2 4" xfId="22612"/>
    <cellStyle name="20% - Accent5 12 2 2 3" xfId="3118"/>
    <cellStyle name="20% - Accent5 12 2 2 3 2" xfId="14374"/>
    <cellStyle name="20% - Accent5 12 2 2 3 2 2" xfId="27766"/>
    <cellStyle name="20% - Accent5 12 2 2 3 3" xfId="18325"/>
    <cellStyle name="20% - Accent5 12 2 2 3 3 2" xfId="31604"/>
    <cellStyle name="20% - Accent5 12 2 2 3 4" xfId="22613"/>
    <cellStyle name="20% - Accent5 12 2 2 4" xfId="14372"/>
    <cellStyle name="20% - Accent5 12 2 2 4 2" xfId="27764"/>
    <cellStyle name="20% - Accent5 12 2 2 5" xfId="18323"/>
    <cellStyle name="20% - Accent5 12 2 2 5 2" xfId="31602"/>
    <cellStyle name="20% - Accent5 12 2 2 6" xfId="22611"/>
    <cellStyle name="20% - Accent5 12 2 3" xfId="3119"/>
    <cellStyle name="20% - Accent5 12 2 3 2" xfId="3120"/>
    <cellStyle name="20% - Accent5 12 2 3 2 2" xfId="14376"/>
    <cellStyle name="20% - Accent5 12 2 3 2 2 2" xfId="27768"/>
    <cellStyle name="20% - Accent5 12 2 3 2 3" xfId="18327"/>
    <cellStyle name="20% - Accent5 12 2 3 2 3 2" xfId="31606"/>
    <cellStyle name="20% - Accent5 12 2 3 2 4" xfId="22615"/>
    <cellStyle name="20% - Accent5 12 2 3 3" xfId="3121"/>
    <cellStyle name="20% - Accent5 12 2 3 3 2" xfId="14377"/>
    <cellStyle name="20% - Accent5 12 2 3 3 2 2" xfId="27769"/>
    <cellStyle name="20% - Accent5 12 2 3 3 3" xfId="18328"/>
    <cellStyle name="20% - Accent5 12 2 3 3 3 2" xfId="31607"/>
    <cellStyle name="20% - Accent5 12 2 3 3 4" xfId="22616"/>
    <cellStyle name="20% - Accent5 12 2 3 4" xfId="14375"/>
    <cellStyle name="20% - Accent5 12 2 3 4 2" xfId="27767"/>
    <cellStyle name="20% - Accent5 12 2 3 5" xfId="18326"/>
    <cellStyle name="20% - Accent5 12 2 3 5 2" xfId="31605"/>
    <cellStyle name="20% - Accent5 12 2 3 6" xfId="22614"/>
    <cellStyle name="20% - Accent5 12 2 4" xfId="3122"/>
    <cellStyle name="20% - Accent5 12 2 4 2" xfId="3123"/>
    <cellStyle name="20% - Accent5 12 2 4 2 2" xfId="14379"/>
    <cellStyle name="20% - Accent5 12 2 4 2 2 2" xfId="27771"/>
    <cellStyle name="20% - Accent5 12 2 4 2 3" xfId="18330"/>
    <cellStyle name="20% - Accent5 12 2 4 2 3 2" xfId="31609"/>
    <cellStyle name="20% - Accent5 12 2 4 2 4" xfId="22618"/>
    <cellStyle name="20% - Accent5 12 2 4 3" xfId="3124"/>
    <cellStyle name="20% - Accent5 12 2 4 3 2" xfId="14380"/>
    <cellStyle name="20% - Accent5 12 2 4 3 2 2" xfId="27772"/>
    <cellStyle name="20% - Accent5 12 2 4 3 3" xfId="18331"/>
    <cellStyle name="20% - Accent5 12 2 4 3 3 2" xfId="31610"/>
    <cellStyle name="20% - Accent5 12 2 4 3 4" xfId="22619"/>
    <cellStyle name="20% - Accent5 12 2 4 4" xfId="14378"/>
    <cellStyle name="20% - Accent5 12 2 4 4 2" xfId="27770"/>
    <cellStyle name="20% - Accent5 12 2 4 5" xfId="18329"/>
    <cellStyle name="20% - Accent5 12 2 4 5 2" xfId="31608"/>
    <cellStyle name="20% - Accent5 12 2 4 6" xfId="22617"/>
    <cellStyle name="20% - Accent5 12 2 5" xfId="3125"/>
    <cellStyle name="20% - Accent5 12 2 5 2" xfId="14381"/>
    <cellStyle name="20% - Accent5 12 2 5 2 2" xfId="27773"/>
    <cellStyle name="20% - Accent5 12 2 5 3" xfId="18332"/>
    <cellStyle name="20% - Accent5 12 2 5 3 2" xfId="31611"/>
    <cellStyle name="20% - Accent5 12 2 5 4" xfId="22620"/>
    <cellStyle name="20% - Accent5 12 2 6" xfId="3126"/>
    <cellStyle name="20% - Accent5 12 2 6 2" xfId="14382"/>
    <cellStyle name="20% - Accent5 12 2 6 2 2" xfId="27774"/>
    <cellStyle name="20% - Accent5 12 2 6 3" xfId="18333"/>
    <cellStyle name="20% - Accent5 12 2 6 3 2" xfId="31612"/>
    <cellStyle name="20% - Accent5 12 2 6 4" xfId="22621"/>
    <cellStyle name="20% - Accent5 12 2 7" xfId="14371"/>
    <cellStyle name="20% - Accent5 12 2 7 2" xfId="27763"/>
    <cellStyle name="20% - Accent5 12 2 8" xfId="18322"/>
    <cellStyle name="20% - Accent5 12 2 8 2" xfId="31601"/>
    <cellStyle name="20% - Accent5 12 2 9" xfId="22610"/>
    <cellStyle name="20% - Accent5 12 2_Volatility" xfId="3127"/>
    <cellStyle name="20% - Accent5 12 3" xfId="3128"/>
    <cellStyle name="20% - Accent5 12 3 2" xfId="3129"/>
    <cellStyle name="20% - Accent5 12 3 2 2" xfId="3130"/>
    <cellStyle name="20% - Accent5 12 3 2 2 2" xfId="14385"/>
    <cellStyle name="20% - Accent5 12 3 2 2 2 2" xfId="27777"/>
    <cellStyle name="20% - Accent5 12 3 2 2 3" xfId="18336"/>
    <cellStyle name="20% - Accent5 12 3 2 2 3 2" xfId="31615"/>
    <cellStyle name="20% - Accent5 12 3 2 2 4" xfId="22624"/>
    <cellStyle name="20% - Accent5 12 3 2 3" xfId="3131"/>
    <cellStyle name="20% - Accent5 12 3 2 3 2" xfId="14386"/>
    <cellStyle name="20% - Accent5 12 3 2 3 2 2" xfId="27778"/>
    <cellStyle name="20% - Accent5 12 3 2 3 3" xfId="18337"/>
    <cellStyle name="20% - Accent5 12 3 2 3 3 2" xfId="31616"/>
    <cellStyle name="20% - Accent5 12 3 2 3 4" xfId="22625"/>
    <cellStyle name="20% - Accent5 12 3 2 4" xfId="14384"/>
    <cellStyle name="20% - Accent5 12 3 2 4 2" xfId="27776"/>
    <cellStyle name="20% - Accent5 12 3 2 5" xfId="18335"/>
    <cellStyle name="20% - Accent5 12 3 2 5 2" xfId="31614"/>
    <cellStyle name="20% - Accent5 12 3 2 6" xfId="22623"/>
    <cellStyle name="20% - Accent5 12 3 3" xfId="3132"/>
    <cellStyle name="20% - Accent5 12 3 3 2" xfId="3133"/>
    <cellStyle name="20% - Accent5 12 3 3 2 2" xfId="14388"/>
    <cellStyle name="20% - Accent5 12 3 3 2 2 2" xfId="27780"/>
    <cellStyle name="20% - Accent5 12 3 3 2 3" xfId="18339"/>
    <cellStyle name="20% - Accent5 12 3 3 2 3 2" xfId="31618"/>
    <cellStyle name="20% - Accent5 12 3 3 2 4" xfId="22627"/>
    <cellStyle name="20% - Accent5 12 3 3 3" xfId="3134"/>
    <cellStyle name="20% - Accent5 12 3 3 3 2" xfId="14389"/>
    <cellStyle name="20% - Accent5 12 3 3 3 2 2" xfId="27781"/>
    <cellStyle name="20% - Accent5 12 3 3 3 3" xfId="18340"/>
    <cellStyle name="20% - Accent5 12 3 3 3 3 2" xfId="31619"/>
    <cellStyle name="20% - Accent5 12 3 3 3 4" xfId="22628"/>
    <cellStyle name="20% - Accent5 12 3 3 4" xfId="14387"/>
    <cellStyle name="20% - Accent5 12 3 3 4 2" xfId="27779"/>
    <cellStyle name="20% - Accent5 12 3 3 5" xfId="18338"/>
    <cellStyle name="20% - Accent5 12 3 3 5 2" xfId="31617"/>
    <cellStyle name="20% - Accent5 12 3 3 6" xfId="22626"/>
    <cellStyle name="20% - Accent5 12 3 4" xfId="3135"/>
    <cellStyle name="20% - Accent5 12 3 4 2" xfId="14390"/>
    <cellStyle name="20% - Accent5 12 3 4 2 2" xfId="27782"/>
    <cellStyle name="20% - Accent5 12 3 4 3" xfId="18341"/>
    <cellStyle name="20% - Accent5 12 3 4 3 2" xfId="31620"/>
    <cellStyle name="20% - Accent5 12 3 4 4" xfId="22629"/>
    <cellStyle name="20% - Accent5 12 3 5" xfId="3136"/>
    <cellStyle name="20% - Accent5 12 3 5 2" xfId="14391"/>
    <cellStyle name="20% - Accent5 12 3 5 2 2" xfId="27783"/>
    <cellStyle name="20% - Accent5 12 3 5 3" xfId="18342"/>
    <cellStyle name="20% - Accent5 12 3 5 3 2" xfId="31621"/>
    <cellStyle name="20% - Accent5 12 3 5 4" xfId="22630"/>
    <cellStyle name="20% - Accent5 12 3 6" xfId="14383"/>
    <cellStyle name="20% - Accent5 12 3 6 2" xfId="27775"/>
    <cellStyle name="20% - Accent5 12 3 7" xfId="18334"/>
    <cellStyle name="20% - Accent5 12 3 7 2" xfId="31613"/>
    <cellStyle name="20% - Accent5 12 3 8" xfId="22622"/>
    <cellStyle name="20% - Accent5 12 3_Volatility" xfId="3137"/>
    <cellStyle name="20% - Accent5 12 4" xfId="3138"/>
    <cellStyle name="20% - Accent5 12 4 2" xfId="3139"/>
    <cellStyle name="20% - Accent5 12 4 2 2" xfId="14393"/>
    <cellStyle name="20% - Accent5 12 4 2 2 2" xfId="27785"/>
    <cellStyle name="20% - Accent5 12 4 2 3" xfId="18344"/>
    <cellStyle name="20% - Accent5 12 4 2 3 2" xfId="31623"/>
    <cellStyle name="20% - Accent5 12 4 2 4" xfId="22632"/>
    <cellStyle name="20% - Accent5 12 4 3" xfId="3140"/>
    <cellStyle name="20% - Accent5 12 4 3 2" xfId="14394"/>
    <cellStyle name="20% - Accent5 12 4 3 2 2" xfId="27786"/>
    <cellStyle name="20% - Accent5 12 4 3 3" xfId="18345"/>
    <cellStyle name="20% - Accent5 12 4 3 3 2" xfId="31624"/>
    <cellStyle name="20% - Accent5 12 4 3 4" xfId="22633"/>
    <cellStyle name="20% - Accent5 12 4 4" xfId="14392"/>
    <cellStyle name="20% - Accent5 12 4 4 2" xfId="27784"/>
    <cellStyle name="20% - Accent5 12 4 5" xfId="18343"/>
    <cellStyle name="20% - Accent5 12 4 5 2" xfId="31622"/>
    <cellStyle name="20% - Accent5 12 4 6" xfId="22631"/>
    <cellStyle name="20% - Accent5 12 5" xfId="3141"/>
    <cellStyle name="20% - Accent5 12 5 2" xfId="3142"/>
    <cellStyle name="20% - Accent5 12 5 2 2" xfId="14396"/>
    <cellStyle name="20% - Accent5 12 5 2 2 2" xfId="27788"/>
    <cellStyle name="20% - Accent5 12 5 2 3" xfId="18347"/>
    <cellStyle name="20% - Accent5 12 5 2 3 2" xfId="31626"/>
    <cellStyle name="20% - Accent5 12 5 2 4" xfId="22635"/>
    <cellStyle name="20% - Accent5 12 5 3" xfId="3143"/>
    <cellStyle name="20% - Accent5 12 5 3 2" xfId="14397"/>
    <cellStyle name="20% - Accent5 12 5 3 2 2" xfId="27789"/>
    <cellStyle name="20% - Accent5 12 5 3 3" xfId="18348"/>
    <cellStyle name="20% - Accent5 12 5 3 3 2" xfId="31627"/>
    <cellStyle name="20% - Accent5 12 5 3 4" xfId="22636"/>
    <cellStyle name="20% - Accent5 12 5 4" xfId="14395"/>
    <cellStyle name="20% - Accent5 12 5 4 2" xfId="27787"/>
    <cellStyle name="20% - Accent5 12 5 5" xfId="18346"/>
    <cellStyle name="20% - Accent5 12 5 5 2" xfId="31625"/>
    <cellStyle name="20% - Accent5 12 5 6" xfId="22634"/>
    <cellStyle name="20% - Accent5 12 6" xfId="3144"/>
    <cellStyle name="20% - Accent5 12 6 2" xfId="3145"/>
    <cellStyle name="20% - Accent5 12 6 2 2" xfId="14399"/>
    <cellStyle name="20% - Accent5 12 6 2 2 2" xfId="27791"/>
    <cellStyle name="20% - Accent5 12 6 2 3" xfId="18350"/>
    <cellStyle name="20% - Accent5 12 6 2 3 2" xfId="31629"/>
    <cellStyle name="20% - Accent5 12 6 2 4" xfId="22638"/>
    <cellStyle name="20% - Accent5 12 6 3" xfId="3146"/>
    <cellStyle name="20% - Accent5 12 6 3 2" xfId="14400"/>
    <cellStyle name="20% - Accent5 12 6 3 2 2" xfId="27792"/>
    <cellStyle name="20% - Accent5 12 6 3 3" xfId="18351"/>
    <cellStyle name="20% - Accent5 12 6 3 3 2" xfId="31630"/>
    <cellStyle name="20% - Accent5 12 6 3 4" xfId="22639"/>
    <cellStyle name="20% - Accent5 12 6 4" xfId="14398"/>
    <cellStyle name="20% - Accent5 12 6 4 2" xfId="27790"/>
    <cellStyle name="20% - Accent5 12 6 5" xfId="18349"/>
    <cellStyle name="20% - Accent5 12 6 5 2" xfId="31628"/>
    <cellStyle name="20% - Accent5 12 6 6" xfId="22637"/>
    <cellStyle name="20% - Accent5 12 7" xfId="3147"/>
    <cellStyle name="20% - Accent5 12 7 2" xfId="14401"/>
    <cellStyle name="20% - Accent5 12 7 2 2" xfId="27793"/>
    <cellStyle name="20% - Accent5 12 7 3" xfId="18352"/>
    <cellStyle name="20% - Accent5 12 7 3 2" xfId="31631"/>
    <cellStyle name="20% - Accent5 12 7 4" xfId="22640"/>
    <cellStyle name="20% - Accent5 12 8" xfId="3148"/>
    <cellStyle name="20% - Accent5 12 8 2" xfId="14402"/>
    <cellStyle name="20% - Accent5 12 8 2 2" xfId="27794"/>
    <cellStyle name="20% - Accent5 12 8 3" xfId="18353"/>
    <cellStyle name="20% - Accent5 12 8 3 2" xfId="31632"/>
    <cellStyle name="20% - Accent5 12 8 4" xfId="22641"/>
    <cellStyle name="20% - Accent5 12 9" xfId="14370"/>
    <cellStyle name="20% - Accent5 12 9 2" xfId="27762"/>
    <cellStyle name="20% - Accent5 12_Volatility" xfId="3149"/>
    <cellStyle name="20% - Accent5 13" xfId="3150"/>
    <cellStyle name="20% - Accent5 13 10" xfId="18354"/>
    <cellStyle name="20% - Accent5 13 10 2" xfId="31633"/>
    <cellStyle name="20% - Accent5 13 11" xfId="22642"/>
    <cellStyle name="20% - Accent5 13 2" xfId="3151"/>
    <cellStyle name="20% - Accent5 13 2 2" xfId="3152"/>
    <cellStyle name="20% - Accent5 13 2 2 2" xfId="3153"/>
    <cellStyle name="20% - Accent5 13 2 2 2 2" xfId="14406"/>
    <cellStyle name="20% - Accent5 13 2 2 2 2 2" xfId="27798"/>
    <cellStyle name="20% - Accent5 13 2 2 2 3" xfId="18357"/>
    <cellStyle name="20% - Accent5 13 2 2 2 3 2" xfId="31636"/>
    <cellStyle name="20% - Accent5 13 2 2 2 4" xfId="22645"/>
    <cellStyle name="20% - Accent5 13 2 2 3" xfId="3154"/>
    <cellStyle name="20% - Accent5 13 2 2 3 2" xfId="14407"/>
    <cellStyle name="20% - Accent5 13 2 2 3 2 2" xfId="27799"/>
    <cellStyle name="20% - Accent5 13 2 2 3 3" xfId="18358"/>
    <cellStyle name="20% - Accent5 13 2 2 3 3 2" xfId="31637"/>
    <cellStyle name="20% - Accent5 13 2 2 3 4" xfId="22646"/>
    <cellStyle name="20% - Accent5 13 2 2 4" xfId="14405"/>
    <cellStyle name="20% - Accent5 13 2 2 4 2" xfId="27797"/>
    <cellStyle name="20% - Accent5 13 2 2 5" xfId="18356"/>
    <cellStyle name="20% - Accent5 13 2 2 5 2" xfId="31635"/>
    <cellStyle name="20% - Accent5 13 2 2 6" xfId="22644"/>
    <cellStyle name="20% - Accent5 13 2 3" xfId="3155"/>
    <cellStyle name="20% - Accent5 13 2 3 2" xfId="3156"/>
    <cellStyle name="20% - Accent5 13 2 3 2 2" xfId="14409"/>
    <cellStyle name="20% - Accent5 13 2 3 2 2 2" xfId="27801"/>
    <cellStyle name="20% - Accent5 13 2 3 2 3" xfId="18360"/>
    <cellStyle name="20% - Accent5 13 2 3 2 3 2" xfId="31639"/>
    <cellStyle name="20% - Accent5 13 2 3 2 4" xfId="22648"/>
    <cellStyle name="20% - Accent5 13 2 3 3" xfId="3157"/>
    <cellStyle name="20% - Accent5 13 2 3 3 2" xfId="14410"/>
    <cellStyle name="20% - Accent5 13 2 3 3 2 2" xfId="27802"/>
    <cellStyle name="20% - Accent5 13 2 3 3 3" xfId="18361"/>
    <cellStyle name="20% - Accent5 13 2 3 3 3 2" xfId="31640"/>
    <cellStyle name="20% - Accent5 13 2 3 3 4" xfId="22649"/>
    <cellStyle name="20% - Accent5 13 2 3 4" xfId="14408"/>
    <cellStyle name="20% - Accent5 13 2 3 4 2" xfId="27800"/>
    <cellStyle name="20% - Accent5 13 2 3 5" xfId="18359"/>
    <cellStyle name="20% - Accent5 13 2 3 5 2" xfId="31638"/>
    <cellStyle name="20% - Accent5 13 2 3 6" xfId="22647"/>
    <cellStyle name="20% - Accent5 13 2 4" xfId="3158"/>
    <cellStyle name="20% - Accent5 13 2 4 2" xfId="3159"/>
    <cellStyle name="20% - Accent5 13 2 4 2 2" xfId="14412"/>
    <cellStyle name="20% - Accent5 13 2 4 2 2 2" xfId="27804"/>
    <cellStyle name="20% - Accent5 13 2 4 2 3" xfId="18363"/>
    <cellStyle name="20% - Accent5 13 2 4 2 3 2" xfId="31642"/>
    <cellStyle name="20% - Accent5 13 2 4 2 4" xfId="22651"/>
    <cellStyle name="20% - Accent5 13 2 4 3" xfId="3160"/>
    <cellStyle name="20% - Accent5 13 2 4 3 2" xfId="14413"/>
    <cellStyle name="20% - Accent5 13 2 4 3 2 2" xfId="27805"/>
    <cellStyle name="20% - Accent5 13 2 4 3 3" xfId="18364"/>
    <cellStyle name="20% - Accent5 13 2 4 3 3 2" xfId="31643"/>
    <cellStyle name="20% - Accent5 13 2 4 3 4" xfId="22652"/>
    <cellStyle name="20% - Accent5 13 2 4 4" xfId="14411"/>
    <cellStyle name="20% - Accent5 13 2 4 4 2" xfId="27803"/>
    <cellStyle name="20% - Accent5 13 2 4 5" xfId="18362"/>
    <cellStyle name="20% - Accent5 13 2 4 5 2" xfId="31641"/>
    <cellStyle name="20% - Accent5 13 2 4 6" xfId="22650"/>
    <cellStyle name="20% - Accent5 13 2 5" xfId="3161"/>
    <cellStyle name="20% - Accent5 13 2 5 2" xfId="14414"/>
    <cellStyle name="20% - Accent5 13 2 5 2 2" xfId="27806"/>
    <cellStyle name="20% - Accent5 13 2 5 3" xfId="18365"/>
    <cellStyle name="20% - Accent5 13 2 5 3 2" xfId="31644"/>
    <cellStyle name="20% - Accent5 13 2 5 4" xfId="22653"/>
    <cellStyle name="20% - Accent5 13 2 6" xfId="3162"/>
    <cellStyle name="20% - Accent5 13 2 6 2" xfId="14415"/>
    <cellStyle name="20% - Accent5 13 2 6 2 2" xfId="27807"/>
    <cellStyle name="20% - Accent5 13 2 6 3" xfId="18366"/>
    <cellStyle name="20% - Accent5 13 2 6 3 2" xfId="31645"/>
    <cellStyle name="20% - Accent5 13 2 6 4" xfId="22654"/>
    <cellStyle name="20% - Accent5 13 2 7" xfId="14404"/>
    <cellStyle name="20% - Accent5 13 2 7 2" xfId="27796"/>
    <cellStyle name="20% - Accent5 13 2 8" xfId="18355"/>
    <cellStyle name="20% - Accent5 13 2 8 2" xfId="31634"/>
    <cellStyle name="20% - Accent5 13 2 9" xfId="22643"/>
    <cellStyle name="20% - Accent5 13 2_Volatility" xfId="3163"/>
    <cellStyle name="20% - Accent5 13 3" xfId="3164"/>
    <cellStyle name="20% - Accent5 13 3 2" xfId="3165"/>
    <cellStyle name="20% - Accent5 13 3 2 2" xfId="3166"/>
    <cellStyle name="20% - Accent5 13 3 2 2 2" xfId="14418"/>
    <cellStyle name="20% - Accent5 13 3 2 2 2 2" xfId="27810"/>
    <cellStyle name="20% - Accent5 13 3 2 2 3" xfId="18369"/>
    <cellStyle name="20% - Accent5 13 3 2 2 3 2" xfId="31648"/>
    <cellStyle name="20% - Accent5 13 3 2 2 4" xfId="22657"/>
    <cellStyle name="20% - Accent5 13 3 2 3" xfId="3167"/>
    <cellStyle name="20% - Accent5 13 3 2 3 2" xfId="14419"/>
    <cellStyle name="20% - Accent5 13 3 2 3 2 2" xfId="27811"/>
    <cellStyle name="20% - Accent5 13 3 2 3 3" xfId="18370"/>
    <cellStyle name="20% - Accent5 13 3 2 3 3 2" xfId="31649"/>
    <cellStyle name="20% - Accent5 13 3 2 3 4" xfId="22658"/>
    <cellStyle name="20% - Accent5 13 3 2 4" xfId="14417"/>
    <cellStyle name="20% - Accent5 13 3 2 4 2" xfId="27809"/>
    <cellStyle name="20% - Accent5 13 3 2 5" xfId="18368"/>
    <cellStyle name="20% - Accent5 13 3 2 5 2" xfId="31647"/>
    <cellStyle name="20% - Accent5 13 3 2 6" xfId="22656"/>
    <cellStyle name="20% - Accent5 13 3 3" xfId="3168"/>
    <cellStyle name="20% - Accent5 13 3 3 2" xfId="3169"/>
    <cellStyle name="20% - Accent5 13 3 3 2 2" xfId="14421"/>
    <cellStyle name="20% - Accent5 13 3 3 2 2 2" xfId="27813"/>
    <cellStyle name="20% - Accent5 13 3 3 2 3" xfId="18372"/>
    <cellStyle name="20% - Accent5 13 3 3 2 3 2" xfId="31651"/>
    <cellStyle name="20% - Accent5 13 3 3 2 4" xfId="22660"/>
    <cellStyle name="20% - Accent5 13 3 3 3" xfId="3170"/>
    <cellStyle name="20% - Accent5 13 3 3 3 2" xfId="14422"/>
    <cellStyle name="20% - Accent5 13 3 3 3 2 2" xfId="27814"/>
    <cellStyle name="20% - Accent5 13 3 3 3 3" xfId="18373"/>
    <cellStyle name="20% - Accent5 13 3 3 3 3 2" xfId="31652"/>
    <cellStyle name="20% - Accent5 13 3 3 3 4" xfId="22661"/>
    <cellStyle name="20% - Accent5 13 3 3 4" xfId="14420"/>
    <cellStyle name="20% - Accent5 13 3 3 4 2" xfId="27812"/>
    <cellStyle name="20% - Accent5 13 3 3 5" xfId="18371"/>
    <cellStyle name="20% - Accent5 13 3 3 5 2" xfId="31650"/>
    <cellStyle name="20% - Accent5 13 3 3 6" xfId="22659"/>
    <cellStyle name="20% - Accent5 13 3 4" xfId="3171"/>
    <cellStyle name="20% - Accent5 13 3 4 2" xfId="14423"/>
    <cellStyle name="20% - Accent5 13 3 4 2 2" xfId="27815"/>
    <cellStyle name="20% - Accent5 13 3 4 3" xfId="18374"/>
    <cellStyle name="20% - Accent5 13 3 4 3 2" xfId="31653"/>
    <cellStyle name="20% - Accent5 13 3 4 4" xfId="22662"/>
    <cellStyle name="20% - Accent5 13 3 5" xfId="3172"/>
    <cellStyle name="20% - Accent5 13 3 5 2" xfId="14424"/>
    <cellStyle name="20% - Accent5 13 3 5 2 2" xfId="27816"/>
    <cellStyle name="20% - Accent5 13 3 5 3" xfId="18375"/>
    <cellStyle name="20% - Accent5 13 3 5 3 2" xfId="31654"/>
    <cellStyle name="20% - Accent5 13 3 5 4" xfId="22663"/>
    <cellStyle name="20% - Accent5 13 3 6" xfId="14416"/>
    <cellStyle name="20% - Accent5 13 3 6 2" xfId="27808"/>
    <cellStyle name="20% - Accent5 13 3 7" xfId="18367"/>
    <cellStyle name="20% - Accent5 13 3 7 2" xfId="31646"/>
    <cellStyle name="20% - Accent5 13 3 8" xfId="22655"/>
    <cellStyle name="20% - Accent5 13 3_Volatility" xfId="3173"/>
    <cellStyle name="20% - Accent5 13 4" xfId="3174"/>
    <cellStyle name="20% - Accent5 13 4 2" xfId="3175"/>
    <cellStyle name="20% - Accent5 13 4 2 2" xfId="14426"/>
    <cellStyle name="20% - Accent5 13 4 2 2 2" xfId="27818"/>
    <cellStyle name="20% - Accent5 13 4 2 3" xfId="18377"/>
    <cellStyle name="20% - Accent5 13 4 2 3 2" xfId="31656"/>
    <cellStyle name="20% - Accent5 13 4 2 4" xfId="22665"/>
    <cellStyle name="20% - Accent5 13 4 3" xfId="3176"/>
    <cellStyle name="20% - Accent5 13 4 3 2" xfId="14427"/>
    <cellStyle name="20% - Accent5 13 4 3 2 2" xfId="27819"/>
    <cellStyle name="20% - Accent5 13 4 3 3" xfId="18378"/>
    <cellStyle name="20% - Accent5 13 4 3 3 2" xfId="31657"/>
    <cellStyle name="20% - Accent5 13 4 3 4" xfId="22666"/>
    <cellStyle name="20% - Accent5 13 4 4" xfId="14425"/>
    <cellStyle name="20% - Accent5 13 4 4 2" xfId="27817"/>
    <cellStyle name="20% - Accent5 13 4 5" xfId="18376"/>
    <cellStyle name="20% - Accent5 13 4 5 2" xfId="31655"/>
    <cellStyle name="20% - Accent5 13 4 6" xfId="22664"/>
    <cellStyle name="20% - Accent5 13 5" xfId="3177"/>
    <cellStyle name="20% - Accent5 13 5 2" xfId="3178"/>
    <cellStyle name="20% - Accent5 13 5 2 2" xfId="14429"/>
    <cellStyle name="20% - Accent5 13 5 2 2 2" xfId="27821"/>
    <cellStyle name="20% - Accent5 13 5 2 3" xfId="18380"/>
    <cellStyle name="20% - Accent5 13 5 2 3 2" xfId="31659"/>
    <cellStyle name="20% - Accent5 13 5 2 4" xfId="22668"/>
    <cellStyle name="20% - Accent5 13 5 3" xfId="3179"/>
    <cellStyle name="20% - Accent5 13 5 3 2" xfId="14430"/>
    <cellStyle name="20% - Accent5 13 5 3 2 2" xfId="27822"/>
    <cellStyle name="20% - Accent5 13 5 3 3" xfId="18381"/>
    <cellStyle name="20% - Accent5 13 5 3 3 2" xfId="31660"/>
    <cellStyle name="20% - Accent5 13 5 3 4" xfId="22669"/>
    <cellStyle name="20% - Accent5 13 5 4" xfId="14428"/>
    <cellStyle name="20% - Accent5 13 5 4 2" xfId="27820"/>
    <cellStyle name="20% - Accent5 13 5 5" xfId="18379"/>
    <cellStyle name="20% - Accent5 13 5 5 2" xfId="31658"/>
    <cellStyle name="20% - Accent5 13 5 6" xfId="22667"/>
    <cellStyle name="20% - Accent5 13 6" xfId="3180"/>
    <cellStyle name="20% - Accent5 13 6 2" xfId="3181"/>
    <cellStyle name="20% - Accent5 13 6 2 2" xfId="14432"/>
    <cellStyle name="20% - Accent5 13 6 2 2 2" xfId="27824"/>
    <cellStyle name="20% - Accent5 13 6 2 3" xfId="18383"/>
    <cellStyle name="20% - Accent5 13 6 2 3 2" xfId="31662"/>
    <cellStyle name="20% - Accent5 13 6 2 4" xfId="22671"/>
    <cellStyle name="20% - Accent5 13 6 3" xfId="3182"/>
    <cellStyle name="20% - Accent5 13 6 3 2" xfId="14433"/>
    <cellStyle name="20% - Accent5 13 6 3 2 2" xfId="27825"/>
    <cellStyle name="20% - Accent5 13 6 3 3" xfId="18384"/>
    <cellStyle name="20% - Accent5 13 6 3 3 2" xfId="31663"/>
    <cellStyle name="20% - Accent5 13 6 3 4" xfId="22672"/>
    <cellStyle name="20% - Accent5 13 6 4" xfId="14431"/>
    <cellStyle name="20% - Accent5 13 6 4 2" xfId="27823"/>
    <cellStyle name="20% - Accent5 13 6 5" xfId="18382"/>
    <cellStyle name="20% - Accent5 13 6 5 2" xfId="31661"/>
    <cellStyle name="20% - Accent5 13 6 6" xfId="22670"/>
    <cellStyle name="20% - Accent5 13 7" xfId="3183"/>
    <cellStyle name="20% - Accent5 13 7 2" xfId="14434"/>
    <cellStyle name="20% - Accent5 13 7 2 2" xfId="27826"/>
    <cellStyle name="20% - Accent5 13 7 3" xfId="18385"/>
    <cellStyle name="20% - Accent5 13 7 3 2" xfId="31664"/>
    <cellStyle name="20% - Accent5 13 7 4" xfId="22673"/>
    <cellStyle name="20% - Accent5 13 8" xfId="3184"/>
    <cellStyle name="20% - Accent5 13 8 2" xfId="14435"/>
    <cellStyle name="20% - Accent5 13 8 2 2" xfId="27827"/>
    <cellStyle name="20% - Accent5 13 8 3" xfId="18386"/>
    <cellStyle name="20% - Accent5 13 8 3 2" xfId="31665"/>
    <cellStyle name="20% - Accent5 13 8 4" xfId="22674"/>
    <cellStyle name="20% - Accent5 13 9" xfId="14403"/>
    <cellStyle name="20% - Accent5 13 9 2" xfId="27795"/>
    <cellStyle name="20% - Accent5 13_Volatility" xfId="3185"/>
    <cellStyle name="20% - Accent5 14" xfId="3186"/>
    <cellStyle name="20% - Accent5 14 10" xfId="18387"/>
    <cellStyle name="20% - Accent5 14 10 2" xfId="31666"/>
    <cellStyle name="20% - Accent5 14 11" xfId="22675"/>
    <cellStyle name="20% - Accent5 14 2" xfId="3187"/>
    <cellStyle name="20% - Accent5 14 2 2" xfId="3188"/>
    <cellStyle name="20% - Accent5 14 2 2 2" xfId="3189"/>
    <cellStyle name="20% - Accent5 14 2 2 2 2" xfId="14439"/>
    <cellStyle name="20% - Accent5 14 2 2 2 2 2" xfId="27831"/>
    <cellStyle name="20% - Accent5 14 2 2 2 3" xfId="18390"/>
    <cellStyle name="20% - Accent5 14 2 2 2 3 2" xfId="31669"/>
    <cellStyle name="20% - Accent5 14 2 2 2 4" xfId="22678"/>
    <cellStyle name="20% - Accent5 14 2 2 3" xfId="3190"/>
    <cellStyle name="20% - Accent5 14 2 2 3 2" xfId="14440"/>
    <cellStyle name="20% - Accent5 14 2 2 3 2 2" xfId="27832"/>
    <cellStyle name="20% - Accent5 14 2 2 3 3" xfId="18391"/>
    <cellStyle name="20% - Accent5 14 2 2 3 3 2" xfId="31670"/>
    <cellStyle name="20% - Accent5 14 2 2 3 4" xfId="22679"/>
    <cellStyle name="20% - Accent5 14 2 2 4" xfId="14438"/>
    <cellStyle name="20% - Accent5 14 2 2 4 2" xfId="27830"/>
    <cellStyle name="20% - Accent5 14 2 2 5" xfId="18389"/>
    <cellStyle name="20% - Accent5 14 2 2 5 2" xfId="31668"/>
    <cellStyle name="20% - Accent5 14 2 2 6" xfId="22677"/>
    <cellStyle name="20% - Accent5 14 2 3" xfId="3191"/>
    <cellStyle name="20% - Accent5 14 2 3 2" xfId="3192"/>
    <cellStyle name="20% - Accent5 14 2 3 2 2" xfId="14442"/>
    <cellStyle name="20% - Accent5 14 2 3 2 2 2" xfId="27834"/>
    <cellStyle name="20% - Accent5 14 2 3 2 3" xfId="18393"/>
    <cellStyle name="20% - Accent5 14 2 3 2 3 2" xfId="31672"/>
    <cellStyle name="20% - Accent5 14 2 3 2 4" xfId="22681"/>
    <cellStyle name="20% - Accent5 14 2 3 3" xfId="3193"/>
    <cellStyle name="20% - Accent5 14 2 3 3 2" xfId="14443"/>
    <cellStyle name="20% - Accent5 14 2 3 3 2 2" xfId="27835"/>
    <cellStyle name="20% - Accent5 14 2 3 3 3" xfId="18394"/>
    <cellStyle name="20% - Accent5 14 2 3 3 3 2" xfId="31673"/>
    <cellStyle name="20% - Accent5 14 2 3 3 4" xfId="22682"/>
    <cellStyle name="20% - Accent5 14 2 3 4" xfId="14441"/>
    <cellStyle name="20% - Accent5 14 2 3 4 2" xfId="27833"/>
    <cellStyle name="20% - Accent5 14 2 3 5" xfId="18392"/>
    <cellStyle name="20% - Accent5 14 2 3 5 2" xfId="31671"/>
    <cellStyle name="20% - Accent5 14 2 3 6" xfId="22680"/>
    <cellStyle name="20% - Accent5 14 2 4" xfId="3194"/>
    <cellStyle name="20% - Accent5 14 2 4 2" xfId="3195"/>
    <cellStyle name="20% - Accent5 14 2 4 2 2" xfId="14445"/>
    <cellStyle name="20% - Accent5 14 2 4 2 2 2" xfId="27837"/>
    <cellStyle name="20% - Accent5 14 2 4 2 3" xfId="18396"/>
    <cellStyle name="20% - Accent5 14 2 4 2 3 2" xfId="31675"/>
    <cellStyle name="20% - Accent5 14 2 4 2 4" xfId="22684"/>
    <cellStyle name="20% - Accent5 14 2 4 3" xfId="3196"/>
    <cellStyle name="20% - Accent5 14 2 4 3 2" xfId="14446"/>
    <cellStyle name="20% - Accent5 14 2 4 3 2 2" xfId="27838"/>
    <cellStyle name="20% - Accent5 14 2 4 3 3" xfId="18397"/>
    <cellStyle name="20% - Accent5 14 2 4 3 3 2" xfId="31676"/>
    <cellStyle name="20% - Accent5 14 2 4 3 4" xfId="22685"/>
    <cellStyle name="20% - Accent5 14 2 4 4" xfId="14444"/>
    <cellStyle name="20% - Accent5 14 2 4 4 2" xfId="27836"/>
    <cellStyle name="20% - Accent5 14 2 4 5" xfId="18395"/>
    <cellStyle name="20% - Accent5 14 2 4 5 2" xfId="31674"/>
    <cellStyle name="20% - Accent5 14 2 4 6" xfId="22683"/>
    <cellStyle name="20% - Accent5 14 2 5" xfId="3197"/>
    <cellStyle name="20% - Accent5 14 2 5 2" xfId="14447"/>
    <cellStyle name="20% - Accent5 14 2 5 2 2" xfId="27839"/>
    <cellStyle name="20% - Accent5 14 2 5 3" xfId="18398"/>
    <cellStyle name="20% - Accent5 14 2 5 3 2" xfId="31677"/>
    <cellStyle name="20% - Accent5 14 2 5 4" xfId="22686"/>
    <cellStyle name="20% - Accent5 14 2 6" xfId="3198"/>
    <cellStyle name="20% - Accent5 14 2 6 2" xfId="14448"/>
    <cellStyle name="20% - Accent5 14 2 6 2 2" xfId="27840"/>
    <cellStyle name="20% - Accent5 14 2 6 3" xfId="18399"/>
    <cellStyle name="20% - Accent5 14 2 6 3 2" xfId="31678"/>
    <cellStyle name="20% - Accent5 14 2 6 4" xfId="22687"/>
    <cellStyle name="20% - Accent5 14 2 7" xfId="14437"/>
    <cellStyle name="20% - Accent5 14 2 7 2" xfId="27829"/>
    <cellStyle name="20% - Accent5 14 2 8" xfId="18388"/>
    <cellStyle name="20% - Accent5 14 2 8 2" xfId="31667"/>
    <cellStyle name="20% - Accent5 14 2 9" xfId="22676"/>
    <cellStyle name="20% - Accent5 14 2_Volatility" xfId="3199"/>
    <cellStyle name="20% - Accent5 14 3" xfId="3200"/>
    <cellStyle name="20% - Accent5 14 3 2" xfId="3201"/>
    <cellStyle name="20% - Accent5 14 3 2 2" xfId="3202"/>
    <cellStyle name="20% - Accent5 14 3 2 2 2" xfId="14451"/>
    <cellStyle name="20% - Accent5 14 3 2 2 2 2" xfId="27843"/>
    <cellStyle name="20% - Accent5 14 3 2 2 3" xfId="18402"/>
    <cellStyle name="20% - Accent5 14 3 2 2 3 2" xfId="31681"/>
    <cellStyle name="20% - Accent5 14 3 2 2 4" xfId="22690"/>
    <cellStyle name="20% - Accent5 14 3 2 3" xfId="3203"/>
    <cellStyle name="20% - Accent5 14 3 2 3 2" xfId="14452"/>
    <cellStyle name="20% - Accent5 14 3 2 3 2 2" xfId="27844"/>
    <cellStyle name="20% - Accent5 14 3 2 3 3" xfId="18403"/>
    <cellStyle name="20% - Accent5 14 3 2 3 3 2" xfId="31682"/>
    <cellStyle name="20% - Accent5 14 3 2 3 4" xfId="22691"/>
    <cellStyle name="20% - Accent5 14 3 2 4" xfId="14450"/>
    <cellStyle name="20% - Accent5 14 3 2 4 2" xfId="27842"/>
    <cellStyle name="20% - Accent5 14 3 2 5" xfId="18401"/>
    <cellStyle name="20% - Accent5 14 3 2 5 2" xfId="31680"/>
    <cellStyle name="20% - Accent5 14 3 2 6" xfId="22689"/>
    <cellStyle name="20% - Accent5 14 3 3" xfId="3204"/>
    <cellStyle name="20% - Accent5 14 3 3 2" xfId="3205"/>
    <cellStyle name="20% - Accent5 14 3 3 2 2" xfId="14454"/>
    <cellStyle name="20% - Accent5 14 3 3 2 2 2" xfId="27846"/>
    <cellStyle name="20% - Accent5 14 3 3 2 3" xfId="18405"/>
    <cellStyle name="20% - Accent5 14 3 3 2 3 2" xfId="31684"/>
    <cellStyle name="20% - Accent5 14 3 3 2 4" xfId="22693"/>
    <cellStyle name="20% - Accent5 14 3 3 3" xfId="3206"/>
    <cellStyle name="20% - Accent5 14 3 3 3 2" xfId="14455"/>
    <cellStyle name="20% - Accent5 14 3 3 3 2 2" xfId="27847"/>
    <cellStyle name="20% - Accent5 14 3 3 3 3" xfId="18406"/>
    <cellStyle name="20% - Accent5 14 3 3 3 3 2" xfId="31685"/>
    <cellStyle name="20% - Accent5 14 3 3 3 4" xfId="22694"/>
    <cellStyle name="20% - Accent5 14 3 3 4" xfId="14453"/>
    <cellStyle name="20% - Accent5 14 3 3 4 2" xfId="27845"/>
    <cellStyle name="20% - Accent5 14 3 3 5" xfId="18404"/>
    <cellStyle name="20% - Accent5 14 3 3 5 2" xfId="31683"/>
    <cellStyle name="20% - Accent5 14 3 3 6" xfId="22692"/>
    <cellStyle name="20% - Accent5 14 3 4" xfId="3207"/>
    <cellStyle name="20% - Accent5 14 3 4 2" xfId="14456"/>
    <cellStyle name="20% - Accent5 14 3 4 2 2" xfId="27848"/>
    <cellStyle name="20% - Accent5 14 3 4 3" xfId="18407"/>
    <cellStyle name="20% - Accent5 14 3 4 3 2" xfId="31686"/>
    <cellStyle name="20% - Accent5 14 3 4 4" xfId="22695"/>
    <cellStyle name="20% - Accent5 14 3 5" xfId="3208"/>
    <cellStyle name="20% - Accent5 14 3 5 2" xfId="14457"/>
    <cellStyle name="20% - Accent5 14 3 5 2 2" xfId="27849"/>
    <cellStyle name="20% - Accent5 14 3 5 3" xfId="18408"/>
    <cellStyle name="20% - Accent5 14 3 5 3 2" xfId="31687"/>
    <cellStyle name="20% - Accent5 14 3 5 4" xfId="22696"/>
    <cellStyle name="20% - Accent5 14 3 6" xfId="14449"/>
    <cellStyle name="20% - Accent5 14 3 6 2" xfId="27841"/>
    <cellStyle name="20% - Accent5 14 3 7" xfId="18400"/>
    <cellStyle name="20% - Accent5 14 3 7 2" xfId="31679"/>
    <cellStyle name="20% - Accent5 14 3 8" xfId="22688"/>
    <cellStyle name="20% - Accent5 14 3_Volatility" xfId="3209"/>
    <cellStyle name="20% - Accent5 14 4" xfId="3210"/>
    <cellStyle name="20% - Accent5 14 4 2" xfId="3211"/>
    <cellStyle name="20% - Accent5 14 4 2 2" xfId="14459"/>
    <cellStyle name="20% - Accent5 14 4 2 2 2" xfId="27851"/>
    <cellStyle name="20% - Accent5 14 4 2 3" xfId="18410"/>
    <cellStyle name="20% - Accent5 14 4 2 3 2" xfId="31689"/>
    <cellStyle name="20% - Accent5 14 4 2 4" xfId="22698"/>
    <cellStyle name="20% - Accent5 14 4 3" xfId="3212"/>
    <cellStyle name="20% - Accent5 14 4 3 2" xfId="14460"/>
    <cellStyle name="20% - Accent5 14 4 3 2 2" xfId="27852"/>
    <cellStyle name="20% - Accent5 14 4 3 3" xfId="18411"/>
    <cellStyle name="20% - Accent5 14 4 3 3 2" xfId="31690"/>
    <cellStyle name="20% - Accent5 14 4 3 4" xfId="22699"/>
    <cellStyle name="20% - Accent5 14 4 4" xfId="14458"/>
    <cellStyle name="20% - Accent5 14 4 4 2" xfId="27850"/>
    <cellStyle name="20% - Accent5 14 4 5" xfId="18409"/>
    <cellStyle name="20% - Accent5 14 4 5 2" xfId="31688"/>
    <cellStyle name="20% - Accent5 14 4 6" xfId="22697"/>
    <cellStyle name="20% - Accent5 14 5" xfId="3213"/>
    <cellStyle name="20% - Accent5 14 5 2" xfId="3214"/>
    <cellStyle name="20% - Accent5 14 5 2 2" xfId="14462"/>
    <cellStyle name="20% - Accent5 14 5 2 2 2" xfId="27854"/>
    <cellStyle name="20% - Accent5 14 5 2 3" xfId="18413"/>
    <cellStyle name="20% - Accent5 14 5 2 3 2" xfId="31692"/>
    <cellStyle name="20% - Accent5 14 5 2 4" xfId="22701"/>
    <cellStyle name="20% - Accent5 14 5 3" xfId="3215"/>
    <cellStyle name="20% - Accent5 14 5 3 2" xfId="14463"/>
    <cellStyle name="20% - Accent5 14 5 3 2 2" xfId="27855"/>
    <cellStyle name="20% - Accent5 14 5 3 3" xfId="18414"/>
    <cellStyle name="20% - Accent5 14 5 3 3 2" xfId="31693"/>
    <cellStyle name="20% - Accent5 14 5 3 4" xfId="22702"/>
    <cellStyle name="20% - Accent5 14 5 4" xfId="14461"/>
    <cellStyle name="20% - Accent5 14 5 4 2" xfId="27853"/>
    <cellStyle name="20% - Accent5 14 5 5" xfId="18412"/>
    <cellStyle name="20% - Accent5 14 5 5 2" xfId="31691"/>
    <cellStyle name="20% - Accent5 14 5 6" xfId="22700"/>
    <cellStyle name="20% - Accent5 14 6" xfId="3216"/>
    <cellStyle name="20% - Accent5 14 6 2" xfId="3217"/>
    <cellStyle name="20% - Accent5 14 6 2 2" xfId="14465"/>
    <cellStyle name="20% - Accent5 14 6 2 2 2" xfId="27857"/>
    <cellStyle name="20% - Accent5 14 6 2 3" xfId="18416"/>
    <cellStyle name="20% - Accent5 14 6 2 3 2" xfId="31695"/>
    <cellStyle name="20% - Accent5 14 6 2 4" xfId="22704"/>
    <cellStyle name="20% - Accent5 14 6 3" xfId="3218"/>
    <cellStyle name="20% - Accent5 14 6 3 2" xfId="14466"/>
    <cellStyle name="20% - Accent5 14 6 3 2 2" xfId="27858"/>
    <cellStyle name="20% - Accent5 14 6 3 3" xfId="18417"/>
    <cellStyle name="20% - Accent5 14 6 3 3 2" xfId="31696"/>
    <cellStyle name="20% - Accent5 14 6 3 4" xfId="22705"/>
    <cellStyle name="20% - Accent5 14 6 4" xfId="14464"/>
    <cellStyle name="20% - Accent5 14 6 4 2" xfId="27856"/>
    <cellStyle name="20% - Accent5 14 6 5" xfId="18415"/>
    <cellStyle name="20% - Accent5 14 6 5 2" xfId="31694"/>
    <cellStyle name="20% - Accent5 14 6 6" xfId="22703"/>
    <cellStyle name="20% - Accent5 14 7" xfId="3219"/>
    <cellStyle name="20% - Accent5 14 7 2" xfId="14467"/>
    <cellStyle name="20% - Accent5 14 7 2 2" xfId="27859"/>
    <cellStyle name="20% - Accent5 14 7 3" xfId="18418"/>
    <cellStyle name="20% - Accent5 14 7 3 2" xfId="31697"/>
    <cellStyle name="20% - Accent5 14 7 4" xfId="22706"/>
    <cellStyle name="20% - Accent5 14 8" xfId="3220"/>
    <cellStyle name="20% - Accent5 14 8 2" xfId="14468"/>
    <cellStyle name="20% - Accent5 14 8 2 2" xfId="27860"/>
    <cellStyle name="20% - Accent5 14 8 3" xfId="18419"/>
    <cellStyle name="20% - Accent5 14 8 3 2" xfId="31698"/>
    <cellStyle name="20% - Accent5 14 8 4" xfId="22707"/>
    <cellStyle name="20% - Accent5 14 9" xfId="14436"/>
    <cellStyle name="20% - Accent5 14 9 2" xfId="27828"/>
    <cellStyle name="20% - Accent5 14_Volatility" xfId="3221"/>
    <cellStyle name="20% - Accent5 15" xfId="3222"/>
    <cellStyle name="20% - Accent5 15 10" xfId="18420"/>
    <cellStyle name="20% - Accent5 15 10 2" xfId="31699"/>
    <cellStyle name="20% - Accent5 15 11" xfId="22708"/>
    <cellStyle name="20% - Accent5 15 2" xfId="3223"/>
    <cellStyle name="20% - Accent5 15 2 2" xfId="3224"/>
    <cellStyle name="20% - Accent5 15 2 2 2" xfId="3225"/>
    <cellStyle name="20% - Accent5 15 2 2 2 2" xfId="14472"/>
    <cellStyle name="20% - Accent5 15 2 2 2 2 2" xfId="27864"/>
    <cellStyle name="20% - Accent5 15 2 2 2 3" xfId="18423"/>
    <cellStyle name="20% - Accent5 15 2 2 2 3 2" xfId="31702"/>
    <cellStyle name="20% - Accent5 15 2 2 2 4" xfId="22711"/>
    <cellStyle name="20% - Accent5 15 2 2 3" xfId="3226"/>
    <cellStyle name="20% - Accent5 15 2 2 3 2" xfId="14473"/>
    <cellStyle name="20% - Accent5 15 2 2 3 2 2" xfId="27865"/>
    <cellStyle name="20% - Accent5 15 2 2 3 3" xfId="18424"/>
    <cellStyle name="20% - Accent5 15 2 2 3 3 2" xfId="31703"/>
    <cellStyle name="20% - Accent5 15 2 2 3 4" xfId="22712"/>
    <cellStyle name="20% - Accent5 15 2 2 4" xfId="14471"/>
    <cellStyle name="20% - Accent5 15 2 2 4 2" xfId="27863"/>
    <cellStyle name="20% - Accent5 15 2 2 5" xfId="18422"/>
    <cellStyle name="20% - Accent5 15 2 2 5 2" xfId="31701"/>
    <cellStyle name="20% - Accent5 15 2 2 6" xfId="22710"/>
    <cellStyle name="20% - Accent5 15 2 3" xfId="3227"/>
    <cellStyle name="20% - Accent5 15 2 3 2" xfId="3228"/>
    <cellStyle name="20% - Accent5 15 2 3 2 2" xfId="14475"/>
    <cellStyle name="20% - Accent5 15 2 3 2 2 2" xfId="27867"/>
    <cellStyle name="20% - Accent5 15 2 3 2 3" xfId="18426"/>
    <cellStyle name="20% - Accent5 15 2 3 2 3 2" xfId="31705"/>
    <cellStyle name="20% - Accent5 15 2 3 2 4" xfId="22714"/>
    <cellStyle name="20% - Accent5 15 2 3 3" xfId="3229"/>
    <cellStyle name="20% - Accent5 15 2 3 3 2" xfId="14476"/>
    <cellStyle name="20% - Accent5 15 2 3 3 2 2" xfId="27868"/>
    <cellStyle name="20% - Accent5 15 2 3 3 3" xfId="18427"/>
    <cellStyle name="20% - Accent5 15 2 3 3 3 2" xfId="31706"/>
    <cellStyle name="20% - Accent5 15 2 3 3 4" xfId="22715"/>
    <cellStyle name="20% - Accent5 15 2 3 4" xfId="14474"/>
    <cellStyle name="20% - Accent5 15 2 3 4 2" xfId="27866"/>
    <cellStyle name="20% - Accent5 15 2 3 5" xfId="18425"/>
    <cellStyle name="20% - Accent5 15 2 3 5 2" xfId="31704"/>
    <cellStyle name="20% - Accent5 15 2 3 6" xfId="22713"/>
    <cellStyle name="20% - Accent5 15 2 4" xfId="3230"/>
    <cellStyle name="20% - Accent5 15 2 4 2" xfId="3231"/>
    <cellStyle name="20% - Accent5 15 2 4 2 2" xfId="14478"/>
    <cellStyle name="20% - Accent5 15 2 4 2 2 2" xfId="27870"/>
    <cellStyle name="20% - Accent5 15 2 4 2 3" xfId="18429"/>
    <cellStyle name="20% - Accent5 15 2 4 2 3 2" xfId="31708"/>
    <cellStyle name="20% - Accent5 15 2 4 2 4" xfId="22717"/>
    <cellStyle name="20% - Accent5 15 2 4 3" xfId="3232"/>
    <cellStyle name="20% - Accent5 15 2 4 3 2" xfId="14479"/>
    <cellStyle name="20% - Accent5 15 2 4 3 2 2" xfId="27871"/>
    <cellStyle name="20% - Accent5 15 2 4 3 3" xfId="18430"/>
    <cellStyle name="20% - Accent5 15 2 4 3 3 2" xfId="31709"/>
    <cellStyle name="20% - Accent5 15 2 4 3 4" xfId="22718"/>
    <cellStyle name="20% - Accent5 15 2 4 4" xfId="14477"/>
    <cellStyle name="20% - Accent5 15 2 4 4 2" xfId="27869"/>
    <cellStyle name="20% - Accent5 15 2 4 5" xfId="18428"/>
    <cellStyle name="20% - Accent5 15 2 4 5 2" xfId="31707"/>
    <cellStyle name="20% - Accent5 15 2 4 6" xfId="22716"/>
    <cellStyle name="20% - Accent5 15 2 5" xfId="3233"/>
    <cellStyle name="20% - Accent5 15 2 5 2" xfId="14480"/>
    <cellStyle name="20% - Accent5 15 2 5 2 2" xfId="27872"/>
    <cellStyle name="20% - Accent5 15 2 5 3" xfId="18431"/>
    <cellStyle name="20% - Accent5 15 2 5 3 2" xfId="31710"/>
    <cellStyle name="20% - Accent5 15 2 5 4" xfId="22719"/>
    <cellStyle name="20% - Accent5 15 2 6" xfId="3234"/>
    <cellStyle name="20% - Accent5 15 2 6 2" xfId="14481"/>
    <cellStyle name="20% - Accent5 15 2 6 2 2" xfId="27873"/>
    <cellStyle name="20% - Accent5 15 2 6 3" xfId="18432"/>
    <cellStyle name="20% - Accent5 15 2 6 3 2" xfId="31711"/>
    <cellStyle name="20% - Accent5 15 2 6 4" xfId="22720"/>
    <cellStyle name="20% - Accent5 15 2 7" xfId="14470"/>
    <cellStyle name="20% - Accent5 15 2 7 2" xfId="27862"/>
    <cellStyle name="20% - Accent5 15 2 8" xfId="18421"/>
    <cellStyle name="20% - Accent5 15 2 8 2" xfId="31700"/>
    <cellStyle name="20% - Accent5 15 2 9" xfId="22709"/>
    <cellStyle name="20% - Accent5 15 2_Volatility" xfId="3235"/>
    <cellStyle name="20% - Accent5 15 3" xfId="3236"/>
    <cellStyle name="20% - Accent5 15 3 2" xfId="3237"/>
    <cellStyle name="20% - Accent5 15 3 2 2" xfId="3238"/>
    <cellStyle name="20% - Accent5 15 3 2 2 2" xfId="14484"/>
    <cellStyle name="20% - Accent5 15 3 2 2 2 2" xfId="27876"/>
    <cellStyle name="20% - Accent5 15 3 2 2 3" xfId="18435"/>
    <cellStyle name="20% - Accent5 15 3 2 2 3 2" xfId="31714"/>
    <cellStyle name="20% - Accent5 15 3 2 2 4" xfId="22723"/>
    <cellStyle name="20% - Accent5 15 3 2 3" xfId="3239"/>
    <cellStyle name="20% - Accent5 15 3 2 3 2" xfId="14485"/>
    <cellStyle name="20% - Accent5 15 3 2 3 2 2" xfId="27877"/>
    <cellStyle name="20% - Accent5 15 3 2 3 3" xfId="18436"/>
    <cellStyle name="20% - Accent5 15 3 2 3 3 2" xfId="31715"/>
    <cellStyle name="20% - Accent5 15 3 2 3 4" xfId="22724"/>
    <cellStyle name="20% - Accent5 15 3 2 4" xfId="14483"/>
    <cellStyle name="20% - Accent5 15 3 2 4 2" xfId="27875"/>
    <cellStyle name="20% - Accent5 15 3 2 5" xfId="18434"/>
    <cellStyle name="20% - Accent5 15 3 2 5 2" xfId="31713"/>
    <cellStyle name="20% - Accent5 15 3 2 6" xfId="22722"/>
    <cellStyle name="20% - Accent5 15 3 3" xfId="3240"/>
    <cellStyle name="20% - Accent5 15 3 3 2" xfId="3241"/>
    <cellStyle name="20% - Accent5 15 3 3 2 2" xfId="14487"/>
    <cellStyle name="20% - Accent5 15 3 3 2 2 2" xfId="27879"/>
    <cellStyle name="20% - Accent5 15 3 3 2 3" xfId="18438"/>
    <cellStyle name="20% - Accent5 15 3 3 2 3 2" xfId="31717"/>
    <cellStyle name="20% - Accent5 15 3 3 2 4" xfId="22726"/>
    <cellStyle name="20% - Accent5 15 3 3 3" xfId="3242"/>
    <cellStyle name="20% - Accent5 15 3 3 3 2" xfId="14488"/>
    <cellStyle name="20% - Accent5 15 3 3 3 2 2" xfId="27880"/>
    <cellStyle name="20% - Accent5 15 3 3 3 3" xfId="18439"/>
    <cellStyle name="20% - Accent5 15 3 3 3 3 2" xfId="31718"/>
    <cellStyle name="20% - Accent5 15 3 3 3 4" xfId="22727"/>
    <cellStyle name="20% - Accent5 15 3 3 4" xfId="14486"/>
    <cellStyle name="20% - Accent5 15 3 3 4 2" xfId="27878"/>
    <cellStyle name="20% - Accent5 15 3 3 5" xfId="18437"/>
    <cellStyle name="20% - Accent5 15 3 3 5 2" xfId="31716"/>
    <cellStyle name="20% - Accent5 15 3 3 6" xfId="22725"/>
    <cellStyle name="20% - Accent5 15 3 4" xfId="3243"/>
    <cellStyle name="20% - Accent5 15 3 4 2" xfId="14489"/>
    <cellStyle name="20% - Accent5 15 3 4 2 2" xfId="27881"/>
    <cellStyle name="20% - Accent5 15 3 4 3" xfId="18440"/>
    <cellStyle name="20% - Accent5 15 3 4 3 2" xfId="31719"/>
    <cellStyle name="20% - Accent5 15 3 4 4" xfId="22728"/>
    <cellStyle name="20% - Accent5 15 3 5" xfId="3244"/>
    <cellStyle name="20% - Accent5 15 3 5 2" xfId="14490"/>
    <cellStyle name="20% - Accent5 15 3 5 2 2" xfId="27882"/>
    <cellStyle name="20% - Accent5 15 3 5 3" xfId="18441"/>
    <cellStyle name="20% - Accent5 15 3 5 3 2" xfId="31720"/>
    <cellStyle name="20% - Accent5 15 3 5 4" xfId="22729"/>
    <cellStyle name="20% - Accent5 15 3 6" xfId="14482"/>
    <cellStyle name="20% - Accent5 15 3 6 2" xfId="27874"/>
    <cellStyle name="20% - Accent5 15 3 7" xfId="18433"/>
    <cellStyle name="20% - Accent5 15 3 7 2" xfId="31712"/>
    <cellStyle name="20% - Accent5 15 3 8" xfId="22721"/>
    <cellStyle name="20% - Accent5 15 3_Volatility" xfId="3245"/>
    <cellStyle name="20% - Accent5 15 4" xfId="3246"/>
    <cellStyle name="20% - Accent5 15 4 2" xfId="3247"/>
    <cellStyle name="20% - Accent5 15 4 2 2" xfId="14492"/>
    <cellStyle name="20% - Accent5 15 4 2 2 2" xfId="27884"/>
    <cellStyle name="20% - Accent5 15 4 2 3" xfId="18443"/>
    <cellStyle name="20% - Accent5 15 4 2 3 2" xfId="31722"/>
    <cellStyle name="20% - Accent5 15 4 2 4" xfId="22731"/>
    <cellStyle name="20% - Accent5 15 4 3" xfId="3248"/>
    <cellStyle name="20% - Accent5 15 4 3 2" xfId="14493"/>
    <cellStyle name="20% - Accent5 15 4 3 2 2" xfId="27885"/>
    <cellStyle name="20% - Accent5 15 4 3 3" xfId="18444"/>
    <cellStyle name="20% - Accent5 15 4 3 3 2" xfId="31723"/>
    <cellStyle name="20% - Accent5 15 4 3 4" xfId="22732"/>
    <cellStyle name="20% - Accent5 15 4 4" xfId="14491"/>
    <cellStyle name="20% - Accent5 15 4 4 2" xfId="27883"/>
    <cellStyle name="20% - Accent5 15 4 5" xfId="18442"/>
    <cellStyle name="20% - Accent5 15 4 5 2" xfId="31721"/>
    <cellStyle name="20% - Accent5 15 4 6" xfId="22730"/>
    <cellStyle name="20% - Accent5 15 5" xfId="3249"/>
    <cellStyle name="20% - Accent5 15 5 2" xfId="3250"/>
    <cellStyle name="20% - Accent5 15 5 2 2" xfId="14495"/>
    <cellStyle name="20% - Accent5 15 5 2 2 2" xfId="27887"/>
    <cellStyle name="20% - Accent5 15 5 2 3" xfId="18446"/>
    <cellStyle name="20% - Accent5 15 5 2 3 2" xfId="31725"/>
    <cellStyle name="20% - Accent5 15 5 2 4" xfId="22734"/>
    <cellStyle name="20% - Accent5 15 5 3" xfId="3251"/>
    <cellStyle name="20% - Accent5 15 5 3 2" xfId="14496"/>
    <cellStyle name="20% - Accent5 15 5 3 2 2" xfId="27888"/>
    <cellStyle name="20% - Accent5 15 5 3 3" xfId="18447"/>
    <cellStyle name="20% - Accent5 15 5 3 3 2" xfId="31726"/>
    <cellStyle name="20% - Accent5 15 5 3 4" xfId="22735"/>
    <cellStyle name="20% - Accent5 15 5 4" xfId="14494"/>
    <cellStyle name="20% - Accent5 15 5 4 2" xfId="27886"/>
    <cellStyle name="20% - Accent5 15 5 5" xfId="18445"/>
    <cellStyle name="20% - Accent5 15 5 5 2" xfId="31724"/>
    <cellStyle name="20% - Accent5 15 5 6" xfId="22733"/>
    <cellStyle name="20% - Accent5 15 6" xfId="3252"/>
    <cellStyle name="20% - Accent5 15 6 2" xfId="3253"/>
    <cellStyle name="20% - Accent5 15 6 2 2" xfId="14498"/>
    <cellStyle name="20% - Accent5 15 6 2 2 2" xfId="27890"/>
    <cellStyle name="20% - Accent5 15 6 2 3" xfId="18449"/>
    <cellStyle name="20% - Accent5 15 6 2 3 2" xfId="31728"/>
    <cellStyle name="20% - Accent5 15 6 2 4" xfId="22737"/>
    <cellStyle name="20% - Accent5 15 6 3" xfId="3254"/>
    <cellStyle name="20% - Accent5 15 6 3 2" xfId="14499"/>
    <cellStyle name="20% - Accent5 15 6 3 2 2" xfId="27891"/>
    <cellStyle name="20% - Accent5 15 6 3 3" xfId="18450"/>
    <cellStyle name="20% - Accent5 15 6 3 3 2" xfId="31729"/>
    <cellStyle name="20% - Accent5 15 6 3 4" xfId="22738"/>
    <cellStyle name="20% - Accent5 15 6 4" xfId="14497"/>
    <cellStyle name="20% - Accent5 15 6 4 2" xfId="27889"/>
    <cellStyle name="20% - Accent5 15 6 5" xfId="18448"/>
    <cellStyle name="20% - Accent5 15 6 5 2" xfId="31727"/>
    <cellStyle name="20% - Accent5 15 6 6" xfId="22736"/>
    <cellStyle name="20% - Accent5 15 7" xfId="3255"/>
    <cellStyle name="20% - Accent5 15 7 2" xfId="14500"/>
    <cellStyle name="20% - Accent5 15 7 2 2" xfId="27892"/>
    <cellStyle name="20% - Accent5 15 7 3" xfId="18451"/>
    <cellStyle name="20% - Accent5 15 7 3 2" xfId="31730"/>
    <cellStyle name="20% - Accent5 15 7 4" xfId="22739"/>
    <cellStyle name="20% - Accent5 15 8" xfId="3256"/>
    <cellStyle name="20% - Accent5 15 8 2" xfId="14501"/>
    <cellStyle name="20% - Accent5 15 8 2 2" xfId="27893"/>
    <cellStyle name="20% - Accent5 15 8 3" xfId="18452"/>
    <cellStyle name="20% - Accent5 15 8 3 2" xfId="31731"/>
    <cellStyle name="20% - Accent5 15 8 4" xfId="22740"/>
    <cellStyle name="20% - Accent5 15 9" xfId="14469"/>
    <cellStyle name="20% - Accent5 15 9 2" xfId="27861"/>
    <cellStyle name="20% - Accent5 15_Volatility" xfId="3257"/>
    <cellStyle name="20% - Accent5 16" xfId="3258"/>
    <cellStyle name="20% - Accent5 16 2" xfId="14502"/>
    <cellStyle name="20% - Accent5 16 2 2" xfId="27894"/>
    <cellStyle name="20% - Accent5 16 3" xfId="18453"/>
    <cellStyle name="20% - Accent5 16 3 2" xfId="31732"/>
    <cellStyle name="20% - Accent5 16 4" xfId="22741"/>
    <cellStyle name="20% - Accent5 17" xfId="3259"/>
    <cellStyle name="20% - Accent5 17 2" xfId="14503"/>
    <cellStyle name="20% - Accent5 17 2 2" xfId="27895"/>
    <cellStyle name="20% - Accent5 17 3" xfId="18454"/>
    <cellStyle name="20% - Accent5 17 3 2" xfId="31733"/>
    <cellStyle name="20% - Accent5 17 4" xfId="22742"/>
    <cellStyle name="20% - Accent5 18" xfId="3260"/>
    <cellStyle name="20% - Accent5 18 2" xfId="14504"/>
    <cellStyle name="20% - Accent5 18 2 2" xfId="27896"/>
    <cellStyle name="20% - Accent5 18 3" xfId="18455"/>
    <cellStyle name="20% - Accent5 18 3 2" xfId="31734"/>
    <cellStyle name="20% - Accent5 18 4" xfId="22743"/>
    <cellStyle name="20% - Accent5 19" xfId="3261"/>
    <cellStyle name="20% - Accent5 19 2" xfId="14505"/>
    <cellStyle name="20% - Accent5 19 2 2" xfId="27897"/>
    <cellStyle name="20% - Accent5 19 3" xfId="18456"/>
    <cellStyle name="20% - Accent5 19 3 2" xfId="31735"/>
    <cellStyle name="20% - Accent5 19 4" xfId="22744"/>
    <cellStyle name="20% - Accent5 2" xfId="3262"/>
    <cellStyle name="20% - Accent5 2 10" xfId="18457"/>
    <cellStyle name="20% - Accent5 2 10 2" xfId="31736"/>
    <cellStyle name="20% - Accent5 2 11" xfId="22745"/>
    <cellStyle name="20% - Accent5 2 2" xfId="3263"/>
    <cellStyle name="20% - Accent5 2 2 2" xfId="3264"/>
    <cellStyle name="20% - Accent5 2 2 2 2" xfId="3265"/>
    <cellStyle name="20% - Accent5 2 2 2 2 2" xfId="14509"/>
    <cellStyle name="20% - Accent5 2 2 2 2 2 2" xfId="27901"/>
    <cellStyle name="20% - Accent5 2 2 2 2 3" xfId="18460"/>
    <cellStyle name="20% - Accent5 2 2 2 2 3 2" xfId="31739"/>
    <cellStyle name="20% - Accent5 2 2 2 2 4" xfId="22748"/>
    <cellStyle name="20% - Accent5 2 2 2 3" xfId="3266"/>
    <cellStyle name="20% - Accent5 2 2 2 3 2" xfId="14510"/>
    <cellStyle name="20% - Accent5 2 2 2 3 2 2" xfId="27902"/>
    <cellStyle name="20% - Accent5 2 2 2 3 3" xfId="18461"/>
    <cellStyle name="20% - Accent5 2 2 2 3 3 2" xfId="31740"/>
    <cellStyle name="20% - Accent5 2 2 2 3 4" xfId="22749"/>
    <cellStyle name="20% - Accent5 2 2 2 4" xfId="14508"/>
    <cellStyle name="20% - Accent5 2 2 2 4 2" xfId="27900"/>
    <cellStyle name="20% - Accent5 2 2 2 5" xfId="18459"/>
    <cellStyle name="20% - Accent5 2 2 2 5 2" xfId="31738"/>
    <cellStyle name="20% - Accent5 2 2 2 6" xfId="22747"/>
    <cellStyle name="20% - Accent5 2 2 3" xfId="3267"/>
    <cellStyle name="20% - Accent5 2 2 3 2" xfId="3268"/>
    <cellStyle name="20% - Accent5 2 2 3 2 2" xfId="14512"/>
    <cellStyle name="20% - Accent5 2 2 3 2 2 2" xfId="27904"/>
    <cellStyle name="20% - Accent5 2 2 3 2 3" xfId="18463"/>
    <cellStyle name="20% - Accent5 2 2 3 2 3 2" xfId="31742"/>
    <cellStyle name="20% - Accent5 2 2 3 2 4" xfId="22751"/>
    <cellStyle name="20% - Accent5 2 2 3 3" xfId="3269"/>
    <cellStyle name="20% - Accent5 2 2 3 3 2" xfId="14513"/>
    <cellStyle name="20% - Accent5 2 2 3 3 2 2" xfId="27905"/>
    <cellStyle name="20% - Accent5 2 2 3 3 3" xfId="18464"/>
    <cellStyle name="20% - Accent5 2 2 3 3 3 2" xfId="31743"/>
    <cellStyle name="20% - Accent5 2 2 3 3 4" xfId="22752"/>
    <cellStyle name="20% - Accent5 2 2 3 4" xfId="14511"/>
    <cellStyle name="20% - Accent5 2 2 3 4 2" xfId="27903"/>
    <cellStyle name="20% - Accent5 2 2 3 5" xfId="18462"/>
    <cellStyle name="20% - Accent5 2 2 3 5 2" xfId="31741"/>
    <cellStyle name="20% - Accent5 2 2 3 6" xfId="22750"/>
    <cellStyle name="20% - Accent5 2 2 4" xfId="3270"/>
    <cellStyle name="20% - Accent5 2 2 4 2" xfId="3271"/>
    <cellStyle name="20% - Accent5 2 2 4 2 2" xfId="14515"/>
    <cellStyle name="20% - Accent5 2 2 4 2 2 2" xfId="27907"/>
    <cellStyle name="20% - Accent5 2 2 4 2 3" xfId="18466"/>
    <cellStyle name="20% - Accent5 2 2 4 2 3 2" xfId="31745"/>
    <cellStyle name="20% - Accent5 2 2 4 2 4" xfId="22754"/>
    <cellStyle name="20% - Accent5 2 2 4 3" xfId="3272"/>
    <cellStyle name="20% - Accent5 2 2 4 3 2" xfId="14516"/>
    <cellStyle name="20% - Accent5 2 2 4 3 2 2" xfId="27908"/>
    <cellStyle name="20% - Accent5 2 2 4 3 3" xfId="18467"/>
    <cellStyle name="20% - Accent5 2 2 4 3 3 2" xfId="31746"/>
    <cellStyle name="20% - Accent5 2 2 4 3 4" xfId="22755"/>
    <cellStyle name="20% - Accent5 2 2 4 4" xfId="14514"/>
    <cellStyle name="20% - Accent5 2 2 4 4 2" xfId="27906"/>
    <cellStyle name="20% - Accent5 2 2 4 5" xfId="18465"/>
    <cellStyle name="20% - Accent5 2 2 4 5 2" xfId="31744"/>
    <cellStyle name="20% - Accent5 2 2 4 6" xfId="22753"/>
    <cellStyle name="20% - Accent5 2 2 5" xfId="3273"/>
    <cellStyle name="20% - Accent5 2 2 5 2" xfId="14517"/>
    <cellStyle name="20% - Accent5 2 2 5 2 2" xfId="27909"/>
    <cellStyle name="20% - Accent5 2 2 5 3" xfId="18468"/>
    <cellStyle name="20% - Accent5 2 2 5 3 2" xfId="31747"/>
    <cellStyle name="20% - Accent5 2 2 5 4" xfId="22756"/>
    <cellStyle name="20% - Accent5 2 2 6" xfId="3274"/>
    <cellStyle name="20% - Accent5 2 2 6 2" xfId="14518"/>
    <cellStyle name="20% - Accent5 2 2 6 2 2" xfId="27910"/>
    <cellStyle name="20% - Accent5 2 2 6 3" xfId="18469"/>
    <cellStyle name="20% - Accent5 2 2 6 3 2" xfId="31748"/>
    <cellStyle name="20% - Accent5 2 2 6 4" xfId="22757"/>
    <cellStyle name="20% - Accent5 2 2 7" xfId="14507"/>
    <cellStyle name="20% - Accent5 2 2 7 2" xfId="27899"/>
    <cellStyle name="20% - Accent5 2 2 8" xfId="18458"/>
    <cellStyle name="20% - Accent5 2 2 8 2" xfId="31737"/>
    <cellStyle name="20% - Accent5 2 2 9" xfId="22746"/>
    <cellStyle name="20% - Accent5 2 2_Volatility" xfId="3275"/>
    <cellStyle name="20% - Accent5 2 3" xfId="3276"/>
    <cellStyle name="20% - Accent5 2 3 2" xfId="3277"/>
    <cellStyle name="20% - Accent5 2 3 2 2" xfId="3278"/>
    <cellStyle name="20% - Accent5 2 3 2 2 2" xfId="14521"/>
    <cellStyle name="20% - Accent5 2 3 2 2 2 2" xfId="27913"/>
    <cellStyle name="20% - Accent5 2 3 2 2 3" xfId="18472"/>
    <cellStyle name="20% - Accent5 2 3 2 2 3 2" xfId="31751"/>
    <cellStyle name="20% - Accent5 2 3 2 2 4" xfId="22760"/>
    <cellStyle name="20% - Accent5 2 3 2 3" xfId="3279"/>
    <cellStyle name="20% - Accent5 2 3 2 3 2" xfId="14522"/>
    <cellStyle name="20% - Accent5 2 3 2 3 2 2" xfId="27914"/>
    <cellStyle name="20% - Accent5 2 3 2 3 3" xfId="18473"/>
    <cellStyle name="20% - Accent5 2 3 2 3 3 2" xfId="31752"/>
    <cellStyle name="20% - Accent5 2 3 2 3 4" xfId="22761"/>
    <cellStyle name="20% - Accent5 2 3 2 4" xfId="14520"/>
    <cellStyle name="20% - Accent5 2 3 2 4 2" xfId="27912"/>
    <cellStyle name="20% - Accent5 2 3 2 5" xfId="18471"/>
    <cellStyle name="20% - Accent5 2 3 2 5 2" xfId="31750"/>
    <cellStyle name="20% - Accent5 2 3 2 6" xfId="22759"/>
    <cellStyle name="20% - Accent5 2 3 3" xfId="3280"/>
    <cellStyle name="20% - Accent5 2 3 3 2" xfId="3281"/>
    <cellStyle name="20% - Accent5 2 3 3 2 2" xfId="14524"/>
    <cellStyle name="20% - Accent5 2 3 3 2 2 2" xfId="27916"/>
    <cellStyle name="20% - Accent5 2 3 3 2 3" xfId="18475"/>
    <cellStyle name="20% - Accent5 2 3 3 2 3 2" xfId="31754"/>
    <cellStyle name="20% - Accent5 2 3 3 2 4" xfId="22763"/>
    <cellStyle name="20% - Accent5 2 3 3 3" xfId="3282"/>
    <cellStyle name="20% - Accent5 2 3 3 3 2" xfId="14525"/>
    <cellStyle name="20% - Accent5 2 3 3 3 2 2" xfId="27917"/>
    <cellStyle name="20% - Accent5 2 3 3 3 3" xfId="18476"/>
    <cellStyle name="20% - Accent5 2 3 3 3 3 2" xfId="31755"/>
    <cellStyle name="20% - Accent5 2 3 3 3 4" xfId="22764"/>
    <cellStyle name="20% - Accent5 2 3 3 4" xfId="14523"/>
    <cellStyle name="20% - Accent5 2 3 3 4 2" xfId="27915"/>
    <cellStyle name="20% - Accent5 2 3 3 5" xfId="18474"/>
    <cellStyle name="20% - Accent5 2 3 3 5 2" xfId="31753"/>
    <cellStyle name="20% - Accent5 2 3 3 6" xfId="22762"/>
    <cellStyle name="20% - Accent5 2 3 4" xfId="3283"/>
    <cellStyle name="20% - Accent5 2 3 4 2" xfId="14526"/>
    <cellStyle name="20% - Accent5 2 3 4 2 2" xfId="27918"/>
    <cellStyle name="20% - Accent5 2 3 4 3" xfId="18477"/>
    <cellStyle name="20% - Accent5 2 3 4 3 2" xfId="31756"/>
    <cellStyle name="20% - Accent5 2 3 4 4" xfId="22765"/>
    <cellStyle name="20% - Accent5 2 3 5" xfId="3284"/>
    <cellStyle name="20% - Accent5 2 3 5 2" xfId="14527"/>
    <cellStyle name="20% - Accent5 2 3 5 2 2" xfId="27919"/>
    <cellStyle name="20% - Accent5 2 3 5 3" xfId="18478"/>
    <cellStyle name="20% - Accent5 2 3 5 3 2" xfId="31757"/>
    <cellStyle name="20% - Accent5 2 3 5 4" xfId="22766"/>
    <cellStyle name="20% - Accent5 2 3 6" xfId="14519"/>
    <cellStyle name="20% - Accent5 2 3 6 2" xfId="27911"/>
    <cellStyle name="20% - Accent5 2 3 7" xfId="18470"/>
    <cellStyle name="20% - Accent5 2 3 7 2" xfId="31749"/>
    <cellStyle name="20% - Accent5 2 3 8" xfId="22758"/>
    <cellStyle name="20% - Accent5 2 3_Volatility" xfId="3285"/>
    <cellStyle name="20% - Accent5 2 4" xfId="3286"/>
    <cellStyle name="20% - Accent5 2 4 2" xfId="3287"/>
    <cellStyle name="20% - Accent5 2 4 2 2" xfId="14529"/>
    <cellStyle name="20% - Accent5 2 4 2 2 2" xfId="27921"/>
    <cellStyle name="20% - Accent5 2 4 2 3" xfId="18480"/>
    <cellStyle name="20% - Accent5 2 4 2 3 2" xfId="31759"/>
    <cellStyle name="20% - Accent5 2 4 2 4" xfId="22768"/>
    <cellStyle name="20% - Accent5 2 4 3" xfId="3288"/>
    <cellStyle name="20% - Accent5 2 4 3 2" xfId="14530"/>
    <cellStyle name="20% - Accent5 2 4 3 2 2" xfId="27922"/>
    <cellStyle name="20% - Accent5 2 4 3 3" xfId="18481"/>
    <cellStyle name="20% - Accent5 2 4 3 3 2" xfId="31760"/>
    <cellStyle name="20% - Accent5 2 4 3 4" xfId="22769"/>
    <cellStyle name="20% - Accent5 2 4 4" xfId="14528"/>
    <cellStyle name="20% - Accent5 2 4 4 2" xfId="27920"/>
    <cellStyle name="20% - Accent5 2 4 5" xfId="18479"/>
    <cellStyle name="20% - Accent5 2 4 5 2" xfId="31758"/>
    <cellStyle name="20% - Accent5 2 4 6" xfId="22767"/>
    <cellStyle name="20% - Accent5 2 5" xfId="3289"/>
    <cellStyle name="20% - Accent5 2 5 2" xfId="3290"/>
    <cellStyle name="20% - Accent5 2 5 2 2" xfId="14532"/>
    <cellStyle name="20% - Accent5 2 5 2 2 2" xfId="27924"/>
    <cellStyle name="20% - Accent5 2 5 2 3" xfId="18483"/>
    <cellStyle name="20% - Accent5 2 5 2 3 2" xfId="31762"/>
    <cellStyle name="20% - Accent5 2 5 2 4" xfId="22771"/>
    <cellStyle name="20% - Accent5 2 5 3" xfId="3291"/>
    <cellStyle name="20% - Accent5 2 5 3 2" xfId="14533"/>
    <cellStyle name="20% - Accent5 2 5 3 2 2" xfId="27925"/>
    <cellStyle name="20% - Accent5 2 5 3 3" xfId="18484"/>
    <cellStyle name="20% - Accent5 2 5 3 3 2" xfId="31763"/>
    <cellStyle name="20% - Accent5 2 5 3 4" xfId="22772"/>
    <cellStyle name="20% - Accent5 2 5 4" xfId="14531"/>
    <cellStyle name="20% - Accent5 2 5 4 2" xfId="27923"/>
    <cellStyle name="20% - Accent5 2 5 5" xfId="18482"/>
    <cellStyle name="20% - Accent5 2 5 5 2" xfId="31761"/>
    <cellStyle name="20% - Accent5 2 5 6" xfId="22770"/>
    <cellStyle name="20% - Accent5 2 6" xfId="3292"/>
    <cellStyle name="20% - Accent5 2 6 2" xfId="3293"/>
    <cellStyle name="20% - Accent5 2 6 2 2" xfId="14535"/>
    <cellStyle name="20% - Accent5 2 6 2 2 2" xfId="27927"/>
    <cellStyle name="20% - Accent5 2 6 2 3" xfId="18486"/>
    <cellStyle name="20% - Accent5 2 6 2 3 2" xfId="31765"/>
    <cellStyle name="20% - Accent5 2 6 2 4" xfId="22774"/>
    <cellStyle name="20% - Accent5 2 6 3" xfId="3294"/>
    <cellStyle name="20% - Accent5 2 6 3 2" xfId="14536"/>
    <cellStyle name="20% - Accent5 2 6 3 2 2" xfId="27928"/>
    <cellStyle name="20% - Accent5 2 6 3 3" xfId="18487"/>
    <cellStyle name="20% - Accent5 2 6 3 3 2" xfId="31766"/>
    <cellStyle name="20% - Accent5 2 6 3 4" xfId="22775"/>
    <cellStyle name="20% - Accent5 2 6 4" xfId="14534"/>
    <cellStyle name="20% - Accent5 2 6 4 2" xfId="27926"/>
    <cellStyle name="20% - Accent5 2 6 5" xfId="18485"/>
    <cellStyle name="20% - Accent5 2 6 5 2" xfId="31764"/>
    <cellStyle name="20% - Accent5 2 6 6" xfId="22773"/>
    <cellStyle name="20% - Accent5 2 7" xfId="3295"/>
    <cellStyle name="20% - Accent5 2 7 2" xfId="14537"/>
    <cellStyle name="20% - Accent5 2 7 2 2" xfId="27929"/>
    <cellStyle name="20% - Accent5 2 7 3" xfId="18488"/>
    <cellStyle name="20% - Accent5 2 7 3 2" xfId="31767"/>
    <cellStyle name="20% - Accent5 2 7 4" xfId="22776"/>
    <cellStyle name="20% - Accent5 2 8" xfId="3296"/>
    <cellStyle name="20% - Accent5 2 8 2" xfId="14538"/>
    <cellStyle name="20% - Accent5 2 8 2 2" xfId="27930"/>
    <cellStyle name="20% - Accent5 2 8 3" xfId="18489"/>
    <cellStyle name="20% - Accent5 2 8 3 2" xfId="31768"/>
    <cellStyle name="20% - Accent5 2 8 4" xfId="22777"/>
    <cellStyle name="20% - Accent5 2 9" xfId="14506"/>
    <cellStyle name="20% - Accent5 2 9 2" xfId="27898"/>
    <cellStyle name="20% - Accent5 2_Volatility" xfId="3297"/>
    <cellStyle name="20% - Accent5 3" xfId="3298"/>
    <cellStyle name="20% - Accent5 3 10" xfId="18490"/>
    <cellStyle name="20% - Accent5 3 10 2" xfId="31769"/>
    <cellStyle name="20% - Accent5 3 11" xfId="22778"/>
    <cellStyle name="20% - Accent5 3 2" xfId="3299"/>
    <cellStyle name="20% - Accent5 3 2 2" xfId="3300"/>
    <cellStyle name="20% - Accent5 3 2 2 2" xfId="3301"/>
    <cellStyle name="20% - Accent5 3 2 2 2 2" xfId="14542"/>
    <cellStyle name="20% - Accent5 3 2 2 2 2 2" xfId="27934"/>
    <cellStyle name="20% - Accent5 3 2 2 2 3" xfId="18493"/>
    <cellStyle name="20% - Accent5 3 2 2 2 3 2" xfId="31772"/>
    <cellStyle name="20% - Accent5 3 2 2 2 4" xfId="22781"/>
    <cellStyle name="20% - Accent5 3 2 2 3" xfId="3302"/>
    <cellStyle name="20% - Accent5 3 2 2 3 2" xfId="14543"/>
    <cellStyle name="20% - Accent5 3 2 2 3 2 2" xfId="27935"/>
    <cellStyle name="20% - Accent5 3 2 2 3 3" xfId="18494"/>
    <cellStyle name="20% - Accent5 3 2 2 3 3 2" xfId="31773"/>
    <cellStyle name="20% - Accent5 3 2 2 3 4" xfId="22782"/>
    <cellStyle name="20% - Accent5 3 2 2 4" xfId="14541"/>
    <cellStyle name="20% - Accent5 3 2 2 4 2" xfId="27933"/>
    <cellStyle name="20% - Accent5 3 2 2 5" xfId="18492"/>
    <cellStyle name="20% - Accent5 3 2 2 5 2" xfId="31771"/>
    <cellStyle name="20% - Accent5 3 2 2 6" xfId="22780"/>
    <cellStyle name="20% - Accent5 3 2 3" xfId="3303"/>
    <cellStyle name="20% - Accent5 3 2 3 2" xfId="3304"/>
    <cellStyle name="20% - Accent5 3 2 3 2 2" xfId="14545"/>
    <cellStyle name="20% - Accent5 3 2 3 2 2 2" xfId="27937"/>
    <cellStyle name="20% - Accent5 3 2 3 2 3" xfId="18496"/>
    <cellStyle name="20% - Accent5 3 2 3 2 3 2" xfId="31775"/>
    <cellStyle name="20% - Accent5 3 2 3 2 4" xfId="22784"/>
    <cellStyle name="20% - Accent5 3 2 3 3" xfId="3305"/>
    <cellStyle name="20% - Accent5 3 2 3 3 2" xfId="14546"/>
    <cellStyle name="20% - Accent5 3 2 3 3 2 2" xfId="27938"/>
    <cellStyle name="20% - Accent5 3 2 3 3 3" xfId="18497"/>
    <cellStyle name="20% - Accent5 3 2 3 3 3 2" xfId="31776"/>
    <cellStyle name="20% - Accent5 3 2 3 3 4" xfId="22785"/>
    <cellStyle name="20% - Accent5 3 2 3 4" xfId="14544"/>
    <cellStyle name="20% - Accent5 3 2 3 4 2" xfId="27936"/>
    <cellStyle name="20% - Accent5 3 2 3 5" xfId="18495"/>
    <cellStyle name="20% - Accent5 3 2 3 5 2" xfId="31774"/>
    <cellStyle name="20% - Accent5 3 2 3 6" xfId="22783"/>
    <cellStyle name="20% - Accent5 3 2 4" xfId="3306"/>
    <cellStyle name="20% - Accent5 3 2 4 2" xfId="3307"/>
    <cellStyle name="20% - Accent5 3 2 4 2 2" xfId="14548"/>
    <cellStyle name="20% - Accent5 3 2 4 2 2 2" xfId="27940"/>
    <cellStyle name="20% - Accent5 3 2 4 2 3" xfId="18499"/>
    <cellStyle name="20% - Accent5 3 2 4 2 3 2" xfId="31778"/>
    <cellStyle name="20% - Accent5 3 2 4 2 4" xfId="22787"/>
    <cellStyle name="20% - Accent5 3 2 4 3" xfId="3308"/>
    <cellStyle name="20% - Accent5 3 2 4 3 2" xfId="14549"/>
    <cellStyle name="20% - Accent5 3 2 4 3 2 2" xfId="27941"/>
    <cellStyle name="20% - Accent5 3 2 4 3 3" xfId="18500"/>
    <cellStyle name="20% - Accent5 3 2 4 3 3 2" xfId="31779"/>
    <cellStyle name="20% - Accent5 3 2 4 3 4" xfId="22788"/>
    <cellStyle name="20% - Accent5 3 2 4 4" xfId="14547"/>
    <cellStyle name="20% - Accent5 3 2 4 4 2" xfId="27939"/>
    <cellStyle name="20% - Accent5 3 2 4 5" xfId="18498"/>
    <cellStyle name="20% - Accent5 3 2 4 5 2" xfId="31777"/>
    <cellStyle name="20% - Accent5 3 2 4 6" xfId="22786"/>
    <cellStyle name="20% - Accent5 3 2 5" xfId="3309"/>
    <cellStyle name="20% - Accent5 3 2 5 2" xfId="14550"/>
    <cellStyle name="20% - Accent5 3 2 5 2 2" xfId="27942"/>
    <cellStyle name="20% - Accent5 3 2 5 3" xfId="18501"/>
    <cellStyle name="20% - Accent5 3 2 5 3 2" xfId="31780"/>
    <cellStyle name="20% - Accent5 3 2 5 4" xfId="22789"/>
    <cellStyle name="20% - Accent5 3 2 6" xfId="3310"/>
    <cellStyle name="20% - Accent5 3 2 6 2" xfId="14551"/>
    <cellStyle name="20% - Accent5 3 2 6 2 2" xfId="27943"/>
    <cellStyle name="20% - Accent5 3 2 6 3" xfId="18502"/>
    <cellStyle name="20% - Accent5 3 2 6 3 2" xfId="31781"/>
    <cellStyle name="20% - Accent5 3 2 6 4" xfId="22790"/>
    <cellStyle name="20% - Accent5 3 2 7" xfId="14540"/>
    <cellStyle name="20% - Accent5 3 2 7 2" xfId="27932"/>
    <cellStyle name="20% - Accent5 3 2 8" xfId="18491"/>
    <cellStyle name="20% - Accent5 3 2 8 2" xfId="31770"/>
    <cellStyle name="20% - Accent5 3 2 9" xfId="22779"/>
    <cellStyle name="20% - Accent5 3 2_Volatility" xfId="3311"/>
    <cellStyle name="20% - Accent5 3 3" xfId="3312"/>
    <cellStyle name="20% - Accent5 3 3 2" xfId="3313"/>
    <cellStyle name="20% - Accent5 3 3 2 2" xfId="3314"/>
    <cellStyle name="20% - Accent5 3 3 2 2 2" xfId="14554"/>
    <cellStyle name="20% - Accent5 3 3 2 2 2 2" xfId="27946"/>
    <cellStyle name="20% - Accent5 3 3 2 2 3" xfId="18505"/>
    <cellStyle name="20% - Accent5 3 3 2 2 3 2" xfId="31784"/>
    <cellStyle name="20% - Accent5 3 3 2 2 4" xfId="22793"/>
    <cellStyle name="20% - Accent5 3 3 2 3" xfId="3315"/>
    <cellStyle name="20% - Accent5 3 3 2 3 2" xfId="14555"/>
    <cellStyle name="20% - Accent5 3 3 2 3 2 2" xfId="27947"/>
    <cellStyle name="20% - Accent5 3 3 2 3 3" xfId="18506"/>
    <cellStyle name="20% - Accent5 3 3 2 3 3 2" xfId="31785"/>
    <cellStyle name="20% - Accent5 3 3 2 3 4" xfId="22794"/>
    <cellStyle name="20% - Accent5 3 3 2 4" xfId="14553"/>
    <cellStyle name="20% - Accent5 3 3 2 4 2" xfId="27945"/>
    <cellStyle name="20% - Accent5 3 3 2 5" xfId="18504"/>
    <cellStyle name="20% - Accent5 3 3 2 5 2" xfId="31783"/>
    <cellStyle name="20% - Accent5 3 3 2 6" xfId="22792"/>
    <cellStyle name="20% - Accent5 3 3 3" xfId="3316"/>
    <cellStyle name="20% - Accent5 3 3 3 2" xfId="3317"/>
    <cellStyle name="20% - Accent5 3 3 3 2 2" xfId="14557"/>
    <cellStyle name="20% - Accent5 3 3 3 2 2 2" xfId="27949"/>
    <cellStyle name="20% - Accent5 3 3 3 2 3" xfId="18508"/>
    <cellStyle name="20% - Accent5 3 3 3 2 3 2" xfId="31787"/>
    <cellStyle name="20% - Accent5 3 3 3 2 4" xfId="22796"/>
    <cellStyle name="20% - Accent5 3 3 3 3" xfId="3318"/>
    <cellStyle name="20% - Accent5 3 3 3 3 2" xfId="14558"/>
    <cellStyle name="20% - Accent5 3 3 3 3 2 2" xfId="27950"/>
    <cellStyle name="20% - Accent5 3 3 3 3 3" xfId="18509"/>
    <cellStyle name="20% - Accent5 3 3 3 3 3 2" xfId="31788"/>
    <cellStyle name="20% - Accent5 3 3 3 3 4" xfId="22797"/>
    <cellStyle name="20% - Accent5 3 3 3 4" xfId="14556"/>
    <cellStyle name="20% - Accent5 3 3 3 4 2" xfId="27948"/>
    <cellStyle name="20% - Accent5 3 3 3 5" xfId="18507"/>
    <cellStyle name="20% - Accent5 3 3 3 5 2" xfId="31786"/>
    <cellStyle name="20% - Accent5 3 3 3 6" xfId="22795"/>
    <cellStyle name="20% - Accent5 3 3 4" xfId="3319"/>
    <cellStyle name="20% - Accent5 3 3 4 2" xfId="14559"/>
    <cellStyle name="20% - Accent5 3 3 4 2 2" xfId="27951"/>
    <cellStyle name="20% - Accent5 3 3 4 3" xfId="18510"/>
    <cellStyle name="20% - Accent5 3 3 4 3 2" xfId="31789"/>
    <cellStyle name="20% - Accent5 3 3 4 4" xfId="22798"/>
    <cellStyle name="20% - Accent5 3 3 5" xfId="3320"/>
    <cellStyle name="20% - Accent5 3 3 5 2" xfId="14560"/>
    <cellStyle name="20% - Accent5 3 3 5 2 2" xfId="27952"/>
    <cellStyle name="20% - Accent5 3 3 5 3" xfId="18511"/>
    <cellStyle name="20% - Accent5 3 3 5 3 2" xfId="31790"/>
    <cellStyle name="20% - Accent5 3 3 5 4" xfId="22799"/>
    <cellStyle name="20% - Accent5 3 3 6" xfId="14552"/>
    <cellStyle name="20% - Accent5 3 3 6 2" xfId="27944"/>
    <cellStyle name="20% - Accent5 3 3 7" xfId="18503"/>
    <cellStyle name="20% - Accent5 3 3 7 2" xfId="31782"/>
    <cellStyle name="20% - Accent5 3 3 8" xfId="22791"/>
    <cellStyle name="20% - Accent5 3 3_Volatility" xfId="3321"/>
    <cellStyle name="20% - Accent5 3 4" xfId="3322"/>
    <cellStyle name="20% - Accent5 3 4 2" xfId="3323"/>
    <cellStyle name="20% - Accent5 3 4 2 2" xfId="14562"/>
    <cellStyle name="20% - Accent5 3 4 2 2 2" xfId="27954"/>
    <cellStyle name="20% - Accent5 3 4 2 3" xfId="18513"/>
    <cellStyle name="20% - Accent5 3 4 2 3 2" xfId="31792"/>
    <cellStyle name="20% - Accent5 3 4 2 4" xfId="22801"/>
    <cellStyle name="20% - Accent5 3 4 3" xfId="3324"/>
    <cellStyle name="20% - Accent5 3 4 3 2" xfId="14563"/>
    <cellStyle name="20% - Accent5 3 4 3 2 2" xfId="27955"/>
    <cellStyle name="20% - Accent5 3 4 3 3" xfId="18514"/>
    <cellStyle name="20% - Accent5 3 4 3 3 2" xfId="31793"/>
    <cellStyle name="20% - Accent5 3 4 3 4" xfId="22802"/>
    <cellStyle name="20% - Accent5 3 4 4" xfId="14561"/>
    <cellStyle name="20% - Accent5 3 4 4 2" xfId="27953"/>
    <cellStyle name="20% - Accent5 3 4 5" xfId="18512"/>
    <cellStyle name="20% - Accent5 3 4 5 2" xfId="31791"/>
    <cellStyle name="20% - Accent5 3 4 6" xfId="22800"/>
    <cellStyle name="20% - Accent5 3 5" xfId="3325"/>
    <cellStyle name="20% - Accent5 3 5 2" xfId="3326"/>
    <cellStyle name="20% - Accent5 3 5 2 2" xfId="14565"/>
    <cellStyle name="20% - Accent5 3 5 2 2 2" xfId="27957"/>
    <cellStyle name="20% - Accent5 3 5 2 3" xfId="18516"/>
    <cellStyle name="20% - Accent5 3 5 2 3 2" xfId="31795"/>
    <cellStyle name="20% - Accent5 3 5 2 4" xfId="22804"/>
    <cellStyle name="20% - Accent5 3 5 3" xfId="3327"/>
    <cellStyle name="20% - Accent5 3 5 3 2" xfId="14566"/>
    <cellStyle name="20% - Accent5 3 5 3 2 2" xfId="27958"/>
    <cellStyle name="20% - Accent5 3 5 3 3" xfId="18517"/>
    <cellStyle name="20% - Accent5 3 5 3 3 2" xfId="31796"/>
    <cellStyle name="20% - Accent5 3 5 3 4" xfId="22805"/>
    <cellStyle name="20% - Accent5 3 5 4" xfId="14564"/>
    <cellStyle name="20% - Accent5 3 5 4 2" xfId="27956"/>
    <cellStyle name="20% - Accent5 3 5 5" xfId="18515"/>
    <cellStyle name="20% - Accent5 3 5 5 2" xfId="31794"/>
    <cellStyle name="20% - Accent5 3 5 6" xfId="22803"/>
    <cellStyle name="20% - Accent5 3 6" xfId="3328"/>
    <cellStyle name="20% - Accent5 3 6 2" xfId="3329"/>
    <cellStyle name="20% - Accent5 3 6 2 2" xfId="14568"/>
    <cellStyle name="20% - Accent5 3 6 2 2 2" xfId="27960"/>
    <cellStyle name="20% - Accent5 3 6 2 3" xfId="18519"/>
    <cellStyle name="20% - Accent5 3 6 2 3 2" xfId="31798"/>
    <cellStyle name="20% - Accent5 3 6 2 4" xfId="22807"/>
    <cellStyle name="20% - Accent5 3 6 3" xfId="3330"/>
    <cellStyle name="20% - Accent5 3 6 3 2" xfId="14569"/>
    <cellStyle name="20% - Accent5 3 6 3 2 2" xfId="27961"/>
    <cellStyle name="20% - Accent5 3 6 3 3" xfId="18520"/>
    <cellStyle name="20% - Accent5 3 6 3 3 2" xfId="31799"/>
    <cellStyle name="20% - Accent5 3 6 3 4" xfId="22808"/>
    <cellStyle name="20% - Accent5 3 6 4" xfId="14567"/>
    <cellStyle name="20% - Accent5 3 6 4 2" xfId="27959"/>
    <cellStyle name="20% - Accent5 3 6 5" xfId="18518"/>
    <cellStyle name="20% - Accent5 3 6 5 2" xfId="31797"/>
    <cellStyle name="20% - Accent5 3 6 6" xfId="22806"/>
    <cellStyle name="20% - Accent5 3 7" xfId="3331"/>
    <cellStyle name="20% - Accent5 3 7 2" xfId="14570"/>
    <cellStyle name="20% - Accent5 3 7 2 2" xfId="27962"/>
    <cellStyle name="20% - Accent5 3 7 3" xfId="18521"/>
    <cellStyle name="20% - Accent5 3 7 3 2" xfId="31800"/>
    <cellStyle name="20% - Accent5 3 7 4" xfId="22809"/>
    <cellStyle name="20% - Accent5 3 8" xfId="3332"/>
    <cellStyle name="20% - Accent5 3 8 2" xfId="14571"/>
    <cellStyle name="20% - Accent5 3 8 2 2" xfId="27963"/>
    <cellStyle name="20% - Accent5 3 8 3" xfId="18522"/>
    <cellStyle name="20% - Accent5 3 8 3 2" xfId="31801"/>
    <cellStyle name="20% - Accent5 3 8 4" xfId="22810"/>
    <cellStyle name="20% - Accent5 3 9" xfId="14539"/>
    <cellStyle name="20% - Accent5 3 9 2" xfId="27931"/>
    <cellStyle name="20% - Accent5 3_Volatility" xfId="3333"/>
    <cellStyle name="20% - Accent5 4" xfId="3334"/>
    <cellStyle name="20% - Accent5 4 10" xfId="18523"/>
    <cellStyle name="20% - Accent5 4 10 2" xfId="31802"/>
    <cellStyle name="20% - Accent5 4 11" xfId="22811"/>
    <cellStyle name="20% - Accent5 4 2" xfId="3335"/>
    <cellStyle name="20% - Accent5 4 2 2" xfId="3336"/>
    <cellStyle name="20% - Accent5 4 2 2 2" xfId="3337"/>
    <cellStyle name="20% - Accent5 4 2 2 2 2" xfId="14575"/>
    <cellStyle name="20% - Accent5 4 2 2 2 2 2" xfId="27967"/>
    <cellStyle name="20% - Accent5 4 2 2 2 3" xfId="18526"/>
    <cellStyle name="20% - Accent5 4 2 2 2 3 2" xfId="31805"/>
    <cellStyle name="20% - Accent5 4 2 2 2 4" xfId="22814"/>
    <cellStyle name="20% - Accent5 4 2 2 3" xfId="3338"/>
    <cellStyle name="20% - Accent5 4 2 2 3 2" xfId="14576"/>
    <cellStyle name="20% - Accent5 4 2 2 3 2 2" xfId="27968"/>
    <cellStyle name="20% - Accent5 4 2 2 3 3" xfId="18527"/>
    <cellStyle name="20% - Accent5 4 2 2 3 3 2" xfId="31806"/>
    <cellStyle name="20% - Accent5 4 2 2 3 4" xfId="22815"/>
    <cellStyle name="20% - Accent5 4 2 2 4" xfId="14574"/>
    <cellStyle name="20% - Accent5 4 2 2 4 2" xfId="27966"/>
    <cellStyle name="20% - Accent5 4 2 2 5" xfId="18525"/>
    <cellStyle name="20% - Accent5 4 2 2 5 2" xfId="31804"/>
    <cellStyle name="20% - Accent5 4 2 2 6" xfId="22813"/>
    <cellStyle name="20% - Accent5 4 2 3" xfId="3339"/>
    <cellStyle name="20% - Accent5 4 2 3 2" xfId="3340"/>
    <cellStyle name="20% - Accent5 4 2 3 2 2" xfId="14578"/>
    <cellStyle name="20% - Accent5 4 2 3 2 2 2" xfId="27970"/>
    <cellStyle name="20% - Accent5 4 2 3 2 3" xfId="18529"/>
    <cellStyle name="20% - Accent5 4 2 3 2 3 2" xfId="31808"/>
    <cellStyle name="20% - Accent5 4 2 3 2 4" xfId="22817"/>
    <cellStyle name="20% - Accent5 4 2 3 3" xfId="3341"/>
    <cellStyle name="20% - Accent5 4 2 3 3 2" xfId="14579"/>
    <cellStyle name="20% - Accent5 4 2 3 3 2 2" xfId="27971"/>
    <cellStyle name="20% - Accent5 4 2 3 3 3" xfId="18530"/>
    <cellStyle name="20% - Accent5 4 2 3 3 3 2" xfId="31809"/>
    <cellStyle name="20% - Accent5 4 2 3 3 4" xfId="22818"/>
    <cellStyle name="20% - Accent5 4 2 3 4" xfId="14577"/>
    <cellStyle name="20% - Accent5 4 2 3 4 2" xfId="27969"/>
    <cellStyle name="20% - Accent5 4 2 3 5" xfId="18528"/>
    <cellStyle name="20% - Accent5 4 2 3 5 2" xfId="31807"/>
    <cellStyle name="20% - Accent5 4 2 3 6" xfId="22816"/>
    <cellStyle name="20% - Accent5 4 2 4" xfId="3342"/>
    <cellStyle name="20% - Accent5 4 2 4 2" xfId="3343"/>
    <cellStyle name="20% - Accent5 4 2 4 2 2" xfId="14581"/>
    <cellStyle name="20% - Accent5 4 2 4 2 2 2" xfId="27973"/>
    <cellStyle name="20% - Accent5 4 2 4 2 3" xfId="18532"/>
    <cellStyle name="20% - Accent5 4 2 4 2 3 2" xfId="31811"/>
    <cellStyle name="20% - Accent5 4 2 4 2 4" xfId="22820"/>
    <cellStyle name="20% - Accent5 4 2 4 3" xfId="3344"/>
    <cellStyle name="20% - Accent5 4 2 4 3 2" xfId="14582"/>
    <cellStyle name="20% - Accent5 4 2 4 3 2 2" xfId="27974"/>
    <cellStyle name="20% - Accent5 4 2 4 3 3" xfId="18533"/>
    <cellStyle name="20% - Accent5 4 2 4 3 3 2" xfId="31812"/>
    <cellStyle name="20% - Accent5 4 2 4 3 4" xfId="22821"/>
    <cellStyle name="20% - Accent5 4 2 4 4" xfId="14580"/>
    <cellStyle name="20% - Accent5 4 2 4 4 2" xfId="27972"/>
    <cellStyle name="20% - Accent5 4 2 4 5" xfId="18531"/>
    <cellStyle name="20% - Accent5 4 2 4 5 2" xfId="31810"/>
    <cellStyle name="20% - Accent5 4 2 4 6" xfId="22819"/>
    <cellStyle name="20% - Accent5 4 2 5" xfId="3345"/>
    <cellStyle name="20% - Accent5 4 2 5 2" xfId="14583"/>
    <cellStyle name="20% - Accent5 4 2 5 2 2" xfId="27975"/>
    <cellStyle name="20% - Accent5 4 2 5 3" xfId="18534"/>
    <cellStyle name="20% - Accent5 4 2 5 3 2" xfId="31813"/>
    <cellStyle name="20% - Accent5 4 2 5 4" xfId="22822"/>
    <cellStyle name="20% - Accent5 4 2 6" xfId="3346"/>
    <cellStyle name="20% - Accent5 4 2 6 2" xfId="14584"/>
    <cellStyle name="20% - Accent5 4 2 6 2 2" xfId="27976"/>
    <cellStyle name="20% - Accent5 4 2 6 3" xfId="18535"/>
    <cellStyle name="20% - Accent5 4 2 6 3 2" xfId="31814"/>
    <cellStyle name="20% - Accent5 4 2 6 4" xfId="22823"/>
    <cellStyle name="20% - Accent5 4 2 7" xfId="14573"/>
    <cellStyle name="20% - Accent5 4 2 7 2" xfId="27965"/>
    <cellStyle name="20% - Accent5 4 2 8" xfId="18524"/>
    <cellStyle name="20% - Accent5 4 2 8 2" xfId="31803"/>
    <cellStyle name="20% - Accent5 4 2 9" xfId="22812"/>
    <cellStyle name="20% - Accent5 4 2_Volatility" xfId="3347"/>
    <cellStyle name="20% - Accent5 4 3" xfId="3348"/>
    <cellStyle name="20% - Accent5 4 3 2" xfId="3349"/>
    <cellStyle name="20% - Accent5 4 3 2 2" xfId="3350"/>
    <cellStyle name="20% - Accent5 4 3 2 2 2" xfId="14587"/>
    <cellStyle name="20% - Accent5 4 3 2 2 2 2" xfId="27979"/>
    <cellStyle name="20% - Accent5 4 3 2 2 3" xfId="18538"/>
    <cellStyle name="20% - Accent5 4 3 2 2 3 2" xfId="31817"/>
    <cellStyle name="20% - Accent5 4 3 2 2 4" xfId="22826"/>
    <cellStyle name="20% - Accent5 4 3 2 3" xfId="3351"/>
    <cellStyle name="20% - Accent5 4 3 2 3 2" xfId="14588"/>
    <cellStyle name="20% - Accent5 4 3 2 3 2 2" xfId="27980"/>
    <cellStyle name="20% - Accent5 4 3 2 3 3" xfId="18539"/>
    <cellStyle name="20% - Accent5 4 3 2 3 3 2" xfId="31818"/>
    <cellStyle name="20% - Accent5 4 3 2 3 4" xfId="22827"/>
    <cellStyle name="20% - Accent5 4 3 2 4" xfId="14586"/>
    <cellStyle name="20% - Accent5 4 3 2 4 2" xfId="27978"/>
    <cellStyle name="20% - Accent5 4 3 2 5" xfId="18537"/>
    <cellStyle name="20% - Accent5 4 3 2 5 2" xfId="31816"/>
    <cellStyle name="20% - Accent5 4 3 2 6" xfId="22825"/>
    <cellStyle name="20% - Accent5 4 3 3" xfId="3352"/>
    <cellStyle name="20% - Accent5 4 3 3 2" xfId="3353"/>
    <cellStyle name="20% - Accent5 4 3 3 2 2" xfId="14590"/>
    <cellStyle name="20% - Accent5 4 3 3 2 2 2" xfId="27982"/>
    <cellStyle name="20% - Accent5 4 3 3 2 3" xfId="18541"/>
    <cellStyle name="20% - Accent5 4 3 3 2 3 2" xfId="31820"/>
    <cellStyle name="20% - Accent5 4 3 3 2 4" xfId="22829"/>
    <cellStyle name="20% - Accent5 4 3 3 3" xfId="3354"/>
    <cellStyle name="20% - Accent5 4 3 3 3 2" xfId="14591"/>
    <cellStyle name="20% - Accent5 4 3 3 3 2 2" xfId="27983"/>
    <cellStyle name="20% - Accent5 4 3 3 3 3" xfId="18542"/>
    <cellStyle name="20% - Accent5 4 3 3 3 3 2" xfId="31821"/>
    <cellStyle name="20% - Accent5 4 3 3 3 4" xfId="22830"/>
    <cellStyle name="20% - Accent5 4 3 3 4" xfId="14589"/>
    <cellStyle name="20% - Accent5 4 3 3 4 2" xfId="27981"/>
    <cellStyle name="20% - Accent5 4 3 3 5" xfId="18540"/>
    <cellStyle name="20% - Accent5 4 3 3 5 2" xfId="31819"/>
    <cellStyle name="20% - Accent5 4 3 3 6" xfId="22828"/>
    <cellStyle name="20% - Accent5 4 3 4" xfId="3355"/>
    <cellStyle name="20% - Accent5 4 3 4 2" xfId="14592"/>
    <cellStyle name="20% - Accent5 4 3 4 2 2" xfId="27984"/>
    <cellStyle name="20% - Accent5 4 3 4 3" xfId="18543"/>
    <cellStyle name="20% - Accent5 4 3 4 3 2" xfId="31822"/>
    <cellStyle name="20% - Accent5 4 3 4 4" xfId="22831"/>
    <cellStyle name="20% - Accent5 4 3 5" xfId="3356"/>
    <cellStyle name="20% - Accent5 4 3 5 2" xfId="14593"/>
    <cellStyle name="20% - Accent5 4 3 5 2 2" xfId="27985"/>
    <cellStyle name="20% - Accent5 4 3 5 3" xfId="18544"/>
    <cellStyle name="20% - Accent5 4 3 5 3 2" xfId="31823"/>
    <cellStyle name="20% - Accent5 4 3 5 4" xfId="22832"/>
    <cellStyle name="20% - Accent5 4 3 6" xfId="14585"/>
    <cellStyle name="20% - Accent5 4 3 6 2" xfId="27977"/>
    <cellStyle name="20% - Accent5 4 3 7" xfId="18536"/>
    <cellStyle name="20% - Accent5 4 3 7 2" xfId="31815"/>
    <cellStyle name="20% - Accent5 4 3 8" xfId="22824"/>
    <cellStyle name="20% - Accent5 4 3_Volatility" xfId="3357"/>
    <cellStyle name="20% - Accent5 4 4" xfId="3358"/>
    <cellStyle name="20% - Accent5 4 4 2" xfId="3359"/>
    <cellStyle name="20% - Accent5 4 4 2 2" xfId="14595"/>
    <cellStyle name="20% - Accent5 4 4 2 2 2" xfId="27987"/>
    <cellStyle name="20% - Accent5 4 4 2 3" xfId="18546"/>
    <cellStyle name="20% - Accent5 4 4 2 3 2" xfId="31825"/>
    <cellStyle name="20% - Accent5 4 4 2 4" xfId="22834"/>
    <cellStyle name="20% - Accent5 4 4 3" xfId="3360"/>
    <cellStyle name="20% - Accent5 4 4 3 2" xfId="14596"/>
    <cellStyle name="20% - Accent5 4 4 3 2 2" xfId="27988"/>
    <cellStyle name="20% - Accent5 4 4 3 3" xfId="18547"/>
    <cellStyle name="20% - Accent5 4 4 3 3 2" xfId="31826"/>
    <cellStyle name="20% - Accent5 4 4 3 4" xfId="22835"/>
    <cellStyle name="20% - Accent5 4 4 4" xfId="14594"/>
    <cellStyle name="20% - Accent5 4 4 4 2" xfId="27986"/>
    <cellStyle name="20% - Accent5 4 4 5" xfId="18545"/>
    <cellStyle name="20% - Accent5 4 4 5 2" xfId="31824"/>
    <cellStyle name="20% - Accent5 4 4 6" xfId="22833"/>
    <cellStyle name="20% - Accent5 4 5" xfId="3361"/>
    <cellStyle name="20% - Accent5 4 5 2" xfId="3362"/>
    <cellStyle name="20% - Accent5 4 5 2 2" xfId="14598"/>
    <cellStyle name="20% - Accent5 4 5 2 2 2" xfId="27990"/>
    <cellStyle name="20% - Accent5 4 5 2 3" xfId="18549"/>
    <cellStyle name="20% - Accent5 4 5 2 3 2" xfId="31828"/>
    <cellStyle name="20% - Accent5 4 5 2 4" xfId="22837"/>
    <cellStyle name="20% - Accent5 4 5 3" xfId="3363"/>
    <cellStyle name="20% - Accent5 4 5 3 2" xfId="14599"/>
    <cellStyle name="20% - Accent5 4 5 3 2 2" xfId="27991"/>
    <cellStyle name="20% - Accent5 4 5 3 3" xfId="18550"/>
    <cellStyle name="20% - Accent5 4 5 3 3 2" xfId="31829"/>
    <cellStyle name="20% - Accent5 4 5 3 4" xfId="22838"/>
    <cellStyle name="20% - Accent5 4 5 4" xfId="14597"/>
    <cellStyle name="20% - Accent5 4 5 4 2" xfId="27989"/>
    <cellStyle name="20% - Accent5 4 5 5" xfId="18548"/>
    <cellStyle name="20% - Accent5 4 5 5 2" xfId="31827"/>
    <cellStyle name="20% - Accent5 4 5 6" xfId="22836"/>
    <cellStyle name="20% - Accent5 4 6" xfId="3364"/>
    <cellStyle name="20% - Accent5 4 6 2" xfId="3365"/>
    <cellStyle name="20% - Accent5 4 6 2 2" xfId="14601"/>
    <cellStyle name="20% - Accent5 4 6 2 2 2" xfId="27993"/>
    <cellStyle name="20% - Accent5 4 6 2 3" xfId="18552"/>
    <cellStyle name="20% - Accent5 4 6 2 3 2" xfId="31831"/>
    <cellStyle name="20% - Accent5 4 6 2 4" xfId="22840"/>
    <cellStyle name="20% - Accent5 4 6 3" xfId="3366"/>
    <cellStyle name="20% - Accent5 4 6 3 2" xfId="14602"/>
    <cellStyle name="20% - Accent5 4 6 3 2 2" xfId="27994"/>
    <cellStyle name="20% - Accent5 4 6 3 3" xfId="18553"/>
    <cellStyle name="20% - Accent5 4 6 3 3 2" xfId="31832"/>
    <cellStyle name="20% - Accent5 4 6 3 4" xfId="22841"/>
    <cellStyle name="20% - Accent5 4 6 4" xfId="14600"/>
    <cellStyle name="20% - Accent5 4 6 4 2" xfId="27992"/>
    <cellStyle name="20% - Accent5 4 6 5" xfId="18551"/>
    <cellStyle name="20% - Accent5 4 6 5 2" xfId="31830"/>
    <cellStyle name="20% - Accent5 4 6 6" xfId="22839"/>
    <cellStyle name="20% - Accent5 4 7" xfId="3367"/>
    <cellStyle name="20% - Accent5 4 7 2" xfId="14603"/>
    <cellStyle name="20% - Accent5 4 7 2 2" xfId="27995"/>
    <cellStyle name="20% - Accent5 4 7 3" xfId="18554"/>
    <cellStyle name="20% - Accent5 4 7 3 2" xfId="31833"/>
    <cellStyle name="20% - Accent5 4 7 4" xfId="22842"/>
    <cellStyle name="20% - Accent5 4 8" xfId="3368"/>
    <cellStyle name="20% - Accent5 4 8 2" xfId="14604"/>
    <cellStyle name="20% - Accent5 4 8 2 2" xfId="27996"/>
    <cellStyle name="20% - Accent5 4 8 3" xfId="18555"/>
    <cellStyle name="20% - Accent5 4 8 3 2" xfId="31834"/>
    <cellStyle name="20% - Accent5 4 8 4" xfId="22843"/>
    <cellStyle name="20% - Accent5 4 9" xfId="14572"/>
    <cellStyle name="20% - Accent5 4 9 2" xfId="27964"/>
    <cellStyle name="20% - Accent5 4_Volatility" xfId="3369"/>
    <cellStyle name="20% - Accent5 5" xfId="3370"/>
    <cellStyle name="20% - Accent5 5 10" xfId="18556"/>
    <cellStyle name="20% - Accent5 5 10 2" xfId="31835"/>
    <cellStyle name="20% - Accent5 5 11" xfId="22844"/>
    <cellStyle name="20% - Accent5 5 2" xfId="3371"/>
    <cellStyle name="20% - Accent5 5 2 2" xfId="3372"/>
    <cellStyle name="20% - Accent5 5 2 2 2" xfId="3373"/>
    <cellStyle name="20% - Accent5 5 2 2 2 2" xfId="14608"/>
    <cellStyle name="20% - Accent5 5 2 2 2 2 2" xfId="28000"/>
    <cellStyle name="20% - Accent5 5 2 2 2 3" xfId="18559"/>
    <cellStyle name="20% - Accent5 5 2 2 2 3 2" xfId="31838"/>
    <cellStyle name="20% - Accent5 5 2 2 2 4" xfId="22847"/>
    <cellStyle name="20% - Accent5 5 2 2 3" xfId="3374"/>
    <cellStyle name="20% - Accent5 5 2 2 3 2" xfId="14609"/>
    <cellStyle name="20% - Accent5 5 2 2 3 2 2" xfId="28001"/>
    <cellStyle name="20% - Accent5 5 2 2 3 3" xfId="18560"/>
    <cellStyle name="20% - Accent5 5 2 2 3 3 2" xfId="31839"/>
    <cellStyle name="20% - Accent5 5 2 2 3 4" xfId="22848"/>
    <cellStyle name="20% - Accent5 5 2 2 4" xfId="14607"/>
    <cellStyle name="20% - Accent5 5 2 2 4 2" xfId="27999"/>
    <cellStyle name="20% - Accent5 5 2 2 5" xfId="18558"/>
    <cellStyle name="20% - Accent5 5 2 2 5 2" xfId="31837"/>
    <cellStyle name="20% - Accent5 5 2 2 6" xfId="22846"/>
    <cellStyle name="20% - Accent5 5 2 3" xfId="3375"/>
    <cellStyle name="20% - Accent5 5 2 3 2" xfId="3376"/>
    <cellStyle name="20% - Accent5 5 2 3 2 2" xfId="14611"/>
    <cellStyle name="20% - Accent5 5 2 3 2 2 2" xfId="28003"/>
    <cellStyle name="20% - Accent5 5 2 3 2 3" xfId="18562"/>
    <cellStyle name="20% - Accent5 5 2 3 2 3 2" xfId="31841"/>
    <cellStyle name="20% - Accent5 5 2 3 2 4" xfId="22850"/>
    <cellStyle name="20% - Accent5 5 2 3 3" xfId="3377"/>
    <cellStyle name="20% - Accent5 5 2 3 3 2" xfId="14612"/>
    <cellStyle name="20% - Accent5 5 2 3 3 2 2" xfId="28004"/>
    <cellStyle name="20% - Accent5 5 2 3 3 3" xfId="18563"/>
    <cellStyle name="20% - Accent5 5 2 3 3 3 2" xfId="31842"/>
    <cellStyle name="20% - Accent5 5 2 3 3 4" xfId="22851"/>
    <cellStyle name="20% - Accent5 5 2 3 4" xfId="14610"/>
    <cellStyle name="20% - Accent5 5 2 3 4 2" xfId="28002"/>
    <cellStyle name="20% - Accent5 5 2 3 5" xfId="18561"/>
    <cellStyle name="20% - Accent5 5 2 3 5 2" xfId="31840"/>
    <cellStyle name="20% - Accent5 5 2 3 6" xfId="22849"/>
    <cellStyle name="20% - Accent5 5 2 4" xfId="3378"/>
    <cellStyle name="20% - Accent5 5 2 4 2" xfId="3379"/>
    <cellStyle name="20% - Accent5 5 2 4 2 2" xfId="14614"/>
    <cellStyle name="20% - Accent5 5 2 4 2 2 2" xfId="28006"/>
    <cellStyle name="20% - Accent5 5 2 4 2 3" xfId="18565"/>
    <cellStyle name="20% - Accent5 5 2 4 2 3 2" xfId="31844"/>
    <cellStyle name="20% - Accent5 5 2 4 2 4" xfId="22853"/>
    <cellStyle name="20% - Accent5 5 2 4 3" xfId="3380"/>
    <cellStyle name="20% - Accent5 5 2 4 3 2" xfId="14615"/>
    <cellStyle name="20% - Accent5 5 2 4 3 2 2" xfId="28007"/>
    <cellStyle name="20% - Accent5 5 2 4 3 3" xfId="18566"/>
    <cellStyle name="20% - Accent5 5 2 4 3 3 2" xfId="31845"/>
    <cellStyle name="20% - Accent5 5 2 4 3 4" xfId="22854"/>
    <cellStyle name="20% - Accent5 5 2 4 4" xfId="14613"/>
    <cellStyle name="20% - Accent5 5 2 4 4 2" xfId="28005"/>
    <cellStyle name="20% - Accent5 5 2 4 5" xfId="18564"/>
    <cellStyle name="20% - Accent5 5 2 4 5 2" xfId="31843"/>
    <cellStyle name="20% - Accent5 5 2 4 6" xfId="22852"/>
    <cellStyle name="20% - Accent5 5 2 5" xfId="3381"/>
    <cellStyle name="20% - Accent5 5 2 5 2" xfId="14616"/>
    <cellStyle name="20% - Accent5 5 2 5 2 2" xfId="28008"/>
    <cellStyle name="20% - Accent5 5 2 5 3" xfId="18567"/>
    <cellStyle name="20% - Accent5 5 2 5 3 2" xfId="31846"/>
    <cellStyle name="20% - Accent5 5 2 5 4" xfId="22855"/>
    <cellStyle name="20% - Accent5 5 2 6" xfId="3382"/>
    <cellStyle name="20% - Accent5 5 2 6 2" xfId="14617"/>
    <cellStyle name="20% - Accent5 5 2 6 2 2" xfId="28009"/>
    <cellStyle name="20% - Accent5 5 2 6 3" xfId="18568"/>
    <cellStyle name="20% - Accent5 5 2 6 3 2" xfId="31847"/>
    <cellStyle name="20% - Accent5 5 2 6 4" xfId="22856"/>
    <cellStyle name="20% - Accent5 5 2 7" xfId="14606"/>
    <cellStyle name="20% - Accent5 5 2 7 2" xfId="27998"/>
    <cellStyle name="20% - Accent5 5 2 8" xfId="18557"/>
    <cellStyle name="20% - Accent5 5 2 8 2" xfId="31836"/>
    <cellStyle name="20% - Accent5 5 2 9" xfId="22845"/>
    <cellStyle name="20% - Accent5 5 2_Volatility" xfId="3383"/>
    <cellStyle name="20% - Accent5 5 3" xfId="3384"/>
    <cellStyle name="20% - Accent5 5 3 2" xfId="3385"/>
    <cellStyle name="20% - Accent5 5 3 2 2" xfId="3386"/>
    <cellStyle name="20% - Accent5 5 3 2 2 2" xfId="14620"/>
    <cellStyle name="20% - Accent5 5 3 2 2 2 2" xfId="28012"/>
    <cellStyle name="20% - Accent5 5 3 2 2 3" xfId="18571"/>
    <cellStyle name="20% - Accent5 5 3 2 2 3 2" xfId="31850"/>
    <cellStyle name="20% - Accent5 5 3 2 2 4" xfId="22859"/>
    <cellStyle name="20% - Accent5 5 3 2 3" xfId="3387"/>
    <cellStyle name="20% - Accent5 5 3 2 3 2" xfId="14621"/>
    <cellStyle name="20% - Accent5 5 3 2 3 2 2" xfId="28013"/>
    <cellStyle name="20% - Accent5 5 3 2 3 3" xfId="18572"/>
    <cellStyle name="20% - Accent5 5 3 2 3 3 2" xfId="31851"/>
    <cellStyle name="20% - Accent5 5 3 2 3 4" xfId="22860"/>
    <cellStyle name="20% - Accent5 5 3 2 4" xfId="14619"/>
    <cellStyle name="20% - Accent5 5 3 2 4 2" xfId="28011"/>
    <cellStyle name="20% - Accent5 5 3 2 5" xfId="18570"/>
    <cellStyle name="20% - Accent5 5 3 2 5 2" xfId="31849"/>
    <cellStyle name="20% - Accent5 5 3 2 6" xfId="22858"/>
    <cellStyle name="20% - Accent5 5 3 3" xfId="3388"/>
    <cellStyle name="20% - Accent5 5 3 3 2" xfId="3389"/>
    <cellStyle name="20% - Accent5 5 3 3 2 2" xfId="14623"/>
    <cellStyle name="20% - Accent5 5 3 3 2 2 2" xfId="28015"/>
    <cellStyle name="20% - Accent5 5 3 3 2 3" xfId="18574"/>
    <cellStyle name="20% - Accent5 5 3 3 2 3 2" xfId="31853"/>
    <cellStyle name="20% - Accent5 5 3 3 2 4" xfId="22862"/>
    <cellStyle name="20% - Accent5 5 3 3 3" xfId="3390"/>
    <cellStyle name="20% - Accent5 5 3 3 3 2" xfId="14624"/>
    <cellStyle name="20% - Accent5 5 3 3 3 2 2" xfId="28016"/>
    <cellStyle name="20% - Accent5 5 3 3 3 3" xfId="18575"/>
    <cellStyle name="20% - Accent5 5 3 3 3 3 2" xfId="31854"/>
    <cellStyle name="20% - Accent5 5 3 3 3 4" xfId="22863"/>
    <cellStyle name="20% - Accent5 5 3 3 4" xfId="14622"/>
    <cellStyle name="20% - Accent5 5 3 3 4 2" xfId="28014"/>
    <cellStyle name="20% - Accent5 5 3 3 5" xfId="18573"/>
    <cellStyle name="20% - Accent5 5 3 3 5 2" xfId="31852"/>
    <cellStyle name="20% - Accent5 5 3 3 6" xfId="22861"/>
    <cellStyle name="20% - Accent5 5 3 4" xfId="3391"/>
    <cellStyle name="20% - Accent5 5 3 4 2" xfId="14625"/>
    <cellStyle name="20% - Accent5 5 3 4 2 2" xfId="28017"/>
    <cellStyle name="20% - Accent5 5 3 4 3" xfId="18576"/>
    <cellStyle name="20% - Accent5 5 3 4 3 2" xfId="31855"/>
    <cellStyle name="20% - Accent5 5 3 4 4" xfId="22864"/>
    <cellStyle name="20% - Accent5 5 3 5" xfId="3392"/>
    <cellStyle name="20% - Accent5 5 3 5 2" xfId="14626"/>
    <cellStyle name="20% - Accent5 5 3 5 2 2" xfId="28018"/>
    <cellStyle name="20% - Accent5 5 3 5 3" xfId="18577"/>
    <cellStyle name="20% - Accent5 5 3 5 3 2" xfId="31856"/>
    <cellStyle name="20% - Accent5 5 3 5 4" xfId="22865"/>
    <cellStyle name="20% - Accent5 5 3 6" xfId="14618"/>
    <cellStyle name="20% - Accent5 5 3 6 2" xfId="28010"/>
    <cellStyle name="20% - Accent5 5 3 7" xfId="18569"/>
    <cellStyle name="20% - Accent5 5 3 7 2" xfId="31848"/>
    <cellStyle name="20% - Accent5 5 3 8" xfId="22857"/>
    <cellStyle name="20% - Accent5 5 3_Volatility" xfId="3393"/>
    <cellStyle name="20% - Accent5 5 4" xfId="3394"/>
    <cellStyle name="20% - Accent5 5 4 2" xfId="3395"/>
    <cellStyle name="20% - Accent5 5 4 2 2" xfId="14628"/>
    <cellStyle name="20% - Accent5 5 4 2 2 2" xfId="28020"/>
    <cellStyle name="20% - Accent5 5 4 2 3" xfId="18579"/>
    <cellStyle name="20% - Accent5 5 4 2 3 2" xfId="31858"/>
    <cellStyle name="20% - Accent5 5 4 2 4" xfId="22867"/>
    <cellStyle name="20% - Accent5 5 4 3" xfId="3396"/>
    <cellStyle name="20% - Accent5 5 4 3 2" xfId="14629"/>
    <cellStyle name="20% - Accent5 5 4 3 2 2" xfId="28021"/>
    <cellStyle name="20% - Accent5 5 4 3 3" xfId="18580"/>
    <cellStyle name="20% - Accent5 5 4 3 3 2" xfId="31859"/>
    <cellStyle name="20% - Accent5 5 4 3 4" xfId="22868"/>
    <cellStyle name="20% - Accent5 5 4 4" xfId="14627"/>
    <cellStyle name="20% - Accent5 5 4 4 2" xfId="28019"/>
    <cellStyle name="20% - Accent5 5 4 5" xfId="18578"/>
    <cellStyle name="20% - Accent5 5 4 5 2" xfId="31857"/>
    <cellStyle name="20% - Accent5 5 4 6" xfId="22866"/>
    <cellStyle name="20% - Accent5 5 5" xfId="3397"/>
    <cellStyle name="20% - Accent5 5 5 2" xfId="3398"/>
    <cellStyle name="20% - Accent5 5 5 2 2" xfId="14631"/>
    <cellStyle name="20% - Accent5 5 5 2 2 2" xfId="28023"/>
    <cellStyle name="20% - Accent5 5 5 2 3" xfId="18582"/>
    <cellStyle name="20% - Accent5 5 5 2 3 2" xfId="31861"/>
    <cellStyle name="20% - Accent5 5 5 2 4" xfId="22870"/>
    <cellStyle name="20% - Accent5 5 5 3" xfId="3399"/>
    <cellStyle name="20% - Accent5 5 5 3 2" xfId="14632"/>
    <cellStyle name="20% - Accent5 5 5 3 2 2" xfId="28024"/>
    <cellStyle name="20% - Accent5 5 5 3 3" xfId="18583"/>
    <cellStyle name="20% - Accent5 5 5 3 3 2" xfId="31862"/>
    <cellStyle name="20% - Accent5 5 5 3 4" xfId="22871"/>
    <cellStyle name="20% - Accent5 5 5 4" xfId="14630"/>
    <cellStyle name="20% - Accent5 5 5 4 2" xfId="28022"/>
    <cellStyle name="20% - Accent5 5 5 5" xfId="18581"/>
    <cellStyle name="20% - Accent5 5 5 5 2" xfId="31860"/>
    <cellStyle name="20% - Accent5 5 5 6" xfId="22869"/>
    <cellStyle name="20% - Accent5 5 6" xfId="3400"/>
    <cellStyle name="20% - Accent5 5 6 2" xfId="3401"/>
    <cellStyle name="20% - Accent5 5 6 2 2" xfId="14634"/>
    <cellStyle name="20% - Accent5 5 6 2 2 2" xfId="28026"/>
    <cellStyle name="20% - Accent5 5 6 2 3" xfId="18585"/>
    <cellStyle name="20% - Accent5 5 6 2 3 2" xfId="31864"/>
    <cellStyle name="20% - Accent5 5 6 2 4" xfId="22873"/>
    <cellStyle name="20% - Accent5 5 6 3" xfId="3402"/>
    <cellStyle name="20% - Accent5 5 6 3 2" xfId="14635"/>
    <cellStyle name="20% - Accent5 5 6 3 2 2" xfId="28027"/>
    <cellStyle name="20% - Accent5 5 6 3 3" xfId="18586"/>
    <cellStyle name="20% - Accent5 5 6 3 3 2" xfId="31865"/>
    <cellStyle name="20% - Accent5 5 6 3 4" xfId="22874"/>
    <cellStyle name="20% - Accent5 5 6 4" xfId="14633"/>
    <cellStyle name="20% - Accent5 5 6 4 2" xfId="28025"/>
    <cellStyle name="20% - Accent5 5 6 5" xfId="18584"/>
    <cellStyle name="20% - Accent5 5 6 5 2" xfId="31863"/>
    <cellStyle name="20% - Accent5 5 6 6" xfId="22872"/>
    <cellStyle name="20% - Accent5 5 7" xfId="3403"/>
    <cellStyle name="20% - Accent5 5 7 2" xfId="14636"/>
    <cellStyle name="20% - Accent5 5 7 2 2" xfId="28028"/>
    <cellStyle name="20% - Accent5 5 7 3" xfId="18587"/>
    <cellStyle name="20% - Accent5 5 7 3 2" xfId="31866"/>
    <cellStyle name="20% - Accent5 5 7 4" xfId="22875"/>
    <cellStyle name="20% - Accent5 5 8" xfId="3404"/>
    <cellStyle name="20% - Accent5 5 8 2" xfId="14637"/>
    <cellStyle name="20% - Accent5 5 8 2 2" xfId="28029"/>
    <cellStyle name="20% - Accent5 5 8 3" xfId="18588"/>
    <cellStyle name="20% - Accent5 5 8 3 2" xfId="31867"/>
    <cellStyle name="20% - Accent5 5 8 4" xfId="22876"/>
    <cellStyle name="20% - Accent5 5 9" xfId="14605"/>
    <cellStyle name="20% - Accent5 5 9 2" xfId="27997"/>
    <cellStyle name="20% - Accent5 5_Volatility" xfId="3405"/>
    <cellStyle name="20% - Accent5 6" xfId="3406"/>
    <cellStyle name="20% - Accent5 6 10" xfId="18589"/>
    <cellStyle name="20% - Accent5 6 10 2" xfId="31868"/>
    <cellStyle name="20% - Accent5 6 11" xfId="22877"/>
    <cellStyle name="20% - Accent5 6 2" xfId="3407"/>
    <cellStyle name="20% - Accent5 6 2 2" xfId="3408"/>
    <cellStyle name="20% - Accent5 6 2 2 2" xfId="3409"/>
    <cellStyle name="20% - Accent5 6 2 2 2 2" xfId="14641"/>
    <cellStyle name="20% - Accent5 6 2 2 2 2 2" xfId="28033"/>
    <cellStyle name="20% - Accent5 6 2 2 2 3" xfId="18592"/>
    <cellStyle name="20% - Accent5 6 2 2 2 3 2" xfId="31871"/>
    <cellStyle name="20% - Accent5 6 2 2 2 4" xfId="22880"/>
    <cellStyle name="20% - Accent5 6 2 2 3" xfId="3410"/>
    <cellStyle name="20% - Accent5 6 2 2 3 2" xfId="14642"/>
    <cellStyle name="20% - Accent5 6 2 2 3 2 2" xfId="28034"/>
    <cellStyle name="20% - Accent5 6 2 2 3 3" xfId="18593"/>
    <cellStyle name="20% - Accent5 6 2 2 3 3 2" xfId="31872"/>
    <cellStyle name="20% - Accent5 6 2 2 3 4" xfId="22881"/>
    <cellStyle name="20% - Accent5 6 2 2 4" xfId="14640"/>
    <cellStyle name="20% - Accent5 6 2 2 4 2" xfId="28032"/>
    <cellStyle name="20% - Accent5 6 2 2 5" xfId="18591"/>
    <cellStyle name="20% - Accent5 6 2 2 5 2" xfId="31870"/>
    <cellStyle name="20% - Accent5 6 2 2 6" xfId="22879"/>
    <cellStyle name="20% - Accent5 6 2 3" xfId="3411"/>
    <cellStyle name="20% - Accent5 6 2 3 2" xfId="3412"/>
    <cellStyle name="20% - Accent5 6 2 3 2 2" xfId="14644"/>
    <cellStyle name="20% - Accent5 6 2 3 2 2 2" xfId="28036"/>
    <cellStyle name="20% - Accent5 6 2 3 2 3" xfId="18595"/>
    <cellStyle name="20% - Accent5 6 2 3 2 3 2" xfId="31874"/>
    <cellStyle name="20% - Accent5 6 2 3 2 4" xfId="22883"/>
    <cellStyle name="20% - Accent5 6 2 3 3" xfId="3413"/>
    <cellStyle name="20% - Accent5 6 2 3 3 2" xfId="14645"/>
    <cellStyle name="20% - Accent5 6 2 3 3 2 2" xfId="28037"/>
    <cellStyle name="20% - Accent5 6 2 3 3 3" xfId="18596"/>
    <cellStyle name="20% - Accent5 6 2 3 3 3 2" xfId="31875"/>
    <cellStyle name="20% - Accent5 6 2 3 3 4" xfId="22884"/>
    <cellStyle name="20% - Accent5 6 2 3 4" xfId="14643"/>
    <cellStyle name="20% - Accent5 6 2 3 4 2" xfId="28035"/>
    <cellStyle name="20% - Accent5 6 2 3 5" xfId="18594"/>
    <cellStyle name="20% - Accent5 6 2 3 5 2" xfId="31873"/>
    <cellStyle name="20% - Accent5 6 2 3 6" xfId="22882"/>
    <cellStyle name="20% - Accent5 6 2 4" xfId="3414"/>
    <cellStyle name="20% - Accent5 6 2 4 2" xfId="3415"/>
    <cellStyle name="20% - Accent5 6 2 4 2 2" xfId="14647"/>
    <cellStyle name="20% - Accent5 6 2 4 2 2 2" xfId="28039"/>
    <cellStyle name="20% - Accent5 6 2 4 2 3" xfId="18598"/>
    <cellStyle name="20% - Accent5 6 2 4 2 3 2" xfId="31877"/>
    <cellStyle name="20% - Accent5 6 2 4 2 4" xfId="22886"/>
    <cellStyle name="20% - Accent5 6 2 4 3" xfId="3416"/>
    <cellStyle name="20% - Accent5 6 2 4 3 2" xfId="14648"/>
    <cellStyle name="20% - Accent5 6 2 4 3 2 2" xfId="28040"/>
    <cellStyle name="20% - Accent5 6 2 4 3 3" xfId="18599"/>
    <cellStyle name="20% - Accent5 6 2 4 3 3 2" xfId="31878"/>
    <cellStyle name="20% - Accent5 6 2 4 3 4" xfId="22887"/>
    <cellStyle name="20% - Accent5 6 2 4 4" xfId="14646"/>
    <cellStyle name="20% - Accent5 6 2 4 4 2" xfId="28038"/>
    <cellStyle name="20% - Accent5 6 2 4 5" xfId="18597"/>
    <cellStyle name="20% - Accent5 6 2 4 5 2" xfId="31876"/>
    <cellStyle name="20% - Accent5 6 2 4 6" xfId="22885"/>
    <cellStyle name="20% - Accent5 6 2 5" xfId="3417"/>
    <cellStyle name="20% - Accent5 6 2 5 2" xfId="14649"/>
    <cellStyle name="20% - Accent5 6 2 5 2 2" xfId="28041"/>
    <cellStyle name="20% - Accent5 6 2 5 3" xfId="18600"/>
    <cellStyle name="20% - Accent5 6 2 5 3 2" xfId="31879"/>
    <cellStyle name="20% - Accent5 6 2 5 4" xfId="22888"/>
    <cellStyle name="20% - Accent5 6 2 6" xfId="3418"/>
    <cellStyle name="20% - Accent5 6 2 6 2" xfId="14650"/>
    <cellStyle name="20% - Accent5 6 2 6 2 2" xfId="28042"/>
    <cellStyle name="20% - Accent5 6 2 6 3" xfId="18601"/>
    <cellStyle name="20% - Accent5 6 2 6 3 2" xfId="31880"/>
    <cellStyle name="20% - Accent5 6 2 6 4" xfId="22889"/>
    <cellStyle name="20% - Accent5 6 2 7" xfId="14639"/>
    <cellStyle name="20% - Accent5 6 2 7 2" xfId="28031"/>
    <cellStyle name="20% - Accent5 6 2 8" xfId="18590"/>
    <cellStyle name="20% - Accent5 6 2 8 2" xfId="31869"/>
    <cellStyle name="20% - Accent5 6 2 9" xfId="22878"/>
    <cellStyle name="20% - Accent5 6 2_Volatility" xfId="3419"/>
    <cellStyle name="20% - Accent5 6 3" xfId="3420"/>
    <cellStyle name="20% - Accent5 6 3 2" xfId="3421"/>
    <cellStyle name="20% - Accent5 6 3 2 2" xfId="3422"/>
    <cellStyle name="20% - Accent5 6 3 2 2 2" xfId="14653"/>
    <cellStyle name="20% - Accent5 6 3 2 2 2 2" xfId="28045"/>
    <cellStyle name="20% - Accent5 6 3 2 2 3" xfId="18604"/>
    <cellStyle name="20% - Accent5 6 3 2 2 3 2" xfId="31883"/>
    <cellStyle name="20% - Accent5 6 3 2 2 4" xfId="22892"/>
    <cellStyle name="20% - Accent5 6 3 2 3" xfId="3423"/>
    <cellStyle name="20% - Accent5 6 3 2 3 2" xfId="14654"/>
    <cellStyle name="20% - Accent5 6 3 2 3 2 2" xfId="28046"/>
    <cellStyle name="20% - Accent5 6 3 2 3 3" xfId="18605"/>
    <cellStyle name="20% - Accent5 6 3 2 3 3 2" xfId="31884"/>
    <cellStyle name="20% - Accent5 6 3 2 3 4" xfId="22893"/>
    <cellStyle name="20% - Accent5 6 3 2 4" xfId="14652"/>
    <cellStyle name="20% - Accent5 6 3 2 4 2" xfId="28044"/>
    <cellStyle name="20% - Accent5 6 3 2 5" xfId="18603"/>
    <cellStyle name="20% - Accent5 6 3 2 5 2" xfId="31882"/>
    <cellStyle name="20% - Accent5 6 3 2 6" xfId="22891"/>
    <cellStyle name="20% - Accent5 6 3 3" xfId="3424"/>
    <cellStyle name="20% - Accent5 6 3 3 2" xfId="3425"/>
    <cellStyle name="20% - Accent5 6 3 3 2 2" xfId="14656"/>
    <cellStyle name="20% - Accent5 6 3 3 2 2 2" xfId="28048"/>
    <cellStyle name="20% - Accent5 6 3 3 2 3" xfId="18607"/>
    <cellStyle name="20% - Accent5 6 3 3 2 3 2" xfId="31886"/>
    <cellStyle name="20% - Accent5 6 3 3 2 4" xfId="22895"/>
    <cellStyle name="20% - Accent5 6 3 3 3" xfId="3426"/>
    <cellStyle name="20% - Accent5 6 3 3 3 2" xfId="14657"/>
    <cellStyle name="20% - Accent5 6 3 3 3 2 2" xfId="28049"/>
    <cellStyle name="20% - Accent5 6 3 3 3 3" xfId="18608"/>
    <cellStyle name="20% - Accent5 6 3 3 3 3 2" xfId="31887"/>
    <cellStyle name="20% - Accent5 6 3 3 3 4" xfId="22896"/>
    <cellStyle name="20% - Accent5 6 3 3 4" xfId="14655"/>
    <cellStyle name="20% - Accent5 6 3 3 4 2" xfId="28047"/>
    <cellStyle name="20% - Accent5 6 3 3 5" xfId="18606"/>
    <cellStyle name="20% - Accent5 6 3 3 5 2" xfId="31885"/>
    <cellStyle name="20% - Accent5 6 3 3 6" xfId="22894"/>
    <cellStyle name="20% - Accent5 6 3 4" xfId="3427"/>
    <cellStyle name="20% - Accent5 6 3 4 2" xfId="14658"/>
    <cellStyle name="20% - Accent5 6 3 4 2 2" xfId="28050"/>
    <cellStyle name="20% - Accent5 6 3 4 3" xfId="18609"/>
    <cellStyle name="20% - Accent5 6 3 4 3 2" xfId="31888"/>
    <cellStyle name="20% - Accent5 6 3 4 4" xfId="22897"/>
    <cellStyle name="20% - Accent5 6 3 5" xfId="3428"/>
    <cellStyle name="20% - Accent5 6 3 5 2" xfId="14659"/>
    <cellStyle name="20% - Accent5 6 3 5 2 2" xfId="28051"/>
    <cellStyle name="20% - Accent5 6 3 5 3" xfId="18610"/>
    <cellStyle name="20% - Accent5 6 3 5 3 2" xfId="31889"/>
    <cellStyle name="20% - Accent5 6 3 5 4" xfId="22898"/>
    <cellStyle name="20% - Accent5 6 3 6" xfId="14651"/>
    <cellStyle name="20% - Accent5 6 3 6 2" xfId="28043"/>
    <cellStyle name="20% - Accent5 6 3 7" xfId="18602"/>
    <cellStyle name="20% - Accent5 6 3 7 2" xfId="31881"/>
    <cellStyle name="20% - Accent5 6 3 8" xfId="22890"/>
    <cellStyle name="20% - Accent5 6 3_Volatility" xfId="3429"/>
    <cellStyle name="20% - Accent5 6 4" xfId="3430"/>
    <cellStyle name="20% - Accent5 6 4 2" xfId="3431"/>
    <cellStyle name="20% - Accent5 6 4 2 2" xfId="14661"/>
    <cellStyle name="20% - Accent5 6 4 2 2 2" xfId="28053"/>
    <cellStyle name="20% - Accent5 6 4 2 3" xfId="18612"/>
    <cellStyle name="20% - Accent5 6 4 2 3 2" xfId="31891"/>
    <cellStyle name="20% - Accent5 6 4 2 4" xfId="22900"/>
    <cellStyle name="20% - Accent5 6 4 3" xfId="3432"/>
    <cellStyle name="20% - Accent5 6 4 3 2" xfId="14662"/>
    <cellStyle name="20% - Accent5 6 4 3 2 2" xfId="28054"/>
    <cellStyle name="20% - Accent5 6 4 3 3" xfId="18613"/>
    <cellStyle name="20% - Accent5 6 4 3 3 2" xfId="31892"/>
    <cellStyle name="20% - Accent5 6 4 3 4" xfId="22901"/>
    <cellStyle name="20% - Accent5 6 4 4" xfId="14660"/>
    <cellStyle name="20% - Accent5 6 4 4 2" xfId="28052"/>
    <cellStyle name="20% - Accent5 6 4 5" xfId="18611"/>
    <cellStyle name="20% - Accent5 6 4 5 2" xfId="31890"/>
    <cellStyle name="20% - Accent5 6 4 6" xfId="22899"/>
    <cellStyle name="20% - Accent5 6 5" xfId="3433"/>
    <cellStyle name="20% - Accent5 6 5 2" xfId="3434"/>
    <cellStyle name="20% - Accent5 6 5 2 2" xfId="14664"/>
    <cellStyle name="20% - Accent5 6 5 2 2 2" xfId="28056"/>
    <cellStyle name="20% - Accent5 6 5 2 3" xfId="18615"/>
    <cellStyle name="20% - Accent5 6 5 2 3 2" xfId="31894"/>
    <cellStyle name="20% - Accent5 6 5 2 4" xfId="22903"/>
    <cellStyle name="20% - Accent5 6 5 3" xfId="3435"/>
    <cellStyle name="20% - Accent5 6 5 3 2" xfId="14665"/>
    <cellStyle name="20% - Accent5 6 5 3 2 2" xfId="28057"/>
    <cellStyle name="20% - Accent5 6 5 3 3" xfId="18616"/>
    <cellStyle name="20% - Accent5 6 5 3 3 2" xfId="31895"/>
    <cellStyle name="20% - Accent5 6 5 3 4" xfId="22904"/>
    <cellStyle name="20% - Accent5 6 5 4" xfId="14663"/>
    <cellStyle name="20% - Accent5 6 5 4 2" xfId="28055"/>
    <cellStyle name="20% - Accent5 6 5 5" xfId="18614"/>
    <cellStyle name="20% - Accent5 6 5 5 2" xfId="31893"/>
    <cellStyle name="20% - Accent5 6 5 6" xfId="22902"/>
    <cellStyle name="20% - Accent5 6 6" xfId="3436"/>
    <cellStyle name="20% - Accent5 6 6 2" xfId="3437"/>
    <cellStyle name="20% - Accent5 6 6 2 2" xfId="14667"/>
    <cellStyle name="20% - Accent5 6 6 2 2 2" xfId="28059"/>
    <cellStyle name="20% - Accent5 6 6 2 3" xfId="18618"/>
    <cellStyle name="20% - Accent5 6 6 2 3 2" xfId="31897"/>
    <cellStyle name="20% - Accent5 6 6 2 4" xfId="22906"/>
    <cellStyle name="20% - Accent5 6 6 3" xfId="3438"/>
    <cellStyle name="20% - Accent5 6 6 3 2" xfId="14668"/>
    <cellStyle name="20% - Accent5 6 6 3 2 2" xfId="28060"/>
    <cellStyle name="20% - Accent5 6 6 3 3" xfId="18619"/>
    <cellStyle name="20% - Accent5 6 6 3 3 2" xfId="31898"/>
    <cellStyle name="20% - Accent5 6 6 3 4" xfId="22907"/>
    <cellStyle name="20% - Accent5 6 6 4" xfId="14666"/>
    <cellStyle name="20% - Accent5 6 6 4 2" xfId="28058"/>
    <cellStyle name="20% - Accent5 6 6 5" xfId="18617"/>
    <cellStyle name="20% - Accent5 6 6 5 2" xfId="31896"/>
    <cellStyle name="20% - Accent5 6 6 6" xfId="22905"/>
    <cellStyle name="20% - Accent5 6 7" xfId="3439"/>
    <cellStyle name="20% - Accent5 6 7 2" xfId="14669"/>
    <cellStyle name="20% - Accent5 6 7 2 2" xfId="28061"/>
    <cellStyle name="20% - Accent5 6 7 3" xfId="18620"/>
    <cellStyle name="20% - Accent5 6 7 3 2" xfId="31899"/>
    <cellStyle name="20% - Accent5 6 7 4" xfId="22908"/>
    <cellStyle name="20% - Accent5 6 8" xfId="3440"/>
    <cellStyle name="20% - Accent5 6 8 2" xfId="14670"/>
    <cellStyle name="20% - Accent5 6 8 2 2" xfId="28062"/>
    <cellStyle name="20% - Accent5 6 8 3" xfId="18621"/>
    <cellStyle name="20% - Accent5 6 8 3 2" xfId="31900"/>
    <cellStyle name="20% - Accent5 6 8 4" xfId="22909"/>
    <cellStyle name="20% - Accent5 6 9" xfId="14638"/>
    <cellStyle name="20% - Accent5 6 9 2" xfId="28030"/>
    <cellStyle name="20% - Accent5 6_Volatility" xfId="3441"/>
    <cellStyle name="20% - Accent5 7" xfId="3442"/>
    <cellStyle name="20% - Accent5 7 10" xfId="18622"/>
    <cellStyle name="20% - Accent5 7 10 2" xfId="31901"/>
    <cellStyle name="20% - Accent5 7 11" xfId="22910"/>
    <cellStyle name="20% - Accent5 7 2" xfId="3443"/>
    <cellStyle name="20% - Accent5 7 2 2" xfId="3444"/>
    <cellStyle name="20% - Accent5 7 2 2 2" xfId="3445"/>
    <cellStyle name="20% - Accent5 7 2 2 2 2" xfId="14674"/>
    <cellStyle name="20% - Accent5 7 2 2 2 2 2" xfId="28066"/>
    <cellStyle name="20% - Accent5 7 2 2 2 3" xfId="18625"/>
    <cellStyle name="20% - Accent5 7 2 2 2 3 2" xfId="31904"/>
    <cellStyle name="20% - Accent5 7 2 2 2 4" xfId="22913"/>
    <cellStyle name="20% - Accent5 7 2 2 3" xfId="3446"/>
    <cellStyle name="20% - Accent5 7 2 2 3 2" xfId="14675"/>
    <cellStyle name="20% - Accent5 7 2 2 3 2 2" xfId="28067"/>
    <cellStyle name="20% - Accent5 7 2 2 3 3" xfId="18626"/>
    <cellStyle name="20% - Accent5 7 2 2 3 3 2" xfId="31905"/>
    <cellStyle name="20% - Accent5 7 2 2 3 4" xfId="22914"/>
    <cellStyle name="20% - Accent5 7 2 2 4" xfId="14673"/>
    <cellStyle name="20% - Accent5 7 2 2 4 2" xfId="28065"/>
    <cellStyle name="20% - Accent5 7 2 2 5" xfId="18624"/>
    <cellStyle name="20% - Accent5 7 2 2 5 2" xfId="31903"/>
    <cellStyle name="20% - Accent5 7 2 2 6" xfId="22912"/>
    <cellStyle name="20% - Accent5 7 2 3" xfId="3447"/>
    <cellStyle name="20% - Accent5 7 2 3 2" xfId="3448"/>
    <cellStyle name="20% - Accent5 7 2 3 2 2" xfId="14677"/>
    <cellStyle name="20% - Accent5 7 2 3 2 2 2" xfId="28069"/>
    <cellStyle name="20% - Accent5 7 2 3 2 3" xfId="18628"/>
    <cellStyle name="20% - Accent5 7 2 3 2 3 2" xfId="31907"/>
    <cellStyle name="20% - Accent5 7 2 3 2 4" xfId="22916"/>
    <cellStyle name="20% - Accent5 7 2 3 3" xfId="3449"/>
    <cellStyle name="20% - Accent5 7 2 3 3 2" xfId="14678"/>
    <cellStyle name="20% - Accent5 7 2 3 3 2 2" xfId="28070"/>
    <cellStyle name="20% - Accent5 7 2 3 3 3" xfId="18629"/>
    <cellStyle name="20% - Accent5 7 2 3 3 3 2" xfId="31908"/>
    <cellStyle name="20% - Accent5 7 2 3 3 4" xfId="22917"/>
    <cellStyle name="20% - Accent5 7 2 3 4" xfId="14676"/>
    <cellStyle name="20% - Accent5 7 2 3 4 2" xfId="28068"/>
    <cellStyle name="20% - Accent5 7 2 3 5" xfId="18627"/>
    <cellStyle name="20% - Accent5 7 2 3 5 2" xfId="31906"/>
    <cellStyle name="20% - Accent5 7 2 3 6" xfId="22915"/>
    <cellStyle name="20% - Accent5 7 2 4" xfId="3450"/>
    <cellStyle name="20% - Accent5 7 2 4 2" xfId="3451"/>
    <cellStyle name="20% - Accent5 7 2 4 2 2" xfId="14680"/>
    <cellStyle name="20% - Accent5 7 2 4 2 2 2" xfId="28072"/>
    <cellStyle name="20% - Accent5 7 2 4 2 3" xfId="18631"/>
    <cellStyle name="20% - Accent5 7 2 4 2 3 2" xfId="31910"/>
    <cellStyle name="20% - Accent5 7 2 4 2 4" xfId="22919"/>
    <cellStyle name="20% - Accent5 7 2 4 3" xfId="3452"/>
    <cellStyle name="20% - Accent5 7 2 4 3 2" xfId="14681"/>
    <cellStyle name="20% - Accent5 7 2 4 3 2 2" xfId="28073"/>
    <cellStyle name="20% - Accent5 7 2 4 3 3" xfId="18632"/>
    <cellStyle name="20% - Accent5 7 2 4 3 3 2" xfId="31911"/>
    <cellStyle name="20% - Accent5 7 2 4 3 4" xfId="22920"/>
    <cellStyle name="20% - Accent5 7 2 4 4" xfId="14679"/>
    <cellStyle name="20% - Accent5 7 2 4 4 2" xfId="28071"/>
    <cellStyle name="20% - Accent5 7 2 4 5" xfId="18630"/>
    <cellStyle name="20% - Accent5 7 2 4 5 2" xfId="31909"/>
    <cellStyle name="20% - Accent5 7 2 4 6" xfId="22918"/>
    <cellStyle name="20% - Accent5 7 2 5" xfId="3453"/>
    <cellStyle name="20% - Accent5 7 2 5 2" xfId="14682"/>
    <cellStyle name="20% - Accent5 7 2 5 2 2" xfId="28074"/>
    <cellStyle name="20% - Accent5 7 2 5 3" xfId="18633"/>
    <cellStyle name="20% - Accent5 7 2 5 3 2" xfId="31912"/>
    <cellStyle name="20% - Accent5 7 2 5 4" xfId="22921"/>
    <cellStyle name="20% - Accent5 7 2 6" xfId="3454"/>
    <cellStyle name="20% - Accent5 7 2 6 2" xfId="14683"/>
    <cellStyle name="20% - Accent5 7 2 6 2 2" xfId="28075"/>
    <cellStyle name="20% - Accent5 7 2 6 3" xfId="18634"/>
    <cellStyle name="20% - Accent5 7 2 6 3 2" xfId="31913"/>
    <cellStyle name="20% - Accent5 7 2 6 4" xfId="22922"/>
    <cellStyle name="20% - Accent5 7 2 7" xfId="14672"/>
    <cellStyle name="20% - Accent5 7 2 7 2" xfId="28064"/>
    <cellStyle name="20% - Accent5 7 2 8" xfId="18623"/>
    <cellStyle name="20% - Accent5 7 2 8 2" xfId="31902"/>
    <cellStyle name="20% - Accent5 7 2 9" xfId="22911"/>
    <cellStyle name="20% - Accent5 7 2_Volatility" xfId="3455"/>
    <cellStyle name="20% - Accent5 7 3" xfId="3456"/>
    <cellStyle name="20% - Accent5 7 3 2" xfId="3457"/>
    <cellStyle name="20% - Accent5 7 3 2 2" xfId="3458"/>
    <cellStyle name="20% - Accent5 7 3 2 2 2" xfId="14686"/>
    <cellStyle name="20% - Accent5 7 3 2 2 2 2" xfId="28078"/>
    <cellStyle name="20% - Accent5 7 3 2 2 3" xfId="18637"/>
    <cellStyle name="20% - Accent5 7 3 2 2 3 2" xfId="31916"/>
    <cellStyle name="20% - Accent5 7 3 2 2 4" xfId="22925"/>
    <cellStyle name="20% - Accent5 7 3 2 3" xfId="3459"/>
    <cellStyle name="20% - Accent5 7 3 2 3 2" xfId="14687"/>
    <cellStyle name="20% - Accent5 7 3 2 3 2 2" xfId="28079"/>
    <cellStyle name="20% - Accent5 7 3 2 3 3" xfId="18638"/>
    <cellStyle name="20% - Accent5 7 3 2 3 3 2" xfId="31917"/>
    <cellStyle name="20% - Accent5 7 3 2 3 4" xfId="22926"/>
    <cellStyle name="20% - Accent5 7 3 2 4" xfId="14685"/>
    <cellStyle name="20% - Accent5 7 3 2 4 2" xfId="28077"/>
    <cellStyle name="20% - Accent5 7 3 2 5" xfId="18636"/>
    <cellStyle name="20% - Accent5 7 3 2 5 2" xfId="31915"/>
    <cellStyle name="20% - Accent5 7 3 2 6" xfId="22924"/>
    <cellStyle name="20% - Accent5 7 3 3" xfId="3460"/>
    <cellStyle name="20% - Accent5 7 3 3 2" xfId="3461"/>
    <cellStyle name="20% - Accent5 7 3 3 2 2" xfId="14689"/>
    <cellStyle name="20% - Accent5 7 3 3 2 2 2" xfId="28081"/>
    <cellStyle name="20% - Accent5 7 3 3 2 3" xfId="18640"/>
    <cellStyle name="20% - Accent5 7 3 3 2 3 2" xfId="31919"/>
    <cellStyle name="20% - Accent5 7 3 3 2 4" xfId="22928"/>
    <cellStyle name="20% - Accent5 7 3 3 3" xfId="3462"/>
    <cellStyle name="20% - Accent5 7 3 3 3 2" xfId="14690"/>
    <cellStyle name="20% - Accent5 7 3 3 3 2 2" xfId="28082"/>
    <cellStyle name="20% - Accent5 7 3 3 3 3" xfId="18641"/>
    <cellStyle name="20% - Accent5 7 3 3 3 3 2" xfId="31920"/>
    <cellStyle name="20% - Accent5 7 3 3 3 4" xfId="22929"/>
    <cellStyle name="20% - Accent5 7 3 3 4" xfId="14688"/>
    <cellStyle name="20% - Accent5 7 3 3 4 2" xfId="28080"/>
    <cellStyle name="20% - Accent5 7 3 3 5" xfId="18639"/>
    <cellStyle name="20% - Accent5 7 3 3 5 2" xfId="31918"/>
    <cellStyle name="20% - Accent5 7 3 3 6" xfId="22927"/>
    <cellStyle name="20% - Accent5 7 3 4" xfId="3463"/>
    <cellStyle name="20% - Accent5 7 3 4 2" xfId="14691"/>
    <cellStyle name="20% - Accent5 7 3 4 2 2" xfId="28083"/>
    <cellStyle name="20% - Accent5 7 3 4 3" xfId="18642"/>
    <cellStyle name="20% - Accent5 7 3 4 3 2" xfId="31921"/>
    <cellStyle name="20% - Accent5 7 3 4 4" xfId="22930"/>
    <cellStyle name="20% - Accent5 7 3 5" xfId="3464"/>
    <cellStyle name="20% - Accent5 7 3 5 2" xfId="14692"/>
    <cellStyle name="20% - Accent5 7 3 5 2 2" xfId="28084"/>
    <cellStyle name="20% - Accent5 7 3 5 3" xfId="18643"/>
    <cellStyle name="20% - Accent5 7 3 5 3 2" xfId="31922"/>
    <cellStyle name="20% - Accent5 7 3 5 4" xfId="22931"/>
    <cellStyle name="20% - Accent5 7 3 6" xfId="14684"/>
    <cellStyle name="20% - Accent5 7 3 6 2" xfId="28076"/>
    <cellStyle name="20% - Accent5 7 3 7" xfId="18635"/>
    <cellStyle name="20% - Accent5 7 3 7 2" xfId="31914"/>
    <cellStyle name="20% - Accent5 7 3 8" xfId="22923"/>
    <cellStyle name="20% - Accent5 7 3_Volatility" xfId="3465"/>
    <cellStyle name="20% - Accent5 7 4" xfId="3466"/>
    <cellStyle name="20% - Accent5 7 4 2" xfId="3467"/>
    <cellStyle name="20% - Accent5 7 4 2 2" xfId="14694"/>
    <cellStyle name="20% - Accent5 7 4 2 2 2" xfId="28086"/>
    <cellStyle name="20% - Accent5 7 4 2 3" xfId="18645"/>
    <cellStyle name="20% - Accent5 7 4 2 3 2" xfId="31924"/>
    <cellStyle name="20% - Accent5 7 4 2 4" xfId="22933"/>
    <cellStyle name="20% - Accent5 7 4 3" xfId="3468"/>
    <cellStyle name="20% - Accent5 7 4 3 2" xfId="14695"/>
    <cellStyle name="20% - Accent5 7 4 3 2 2" xfId="28087"/>
    <cellStyle name="20% - Accent5 7 4 3 3" xfId="18646"/>
    <cellStyle name="20% - Accent5 7 4 3 3 2" xfId="31925"/>
    <cellStyle name="20% - Accent5 7 4 3 4" xfId="22934"/>
    <cellStyle name="20% - Accent5 7 4 4" xfId="14693"/>
    <cellStyle name="20% - Accent5 7 4 4 2" xfId="28085"/>
    <cellStyle name="20% - Accent5 7 4 5" xfId="18644"/>
    <cellStyle name="20% - Accent5 7 4 5 2" xfId="31923"/>
    <cellStyle name="20% - Accent5 7 4 6" xfId="22932"/>
    <cellStyle name="20% - Accent5 7 5" xfId="3469"/>
    <cellStyle name="20% - Accent5 7 5 2" xfId="3470"/>
    <cellStyle name="20% - Accent5 7 5 2 2" xfId="14697"/>
    <cellStyle name="20% - Accent5 7 5 2 2 2" xfId="28089"/>
    <cellStyle name="20% - Accent5 7 5 2 3" xfId="18648"/>
    <cellStyle name="20% - Accent5 7 5 2 3 2" xfId="31927"/>
    <cellStyle name="20% - Accent5 7 5 2 4" xfId="22936"/>
    <cellStyle name="20% - Accent5 7 5 3" xfId="3471"/>
    <cellStyle name="20% - Accent5 7 5 3 2" xfId="14698"/>
    <cellStyle name="20% - Accent5 7 5 3 2 2" xfId="28090"/>
    <cellStyle name="20% - Accent5 7 5 3 3" xfId="18649"/>
    <cellStyle name="20% - Accent5 7 5 3 3 2" xfId="31928"/>
    <cellStyle name="20% - Accent5 7 5 3 4" xfId="22937"/>
    <cellStyle name="20% - Accent5 7 5 4" xfId="14696"/>
    <cellStyle name="20% - Accent5 7 5 4 2" xfId="28088"/>
    <cellStyle name="20% - Accent5 7 5 5" xfId="18647"/>
    <cellStyle name="20% - Accent5 7 5 5 2" xfId="31926"/>
    <cellStyle name="20% - Accent5 7 5 6" xfId="22935"/>
    <cellStyle name="20% - Accent5 7 6" xfId="3472"/>
    <cellStyle name="20% - Accent5 7 6 2" xfId="3473"/>
    <cellStyle name="20% - Accent5 7 6 2 2" xfId="14700"/>
    <cellStyle name="20% - Accent5 7 6 2 2 2" xfId="28092"/>
    <cellStyle name="20% - Accent5 7 6 2 3" xfId="18651"/>
    <cellStyle name="20% - Accent5 7 6 2 3 2" xfId="31930"/>
    <cellStyle name="20% - Accent5 7 6 2 4" xfId="22939"/>
    <cellStyle name="20% - Accent5 7 6 3" xfId="3474"/>
    <cellStyle name="20% - Accent5 7 6 3 2" xfId="14701"/>
    <cellStyle name="20% - Accent5 7 6 3 2 2" xfId="28093"/>
    <cellStyle name="20% - Accent5 7 6 3 3" xfId="18652"/>
    <cellStyle name="20% - Accent5 7 6 3 3 2" xfId="31931"/>
    <cellStyle name="20% - Accent5 7 6 3 4" xfId="22940"/>
    <cellStyle name="20% - Accent5 7 6 4" xfId="14699"/>
    <cellStyle name="20% - Accent5 7 6 4 2" xfId="28091"/>
    <cellStyle name="20% - Accent5 7 6 5" xfId="18650"/>
    <cellStyle name="20% - Accent5 7 6 5 2" xfId="31929"/>
    <cellStyle name="20% - Accent5 7 6 6" xfId="22938"/>
    <cellStyle name="20% - Accent5 7 7" xfId="3475"/>
    <cellStyle name="20% - Accent5 7 7 2" xfId="14702"/>
    <cellStyle name="20% - Accent5 7 7 2 2" xfId="28094"/>
    <cellStyle name="20% - Accent5 7 7 3" xfId="18653"/>
    <cellStyle name="20% - Accent5 7 7 3 2" xfId="31932"/>
    <cellStyle name="20% - Accent5 7 7 4" xfId="22941"/>
    <cellStyle name="20% - Accent5 7 8" xfId="3476"/>
    <cellStyle name="20% - Accent5 7 8 2" xfId="14703"/>
    <cellStyle name="20% - Accent5 7 8 2 2" xfId="28095"/>
    <cellStyle name="20% - Accent5 7 8 3" xfId="18654"/>
    <cellStyle name="20% - Accent5 7 8 3 2" xfId="31933"/>
    <cellStyle name="20% - Accent5 7 8 4" xfId="22942"/>
    <cellStyle name="20% - Accent5 7 9" xfId="14671"/>
    <cellStyle name="20% - Accent5 7 9 2" xfId="28063"/>
    <cellStyle name="20% - Accent5 7_Volatility" xfId="3477"/>
    <cellStyle name="20% - Accent5 8" xfId="3478"/>
    <cellStyle name="20% - Accent5 8 10" xfId="18655"/>
    <cellStyle name="20% - Accent5 8 10 2" xfId="31934"/>
    <cellStyle name="20% - Accent5 8 11" xfId="22943"/>
    <cellStyle name="20% - Accent5 8 2" xfId="3479"/>
    <cellStyle name="20% - Accent5 8 2 2" xfId="3480"/>
    <cellStyle name="20% - Accent5 8 2 2 2" xfId="3481"/>
    <cellStyle name="20% - Accent5 8 2 2 2 2" xfId="14707"/>
    <cellStyle name="20% - Accent5 8 2 2 2 2 2" xfId="28099"/>
    <cellStyle name="20% - Accent5 8 2 2 2 3" xfId="18658"/>
    <cellStyle name="20% - Accent5 8 2 2 2 3 2" xfId="31937"/>
    <cellStyle name="20% - Accent5 8 2 2 2 4" xfId="22946"/>
    <cellStyle name="20% - Accent5 8 2 2 3" xfId="3482"/>
    <cellStyle name="20% - Accent5 8 2 2 3 2" xfId="14708"/>
    <cellStyle name="20% - Accent5 8 2 2 3 2 2" xfId="28100"/>
    <cellStyle name="20% - Accent5 8 2 2 3 3" xfId="18659"/>
    <cellStyle name="20% - Accent5 8 2 2 3 3 2" xfId="31938"/>
    <cellStyle name="20% - Accent5 8 2 2 3 4" xfId="22947"/>
    <cellStyle name="20% - Accent5 8 2 2 4" xfId="14706"/>
    <cellStyle name="20% - Accent5 8 2 2 4 2" xfId="28098"/>
    <cellStyle name="20% - Accent5 8 2 2 5" xfId="18657"/>
    <cellStyle name="20% - Accent5 8 2 2 5 2" xfId="31936"/>
    <cellStyle name="20% - Accent5 8 2 2 6" xfId="22945"/>
    <cellStyle name="20% - Accent5 8 2 3" xfId="3483"/>
    <cellStyle name="20% - Accent5 8 2 3 2" xfId="3484"/>
    <cellStyle name="20% - Accent5 8 2 3 2 2" xfId="14710"/>
    <cellStyle name="20% - Accent5 8 2 3 2 2 2" xfId="28102"/>
    <cellStyle name="20% - Accent5 8 2 3 2 3" xfId="18661"/>
    <cellStyle name="20% - Accent5 8 2 3 2 3 2" xfId="31940"/>
    <cellStyle name="20% - Accent5 8 2 3 2 4" xfId="22949"/>
    <cellStyle name="20% - Accent5 8 2 3 3" xfId="3485"/>
    <cellStyle name="20% - Accent5 8 2 3 3 2" xfId="14711"/>
    <cellStyle name="20% - Accent5 8 2 3 3 2 2" xfId="28103"/>
    <cellStyle name="20% - Accent5 8 2 3 3 3" xfId="18662"/>
    <cellStyle name="20% - Accent5 8 2 3 3 3 2" xfId="31941"/>
    <cellStyle name="20% - Accent5 8 2 3 3 4" xfId="22950"/>
    <cellStyle name="20% - Accent5 8 2 3 4" xfId="14709"/>
    <cellStyle name="20% - Accent5 8 2 3 4 2" xfId="28101"/>
    <cellStyle name="20% - Accent5 8 2 3 5" xfId="18660"/>
    <cellStyle name="20% - Accent5 8 2 3 5 2" xfId="31939"/>
    <cellStyle name="20% - Accent5 8 2 3 6" xfId="22948"/>
    <cellStyle name="20% - Accent5 8 2 4" xfId="3486"/>
    <cellStyle name="20% - Accent5 8 2 4 2" xfId="3487"/>
    <cellStyle name="20% - Accent5 8 2 4 2 2" xfId="14713"/>
    <cellStyle name="20% - Accent5 8 2 4 2 2 2" xfId="28105"/>
    <cellStyle name="20% - Accent5 8 2 4 2 3" xfId="18664"/>
    <cellStyle name="20% - Accent5 8 2 4 2 3 2" xfId="31943"/>
    <cellStyle name="20% - Accent5 8 2 4 2 4" xfId="22952"/>
    <cellStyle name="20% - Accent5 8 2 4 3" xfId="3488"/>
    <cellStyle name="20% - Accent5 8 2 4 3 2" xfId="14714"/>
    <cellStyle name="20% - Accent5 8 2 4 3 2 2" xfId="28106"/>
    <cellStyle name="20% - Accent5 8 2 4 3 3" xfId="18665"/>
    <cellStyle name="20% - Accent5 8 2 4 3 3 2" xfId="31944"/>
    <cellStyle name="20% - Accent5 8 2 4 3 4" xfId="22953"/>
    <cellStyle name="20% - Accent5 8 2 4 4" xfId="14712"/>
    <cellStyle name="20% - Accent5 8 2 4 4 2" xfId="28104"/>
    <cellStyle name="20% - Accent5 8 2 4 5" xfId="18663"/>
    <cellStyle name="20% - Accent5 8 2 4 5 2" xfId="31942"/>
    <cellStyle name="20% - Accent5 8 2 4 6" xfId="22951"/>
    <cellStyle name="20% - Accent5 8 2 5" xfId="3489"/>
    <cellStyle name="20% - Accent5 8 2 5 2" xfId="14715"/>
    <cellStyle name="20% - Accent5 8 2 5 2 2" xfId="28107"/>
    <cellStyle name="20% - Accent5 8 2 5 3" xfId="18666"/>
    <cellStyle name="20% - Accent5 8 2 5 3 2" xfId="31945"/>
    <cellStyle name="20% - Accent5 8 2 5 4" xfId="22954"/>
    <cellStyle name="20% - Accent5 8 2 6" xfId="3490"/>
    <cellStyle name="20% - Accent5 8 2 6 2" xfId="14716"/>
    <cellStyle name="20% - Accent5 8 2 6 2 2" xfId="28108"/>
    <cellStyle name="20% - Accent5 8 2 6 3" xfId="18667"/>
    <cellStyle name="20% - Accent5 8 2 6 3 2" xfId="31946"/>
    <cellStyle name="20% - Accent5 8 2 6 4" xfId="22955"/>
    <cellStyle name="20% - Accent5 8 2 7" xfId="14705"/>
    <cellStyle name="20% - Accent5 8 2 7 2" xfId="28097"/>
    <cellStyle name="20% - Accent5 8 2 8" xfId="18656"/>
    <cellStyle name="20% - Accent5 8 2 8 2" xfId="31935"/>
    <cellStyle name="20% - Accent5 8 2 9" xfId="22944"/>
    <cellStyle name="20% - Accent5 8 2_Volatility" xfId="3491"/>
    <cellStyle name="20% - Accent5 8 3" xfId="3492"/>
    <cellStyle name="20% - Accent5 8 3 2" xfId="3493"/>
    <cellStyle name="20% - Accent5 8 3 2 2" xfId="3494"/>
    <cellStyle name="20% - Accent5 8 3 2 2 2" xfId="14719"/>
    <cellStyle name="20% - Accent5 8 3 2 2 2 2" xfId="28111"/>
    <cellStyle name="20% - Accent5 8 3 2 2 3" xfId="18670"/>
    <cellStyle name="20% - Accent5 8 3 2 2 3 2" xfId="31949"/>
    <cellStyle name="20% - Accent5 8 3 2 2 4" xfId="22958"/>
    <cellStyle name="20% - Accent5 8 3 2 3" xfId="3495"/>
    <cellStyle name="20% - Accent5 8 3 2 3 2" xfId="14720"/>
    <cellStyle name="20% - Accent5 8 3 2 3 2 2" xfId="28112"/>
    <cellStyle name="20% - Accent5 8 3 2 3 3" xfId="18671"/>
    <cellStyle name="20% - Accent5 8 3 2 3 3 2" xfId="31950"/>
    <cellStyle name="20% - Accent5 8 3 2 3 4" xfId="22959"/>
    <cellStyle name="20% - Accent5 8 3 2 4" xfId="14718"/>
    <cellStyle name="20% - Accent5 8 3 2 4 2" xfId="28110"/>
    <cellStyle name="20% - Accent5 8 3 2 5" xfId="18669"/>
    <cellStyle name="20% - Accent5 8 3 2 5 2" xfId="31948"/>
    <cellStyle name="20% - Accent5 8 3 2 6" xfId="22957"/>
    <cellStyle name="20% - Accent5 8 3 3" xfId="3496"/>
    <cellStyle name="20% - Accent5 8 3 3 2" xfId="3497"/>
    <cellStyle name="20% - Accent5 8 3 3 2 2" xfId="14722"/>
    <cellStyle name="20% - Accent5 8 3 3 2 2 2" xfId="28114"/>
    <cellStyle name="20% - Accent5 8 3 3 2 3" xfId="18673"/>
    <cellStyle name="20% - Accent5 8 3 3 2 3 2" xfId="31952"/>
    <cellStyle name="20% - Accent5 8 3 3 2 4" xfId="22961"/>
    <cellStyle name="20% - Accent5 8 3 3 3" xfId="3498"/>
    <cellStyle name="20% - Accent5 8 3 3 3 2" xfId="14723"/>
    <cellStyle name="20% - Accent5 8 3 3 3 2 2" xfId="28115"/>
    <cellStyle name="20% - Accent5 8 3 3 3 3" xfId="18674"/>
    <cellStyle name="20% - Accent5 8 3 3 3 3 2" xfId="31953"/>
    <cellStyle name="20% - Accent5 8 3 3 3 4" xfId="22962"/>
    <cellStyle name="20% - Accent5 8 3 3 4" xfId="14721"/>
    <cellStyle name="20% - Accent5 8 3 3 4 2" xfId="28113"/>
    <cellStyle name="20% - Accent5 8 3 3 5" xfId="18672"/>
    <cellStyle name="20% - Accent5 8 3 3 5 2" xfId="31951"/>
    <cellStyle name="20% - Accent5 8 3 3 6" xfId="22960"/>
    <cellStyle name="20% - Accent5 8 3 4" xfId="3499"/>
    <cellStyle name="20% - Accent5 8 3 4 2" xfId="14724"/>
    <cellStyle name="20% - Accent5 8 3 4 2 2" xfId="28116"/>
    <cellStyle name="20% - Accent5 8 3 4 3" xfId="18675"/>
    <cellStyle name="20% - Accent5 8 3 4 3 2" xfId="31954"/>
    <cellStyle name="20% - Accent5 8 3 4 4" xfId="22963"/>
    <cellStyle name="20% - Accent5 8 3 5" xfId="3500"/>
    <cellStyle name="20% - Accent5 8 3 5 2" xfId="14725"/>
    <cellStyle name="20% - Accent5 8 3 5 2 2" xfId="28117"/>
    <cellStyle name="20% - Accent5 8 3 5 3" xfId="18676"/>
    <cellStyle name="20% - Accent5 8 3 5 3 2" xfId="31955"/>
    <cellStyle name="20% - Accent5 8 3 5 4" xfId="22964"/>
    <cellStyle name="20% - Accent5 8 3 6" xfId="14717"/>
    <cellStyle name="20% - Accent5 8 3 6 2" xfId="28109"/>
    <cellStyle name="20% - Accent5 8 3 7" xfId="18668"/>
    <cellStyle name="20% - Accent5 8 3 7 2" xfId="31947"/>
    <cellStyle name="20% - Accent5 8 3 8" xfId="22956"/>
    <cellStyle name="20% - Accent5 8 3_Volatility" xfId="3501"/>
    <cellStyle name="20% - Accent5 8 4" xfId="3502"/>
    <cellStyle name="20% - Accent5 8 4 2" xfId="3503"/>
    <cellStyle name="20% - Accent5 8 4 2 2" xfId="14727"/>
    <cellStyle name="20% - Accent5 8 4 2 2 2" xfId="28119"/>
    <cellStyle name="20% - Accent5 8 4 2 3" xfId="18678"/>
    <cellStyle name="20% - Accent5 8 4 2 3 2" xfId="31957"/>
    <cellStyle name="20% - Accent5 8 4 2 4" xfId="22966"/>
    <cellStyle name="20% - Accent5 8 4 3" xfId="3504"/>
    <cellStyle name="20% - Accent5 8 4 3 2" xfId="14728"/>
    <cellStyle name="20% - Accent5 8 4 3 2 2" xfId="28120"/>
    <cellStyle name="20% - Accent5 8 4 3 3" xfId="18679"/>
    <cellStyle name="20% - Accent5 8 4 3 3 2" xfId="31958"/>
    <cellStyle name="20% - Accent5 8 4 3 4" xfId="22967"/>
    <cellStyle name="20% - Accent5 8 4 4" xfId="14726"/>
    <cellStyle name="20% - Accent5 8 4 4 2" xfId="28118"/>
    <cellStyle name="20% - Accent5 8 4 5" xfId="18677"/>
    <cellStyle name="20% - Accent5 8 4 5 2" xfId="31956"/>
    <cellStyle name="20% - Accent5 8 4 6" xfId="22965"/>
    <cellStyle name="20% - Accent5 8 5" xfId="3505"/>
    <cellStyle name="20% - Accent5 8 5 2" xfId="3506"/>
    <cellStyle name="20% - Accent5 8 5 2 2" xfId="14730"/>
    <cellStyle name="20% - Accent5 8 5 2 2 2" xfId="28122"/>
    <cellStyle name="20% - Accent5 8 5 2 3" xfId="18681"/>
    <cellStyle name="20% - Accent5 8 5 2 3 2" xfId="31960"/>
    <cellStyle name="20% - Accent5 8 5 2 4" xfId="22969"/>
    <cellStyle name="20% - Accent5 8 5 3" xfId="3507"/>
    <cellStyle name="20% - Accent5 8 5 3 2" xfId="14731"/>
    <cellStyle name="20% - Accent5 8 5 3 2 2" xfId="28123"/>
    <cellStyle name="20% - Accent5 8 5 3 3" xfId="18682"/>
    <cellStyle name="20% - Accent5 8 5 3 3 2" xfId="31961"/>
    <cellStyle name="20% - Accent5 8 5 3 4" xfId="22970"/>
    <cellStyle name="20% - Accent5 8 5 4" xfId="14729"/>
    <cellStyle name="20% - Accent5 8 5 4 2" xfId="28121"/>
    <cellStyle name="20% - Accent5 8 5 5" xfId="18680"/>
    <cellStyle name="20% - Accent5 8 5 5 2" xfId="31959"/>
    <cellStyle name="20% - Accent5 8 5 6" xfId="22968"/>
    <cellStyle name="20% - Accent5 8 6" xfId="3508"/>
    <cellStyle name="20% - Accent5 8 6 2" xfId="3509"/>
    <cellStyle name="20% - Accent5 8 6 2 2" xfId="14733"/>
    <cellStyle name="20% - Accent5 8 6 2 2 2" xfId="28125"/>
    <cellStyle name="20% - Accent5 8 6 2 3" xfId="18684"/>
    <cellStyle name="20% - Accent5 8 6 2 3 2" xfId="31963"/>
    <cellStyle name="20% - Accent5 8 6 2 4" xfId="22972"/>
    <cellStyle name="20% - Accent5 8 6 3" xfId="3510"/>
    <cellStyle name="20% - Accent5 8 6 3 2" xfId="14734"/>
    <cellStyle name="20% - Accent5 8 6 3 2 2" xfId="28126"/>
    <cellStyle name="20% - Accent5 8 6 3 3" xfId="18685"/>
    <cellStyle name="20% - Accent5 8 6 3 3 2" xfId="31964"/>
    <cellStyle name="20% - Accent5 8 6 3 4" xfId="22973"/>
    <cellStyle name="20% - Accent5 8 6 4" xfId="14732"/>
    <cellStyle name="20% - Accent5 8 6 4 2" xfId="28124"/>
    <cellStyle name="20% - Accent5 8 6 5" xfId="18683"/>
    <cellStyle name="20% - Accent5 8 6 5 2" xfId="31962"/>
    <cellStyle name="20% - Accent5 8 6 6" xfId="22971"/>
    <cellStyle name="20% - Accent5 8 7" xfId="3511"/>
    <cellStyle name="20% - Accent5 8 7 2" xfId="14735"/>
    <cellStyle name="20% - Accent5 8 7 2 2" xfId="28127"/>
    <cellStyle name="20% - Accent5 8 7 3" xfId="18686"/>
    <cellStyle name="20% - Accent5 8 7 3 2" xfId="31965"/>
    <cellStyle name="20% - Accent5 8 7 4" xfId="22974"/>
    <cellStyle name="20% - Accent5 8 8" xfId="3512"/>
    <cellStyle name="20% - Accent5 8 8 2" xfId="14736"/>
    <cellStyle name="20% - Accent5 8 8 2 2" xfId="28128"/>
    <cellStyle name="20% - Accent5 8 8 3" xfId="18687"/>
    <cellStyle name="20% - Accent5 8 8 3 2" xfId="31966"/>
    <cellStyle name="20% - Accent5 8 8 4" xfId="22975"/>
    <cellStyle name="20% - Accent5 8 9" xfId="14704"/>
    <cellStyle name="20% - Accent5 8 9 2" xfId="28096"/>
    <cellStyle name="20% - Accent5 8_Volatility" xfId="3513"/>
    <cellStyle name="20% - Accent5 9" xfId="3514"/>
    <cellStyle name="20% - Accent5 9 10" xfId="18688"/>
    <cellStyle name="20% - Accent5 9 10 2" xfId="31967"/>
    <cellStyle name="20% - Accent5 9 11" xfId="22976"/>
    <cellStyle name="20% - Accent5 9 2" xfId="3515"/>
    <cellStyle name="20% - Accent5 9 2 2" xfId="3516"/>
    <cellStyle name="20% - Accent5 9 2 2 2" xfId="3517"/>
    <cellStyle name="20% - Accent5 9 2 2 2 2" xfId="14740"/>
    <cellStyle name="20% - Accent5 9 2 2 2 2 2" xfId="28132"/>
    <cellStyle name="20% - Accent5 9 2 2 2 3" xfId="18691"/>
    <cellStyle name="20% - Accent5 9 2 2 2 3 2" xfId="31970"/>
    <cellStyle name="20% - Accent5 9 2 2 2 4" xfId="22979"/>
    <cellStyle name="20% - Accent5 9 2 2 3" xfId="3518"/>
    <cellStyle name="20% - Accent5 9 2 2 3 2" xfId="14741"/>
    <cellStyle name="20% - Accent5 9 2 2 3 2 2" xfId="28133"/>
    <cellStyle name="20% - Accent5 9 2 2 3 3" xfId="18692"/>
    <cellStyle name="20% - Accent5 9 2 2 3 3 2" xfId="31971"/>
    <cellStyle name="20% - Accent5 9 2 2 3 4" xfId="22980"/>
    <cellStyle name="20% - Accent5 9 2 2 4" xfId="14739"/>
    <cellStyle name="20% - Accent5 9 2 2 4 2" xfId="28131"/>
    <cellStyle name="20% - Accent5 9 2 2 5" xfId="18690"/>
    <cellStyle name="20% - Accent5 9 2 2 5 2" xfId="31969"/>
    <cellStyle name="20% - Accent5 9 2 2 6" xfId="22978"/>
    <cellStyle name="20% - Accent5 9 2 3" xfId="3519"/>
    <cellStyle name="20% - Accent5 9 2 3 2" xfId="3520"/>
    <cellStyle name="20% - Accent5 9 2 3 2 2" xfId="14743"/>
    <cellStyle name="20% - Accent5 9 2 3 2 2 2" xfId="28135"/>
    <cellStyle name="20% - Accent5 9 2 3 2 3" xfId="18694"/>
    <cellStyle name="20% - Accent5 9 2 3 2 3 2" xfId="31973"/>
    <cellStyle name="20% - Accent5 9 2 3 2 4" xfId="22982"/>
    <cellStyle name="20% - Accent5 9 2 3 3" xfId="3521"/>
    <cellStyle name="20% - Accent5 9 2 3 3 2" xfId="14744"/>
    <cellStyle name="20% - Accent5 9 2 3 3 2 2" xfId="28136"/>
    <cellStyle name="20% - Accent5 9 2 3 3 3" xfId="18695"/>
    <cellStyle name="20% - Accent5 9 2 3 3 3 2" xfId="31974"/>
    <cellStyle name="20% - Accent5 9 2 3 3 4" xfId="22983"/>
    <cellStyle name="20% - Accent5 9 2 3 4" xfId="14742"/>
    <cellStyle name="20% - Accent5 9 2 3 4 2" xfId="28134"/>
    <cellStyle name="20% - Accent5 9 2 3 5" xfId="18693"/>
    <cellStyle name="20% - Accent5 9 2 3 5 2" xfId="31972"/>
    <cellStyle name="20% - Accent5 9 2 3 6" xfId="22981"/>
    <cellStyle name="20% - Accent5 9 2 4" xfId="3522"/>
    <cellStyle name="20% - Accent5 9 2 4 2" xfId="3523"/>
    <cellStyle name="20% - Accent5 9 2 4 2 2" xfId="14746"/>
    <cellStyle name="20% - Accent5 9 2 4 2 2 2" xfId="28138"/>
    <cellStyle name="20% - Accent5 9 2 4 2 3" xfId="18697"/>
    <cellStyle name="20% - Accent5 9 2 4 2 3 2" xfId="31976"/>
    <cellStyle name="20% - Accent5 9 2 4 2 4" xfId="22985"/>
    <cellStyle name="20% - Accent5 9 2 4 3" xfId="3524"/>
    <cellStyle name="20% - Accent5 9 2 4 3 2" xfId="14747"/>
    <cellStyle name="20% - Accent5 9 2 4 3 2 2" xfId="28139"/>
    <cellStyle name="20% - Accent5 9 2 4 3 3" xfId="18698"/>
    <cellStyle name="20% - Accent5 9 2 4 3 3 2" xfId="31977"/>
    <cellStyle name="20% - Accent5 9 2 4 3 4" xfId="22986"/>
    <cellStyle name="20% - Accent5 9 2 4 4" xfId="14745"/>
    <cellStyle name="20% - Accent5 9 2 4 4 2" xfId="28137"/>
    <cellStyle name="20% - Accent5 9 2 4 5" xfId="18696"/>
    <cellStyle name="20% - Accent5 9 2 4 5 2" xfId="31975"/>
    <cellStyle name="20% - Accent5 9 2 4 6" xfId="22984"/>
    <cellStyle name="20% - Accent5 9 2 5" xfId="3525"/>
    <cellStyle name="20% - Accent5 9 2 5 2" xfId="14748"/>
    <cellStyle name="20% - Accent5 9 2 5 2 2" xfId="28140"/>
    <cellStyle name="20% - Accent5 9 2 5 3" xfId="18699"/>
    <cellStyle name="20% - Accent5 9 2 5 3 2" xfId="31978"/>
    <cellStyle name="20% - Accent5 9 2 5 4" xfId="22987"/>
    <cellStyle name="20% - Accent5 9 2 6" xfId="3526"/>
    <cellStyle name="20% - Accent5 9 2 6 2" xfId="14749"/>
    <cellStyle name="20% - Accent5 9 2 6 2 2" xfId="28141"/>
    <cellStyle name="20% - Accent5 9 2 6 3" xfId="18700"/>
    <cellStyle name="20% - Accent5 9 2 6 3 2" xfId="31979"/>
    <cellStyle name="20% - Accent5 9 2 6 4" xfId="22988"/>
    <cellStyle name="20% - Accent5 9 2 7" xfId="14738"/>
    <cellStyle name="20% - Accent5 9 2 7 2" xfId="28130"/>
    <cellStyle name="20% - Accent5 9 2 8" xfId="18689"/>
    <cellStyle name="20% - Accent5 9 2 8 2" xfId="31968"/>
    <cellStyle name="20% - Accent5 9 2 9" xfId="22977"/>
    <cellStyle name="20% - Accent5 9 2_Volatility" xfId="3527"/>
    <cellStyle name="20% - Accent5 9 3" xfId="3528"/>
    <cellStyle name="20% - Accent5 9 3 2" xfId="3529"/>
    <cellStyle name="20% - Accent5 9 3 2 2" xfId="3530"/>
    <cellStyle name="20% - Accent5 9 3 2 2 2" xfId="14752"/>
    <cellStyle name="20% - Accent5 9 3 2 2 2 2" xfId="28144"/>
    <cellStyle name="20% - Accent5 9 3 2 2 3" xfId="18703"/>
    <cellStyle name="20% - Accent5 9 3 2 2 3 2" xfId="31982"/>
    <cellStyle name="20% - Accent5 9 3 2 2 4" xfId="22991"/>
    <cellStyle name="20% - Accent5 9 3 2 3" xfId="3531"/>
    <cellStyle name="20% - Accent5 9 3 2 3 2" xfId="14753"/>
    <cellStyle name="20% - Accent5 9 3 2 3 2 2" xfId="28145"/>
    <cellStyle name="20% - Accent5 9 3 2 3 3" xfId="18704"/>
    <cellStyle name="20% - Accent5 9 3 2 3 3 2" xfId="31983"/>
    <cellStyle name="20% - Accent5 9 3 2 3 4" xfId="22992"/>
    <cellStyle name="20% - Accent5 9 3 2 4" xfId="14751"/>
    <cellStyle name="20% - Accent5 9 3 2 4 2" xfId="28143"/>
    <cellStyle name="20% - Accent5 9 3 2 5" xfId="18702"/>
    <cellStyle name="20% - Accent5 9 3 2 5 2" xfId="31981"/>
    <cellStyle name="20% - Accent5 9 3 2 6" xfId="22990"/>
    <cellStyle name="20% - Accent5 9 3 3" xfId="3532"/>
    <cellStyle name="20% - Accent5 9 3 3 2" xfId="3533"/>
    <cellStyle name="20% - Accent5 9 3 3 2 2" xfId="14755"/>
    <cellStyle name="20% - Accent5 9 3 3 2 2 2" xfId="28147"/>
    <cellStyle name="20% - Accent5 9 3 3 2 3" xfId="18706"/>
    <cellStyle name="20% - Accent5 9 3 3 2 3 2" xfId="31985"/>
    <cellStyle name="20% - Accent5 9 3 3 2 4" xfId="22994"/>
    <cellStyle name="20% - Accent5 9 3 3 3" xfId="3534"/>
    <cellStyle name="20% - Accent5 9 3 3 3 2" xfId="14756"/>
    <cellStyle name="20% - Accent5 9 3 3 3 2 2" xfId="28148"/>
    <cellStyle name="20% - Accent5 9 3 3 3 3" xfId="18707"/>
    <cellStyle name="20% - Accent5 9 3 3 3 3 2" xfId="31986"/>
    <cellStyle name="20% - Accent5 9 3 3 3 4" xfId="22995"/>
    <cellStyle name="20% - Accent5 9 3 3 4" xfId="14754"/>
    <cellStyle name="20% - Accent5 9 3 3 4 2" xfId="28146"/>
    <cellStyle name="20% - Accent5 9 3 3 5" xfId="18705"/>
    <cellStyle name="20% - Accent5 9 3 3 5 2" xfId="31984"/>
    <cellStyle name="20% - Accent5 9 3 3 6" xfId="22993"/>
    <cellStyle name="20% - Accent5 9 3 4" xfId="3535"/>
    <cellStyle name="20% - Accent5 9 3 4 2" xfId="14757"/>
    <cellStyle name="20% - Accent5 9 3 4 2 2" xfId="28149"/>
    <cellStyle name="20% - Accent5 9 3 4 3" xfId="18708"/>
    <cellStyle name="20% - Accent5 9 3 4 3 2" xfId="31987"/>
    <cellStyle name="20% - Accent5 9 3 4 4" xfId="22996"/>
    <cellStyle name="20% - Accent5 9 3 5" xfId="3536"/>
    <cellStyle name="20% - Accent5 9 3 5 2" xfId="14758"/>
    <cellStyle name="20% - Accent5 9 3 5 2 2" xfId="28150"/>
    <cellStyle name="20% - Accent5 9 3 5 3" xfId="18709"/>
    <cellStyle name="20% - Accent5 9 3 5 3 2" xfId="31988"/>
    <cellStyle name="20% - Accent5 9 3 5 4" xfId="22997"/>
    <cellStyle name="20% - Accent5 9 3 6" xfId="14750"/>
    <cellStyle name="20% - Accent5 9 3 6 2" xfId="28142"/>
    <cellStyle name="20% - Accent5 9 3 7" xfId="18701"/>
    <cellStyle name="20% - Accent5 9 3 7 2" xfId="31980"/>
    <cellStyle name="20% - Accent5 9 3 8" xfId="22989"/>
    <cellStyle name="20% - Accent5 9 3_Volatility" xfId="3537"/>
    <cellStyle name="20% - Accent5 9 4" xfId="3538"/>
    <cellStyle name="20% - Accent5 9 4 2" xfId="3539"/>
    <cellStyle name="20% - Accent5 9 4 2 2" xfId="14760"/>
    <cellStyle name="20% - Accent5 9 4 2 2 2" xfId="28152"/>
    <cellStyle name="20% - Accent5 9 4 2 3" xfId="18711"/>
    <cellStyle name="20% - Accent5 9 4 2 3 2" xfId="31990"/>
    <cellStyle name="20% - Accent5 9 4 2 4" xfId="22999"/>
    <cellStyle name="20% - Accent5 9 4 3" xfId="3540"/>
    <cellStyle name="20% - Accent5 9 4 3 2" xfId="14761"/>
    <cellStyle name="20% - Accent5 9 4 3 2 2" xfId="28153"/>
    <cellStyle name="20% - Accent5 9 4 3 3" xfId="18712"/>
    <cellStyle name="20% - Accent5 9 4 3 3 2" xfId="31991"/>
    <cellStyle name="20% - Accent5 9 4 3 4" xfId="23000"/>
    <cellStyle name="20% - Accent5 9 4 4" xfId="14759"/>
    <cellStyle name="20% - Accent5 9 4 4 2" xfId="28151"/>
    <cellStyle name="20% - Accent5 9 4 5" xfId="18710"/>
    <cellStyle name="20% - Accent5 9 4 5 2" xfId="31989"/>
    <cellStyle name="20% - Accent5 9 4 6" xfId="22998"/>
    <cellStyle name="20% - Accent5 9 5" xfId="3541"/>
    <cellStyle name="20% - Accent5 9 5 2" xfId="3542"/>
    <cellStyle name="20% - Accent5 9 5 2 2" xfId="14763"/>
    <cellStyle name="20% - Accent5 9 5 2 2 2" xfId="28155"/>
    <cellStyle name="20% - Accent5 9 5 2 3" xfId="18714"/>
    <cellStyle name="20% - Accent5 9 5 2 3 2" xfId="31993"/>
    <cellStyle name="20% - Accent5 9 5 2 4" xfId="23002"/>
    <cellStyle name="20% - Accent5 9 5 3" xfId="3543"/>
    <cellStyle name="20% - Accent5 9 5 3 2" xfId="14764"/>
    <cellStyle name="20% - Accent5 9 5 3 2 2" xfId="28156"/>
    <cellStyle name="20% - Accent5 9 5 3 3" xfId="18715"/>
    <cellStyle name="20% - Accent5 9 5 3 3 2" xfId="31994"/>
    <cellStyle name="20% - Accent5 9 5 3 4" xfId="23003"/>
    <cellStyle name="20% - Accent5 9 5 4" xfId="14762"/>
    <cellStyle name="20% - Accent5 9 5 4 2" xfId="28154"/>
    <cellStyle name="20% - Accent5 9 5 5" xfId="18713"/>
    <cellStyle name="20% - Accent5 9 5 5 2" xfId="31992"/>
    <cellStyle name="20% - Accent5 9 5 6" xfId="23001"/>
    <cellStyle name="20% - Accent5 9 6" xfId="3544"/>
    <cellStyle name="20% - Accent5 9 6 2" xfId="3545"/>
    <cellStyle name="20% - Accent5 9 6 2 2" xfId="14766"/>
    <cellStyle name="20% - Accent5 9 6 2 2 2" xfId="28158"/>
    <cellStyle name="20% - Accent5 9 6 2 3" xfId="18717"/>
    <cellStyle name="20% - Accent5 9 6 2 3 2" xfId="31996"/>
    <cellStyle name="20% - Accent5 9 6 2 4" xfId="23005"/>
    <cellStyle name="20% - Accent5 9 6 3" xfId="3546"/>
    <cellStyle name="20% - Accent5 9 6 3 2" xfId="14767"/>
    <cellStyle name="20% - Accent5 9 6 3 2 2" xfId="28159"/>
    <cellStyle name="20% - Accent5 9 6 3 3" xfId="18718"/>
    <cellStyle name="20% - Accent5 9 6 3 3 2" xfId="31997"/>
    <cellStyle name="20% - Accent5 9 6 3 4" xfId="23006"/>
    <cellStyle name="20% - Accent5 9 6 4" xfId="14765"/>
    <cellStyle name="20% - Accent5 9 6 4 2" xfId="28157"/>
    <cellStyle name="20% - Accent5 9 6 5" xfId="18716"/>
    <cellStyle name="20% - Accent5 9 6 5 2" xfId="31995"/>
    <cellStyle name="20% - Accent5 9 6 6" xfId="23004"/>
    <cellStyle name="20% - Accent5 9 7" xfId="3547"/>
    <cellStyle name="20% - Accent5 9 7 2" xfId="14768"/>
    <cellStyle name="20% - Accent5 9 7 2 2" xfId="28160"/>
    <cellStyle name="20% - Accent5 9 7 3" xfId="18719"/>
    <cellStyle name="20% - Accent5 9 7 3 2" xfId="31998"/>
    <cellStyle name="20% - Accent5 9 7 4" xfId="23007"/>
    <cellStyle name="20% - Accent5 9 8" xfId="3548"/>
    <cellStyle name="20% - Accent5 9 8 2" xfId="14769"/>
    <cellStyle name="20% - Accent5 9 8 2 2" xfId="28161"/>
    <cellStyle name="20% - Accent5 9 8 3" xfId="18720"/>
    <cellStyle name="20% - Accent5 9 8 3 2" xfId="31999"/>
    <cellStyle name="20% - Accent5 9 8 4" xfId="23008"/>
    <cellStyle name="20% - Accent5 9 9" xfId="14737"/>
    <cellStyle name="20% - Accent5 9 9 2" xfId="28129"/>
    <cellStyle name="20% - Accent5 9_Volatility" xfId="3549"/>
    <cellStyle name="20% - Accent6 10" xfId="3550"/>
    <cellStyle name="20% - Accent6 10 10" xfId="18721"/>
    <cellStyle name="20% - Accent6 10 10 2" xfId="32000"/>
    <cellStyle name="20% - Accent6 10 11" xfId="23009"/>
    <cellStyle name="20% - Accent6 10 2" xfId="3551"/>
    <cellStyle name="20% - Accent6 10 2 2" xfId="3552"/>
    <cellStyle name="20% - Accent6 10 2 2 2" xfId="3553"/>
    <cellStyle name="20% - Accent6 10 2 2 2 2" xfId="14773"/>
    <cellStyle name="20% - Accent6 10 2 2 2 2 2" xfId="28165"/>
    <cellStyle name="20% - Accent6 10 2 2 2 3" xfId="18724"/>
    <cellStyle name="20% - Accent6 10 2 2 2 3 2" xfId="32003"/>
    <cellStyle name="20% - Accent6 10 2 2 2 4" xfId="23012"/>
    <cellStyle name="20% - Accent6 10 2 2 3" xfId="3554"/>
    <cellStyle name="20% - Accent6 10 2 2 3 2" xfId="14774"/>
    <cellStyle name="20% - Accent6 10 2 2 3 2 2" xfId="28166"/>
    <cellStyle name="20% - Accent6 10 2 2 3 3" xfId="18725"/>
    <cellStyle name="20% - Accent6 10 2 2 3 3 2" xfId="32004"/>
    <cellStyle name="20% - Accent6 10 2 2 3 4" xfId="23013"/>
    <cellStyle name="20% - Accent6 10 2 2 4" xfId="14772"/>
    <cellStyle name="20% - Accent6 10 2 2 4 2" xfId="28164"/>
    <cellStyle name="20% - Accent6 10 2 2 5" xfId="18723"/>
    <cellStyle name="20% - Accent6 10 2 2 5 2" xfId="32002"/>
    <cellStyle name="20% - Accent6 10 2 2 6" xfId="23011"/>
    <cellStyle name="20% - Accent6 10 2 3" xfId="3555"/>
    <cellStyle name="20% - Accent6 10 2 3 2" xfId="3556"/>
    <cellStyle name="20% - Accent6 10 2 3 2 2" xfId="14776"/>
    <cellStyle name="20% - Accent6 10 2 3 2 2 2" xfId="28168"/>
    <cellStyle name="20% - Accent6 10 2 3 2 3" xfId="18727"/>
    <cellStyle name="20% - Accent6 10 2 3 2 3 2" xfId="32006"/>
    <cellStyle name="20% - Accent6 10 2 3 2 4" xfId="23015"/>
    <cellStyle name="20% - Accent6 10 2 3 3" xfId="3557"/>
    <cellStyle name="20% - Accent6 10 2 3 3 2" xfId="14777"/>
    <cellStyle name="20% - Accent6 10 2 3 3 2 2" xfId="28169"/>
    <cellStyle name="20% - Accent6 10 2 3 3 3" xfId="18728"/>
    <cellStyle name="20% - Accent6 10 2 3 3 3 2" xfId="32007"/>
    <cellStyle name="20% - Accent6 10 2 3 3 4" xfId="23016"/>
    <cellStyle name="20% - Accent6 10 2 3 4" xfId="14775"/>
    <cellStyle name="20% - Accent6 10 2 3 4 2" xfId="28167"/>
    <cellStyle name="20% - Accent6 10 2 3 5" xfId="18726"/>
    <cellStyle name="20% - Accent6 10 2 3 5 2" xfId="32005"/>
    <cellStyle name="20% - Accent6 10 2 3 6" xfId="23014"/>
    <cellStyle name="20% - Accent6 10 2 4" xfId="3558"/>
    <cellStyle name="20% - Accent6 10 2 4 2" xfId="3559"/>
    <cellStyle name="20% - Accent6 10 2 4 2 2" xfId="14779"/>
    <cellStyle name="20% - Accent6 10 2 4 2 2 2" xfId="28171"/>
    <cellStyle name="20% - Accent6 10 2 4 2 3" xfId="18730"/>
    <cellStyle name="20% - Accent6 10 2 4 2 3 2" xfId="32009"/>
    <cellStyle name="20% - Accent6 10 2 4 2 4" xfId="23018"/>
    <cellStyle name="20% - Accent6 10 2 4 3" xfId="3560"/>
    <cellStyle name="20% - Accent6 10 2 4 3 2" xfId="14780"/>
    <cellStyle name="20% - Accent6 10 2 4 3 2 2" xfId="28172"/>
    <cellStyle name="20% - Accent6 10 2 4 3 3" xfId="18731"/>
    <cellStyle name="20% - Accent6 10 2 4 3 3 2" xfId="32010"/>
    <cellStyle name="20% - Accent6 10 2 4 3 4" xfId="23019"/>
    <cellStyle name="20% - Accent6 10 2 4 4" xfId="14778"/>
    <cellStyle name="20% - Accent6 10 2 4 4 2" xfId="28170"/>
    <cellStyle name="20% - Accent6 10 2 4 5" xfId="18729"/>
    <cellStyle name="20% - Accent6 10 2 4 5 2" xfId="32008"/>
    <cellStyle name="20% - Accent6 10 2 4 6" xfId="23017"/>
    <cellStyle name="20% - Accent6 10 2 5" xfId="3561"/>
    <cellStyle name="20% - Accent6 10 2 5 2" xfId="14781"/>
    <cellStyle name="20% - Accent6 10 2 5 2 2" xfId="28173"/>
    <cellStyle name="20% - Accent6 10 2 5 3" xfId="18732"/>
    <cellStyle name="20% - Accent6 10 2 5 3 2" xfId="32011"/>
    <cellStyle name="20% - Accent6 10 2 5 4" xfId="23020"/>
    <cellStyle name="20% - Accent6 10 2 6" xfId="3562"/>
    <cellStyle name="20% - Accent6 10 2 6 2" xfId="14782"/>
    <cellStyle name="20% - Accent6 10 2 6 2 2" xfId="28174"/>
    <cellStyle name="20% - Accent6 10 2 6 3" xfId="18733"/>
    <cellStyle name="20% - Accent6 10 2 6 3 2" xfId="32012"/>
    <cellStyle name="20% - Accent6 10 2 6 4" xfId="23021"/>
    <cellStyle name="20% - Accent6 10 2 7" xfId="14771"/>
    <cellStyle name="20% - Accent6 10 2 7 2" xfId="28163"/>
    <cellStyle name="20% - Accent6 10 2 8" xfId="18722"/>
    <cellStyle name="20% - Accent6 10 2 8 2" xfId="32001"/>
    <cellStyle name="20% - Accent6 10 2 9" xfId="23010"/>
    <cellStyle name="20% - Accent6 10 2_Volatility" xfId="3563"/>
    <cellStyle name="20% - Accent6 10 3" xfId="3564"/>
    <cellStyle name="20% - Accent6 10 3 2" xfId="3565"/>
    <cellStyle name="20% - Accent6 10 3 2 2" xfId="3566"/>
    <cellStyle name="20% - Accent6 10 3 2 2 2" xfId="14785"/>
    <cellStyle name="20% - Accent6 10 3 2 2 2 2" xfId="28177"/>
    <cellStyle name="20% - Accent6 10 3 2 2 3" xfId="18736"/>
    <cellStyle name="20% - Accent6 10 3 2 2 3 2" xfId="32015"/>
    <cellStyle name="20% - Accent6 10 3 2 2 4" xfId="23024"/>
    <cellStyle name="20% - Accent6 10 3 2 3" xfId="3567"/>
    <cellStyle name="20% - Accent6 10 3 2 3 2" xfId="14786"/>
    <cellStyle name="20% - Accent6 10 3 2 3 2 2" xfId="28178"/>
    <cellStyle name="20% - Accent6 10 3 2 3 3" xfId="18737"/>
    <cellStyle name="20% - Accent6 10 3 2 3 3 2" xfId="32016"/>
    <cellStyle name="20% - Accent6 10 3 2 3 4" xfId="23025"/>
    <cellStyle name="20% - Accent6 10 3 2 4" xfId="14784"/>
    <cellStyle name="20% - Accent6 10 3 2 4 2" xfId="28176"/>
    <cellStyle name="20% - Accent6 10 3 2 5" xfId="18735"/>
    <cellStyle name="20% - Accent6 10 3 2 5 2" xfId="32014"/>
    <cellStyle name="20% - Accent6 10 3 2 6" xfId="23023"/>
    <cellStyle name="20% - Accent6 10 3 3" xfId="3568"/>
    <cellStyle name="20% - Accent6 10 3 3 2" xfId="3569"/>
    <cellStyle name="20% - Accent6 10 3 3 2 2" xfId="14788"/>
    <cellStyle name="20% - Accent6 10 3 3 2 2 2" xfId="28180"/>
    <cellStyle name="20% - Accent6 10 3 3 2 3" xfId="18739"/>
    <cellStyle name="20% - Accent6 10 3 3 2 3 2" xfId="32018"/>
    <cellStyle name="20% - Accent6 10 3 3 2 4" xfId="23027"/>
    <cellStyle name="20% - Accent6 10 3 3 3" xfId="3570"/>
    <cellStyle name="20% - Accent6 10 3 3 3 2" xfId="14789"/>
    <cellStyle name="20% - Accent6 10 3 3 3 2 2" xfId="28181"/>
    <cellStyle name="20% - Accent6 10 3 3 3 3" xfId="18740"/>
    <cellStyle name="20% - Accent6 10 3 3 3 3 2" xfId="32019"/>
    <cellStyle name="20% - Accent6 10 3 3 3 4" xfId="23028"/>
    <cellStyle name="20% - Accent6 10 3 3 4" xfId="14787"/>
    <cellStyle name="20% - Accent6 10 3 3 4 2" xfId="28179"/>
    <cellStyle name="20% - Accent6 10 3 3 5" xfId="18738"/>
    <cellStyle name="20% - Accent6 10 3 3 5 2" xfId="32017"/>
    <cellStyle name="20% - Accent6 10 3 3 6" xfId="23026"/>
    <cellStyle name="20% - Accent6 10 3 4" xfId="3571"/>
    <cellStyle name="20% - Accent6 10 3 4 2" xfId="14790"/>
    <cellStyle name="20% - Accent6 10 3 4 2 2" xfId="28182"/>
    <cellStyle name="20% - Accent6 10 3 4 3" xfId="18741"/>
    <cellStyle name="20% - Accent6 10 3 4 3 2" xfId="32020"/>
    <cellStyle name="20% - Accent6 10 3 4 4" xfId="23029"/>
    <cellStyle name="20% - Accent6 10 3 5" xfId="3572"/>
    <cellStyle name="20% - Accent6 10 3 5 2" xfId="14791"/>
    <cellStyle name="20% - Accent6 10 3 5 2 2" xfId="28183"/>
    <cellStyle name="20% - Accent6 10 3 5 3" xfId="18742"/>
    <cellStyle name="20% - Accent6 10 3 5 3 2" xfId="32021"/>
    <cellStyle name="20% - Accent6 10 3 5 4" xfId="23030"/>
    <cellStyle name="20% - Accent6 10 3 6" xfId="14783"/>
    <cellStyle name="20% - Accent6 10 3 6 2" xfId="28175"/>
    <cellStyle name="20% - Accent6 10 3 7" xfId="18734"/>
    <cellStyle name="20% - Accent6 10 3 7 2" xfId="32013"/>
    <cellStyle name="20% - Accent6 10 3 8" xfId="23022"/>
    <cellStyle name="20% - Accent6 10 3_Volatility" xfId="3573"/>
    <cellStyle name="20% - Accent6 10 4" xfId="3574"/>
    <cellStyle name="20% - Accent6 10 4 2" xfId="3575"/>
    <cellStyle name="20% - Accent6 10 4 2 2" xfId="14793"/>
    <cellStyle name="20% - Accent6 10 4 2 2 2" xfId="28185"/>
    <cellStyle name="20% - Accent6 10 4 2 3" xfId="18744"/>
    <cellStyle name="20% - Accent6 10 4 2 3 2" xfId="32023"/>
    <cellStyle name="20% - Accent6 10 4 2 4" xfId="23032"/>
    <cellStyle name="20% - Accent6 10 4 3" xfId="3576"/>
    <cellStyle name="20% - Accent6 10 4 3 2" xfId="14794"/>
    <cellStyle name="20% - Accent6 10 4 3 2 2" xfId="28186"/>
    <cellStyle name="20% - Accent6 10 4 3 3" xfId="18745"/>
    <cellStyle name="20% - Accent6 10 4 3 3 2" xfId="32024"/>
    <cellStyle name="20% - Accent6 10 4 3 4" xfId="23033"/>
    <cellStyle name="20% - Accent6 10 4 4" xfId="14792"/>
    <cellStyle name="20% - Accent6 10 4 4 2" xfId="28184"/>
    <cellStyle name="20% - Accent6 10 4 5" xfId="18743"/>
    <cellStyle name="20% - Accent6 10 4 5 2" xfId="32022"/>
    <cellStyle name="20% - Accent6 10 4 6" xfId="23031"/>
    <cellStyle name="20% - Accent6 10 5" xfId="3577"/>
    <cellStyle name="20% - Accent6 10 5 2" xfId="3578"/>
    <cellStyle name="20% - Accent6 10 5 2 2" xfId="14796"/>
    <cellStyle name="20% - Accent6 10 5 2 2 2" xfId="28188"/>
    <cellStyle name="20% - Accent6 10 5 2 3" xfId="18747"/>
    <cellStyle name="20% - Accent6 10 5 2 3 2" xfId="32026"/>
    <cellStyle name="20% - Accent6 10 5 2 4" xfId="23035"/>
    <cellStyle name="20% - Accent6 10 5 3" xfId="3579"/>
    <cellStyle name="20% - Accent6 10 5 3 2" xfId="14797"/>
    <cellStyle name="20% - Accent6 10 5 3 2 2" xfId="28189"/>
    <cellStyle name="20% - Accent6 10 5 3 3" xfId="18748"/>
    <cellStyle name="20% - Accent6 10 5 3 3 2" xfId="32027"/>
    <cellStyle name="20% - Accent6 10 5 3 4" xfId="23036"/>
    <cellStyle name="20% - Accent6 10 5 4" xfId="14795"/>
    <cellStyle name="20% - Accent6 10 5 4 2" xfId="28187"/>
    <cellStyle name="20% - Accent6 10 5 5" xfId="18746"/>
    <cellStyle name="20% - Accent6 10 5 5 2" xfId="32025"/>
    <cellStyle name="20% - Accent6 10 5 6" xfId="23034"/>
    <cellStyle name="20% - Accent6 10 6" xfId="3580"/>
    <cellStyle name="20% - Accent6 10 6 2" xfId="3581"/>
    <cellStyle name="20% - Accent6 10 6 2 2" xfId="14799"/>
    <cellStyle name="20% - Accent6 10 6 2 2 2" xfId="28191"/>
    <cellStyle name="20% - Accent6 10 6 2 3" xfId="18750"/>
    <cellStyle name="20% - Accent6 10 6 2 3 2" xfId="32029"/>
    <cellStyle name="20% - Accent6 10 6 2 4" xfId="23038"/>
    <cellStyle name="20% - Accent6 10 6 3" xfId="3582"/>
    <cellStyle name="20% - Accent6 10 6 3 2" xfId="14800"/>
    <cellStyle name="20% - Accent6 10 6 3 2 2" xfId="28192"/>
    <cellStyle name="20% - Accent6 10 6 3 3" xfId="18751"/>
    <cellStyle name="20% - Accent6 10 6 3 3 2" xfId="32030"/>
    <cellStyle name="20% - Accent6 10 6 3 4" xfId="23039"/>
    <cellStyle name="20% - Accent6 10 6 4" xfId="14798"/>
    <cellStyle name="20% - Accent6 10 6 4 2" xfId="28190"/>
    <cellStyle name="20% - Accent6 10 6 5" xfId="18749"/>
    <cellStyle name="20% - Accent6 10 6 5 2" xfId="32028"/>
    <cellStyle name="20% - Accent6 10 6 6" xfId="23037"/>
    <cellStyle name="20% - Accent6 10 7" xfId="3583"/>
    <cellStyle name="20% - Accent6 10 7 2" xfId="14801"/>
    <cellStyle name="20% - Accent6 10 7 2 2" xfId="28193"/>
    <cellStyle name="20% - Accent6 10 7 3" xfId="18752"/>
    <cellStyle name="20% - Accent6 10 7 3 2" xfId="32031"/>
    <cellStyle name="20% - Accent6 10 7 4" xfId="23040"/>
    <cellStyle name="20% - Accent6 10 8" xfId="3584"/>
    <cellStyle name="20% - Accent6 10 8 2" xfId="14802"/>
    <cellStyle name="20% - Accent6 10 8 2 2" xfId="28194"/>
    <cellStyle name="20% - Accent6 10 8 3" xfId="18753"/>
    <cellStyle name="20% - Accent6 10 8 3 2" xfId="32032"/>
    <cellStyle name="20% - Accent6 10 8 4" xfId="23041"/>
    <cellStyle name="20% - Accent6 10 9" xfId="14770"/>
    <cellStyle name="20% - Accent6 10 9 2" xfId="28162"/>
    <cellStyle name="20% - Accent6 10_Volatility" xfId="3585"/>
    <cellStyle name="20% - Accent6 11" xfId="3586"/>
    <cellStyle name="20% - Accent6 11 10" xfId="18754"/>
    <cellStyle name="20% - Accent6 11 10 2" xfId="32033"/>
    <cellStyle name="20% - Accent6 11 11" xfId="23042"/>
    <cellStyle name="20% - Accent6 11 2" xfId="3587"/>
    <cellStyle name="20% - Accent6 11 2 2" xfId="3588"/>
    <cellStyle name="20% - Accent6 11 2 2 2" xfId="3589"/>
    <cellStyle name="20% - Accent6 11 2 2 2 2" xfId="14806"/>
    <cellStyle name="20% - Accent6 11 2 2 2 2 2" xfId="28198"/>
    <cellStyle name="20% - Accent6 11 2 2 2 3" xfId="18757"/>
    <cellStyle name="20% - Accent6 11 2 2 2 3 2" xfId="32036"/>
    <cellStyle name="20% - Accent6 11 2 2 2 4" xfId="23045"/>
    <cellStyle name="20% - Accent6 11 2 2 3" xfId="3590"/>
    <cellStyle name="20% - Accent6 11 2 2 3 2" xfId="14807"/>
    <cellStyle name="20% - Accent6 11 2 2 3 2 2" xfId="28199"/>
    <cellStyle name="20% - Accent6 11 2 2 3 3" xfId="18758"/>
    <cellStyle name="20% - Accent6 11 2 2 3 3 2" xfId="32037"/>
    <cellStyle name="20% - Accent6 11 2 2 3 4" xfId="23046"/>
    <cellStyle name="20% - Accent6 11 2 2 4" xfId="14805"/>
    <cellStyle name="20% - Accent6 11 2 2 4 2" xfId="28197"/>
    <cellStyle name="20% - Accent6 11 2 2 5" xfId="18756"/>
    <cellStyle name="20% - Accent6 11 2 2 5 2" xfId="32035"/>
    <cellStyle name="20% - Accent6 11 2 2 6" xfId="23044"/>
    <cellStyle name="20% - Accent6 11 2 3" xfId="3591"/>
    <cellStyle name="20% - Accent6 11 2 3 2" xfId="3592"/>
    <cellStyle name="20% - Accent6 11 2 3 2 2" xfId="14809"/>
    <cellStyle name="20% - Accent6 11 2 3 2 2 2" xfId="28201"/>
    <cellStyle name="20% - Accent6 11 2 3 2 3" xfId="18760"/>
    <cellStyle name="20% - Accent6 11 2 3 2 3 2" xfId="32039"/>
    <cellStyle name="20% - Accent6 11 2 3 2 4" xfId="23048"/>
    <cellStyle name="20% - Accent6 11 2 3 3" xfId="3593"/>
    <cellStyle name="20% - Accent6 11 2 3 3 2" xfId="14810"/>
    <cellStyle name="20% - Accent6 11 2 3 3 2 2" xfId="28202"/>
    <cellStyle name="20% - Accent6 11 2 3 3 3" xfId="18761"/>
    <cellStyle name="20% - Accent6 11 2 3 3 3 2" xfId="32040"/>
    <cellStyle name="20% - Accent6 11 2 3 3 4" xfId="23049"/>
    <cellStyle name="20% - Accent6 11 2 3 4" xfId="14808"/>
    <cellStyle name="20% - Accent6 11 2 3 4 2" xfId="28200"/>
    <cellStyle name="20% - Accent6 11 2 3 5" xfId="18759"/>
    <cellStyle name="20% - Accent6 11 2 3 5 2" xfId="32038"/>
    <cellStyle name="20% - Accent6 11 2 3 6" xfId="23047"/>
    <cellStyle name="20% - Accent6 11 2 4" xfId="3594"/>
    <cellStyle name="20% - Accent6 11 2 4 2" xfId="3595"/>
    <cellStyle name="20% - Accent6 11 2 4 2 2" xfId="14812"/>
    <cellStyle name="20% - Accent6 11 2 4 2 2 2" xfId="28204"/>
    <cellStyle name="20% - Accent6 11 2 4 2 3" xfId="18763"/>
    <cellStyle name="20% - Accent6 11 2 4 2 3 2" xfId="32042"/>
    <cellStyle name="20% - Accent6 11 2 4 2 4" xfId="23051"/>
    <cellStyle name="20% - Accent6 11 2 4 3" xfId="3596"/>
    <cellStyle name="20% - Accent6 11 2 4 3 2" xfId="14813"/>
    <cellStyle name="20% - Accent6 11 2 4 3 2 2" xfId="28205"/>
    <cellStyle name="20% - Accent6 11 2 4 3 3" xfId="18764"/>
    <cellStyle name="20% - Accent6 11 2 4 3 3 2" xfId="32043"/>
    <cellStyle name="20% - Accent6 11 2 4 3 4" xfId="23052"/>
    <cellStyle name="20% - Accent6 11 2 4 4" xfId="14811"/>
    <cellStyle name="20% - Accent6 11 2 4 4 2" xfId="28203"/>
    <cellStyle name="20% - Accent6 11 2 4 5" xfId="18762"/>
    <cellStyle name="20% - Accent6 11 2 4 5 2" xfId="32041"/>
    <cellStyle name="20% - Accent6 11 2 4 6" xfId="23050"/>
    <cellStyle name="20% - Accent6 11 2 5" xfId="3597"/>
    <cellStyle name="20% - Accent6 11 2 5 2" xfId="14814"/>
    <cellStyle name="20% - Accent6 11 2 5 2 2" xfId="28206"/>
    <cellStyle name="20% - Accent6 11 2 5 3" xfId="18765"/>
    <cellStyle name="20% - Accent6 11 2 5 3 2" xfId="32044"/>
    <cellStyle name="20% - Accent6 11 2 5 4" xfId="23053"/>
    <cellStyle name="20% - Accent6 11 2 6" xfId="3598"/>
    <cellStyle name="20% - Accent6 11 2 6 2" xfId="14815"/>
    <cellStyle name="20% - Accent6 11 2 6 2 2" xfId="28207"/>
    <cellStyle name="20% - Accent6 11 2 6 3" xfId="18766"/>
    <cellStyle name="20% - Accent6 11 2 6 3 2" xfId="32045"/>
    <cellStyle name="20% - Accent6 11 2 6 4" xfId="23054"/>
    <cellStyle name="20% - Accent6 11 2 7" xfId="14804"/>
    <cellStyle name="20% - Accent6 11 2 7 2" xfId="28196"/>
    <cellStyle name="20% - Accent6 11 2 8" xfId="18755"/>
    <cellStyle name="20% - Accent6 11 2 8 2" xfId="32034"/>
    <cellStyle name="20% - Accent6 11 2 9" xfId="23043"/>
    <cellStyle name="20% - Accent6 11 2_Volatility" xfId="3599"/>
    <cellStyle name="20% - Accent6 11 3" xfId="3600"/>
    <cellStyle name="20% - Accent6 11 3 2" xfId="3601"/>
    <cellStyle name="20% - Accent6 11 3 2 2" xfId="3602"/>
    <cellStyle name="20% - Accent6 11 3 2 2 2" xfId="14818"/>
    <cellStyle name="20% - Accent6 11 3 2 2 2 2" xfId="28210"/>
    <cellStyle name="20% - Accent6 11 3 2 2 3" xfId="18769"/>
    <cellStyle name="20% - Accent6 11 3 2 2 3 2" xfId="32048"/>
    <cellStyle name="20% - Accent6 11 3 2 2 4" xfId="23057"/>
    <cellStyle name="20% - Accent6 11 3 2 3" xfId="3603"/>
    <cellStyle name="20% - Accent6 11 3 2 3 2" xfId="14819"/>
    <cellStyle name="20% - Accent6 11 3 2 3 2 2" xfId="28211"/>
    <cellStyle name="20% - Accent6 11 3 2 3 3" xfId="18770"/>
    <cellStyle name="20% - Accent6 11 3 2 3 3 2" xfId="32049"/>
    <cellStyle name="20% - Accent6 11 3 2 3 4" xfId="23058"/>
    <cellStyle name="20% - Accent6 11 3 2 4" xfId="14817"/>
    <cellStyle name="20% - Accent6 11 3 2 4 2" xfId="28209"/>
    <cellStyle name="20% - Accent6 11 3 2 5" xfId="18768"/>
    <cellStyle name="20% - Accent6 11 3 2 5 2" xfId="32047"/>
    <cellStyle name="20% - Accent6 11 3 2 6" xfId="23056"/>
    <cellStyle name="20% - Accent6 11 3 3" xfId="3604"/>
    <cellStyle name="20% - Accent6 11 3 3 2" xfId="3605"/>
    <cellStyle name="20% - Accent6 11 3 3 2 2" xfId="14821"/>
    <cellStyle name="20% - Accent6 11 3 3 2 2 2" xfId="28213"/>
    <cellStyle name="20% - Accent6 11 3 3 2 3" xfId="18772"/>
    <cellStyle name="20% - Accent6 11 3 3 2 3 2" xfId="32051"/>
    <cellStyle name="20% - Accent6 11 3 3 2 4" xfId="23060"/>
    <cellStyle name="20% - Accent6 11 3 3 3" xfId="3606"/>
    <cellStyle name="20% - Accent6 11 3 3 3 2" xfId="14822"/>
    <cellStyle name="20% - Accent6 11 3 3 3 2 2" xfId="28214"/>
    <cellStyle name="20% - Accent6 11 3 3 3 3" xfId="18773"/>
    <cellStyle name="20% - Accent6 11 3 3 3 3 2" xfId="32052"/>
    <cellStyle name="20% - Accent6 11 3 3 3 4" xfId="23061"/>
    <cellStyle name="20% - Accent6 11 3 3 4" xfId="14820"/>
    <cellStyle name="20% - Accent6 11 3 3 4 2" xfId="28212"/>
    <cellStyle name="20% - Accent6 11 3 3 5" xfId="18771"/>
    <cellStyle name="20% - Accent6 11 3 3 5 2" xfId="32050"/>
    <cellStyle name="20% - Accent6 11 3 3 6" xfId="23059"/>
    <cellStyle name="20% - Accent6 11 3 4" xfId="3607"/>
    <cellStyle name="20% - Accent6 11 3 4 2" xfId="14823"/>
    <cellStyle name="20% - Accent6 11 3 4 2 2" xfId="28215"/>
    <cellStyle name="20% - Accent6 11 3 4 3" xfId="18774"/>
    <cellStyle name="20% - Accent6 11 3 4 3 2" xfId="32053"/>
    <cellStyle name="20% - Accent6 11 3 4 4" xfId="23062"/>
    <cellStyle name="20% - Accent6 11 3 5" xfId="3608"/>
    <cellStyle name="20% - Accent6 11 3 5 2" xfId="14824"/>
    <cellStyle name="20% - Accent6 11 3 5 2 2" xfId="28216"/>
    <cellStyle name="20% - Accent6 11 3 5 3" xfId="18775"/>
    <cellStyle name="20% - Accent6 11 3 5 3 2" xfId="32054"/>
    <cellStyle name="20% - Accent6 11 3 5 4" xfId="23063"/>
    <cellStyle name="20% - Accent6 11 3 6" xfId="14816"/>
    <cellStyle name="20% - Accent6 11 3 6 2" xfId="28208"/>
    <cellStyle name="20% - Accent6 11 3 7" xfId="18767"/>
    <cellStyle name="20% - Accent6 11 3 7 2" xfId="32046"/>
    <cellStyle name="20% - Accent6 11 3 8" xfId="23055"/>
    <cellStyle name="20% - Accent6 11 3_Volatility" xfId="3609"/>
    <cellStyle name="20% - Accent6 11 4" xfId="3610"/>
    <cellStyle name="20% - Accent6 11 4 2" xfId="3611"/>
    <cellStyle name="20% - Accent6 11 4 2 2" xfId="14826"/>
    <cellStyle name="20% - Accent6 11 4 2 2 2" xfId="28218"/>
    <cellStyle name="20% - Accent6 11 4 2 3" xfId="18777"/>
    <cellStyle name="20% - Accent6 11 4 2 3 2" xfId="32056"/>
    <cellStyle name="20% - Accent6 11 4 2 4" xfId="23065"/>
    <cellStyle name="20% - Accent6 11 4 3" xfId="3612"/>
    <cellStyle name="20% - Accent6 11 4 3 2" xfId="14827"/>
    <cellStyle name="20% - Accent6 11 4 3 2 2" xfId="28219"/>
    <cellStyle name="20% - Accent6 11 4 3 3" xfId="18778"/>
    <cellStyle name="20% - Accent6 11 4 3 3 2" xfId="32057"/>
    <cellStyle name="20% - Accent6 11 4 3 4" xfId="23066"/>
    <cellStyle name="20% - Accent6 11 4 4" xfId="14825"/>
    <cellStyle name="20% - Accent6 11 4 4 2" xfId="28217"/>
    <cellStyle name="20% - Accent6 11 4 5" xfId="18776"/>
    <cellStyle name="20% - Accent6 11 4 5 2" xfId="32055"/>
    <cellStyle name="20% - Accent6 11 4 6" xfId="23064"/>
    <cellStyle name="20% - Accent6 11 5" xfId="3613"/>
    <cellStyle name="20% - Accent6 11 5 2" xfId="3614"/>
    <cellStyle name="20% - Accent6 11 5 2 2" xfId="14829"/>
    <cellStyle name="20% - Accent6 11 5 2 2 2" xfId="28221"/>
    <cellStyle name="20% - Accent6 11 5 2 3" xfId="18780"/>
    <cellStyle name="20% - Accent6 11 5 2 3 2" xfId="32059"/>
    <cellStyle name="20% - Accent6 11 5 2 4" xfId="23068"/>
    <cellStyle name="20% - Accent6 11 5 3" xfId="3615"/>
    <cellStyle name="20% - Accent6 11 5 3 2" xfId="14830"/>
    <cellStyle name="20% - Accent6 11 5 3 2 2" xfId="28222"/>
    <cellStyle name="20% - Accent6 11 5 3 3" xfId="18781"/>
    <cellStyle name="20% - Accent6 11 5 3 3 2" xfId="32060"/>
    <cellStyle name="20% - Accent6 11 5 3 4" xfId="23069"/>
    <cellStyle name="20% - Accent6 11 5 4" xfId="14828"/>
    <cellStyle name="20% - Accent6 11 5 4 2" xfId="28220"/>
    <cellStyle name="20% - Accent6 11 5 5" xfId="18779"/>
    <cellStyle name="20% - Accent6 11 5 5 2" xfId="32058"/>
    <cellStyle name="20% - Accent6 11 5 6" xfId="23067"/>
    <cellStyle name="20% - Accent6 11 6" xfId="3616"/>
    <cellStyle name="20% - Accent6 11 6 2" xfId="3617"/>
    <cellStyle name="20% - Accent6 11 6 2 2" xfId="14832"/>
    <cellStyle name="20% - Accent6 11 6 2 2 2" xfId="28224"/>
    <cellStyle name="20% - Accent6 11 6 2 3" xfId="18783"/>
    <cellStyle name="20% - Accent6 11 6 2 3 2" xfId="32062"/>
    <cellStyle name="20% - Accent6 11 6 2 4" xfId="23071"/>
    <cellStyle name="20% - Accent6 11 6 3" xfId="3618"/>
    <cellStyle name="20% - Accent6 11 6 3 2" xfId="14833"/>
    <cellStyle name="20% - Accent6 11 6 3 2 2" xfId="28225"/>
    <cellStyle name="20% - Accent6 11 6 3 3" xfId="18784"/>
    <cellStyle name="20% - Accent6 11 6 3 3 2" xfId="32063"/>
    <cellStyle name="20% - Accent6 11 6 3 4" xfId="23072"/>
    <cellStyle name="20% - Accent6 11 6 4" xfId="14831"/>
    <cellStyle name="20% - Accent6 11 6 4 2" xfId="28223"/>
    <cellStyle name="20% - Accent6 11 6 5" xfId="18782"/>
    <cellStyle name="20% - Accent6 11 6 5 2" xfId="32061"/>
    <cellStyle name="20% - Accent6 11 6 6" xfId="23070"/>
    <cellStyle name="20% - Accent6 11 7" xfId="3619"/>
    <cellStyle name="20% - Accent6 11 7 2" xfId="14834"/>
    <cellStyle name="20% - Accent6 11 7 2 2" xfId="28226"/>
    <cellStyle name="20% - Accent6 11 7 3" xfId="18785"/>
    <cellStyle name="20% - Accent6 11 7 3 2" xfId="32064"/>
    <cellStyle name="20% - Accent6 11 7 4" xfId="23073"/>
    <cellStyle name="20% - Accent6 11 8" xfId="3620"/>
    <cellStyle name="20% - Accent6 11 8 2" xfId="14835"/>
    <cellStyle name="20% - Accent6 11 8 2 2" xfId="28227"/>
    <cellStyle name="20% - Accent6 11 8 3" xfId="18786"/>
    <cellStyle name="20% - Accent6 11 8 3 2" xfId="32065"/>
    <cellStyle name="20% - Accent6 11 8 4" xfId="23074"/>
    <cellStyle name="20% - Accent6 11 9" xfId="14803"/>
    <cellStyle name="20% - Accent6 11 9 2" xfId="28195"/>
    <cellStyle name="20% - Accent6 11_Volatility" xfId="3621"/>
    <cellStyle name="20% - Accent6 12" xfId="3622"/>
    <cellStyle name="20% - Accent6 12 10" xfId="18787"/>
    <cellStyle name="20% - Accent6 12 10 2" xfId="32066"/>
    <cellStyle name="20% - Accent6 12 11" xfId="23075"/>
    <cellStyle name="20% - Accent6 12 2" xfId="3623"/>
    <cellStyle name="20% - Accent6 12 2 2" xfId="3624"/>
    <cellStyle name="20% - Accent6 12 2 2 2" xfId="3625"/>
    <cellStyle name="20% - Accent6 12 2 2 2 2" xfId="14839"/>
    <cellStyle name="20% - Accent6 12 2 2 2 2 2" xfId="28231"/>
    <cellStyle name="20% - Accent6 12 2 2 2 3" xfId="18790"/>
    <cellStyle name="20% - Accent6 12 2 2 2 3 2" xfId="32069"/>
    <cellStyle name="20% - Accent6 12 2 2 2 4" xfId="23078"/>
    <cellStyle name="20% - Accent6 12 2 2 3" xfId="3626"/>
    <cellStyle name="20% - Accent6 12 2 2 3 2" xfId="14840"/>
    <cellStyle name="20% - Accent6 12 2 2 3 2 2" xfId="28232"/>
    <cellStyle name="20% - Accent6 12 2 2 3 3" xfId="18791"/>
    <cellStyle name="20% - Accent6 12 2 2 3 3 2" xfId="32070"/>
    <cellStyle name="20% - Accent6 12 2 2 3 4" xfId="23079"/>
    <cellStyle name="20% - Accent6 12 2 2 4" xfId="14838"/>
    <cellStyle name="20% - Accent6 12 2 2 4 2" xfId="28230"/>
    <cellStyle name="20% - Accent6 12 2 2 5" xfId="18789"/>
    <cellStyle name="20% - Accent6 12 2 2 5 2" xfId="32068"/>
    <cellStyle name="20% - Accent6 12 2 2 6" xfId="23077"/>
    <cellStyle name="20% - Accent6 12 2 3" xfId="3627"/>
    <cellStyle name="20% - Accent6 12 2 3 2" xfId="3628"/>
    <cellStyle name="20% - Accent6 12 2 3 2 2" xfId="14842"/>
    <cellStyle name="20% - Accent6 12 2 3 2 2 2" xfId="28234"/>
    <cellStyle name="20% - Accent6 12 2 3 2 3" xfId="18793"/>
    <cellStyle name="20% - Accent6 12 2 3 2 3 2" xfId="32072"/>
    <cellStyle name="20% - Accent6 12 2 3 2 4" xfId="23081"/>
    <cellStyle name="20% - Accent6 12 2 3 3" xfId="3629"/>
    <cellStyle name="20% - Accent6 12 2 3 3 2" xfId="14843"/>
    <cellStyle name="20% - Accent6 12 2 3 3 2 2" xfId="28235"/>
    <cellStyle name="20% - Accent6 12 2 3 3 3" xfId="18794"/>
    <cellStyle name="20% - Accent6 12 2 3 3 3 2" xfId="32073"/>
    <cellStyle name="20% - Accent6 12 2 3 3 4" xfId="23082"/>
    <cellStyle name="20% - Accent6 12 2 3 4" xfId="14841"/>
    <cellStyle name="20% - Accent6 12 2 3 4 2" xfId="28233"/>
    <cellStyle name="20% - Accent6 12 2 3 5" xfId="18792"/>
    <cellStyle name="20% - Accent6 12 2 3 5 2" xfId="32071"/>
    <cellStyle name="20% - Accent6 12 2 3 6" xfId="23080"/>
    <cellStyle name="20% - Accent6 12 2 4" xfId="3630"/>
    <cellStyle name="20% - Accent6 12 2 4 2" xfId="3631"/>
    <cellStyle name="20% - Accent6 12 2 4 2 2" xfId="14845"/>
    <cellStyle name="20% - Accent6 12 2 4 2 2 2" xfId="28237"/>
    <cellStyle name="20% - Accent6 12 2 4 2 3" xfId="18796"/>
    <cellStyle name="20% - Accent6 12 2 4 2 3 2" xfId="32075"/>
    <cellStyle name="20% - Accent6 12 2 4 2 4" xfId="23084"/>
    <cellStyle name="20% - Accent6 12 2 4 3" xfId="3632"/>
    <cellStyle name="20% - Accent6 12 2 4 3 2" xfId="14846"/>
    <cellStyle name="20% - Accent6 12 2 4 3 2 2" xfId="28238"/>
    <cellStyle name="20% - Accent6 12 2 4 3 3" xfId="18797"/>
    <cellStyle name="20% - Accent6 12 2 4 3 3 2" xfId="32076"/>
    <cellStyle name="20% - Accent6 12 2 4 3 4" xfId="23085"/>
    <cellStyle name="20% - Accent6 12 2 4 4" xfId="14844"/>
    <cellStyle name="20% - Accent6 12 2 4 4 2" xfId="28236"/>
    <cellStyle name="20% - Accent6 12 2 4 5" xfId="18795"/>
    <cellStyle name="20% - Accent6 12 2 4 5 2" xfId="32074"/>
    <cellStyle name="20% - Accent6 12 2 4 6" xfId="23083"/>
    <cellStyle name="20% - Accent6 12 2 5" xfId="3633"/>
    <cellStyle name="20% - Accent6 12 2 5 2" xfId="14847"/>
    <cellStyle name="20% - Accent6 12 2 5 2 2" xfId="28239"/>
    <cellStyle name="20% - Accent6 12 2 5 3" xfId="18798"/>
    <cellStyle name="20% - Accent6 12 2 5 3 2" xfId="32077"/>
    <cellStyle name="20% - Accent6 12 2 5 4" xfId="23086"/>
    <cellStyle name="20% - Accent6 12 2 6" xfId="3634"/>
    <cellStyle name="20% - Accent6 12 2 6 2" xfId="14848"/>
    <cellStyle name="20% - Accent6 12 2 6 2 2" xfId="28240"/>
    <cellStyle name="20% - Accent6 12 2 6 3" xfId="18799"/>
    <cellStyle name="20% - Accent6 12 2 6 3 2" xfId="32078"/>
    <cellStyle name="20% - Accent6 12 2 6 4" xfId="23087"/>
    <cellStyle name="20% - Accent6 12 2 7" xfId="14837"/>
    <cellStyle name="20% - Accent6 12 2 7 2" xfId="28229"/>
    <cellStyle name="20% - Accent6 12 2 8" xfId="18788"/>
    <cellStyle name="20% - Accent6 12 2 8 2" xfId="32067"/>
    <cellStyle name="20% - Accent6 12 2 9" xfId="23076"/>
    <cellStyle name="20% - Accent6 12 2_Volatility" xfId="3635"/>
    <cellStyle name="20% - Accent6 12 3" xfId="3636"/>
    <cellStyle name="20% - Accent6 12 3 2" xfId="3637"/>
    <cellStyle name="20% - Accent6 12 3 2 2" xfId="3638"/>
    <cellStyle name="20% - Accent6 12 3 2 2 2" xfId="14851"/>
    <cellStyle name="20% - Accent6 12 3 2 2 2 2" xfId="28243"/>
    <cellStyle name="20% - Accent6 12 3 2 2 3" xfId="18802"/>
    <cellStyle name="20% - Accent6 12 3 2 2 3 2" xfId="32081"/>
    <cellStyle name="20% - Accent6 12 3 2 2 4" xfId="23090"/>
    <cellStyle name="20% - Accent6 12 3 2 3" xfId="3639"/>
    <cellStyle name="20% - Accent6 12 3 2 3 2" xfId="14852"/>
    <cellStyle name="20% - Accent6 12 3 2 3 2 2" xfId="28244"/>
    <cellStyle name="20% - Accent6 12 3 2 3 3" xfId="18803"/>
    <cellStyle name="20% - Accent6 12 3 2 3 3 2" xfId="32082"/>
    <cellStyle name="20% - Accent6 12 3 2 3 4" xfId="23091"/>
    <cellStyle name="20% - Accent6 12 3 2 4" xfId="14850"/>
    <cellStyle name="20% - Accent6 12 3 2 4 2" xfId="28242"/>
    <cellStyle name="20% - Accent6 12 3 2 5" xfId="18801"/>
    <cellStyle name="20% - Accent6 12 3 2 5 2" xfId="32080"/>
    <cellStyle name="20% - Accent6 12 3 2 6" xfId="23089"/>
    <cellStyle name="20% - Accent6 12 3 3" xfId="3640"/>
    <cellStyle name="20% - Accent6 12 3 3 2" xfId="3641"/>
    <cellStyle name="20% - Accent6 12 3 3 2 2" xfId="14854"/>
    <cellStyle name="20% - Accent6 12 3 3 2 2 2" xfId="28246"/>
    <cellStyle name="20% - Accent6 12 3 3 2 3" xfId="18805"/>
    <cellStyle name="20% - Accent6 12 3 3 2 3 2" xfId="32084"/>
    <cellStyle name="20% - Accent6 12 3 3 2 4" xfId="23093"/>
    <cellStyle name="20% - Accent6 12 3 3 3" xfId="3642"/>
    <cellStyle name="20% - Accent6 12 3 3 3 2" xfId="14855"/>
    <cellStyle name="20% - Accent6 12 3 3 3 2 2" xfId="28247"/>
    <cellStyle name="20% - Accent6 12 3 3 3 3" xfId="18806"/>
    <cellStyle name="20% - Accent6 12 3 3 3 3 2" xfId="32085"/>
    <cellStyle name="20% - Accent6 12 3 3 3 4" xfId="23094"/>
    <cellStyle name="20% - Accent6 12 3 3 4" xfId="14853"/>
    <cellStyle name="20% - Accent6 12 3 3 4 2" xfId="28245"/>
    <cellStyle name="20% - Accent6 12 3 3 5" xfId="18804"/>
    <cellStyle name="20% - Accent6 12 3 3 5 2" xfId="32083"/>
    <cellStyle name="20% - Accent6 12 3 3 6" xfId="23092"/>
    <cellStyle name="20% - Accent6 12 3 4" xfId="3643"/>
    <cellStyle name="20% - Accent6 12 3 4 2" xfId="14856"/>
    <cellStyle name="20% - Accent6 12 3 4 2 2" xfId="28248"/>
    <cellStyle name="20% - Accent6 12 3 4 3" xfId="18807"/>
    <cellStyle name="20% - Accent6 12 3 4 3 2" xfId="32086"/>
    <cellStyle name="20% - Accent6 12 3 4 4" xfId="23095"/>
    <cellStyle name="20% - Accent6 12 3 5" xfId="3644"/>
    <cellStyle name="20% - Accent6 12 3 5 2" xfId="14857"/>
    <cellStyle name="20% - Accent6 12 3 5 2 2" xfId="28249"/>
    <cellStyle name="20% - Accent6 12 3 5 3" xfId="18808"/>
    <cellStyle name="20% - Accent6 12 3 5 3 2" xfId="32087"/>
    <cellStyle name="20% - Accent6 12 3 5 4" xfId="23096"/>
    <cellStyle name="20% - Accent6 12 3 6" xfId="14849"/>
    <cellStyle name="20% - Accent6 12 3 6 2" xfId="28241"/>
    <cellStyle name="20% - Accent6 12 3 7" xfId="18800"/>
    <cellStyle name="20% - Accent6 12 3 7 2" xfId="32079"/>
    <cellStyle name="20% - Accent6 12 3 8" xfId="23088"/>
    <cellStyle name="20% - Accent6 12 3_Volatility" xfId="3645"/>
    <cellStyle name="20% - Accent6 12 4" xfId="3646"/>
    <cellStyle name="20% - Accent6 12 4 2" xfId="3647"/>
    <cellStyle name="20% - Accent6 12 4 2 2" xfId="14859"/>
    <cellStyle name="20% - Accent6 12 4 2 2 2" xfId="28251"/>
    <cellStyle name="20% - Accent6 12 4 2 3" xfId="18810"/>
    <cellStyle name="20% - Accent6 12 4 2 3 2" xfId="32089"/>
    <cellStyle name="20% - Accent6 12 4 2 4" xfId="23098"/>
    <cellStyle name="20% - Accent6 12 4 3" xfId="3648"/>
    <cellStyle name="20% - Accent6 12 4 3 2" xfId="14860"/>
    <cellStyle name="20% - Accent6 12 4 3 2 2" xfId="28252"/>
    <cellStyle name="20% - Accent6 12 4 3 3" xfId="18811"/>
    <cellStyle name="20% - Accent6 12 4 3 3 2" xfId="32090"/>
    <cellStyle name="20% - Accent6 12 4 3 4" xfId="23099"/>
    <cellStyle name="20% - Accent6 12 4 4" xfId="14858"/>
    <cellStyle name="20% - Accent6 12 4 4 2" xfId="28250"/>
    <cellStyle name="20% - Accent6 12 4 5" xfId="18809"/>
    <cellStyle name="20% - Accent6 12 4 5 2" xfId="32088"/>
    <cellStyle name="20% - Accent6 12 4 6" xfId="23097"/>
    <cellStyle name="20% - Accent6 12 5" xfId="3649"/>
    <cellStyle name="20% - Accent6 12 5 2" xfId="3650"/>
    <cellStyle name="20% - Accent6 12 5 2 2" xfId="14862"/>
    <cellStyle name="20% - Accent6 12 5 2 2 2" xfId="28254"/>
    <cellStyle name="20% - Accent6 12 5 2 3" xfId="18813"/>
    <cellStyle name="20% - Accent6 12 5 2 3 2" xfId="32092"/>
    <cellStyle name="20% - Accent6 12 5 2 4" xfId="23101"/>
    <cellStyle name="20% - Accent6 12 5 3" xfId="3651"/>
    <cellStyle name="20% - Accent6 12 5 3 2" xfId="14863"/>
    <cellStyle name="20% - Accent6 12 5 3 2 2" xfId="28255"/>
    <cellStyle name="20% - Accent6 12 5 3 3" xfId="18814"/>
    <cellStyle name="20% - Accent6 12 5 3 3 2" xfId="32093"/>
    <cellStyle name="20% - Accent6 12 5 3 4" xfId="23102"/>
    <cellStyle name="20% - Accent6 12 5 4" xfId="14861"/>
    <cellStyle name="20% - Accent6 12 5 4 2" xfId="28253"/>
    <cellStyle name="20% - Accent6 12 5 5" xfId="18812"/>
    <cellStyle name="20% - Accent6 12 5 5 2" xfId="32091"/>
    <cellStyle name="20% - Accent6 12 5 6" xfId="23100"/>
    <cellStyle name="20% - Accent6 12 6" xfId="3652"/>
    <cellStyle name="20% - Accent6 12 6 2" xfId="3653"/>
    <cellStyle name="20% - Accent6 12 6 2 2" xfId="14865"/>
    <cellStyle name="20% - Accent6 12 6 2 2 2" xfId="28257"/>
    <cellStyle name="20% - Accent6 12 6 2 3" xfId="18816"/>
    <cellStyle name="20% - Accent6 12 6 2 3 2" xfId="32095"/>
    <cellStyle name="20% - Accent6 12 6 2 4" xfId="23104"/>
    <cellStyle name="20% - Accent6 12 6 3" xfId="3654"/>
    <cellStyle name="20% - Accent6 12 6 3 2" xfId="14866"/>
    <cellStyle name="20% - Accent6 12 6 3 2 2" xfId="28258"/>
    <cellStyle name="20% - Accent6 12 6 3 3" xfId="18817"/>
    <cellStyle name="20% - Accent6 12 6 3 3 2" xfId="32096"/>
    <cellStyle name="20% - Accent6 12 6 3 4" xfId="23105"/>
    <cellStyle name="20% - Accent6 12 6 4" xfId="14864"/>
    <cellStyle name="20% - Accent6 12 6 4 2" xfId="28256"/>
    <cellStyle name="20% - Accent6 12 6 5" xfId="18815"/>
    <cellStyle name="20% - Accent6 12 6 5 2" xfId="32094"/>
    <cellStyle name="20% - Accent6 12 6 6" xfId="23103"/>
    <cellStyle name="20% - Accent6 12 7" xfId="3655"/>
    <cellStyle name="20% - Accent6 12 7 2" xfId="14867"/>
    <cellStyle name="20% - Accent6 12 7 2 2" xfId="28259"/>
    <cellStyle name="20% - Accent6 12 7 3" xfId="18818"/>
    <cellStyle name="20% - Accent6 12 7 3 2" xfId="32097"/>
    <cellStyle name="20% - Accent6 12 7 4" xfId="23106"/>
    <cellStyle name="20% - Accent6 12 8" xfId="3656"/>
    <cellStyle name="20% - Accent6 12 8 2" xfId="14868"/>
    <cellStyle name="20% - Accent6 12 8 2 2" xfId="28260"/>
    <cellStyle name="20% - Accent6 12 8 3" xfId="18819"/>
    <cellStyle name="20% - Accent6 12 8 3 2" xfId="32098"/>
    <cellStyle name="20% - Accent6 12 8 4" xfId="23107"/>
    <cellStyle name="20% - Accent6 12 9" xfId="14836"/>
    <cellStyle name="20% - Accent6 12 9 2" xfId="28228"/>
    <cellStyle name="20% - Accent6 12_Volatility" xfId="3657"/>
    <cellStyle name="20% - Accent6 13" xfId="3658"/>
    <cellStyle name="20% - Accent6 13 10" xfId="18820"/>
    <cellStyle name="20% - Accent6 13 10 2" xfId="32099"/>
    <cellStyle name="20% - Accent6 13 11" xfId="23108"/>
    <cellStyle name="20% - Accent6 13 2" xfId="3659"/>
    <cellStyle name="20% - Accent6 13 2 2" xfId="3660"/>
    <cellStyle name="20% - Accent6 13 2 2 2" xfId="3661"/>
    <cellStyle name="20% - Accent6 13 2 2 2 2" xfId="14872"/>
    <cellStyle name="20% - Accent6 13 2 2 2 2 2" xfId="28264"/>
    <cellStyle name="20% - Accent6 13 2 2 2 3" xfId="18823"/>
    <cellStyle name="20% - Accent6 13 2 2 2 3 2" xfId="32102"/>
    <cellStyle name="20% - Accent6 13 2 2 2 4" xfId="23111"/>
    <cellStyle name="20% - Accent6 13 2 2 3" xfId="3662"/>
    <cellStyle name="20% - Accent6 13 2 2 3 2" xfId="14873"/>
    <cellStyle name="20% - Accent6 13 2 2 3 2 2" xfId="28265"/>
    <cellStyle name="20% - Accent6 13 2 2 3 3" xfId="18824"/>
    <cellStyle name="20% - Accent6 13 2 2 3 3 2" xfId="32103"/>
    <cellStyle name="20% - Accent6 13 2 2 3 4" xfId="23112"/>
    <cellStyle name="20% - Accent6 13 2 2 4" xfId="14871"/>
    <cellStyle name="20% - Accent6 13 2 2 4 2" xfId="28263"/>
    <cellStyle name="20% - Accent6 13 2 2 5" xfId="18822"/>
    <cellStyle name="20% - Accent6 13 2 2 5 2" xfId="32101"/>
    <cellStyle name="20% - Accent6 13 2 2 6" xfId="23110"/>
    <cellStyle name="20% - Accent6 13 2 3" xfId="3663"/>
    <cellStyle name="20% - Accent6 13 2 3 2" xfId="3664"/>
    <cellStyle name="20% - Accent6 13 2 3 2 2" xfId="14875"/>
    <cellStyle name="20% - Accent6 13 2 3 2 2 2" xfId="28267"/>
    <cellStyle name="20% - Accent6 13 2 3 2 3" xfId="18826"/>
    <cellStyle name="20% - Accent6 13 2 3 2 3 2" xfId="32105"/>
    <cellStyle name="20% - Accent6 13 2 3 2 4" xfId="23114"/>
    <cellStyle name="20% - Accent6 13 2 3 3" xfId="3665"/>
    <cellStyle name="20% - Accent6 13 2 3 3 2" xfId="14876"/>
    <cellStyle name="20% - Accent6 13 2 3 3 2 2" xfId="28268"/>
    <cellStyle name="20% - Accent6 13 2 3 3 3" xfId="18827"/>
    <cellStyle name="20% - Accent6 13 2 3 3 3 2" xfId="32106"/>
    <cellStyle name="20% - Accent6 13 2 3 3 4" xfId="23115"/>
    <cellStyle name="20% - Accent6 13 2 3 4" xfId="14874"/>
    <cellStyle name="20% - Accent6 13 2 3 4 2" xfId="28266"/>
    <cellStyle name="20% - Accent6 13 2 3 5" xfId="18825"/>
    <cellStyle name="20% - Accent6 13 2 3 5 2" xfId="32104"/>
    <cellStyle name="20% - Accent6 13 2 3 6" xfId="23113"/>
    <cellStyle name="20% - Accent6 13 2 4" xfId="3666"/>
    <cellStyle name="20% - Accent6 13 2 4 2" xfId="3667"/>
    <cellStyle name="20% - Accent6 13 2 4 2 2" xfId="14878"/>
    <cellStyle name="20% - Accent6 13 2 4 2 2 2" xfId="28270"/>
    <cellStyle name="20% - Accent6 13 2 4 2 3" xfId="18829"/>
    <cellStyle name="20% - Accent6 13 2 4 2 3 2" xfId="32108"/>
    <cellStyle name="20% - Accent6 13 2 4 2 4" xfId="23117"/>
    <cellStyle name="20% - Accent6 13 2 4 3" xfId="3668"/>
    <cellStyle name="20% - Accent6 13 2 4 3 2" xfId="14879"/>
    <cellStyle name="20% - Accent6 13 2 4 3 2 2" xfId="28271"/>
    <cellStyle name="20% - Accent6 13 2 4 3 3" xfId="18830"/>
    <cellStyle name="20% - Accent6 13 2 4 3 3 2" xfId="32109"/>
    <cellStyle name="20% - Accent6 13 2 4 3 4" xfId="23118"/>
    <cellStyle name="20% - Accent6 13 2 4 4" xfId="14877"/>
    <cellStyle name="20% - Accent6 13 2 4 4 2" xfId="28269"/>
    <cellStyle name="20% - Accent6 13 2 4 5" xfId="18828"/>
    <cellStyle name="20% - Accent6 13 2 4 5 2" xfId="32107"/>
    <cellStyle name="20% - Accent6 13 2 4 6" xfId="23116"/>
    <cellStyle name="20% - Accent6 13 2 5" xfId="3669"/>
    <cellStyle name="20% - Accent6 13 2 5 2" xfId="14880"/>
    <cellStyle name="20% - Accent6 13 2 5 2 2" xfId="28272"/>
    <cellStyle name="20% - Accent6 13 2 5 3" xfId="18831"/>
    <cellStyle name="20% - Accent6 13 2 5 3 2" xfId="32110"/>
    <cellStyle name="20% - Accent6 13 2 5 4" xfId="23119"/>
    <cellStyle name="20% - Accent6 13 2 6" xfId="3670"/>
    <cellStyle name="20% - Accent6 13 2 6 2" xfId="14881"/>
    <cellStyle name="20% - Accent6 13 2 6 2 2" xfId="28273"/>
    <cellStyle name="20% - Accent6 13 2 6 3" xfId="18832"/>
    <cellStyle name="20% - Accent6 13 2 6 3 2" xfId="32111"/>
    <cellStyle name="20% - Accent6 13 2 6 4" xfId="23120"/>
    <cellStyle name="20% - Accent6 13 2 7" xfId="14870"/>
    <cellStyle name="20% - Accent6 13 2 7 2" xfId="28262"/>
    <cellStyle name="20% - Accent6 13 2 8" xfId="18821"/>
    <cellStyle name="20% - Accent6 13 2 8 2" xfId="32100"/>
    <cellStyle name="20% - Accent6 13 2 9" xfId="23109"/>
    <cellStyle name="20% - Accent6 13 2_Volatility" xfId="3671"/>
    <cellStyle name="20% - Accent6 13 3" xfId="3672"/>
    <cellStyle name="20% - Accent6 13 3 2" xfId="3673"/>
    <cellStyle name="20% - Accent6 13 3 2 2" xfId="3674"/>
    <cellStyle name="20% - Accent6 13 3 2 2 2" xfId="14884"/>
    <cellStyle name="20% - Accent6 13 3 2 2 2 2" xfId="28276"/>
    <cellStyle name="20% - Accent6 13 3 2 2 3" xfId="18835"/>
    <cellStyle name="20% - Accent6 13 3 2 2 3 2" xfId="32114"/>
    <cellStyle name="20% - Accent6 13 3 2 2 4" xfId="23123"/>
    <cellStyle name="20% - Accent6 13 3 2 3" xfId="3675"/>
    <cellStyle name="20% - Accent6 13 3 2 3 2" xfId="14885"/>
    <cellStyle name="20% - Accent6 13 3 2 3 2 2" xfId="28277"/>
    <cellStyle name="20% - Accent6 13 3 2 3 3" xfId="18836"/>
    <cellStyle name="20% - Accent6 13 3 2 3 3 2" xfId="32115"/>
    <cellStyle name="20% - Accent6 13 3 2 3 4" xfId="23124"/>
    <cellStyle name="20% - Accent6 13 3 2 4" xfId="14883"/>
    <cellStyle name="20% - Accent6 13 3 2 4 2" xfId="28275"/>
    <cellStyle name="20% - Accent6 13 3 2 5" xfId="18834"/>
    <cellStyle name="20% - Accent6 13 3 2 5 2" xfId="32113"/>
    <cellStyle name="20% - Accent6 13 3 2 6" xfId="23122"/>
    <cellStyle name="20% - Accent6 13 3 3" xfId="3676"/>
    <cellStyle name="20% - Accent6 13 3 3 2" xfId="3677"/>
    <cellStyle name="20% - Accent6 13 3 3 2 2" xfId="14887"/>
    <cellStyle name="20% - Accent6 13 3 3 2 2 2" xfId="28279"/>
    <cellStyle name="20% - Accent6 13 3 3 2 3" xfId="18838"/>
    <cellStyle name="20% - Accent6 13 3 3 2 3 2" xfId="32117"/>
    <cellStyle name="20% - Accent6 13 3 3 2 4" xfId="23126"/>
    <cellStyle name="20% - Accent6 13 3 3 3" xfId="3678"/>
    <cellStyle name="20% - Accent6 13 3 3 3 2" xfId="14888"/>
    <cellStyle name="20% - Accent6 13 3 3 3 2 2" xfId="28280"/>
    <cellStyle name="20% - Accent6 13 3 3 3 3" xfId="18839"/>
    <cellStyle name="20% - Accent6 13 3 3 3 3 2" xfId="32118"/>
    <cellStyle name="20% - Accent6 13 3 3 3 4" xfId="23127"/>
    <cellStyle name="20% - Accent6 13 3 3 4" xfId="14886"/>
    <cellStyle name="20% - Accent6 13 3 3 4 2" xfId="28278"/>
    <cellStyle name="20% - Accent6 13 3 3 5" xfId="18837"/>
    <cellStyle name="20% - Accent6 13 3 3 5 2" xfId="32116"/>
    <cellStyle name="20% - Accent6 13 3 3 6" xfId="23125"/>
    <cellStyle name="20% - Accent6 13 3 4" xfId="3679"/>
    <cellStyle name="20% - Accent6 13 3 4 2" xfId="14889"/>
    <cellStyle name="20% - Accent6 13 3 4 2 2" xfId="28281"/>
    <cellStyle name="20% - Accent6 13 3 4 3" xfId="18840"/>
    <cellStyle name="20% - Accent6 13 3 4 3 2" xfId="32119"/>
    <cellStyle name="20% - Accent6 13 3 4 4" xfId="23128"/>
    <cellStyle name="20% - Accent6 13 3 5" xfId="3680"/>
    <cellStyle name="20% - Accent6 13 3 5 2" xfId="14890"/>
    <cellStyle name="20% - Accent6 13 3 5 2 2" xfId="28282"/>
    <cellStyle name="20% - Accent6 13 3 5 3" xfId="18841"/>
    <cellStyle name="20% - Accent6 13 3 5 3 2" xfId="32120"/>
    <cellStyle name="20% - Accent6 13 3 5 4" xfId="23129"/>
    <cellStyle name="20% - Accent6 13 3 6" xfId="14882"/>
    <cellStyle name="20% - Accent6 13 3 6 2" xfId="28274"/>
    <cellStyle name="20% - Accent6 13 3 7" xfId="18833"/>
    <cellStyle name="20% - Accent6 13 3 7 2" xfId="32112"/>
    <cellStyle name="20% - Accent6 13 3 8" xfId="23121"/>
    <cellStyle name="20% - Accent6 13 3_Volatility" xfId="3681"/>
    <cellStyle name="20% - Accent6 13 4" xfId="3682"/>
    <cellStyle name="20% - Accent6 13 4 2" xfId="3683"/>
    <cellStyle name="20% - Accent6 13 4 2 2" xfId="14892"/>
    <cellStyle name="20% - Accent6 13 4 2 2 2" xfId="28284"/>
    <cellStyle name="20% - Accent6 13 4 2 3" xfId="18843"/>
    <cellStyle name="20% - Accent6 13 4 2 3 2" xfId="32122"/>
    <cellStyle name="20% - Accent6 13 4 2 4" xfId="23131"/>
    <cellStyle name="20% - Accent6 13 4 3" xfId="3684"/>
    <cellStyle name="20% - Accent6 13 4 3 2" xfId="14893"/>
    <cellStyle name="20% - Accent6 13 4 3 2 2" xfId="28285"/>
    <cellStyle name="20% - Accent6 13 4 3 3" xfId="18844"/>
    <cellStyle name="20% - Accent6 13 4 3 3 2" xfId="32123"/>
    <cellStyle name="20% - Accent6 13 4 3 4" xfId="23132"/>
    <cellStyle name="20% - Accent6 13 4 4" xfId="14891"/>
    <cellStyle name="20% - Accent6 13 4 4 2" xfId="28283"/>
    <cellStyle name="20% - Accent6 13 4 5" xfId="18842"/>
    <cellStyle name="20% - Accent6 13 4 5 2" xfId="32121"/>
    <cellStyle name="20% - Accent6 13 4 6" xfId="23130"/>
    <cellStyle name="20% - Accent6 13 5" xfId="3685"/>
    <cellStyle name="20% - Accent6 13 5 2" xfId="3686"/>
    <cellStyle name="20% - Accent6 13 5 2 2" xfId="14895"/>
    <cellStyle name="20% - Accent6 13 5 2 2 2" xfId="28287"/>
    <cellStyle name="20% - Accent6 13 5 2 3" xfId="18846"/>
    <cellStyle name="20% - Accent6 13 5 2 3 2" xfId="32125"/>
    <cellStyle name="20% - Accent6 13 5 2 4" xfId="23134"/>
    <cellStyle name="20% - Accent6 13 5 3" xfId="3687"/>
    <cellStyle name="20% - Accent6 13 5 3 2" xfId="14896"/>
    <cellStyle name="20% - Accent6 13 5 3 2 2" xfId="28288"/>
    <cellStyle name="20% - Accent6 13 5 3 3" xfId="18847"/>
    <cellStyle name="20% - Accent6 13 5 3 3 2" xfId="32126"/>
    <cellStyle name="20% - Accent6 13 5 3 4" xfId="23135"/>
    <cellStyle name="20% - Accent6 13 5 4" xfId="14894"/>
    <cellStyle name="20% - Accent6 13 5 4 2" xfId="28286"/>
    <cellStyle name="20% - Accent6 13 5 5" xfId="18845"/>
    <cellStyle name="20% - Accent6 13 5 5 2" xfId="32124"/>
    <cellStyle name="20% - Accent6 13 5 6" xfId="23133"/>
    <cellStyle name="20% - Accent6 13 6" xfId="3688"/>
    <cellStyle name="20% - Accent6 13 6 2" xfId="3689"/>
    <cellStyle name="20% - Accent6 13 6 2 2" xfId="14898"/>
    <cellStyle name="20% - Accent6 13 6 2 2 2" xfId="28290"/>
    <cellStyle name="20% - Accent6 13 6 2 3" xfId="18849"/>
    <cellStyle name="20% - Accent6 13 6 2 3 2" xfId="32128"/>
    <cellStyle name="20% - Accent6 13 6 2 4" xfId="23137"/>
    <cellStyle name="20% - Accent6 13 6 3" xfId="3690"/>
    <cellStyle name="20% - Accent6 13 6 3 2" xfId="14899"/>
    <cellStyle name="20% - Accent6 13 6 3 2 2" xfId="28291"/>
    <cellStyle name="20% - Accent6 13 6 3 3" xfId="18850"/>
    <cellStyle name="20% - Accent6 13 6 3 3 2" xfId="32129"/>
    <cellStyle name="20% - Accent6 13 6 3 4" xfId="23138"/>
    <cellStyle name="20% - Accent6 13 6 4" xfId="14897"/>
    <cellStyle name="20% - Accent6 13 6 4 2" xfId="28289"/>
    <cellStyle name="20% - Accent6 13 6 5" xfId="18848"/>
    <cellStyle name="20% - Accent6 13 6 5 2" xfId="32127"/>
    <cellStyle name="20% - Accent6 13 6 6" xfId="23136"/>
    <cellStyle name="20% - Accent6 13 7" xfId="3691"/>
    <cellStyle name="20% - Accent6 13 7 2" xfId="14900"/>
    <cellStyle name="20% - Accent6 13 7 2 2" xfId="28292"/>
    <cellStyle name="20% - Accent6 13 7 3" xfId="18851"/>
    <cellStyle name="20% - Accent6 13 7 3 2" xfId="32130"/>
    <cellStyle name="20% - Accent6 13 7 4" xfId="23139"/>
    <cellStyle name="20% - Accent6 13 8" xfId="3692"/>
    <cellStyle name="20% - Accent6 13 8 2" xfId="14901"/>
    <cellStyle name="20% - Accent6 13 8 2 2" xfId="28293"/>
    <cellStyle name="20% - Accent6 13 8 3" xfId="18852"/>
    <cellStyle name="20% - Accent6 13 8 3 2" xfId="32131"/>
    <cellStyle name="20% - Accent6 13 8 4" xfId="23140"/>
    <cellStyle name="20% - Accent6 13 9" xfId="14869"/>
    <cellStyle name="20% - Accent6 13 9 2" xfId="28261"/>
    <cellStyle name="20% - Accent6 13_Volatility" xfId="3693"/>
    <cellStyle name="20% - Accent6 14" xfId="3694"/>
    <cellStyle name="20% - Accent6 14 10" xfId="18853"/>
    <cellStyle name="20% - Accent6 14 10 2" xfId="32132"/>
    <cellStyle name="20% - Accent6 14 11" xfId="23141"/>
    <cellStyle name="20% - Accent6 14 2" xfId="3695"/>
    <cellStyle name="20% - Accent6 14 2 2" xfId="3696"/>
    <cellStyle name="20% - Accent6 14 2 2 2" xfId="3697"/>
    <cellStyle name="20% - Accent6 14 2 2 2 2" xfId="14905"/>
    <cellStyle name="20% - Accent6 14 2 2 2 2 2" xfId="28297"/>
    <cellStyle name="20% - Accent6 14 2 2 2 3" xfId="18856"/>
    <cellStyle name="20% - Accent6 14 2 2 2 3 2" xfId="32135"/>
    <cellStyle name="20% - Accent6 14 2 2 2 4" xfId="23144"/>
    <cellStyle name="20% - Accent6 14 2 2 3" xfId="3698"/>
    <cellStyle name="20% - Accent6 14 2 2 3 2" xfId="14906"/>
    <cellStyle name="20% - Accent6 14 2 2 3 2 2" xfId="28298"/>
    <cellStyle name="20% - Accent6 14 2 2 3 3" xfId="18857"/>
    <cellStyle name="20% - Accent6 14 2 2 3 3 2" xfId="32136"/>
    <cellStyle name="20% - Accent6 14 2 2 3 4" xfId="23145"/>
    <cellStyle name="20% - Accent6 14 2 2 4" xfId="14904"/>
    <cellStyle name="20% - Accent6 14 2 2 4 2" xfId="28296"/>
    <cellStyle name="20% - Accent6 14 2 2 5" xfId="18855"/>
    <cellStyle name="20% - Accent6 14 2 2 5 2" xfId="32134"/>
    <cellStyle name="20% - Accent6 14 2 2 6" xfId="23143"/>
    <cellStyle name="20% - Accent6 14 2 3" xfId="3699"/>
    <cellStyle name="20% - Accent6 14 2 3 2" xfId="3700"/>
    <cellStyle name="20% - Accent6 14 2 3 2 2" xfId="14908"/>
    <cellStyle name="20% - Accent6 14 2 3 2 2 2" xfId="28300"/>
    <cellStyle name="20% - Accent6 14 2 3 2 3" xfId="18859"/>
    <cellStyle name="20% - Accent6 14 2 3 2 3 2" xfId="32138"/>
    <cellStyle name="20% - Accent6 14 2 3 2 4" xfId="23147"/>
    <cellStyle name="20% - Accent6 14 2 3 3" xfId="3701"/>
    <cellStyle name="20% - Accent6 14 2 3 3 2" xfId="14909"/>
    <cellStyle name="20% - Accent6 14 2 3 3 2 2" xfId="28301"/>
    <cellStyle name="20% - Accent6 14 2 3 3 3" xfId="18860"/>
    <cellStyle name="20% - Accent6 14 2 3 3 3 2" xfId="32139"/>
    <cellStyle name="20% - Accent6 14 2 3 3 4" xfId="23148"/>
    <cellStyle name="20% - Accent6 14 2 3 4" xfId="14907"/>
    <cellStyle name="20% - Accent6 14 2 3 4 2" xfId="28299"/>
    <cellStyle name="20% - Accent6 14 2 3 5" xfId="18858"/>
    <cellStyle name="20% - Accent6 14 2 3 5 2" xfId="32137"/>
    <cellStyle name="20% - Accent6 14 2 3 6" xfId="23146"/>
    <cellStyle name="20% - Accent6 14 2 4" xfId="3702"/>
    <cellStyle name="20% - Accent6 14 2 4 2" xfId="3703"/>
    <cellStyle name="20% - Accent6 14 2 4 2 2" xfId="14911"/>
    <cellStyle name="20% - Accent6 14 2 4 2 2 2" xfId="28303"/>
    <cellStyle name="20% - Accent6 14 2 4 2 3" xfId="18862"/>
    <cellStyle name="20% - Accent6 14 2 4 2 3 2" xfId="32141"/>
    <cellStyle name="20% - Accent6 14 2 4 2 4" xfId="23150"/>
    <cellStyle name="20% - Accent6 14 2 4 3" xfId="3704"/>
    <cellStyle name="20% - Accent6 14 2 4 3 2" xfId="14912"/>
    <cellStyle name="20% - Accent6 14 2 4 3 2 2" xfId="28304"/>
    <cellStyle name="20% - Accent6 14 2 4 3 3" xfId="18863"/>
    <cellStyle name="20% - Accent6 14 2 4 3 3 2" xfId="32142"/>
    <cellStyle name="20% - Accent6 14 2 4 3 4" xfId="23151"/>
    <cellStyle name="20% - Accent6 14 2 4 4" xfId="14910"/>
    <cellStyle name="20% - Accent6 14 2 4 4 2" xfId="28302"/>
    <cellStyle name="20% - Accent6 14 2 4 5" xfId="18861"/>
    <cellStyle name="20% - Accent6 14 2 4 5 2" xfId="32140"/>
    <cellStyle name="20% - Accent6 14 2 4 6" xfId="23149"/>
    <cellStyle name="20% - Accent6 14 2 5" xfId="3705"/>
    <cellStyle name="20% - Accent6 14 2 5 2" xfId="14913"/>
    <cellStyle name="20% - Accent6 14 2 5 2 2" xfId="28305"/>
    <cellStyle name="20% - Accent6 14 2 5 3" xfId="18864"/>
    <cellStyle name="20% - Accent6 14 2 5 3 2" xfId="32143"/>
    <cellStyle name="20% - Accent6 14 2 5 4" xfId="23152"/>
    <cellStyle name="20% - Accent6 14 2 6" xfId="3706"/>
    <cellStyle name="20% - Accent6 14 2 6 2" xfId="14914"/>
    <cellStyle name="20% - Accent6 14 2 6 2 2" xfId="28306"/>
    <cellStyle name="20% - Accent6 14 2 6 3" xfId="18865"/>
    <cellStyle name="20% - Accent6 14 2 6 3 2" xfId="32144"/>
    <cellStyle name="20% - Accent6 14 2 6 4" xfId="23153"/>
    <cellStyle name="20% - Accent6 14 2 7" xfId="14903"/>
    <cellStyle name="20% - Accent6 14 2 7 2" xfId="28295"/>
    <cellStyle name="20% - Accent6 14 2 8" xfId="18854"/>
    <cellStyle name="20% - Accent6 14 2 8 2" xfId="32133"/>
    <cellStyle name="20% - Accent6 14 2 9" xfId="23142"/>
    <cellStyle name="20% - Accent6 14 2_Volatility" xfId="3707"/>
    <cellStyle name="20% - Accent6 14 3" xfId="3708"/>
    <cellStyle name="20% - Accent6 14 3 2" xfId="3709"/>
    <cellStyle name="20% - Accent6 14 3 2 2" xfId="3710"/>
    <cellStyle name="20% - Accent6 14 3 2 2 2" xfId="14917"/>
    <cellStyle name="20% - Accent6 14 3 2 2 2 2" xfId="28309"/>
    <cellStyle name="20% - Accent6 14 3 2 2 3" xfId="18868"/>
    <cellStyle name="20% - Accent6 14 3 2 2 3 2" xfId="32147"/>
    <cellStyle name="20% - Accent6 14 3 2 2 4" xfId="23156"/>
    <cellStyle name="20% - Accent6 14 3 2 3" xfId="3711"/>
    <cellStyle name="20% - Accent6 14 3 2 3 2" xfId="14918"/>
    <cellStyle name="20% - Accent6 14 3 2 3 2 2" xfId="28310"/>
    <cellStyle name="20% - Accent6 14 3 2 3 3" xfId="18869"/>
    <cellStyle name="20% - Accent6 14 3 2 3 3 2" xfId="32148"/>
    <cellStyle name="20% - Accent6 14 3 2 3 4" xfId="23157"/>
    <cellStyle name="20% - Accent6 14 3 2 4" xfId="14916"/>
    <cellStyle name="20% - Accent6 14 3 2 4 2" xfId="28308"/>
    <cellStyle name="20% - Accent6 14 3 2 5" xfId="18867"/>
    <cellStyle name="20% - Accent6 14 3 2 5 2" xfId="32146"/>
    <cellStyle name="20% - Accent6 14 3 2 6" xfId="23155"/>
    <cellStyle name="20% - Accent6 14 3 3" xfId="3712"/>
    <cellStyle name="20% - Accent6 14 3 3 2" xfId="3713"/>
    <cellStyle name="20% - Accent6 14 3 3 2 2" xfId="14920"/>
    <cellStyle name="20% - Accent6 14 3 3 2 2 2" xfId="28312"/>
    <cellStyle name="20% - Accent6 14 3 3 2 3" xfId="18871"/>
    <cellStyle name="20% - Accent6 14 3 3 2 3 2" xfId="32150"/>
    <cellStyle name="20% - Accent6 14 3 3 2 4" xfId="23159"/>
    <cellStyle name="20% - Accent6 14 3 3 3" xfId="3714"/>
    <cellStyle name="20% - Accent6 14 3 3 3 2" xfId="14921"/>
    <cellStyle name="20% - Accent6 14 3 3 3 2 2" xfId="28313"/>
    <cellStyle name="20% - Accent6 14 3 3 3 3" xfId="18872"/>
    <cellStyle name="20% - Accent6 14 3 3 3 3 2" xfId="32151"/>
    <cellStyle name="20% - Accent6 14 3 3 3 4" xfId="23160"/>
    <cellStyle name="20% - Accent6 14 3 3 4" xfId="14919"/>
    <cellStyle name="20% - Accent6 14 3 3 4 2" xfId="28311"/>
    <cellStyle name="20% - Accent6 14 3 3 5" xfId="18870"/>
    <cellStyle name="20% - Accent6 14 3 3 5 2" xfId="32149"/>
    <cellStyle name="20% - Accent6 14 3 3 6" xfId="23158"/>
    <cellStyle name="20% - Accent6 14 3 4" xfId="3715"/>
    <cellStyle name="20% - Accent6 14 3 4 2" xfId="14922"/>
    <cellStyle name="20% - Accent6 14 3 4 2 2" xfId="28314"/>
    <cellStyle name="20% - Accent6 14 3 4 3" xfId="18873"/>
    <cellStyle name="20% - Accent6 14 3 4 3 2" xfId="32152"/>
    <cellStyle name="20% - Accent6 14 3 4 4" xfId="23161"/>
    <cellStyle name="20% - Accent6 14 3 5" xfId="3716"/>
    <cellStyle name="20% - Accent6 14 3 5 2" xfId="14923"/>
    <cellStyle name="20% - Accent6 14 3 5 2 2" xfId="28315"/>
    <cellStyle name="20% - Accent6 14 3 5 3" xfId="18874"/>
    <cellStyle name="20% - Accent6 14 3 5 3 2" xfId="32153"/>
    <cellStyle name="20% - Accent6 14 3 5 4" xfId="23162"/>
    <cellStyle name="20% - Accent6 14 3 6" xfId="14915"/>
    <cellStyle name="20% - Accent6 14 3 6 2" xfId="28307"/>
    <cellStyle name="20% - Accent6 14 3 7" xfId="18866"/>
    <cellStyle name="20% - Accent6 14 3 7 2" xfId="32145"/>
    <cellStyle name="20% - Accent6 14 3 8" xfId="23154"/>
    <cellStyle name="20% - Accent6 14 3_Volatility" xfId="3717"/>
    <cellStyle name="20% - Accent6 14 4" xfId="3718"/>
    <cellStyle name="20% - Accent6 14 4 2" xfId="3719"/>
    <cellStyle name="20% - Accent6 14 4 2 2" xfId="14925"/>
    <cellStyle name="20% - Accent6 14 4 2 2 2" xfId="28317"/>
    <cellStyle name="20% - Accent6 14 4 2 3" xfId="18876"/>
    <cellStyle name="20% - Accent6 14 4 2 3 2" xfId="32155"/>
    <cellStyle name="20% - Accent6 14 4 2 4" xfId="23164"/>
    <cellStyle name="20% - Accent6 14 4 3" xfId="3720"/>
    <cellStyle name="20% - Accent6 14 4 3 2" xfId="14926"/>
    <cellStyle name="20% - Accent6 14 4 3 2 2" xfId="28318"/>
    <cellStyle name="20% - Accent6 14 4 3 3" xfId="18877"/>
    <cellStyle name="20% - Accent6 14 4 3 3 2" xfId="32156"/>
    <cellStyle name="20% - Accent6 14 4 3 4" xfId="23165"/>
    <cellStyle name="20% - Accent6 14 4 4" xfId="14924"/>
    <cellStyle name="20% - Accent6 14 4 4 2" xfId="28316"/>
    <cellStyle name="20% - Accent6 14 4 5" xfId="18875"/>
    <cellStyle name="20% - Accent6 14 4 5 2" xfId="32154"/>
    <cellStyle name="20% - Accent6 14 4 6" xfId="23163"/>
    <cellStyle name="20% - Accent6 14 5" xfId="3721"/>
    <cellStyle name="20% - Accent6 14 5 2" xfId="3722"/>
    <cellStyle name="20% - Accent6 14 5 2 2" xfId="14928"/>
    <cellStyle name="20% - Accent6 14 5 2 2 2" xfId="28320"/>
    <cellStyle name="20% - Accent6 14 5 2 3" xfId="18879"/>
    <cellStyle name="20% - Accent6 14 5 2 3 2" xfId="32158"/>
    <cellStyle name="20% - Accent6 14 5 2 4" xfId="23167"/>
    <cellStyle name="20% - Accent6 14 5 3" xfId="3723"/>
    <cellStyle name="20% - Accent6 14 5 3 2" xfId="14929"/>
    <cellStyle name="20% - Accent6 14 5 3 2 2" xfId="28321"/>
    <cellStyle name="20% - Accent6 14 5 3 3" xfId="18880"/>
    <cellStyle name="20% - Accent6 14 5 3 3 2" xfId="32159"/>
    <cellStyle name="20% - Accent6 14 5 3 4" xfId="23168"/>
    <cellStyle name="20% - Accent6 14 5 4" xfId="14927"/>
    <cellStyle name="20% - Accent6 14 5 4 2" xfId="28319"/>
    <cellStyle name="20% - Accent6 14 5 5" xfId="18878"/>
    <cellStyle name="20% - Accent6 14 5 5 2" xfId="32157"/>
    <cellStyle name="20% - Accent6 14 5 6" xfId="23166"/>
    <cellStyle name="20% - Accent6 14 6" xfId="3724"/>
    <cellStyle name="20% - Accent6 14 6 2" xfId="3725"/>
    <cellStyle name="20% - Accent6 14 6 2 2" xfId="14931"/>
    <cellStyle name="20% - Accent6 14 6 2 2 2" xfId="28323"/>
    <cellStyle name="20% - Accent6 14 6 2 3" xfId="18882"/>
    <cellStyle name="20% - Accent6 14 6 2 3 2" xfId="32161"/>
    <cellStyle name="20% - Accent6 14 6 2 4" xfId="23170"/>
    <cellStyle name="20% - Accent6 14 6 3" xfId="3726"/>
    <cellStyle name="20% - Accent6 14 6 3 2" xfId="14932"/>
    <cellStyle name="20% - Accent6 14 6 3 2 2" xfId="28324"/>
    <cellStyle name="20% - Accent6 14 6 3 3" xfId="18883"/>
    <cellStyle name="20% - Accent6 14 6 3 3 2" xfId="32162"/>
    <cellStyle name="20% - Accent6 14 6 3 4" xfId="23171"/>
    <cellStyle name="20% - Accent6 14 6 4" xfId="14930"/>
    <cellStyle name="20% - Accent6 14 6 4 2" xfId="28322"/>
    <cellStyle name="20% - Accent6 14 6 5" xfId="18881"/>
    <cellStyle name="20% - Accent6 14 6 5 2" xfId="32160"/>
    <cellStyle name="20% - Accent6 14 6 6" xfId="23169"/>
    <cellStyle name="20% - Accent6 14 7" xfId="3727"/>
    <cellStyle name="20% - Accent6 14 7 2" xfId="14933"/>
    <cellStyle name="20% - Accent6 14 7 2 2" xfId="28325"/>
    <cellStyle name="20% - Accent6 14 7 3" xfId="18884"/>
    <cellStyle name="20% - Accent6 14 7 3 2" xfId="32163"/>
    <cellStyle name="20% - Accent6 14 7 4" xfId="23172"/>
    <cellStyle name="20% - Accent6 14 8" xfId="3728"/>
    <cellStyle name="20% - Accent6 14 8 2" xfId="14934"/>
    <cellStyle name="20% - Accent6 14 8 2 2" xfId="28326"/>
    <cellStyle name="20% - Accent6 14 8 3" xfId="18885"/>
    <cellStyle name="20% - Accent6 14 8 3 2" xfId="32164"/>
    <cellStyle name="20% - Accent6 14 8 4" xfId="23173"/>
    <cellStyle name="20% - Accent6 14 9" xfId="14902"/>
    <cellStyle name="20% - Accent6 14 9 2" xfId="28294"/>
    <cellStyle name="20% - Accent6 14_Volatility" xfId="3729"/>
    <cellStyle name="20% - Accent6 15" xfId="3730"/>
    <cellStyle name="20% - Accent6 15 10" xfId="18886"/>
    <cellStyle name="20% - Accent6 15 10 2" xfId="32165"/>
    <cellStyle name="20% - Accent6 15 11" xfId="23174"/>
    <cellStyle name="20% - Accent6 15 2" xfId="3731"/>
    <cellStyle name="20% - Accent6 15 2 2" xfId="3732"/>
    <cellStyle name="20% - Accent6 15 2 2 2" xfId="3733"/>
    <cellStyle name="20% - Accent6 15 2 2 2 2" xfId="14938"/>
    <cellStyle name="20% - Accent6 15 2 2 2 2 2" xfId="28330"/>
    <cellStyle name="20% - Accent6 15 2 2 2 3" xfId="18889"/>
    <cellStyle name="20% - Accent6 15 2 2 2 3 2" xfId="32168"/>
    <cellStyle name="20% - Accent6 15 2 2 2 4" xfId="23177"/>
    <cellStyle name="20% - Accent6 15 2 2 3" xfId="3734"/>
    <cellStyle name="20% - Accent6 15 2 2 3 2" xfId="14939"/>
    <cellStyle name="20% - Accent6 15 2 2 3 2 2" xfId="28331"/>
    <cellStyle name="20% - Accent6 15 2 2 3 3" xfId="18890"/>
    <cellStyle name="20% - Accent6 15 2 2 3 3 2" xfId="32169"/>
    <cellStyle name="20% - Accent6 15 2 2 3 4" xfId="23178"/>
    <cellStyle name="20% - Accent6 15 2 2 4" xfId="14937"/>
    <cellStyle name="20% - Accent6 15 2 2 4 2" xfId="28329"/>
    <cellStyle name="20% - Accent6 15 2 2 5" xfId="18888"/>
    <cellStyle name="20% - Accent6 15 2 2 5 2" xfId="32167"/>
    <cellStyle name="20% - Accent6 15 2 2 6" xfId="23176"/>
    <cellStyle name="20% - Accent6 15 2 3" xfId="3735"/>
    <cellStyle name="20% - Accent6 15 2 3 2" xfId="3736"/>
    <cellStyle name="20% - Accent6 15 2 3 2 2" xfId="14941"/>
    <cellStyle name="20% - Accent6 15 2 3 2 2 2" xfId="28333"/>
    <cellStyle name="20% - Accent6 15 2 3 2 3" xfId="18892"/>
    <cellStyle name="20% - Accent6 15 2 3 2 3 2" xfId="32171"/>
    <cellStyle name="20% - Accent6 15 2 3 2 4" xfId="23180"/>
    <cellStyle name="20% - Accent6 15 2 3 3" xfId="3737"/>
    <cellStyle name="20% - Accent6 15 2 3 3 2" xfId="14942"/>
    <cellStyle name="20% - Accent6 15 2 3 3 2 2" xfId="28334"/>
    <cellStyle name="20% - Accent6 15 2 3 3 3" xfId="18893"/>
    <cellStyle name="20% - Accent6 15 2 3 3 3 2" xfId="32172"/>
    <cellStyle name="20% - Accent6 15 2 3 3 4" xfId="23181"/>
    <cellStyle name="20% - Accent6 15 2 3 4" xfId="14940"/>
    <cellStyle name="20% - Accent6 15 2 3 4 2" xfId="28332"/>
    <cellStyle name="20% - Accent6 15 2 3 5" xfId="18891"/>
    <cellStyle name="20% - Accent6 15 2 3 5 2" xfId="32170"/>
    <cellStyle name="20% - Accent6 15 2 3 6" xfId="23179"/>
    <cellStyle name="20% - Accent6 15 2 4" xfId="3738"/>
    <cellStyle name="20% - Accent6 15 2 4 2" xfId="3739"/>
    <cellStyle name="20% - Accent6 15 2 4 2 2" xfId="14944"/>
    <cellStyle name="20% - Accent6 15 2 4 2 2 2" xfId="28336"/>
    <cellStyle name="20% - Accent6 15 2 4 2 3" xfId="18895"/>
    <cellStyle name="20% - Accent6 15 2 4 2 3 2" xfId="32174"/>
    <cellStyle name="20% - Accent6 15 2 4 2 4" xfId="23183"/>
    <cellStyle name="20% - Accent6 15 2 4 3" xfId="3740"/>
    <cellStyle name="20% - Accent6 15 2 4 3 2" xfId="14945"/>
    <cellStyle name="20% - Accent6 15 2 4 3 2 2" xfId="28337"/>
    <cellStyle name="20% - Accent6 15 2 4 3 3" xfId="18896"/>
    <cellStyle name="20% - Accent6 15 2 4 3 3 2" xfId="32175"/>
    <cellStyle name="20% - Accent6 15 2 4 3 4" xfId="23184"/>
    <cellStyle name="20% - Accent6 15 2 4 4" xfId="14943"/>
    <cellStyle name="20% - Accent6 15 2 4 4 2" xfId="28335"/>
    <cellStyle name="20% - Accent6 15 2 4 5" xfId="18894"/>
    <cellStyle name="20% - Accent6 15 2 4 5 2" xfId="32173"/>
    <cellStyle name="20% - Accent6 15 2 4 6" xfId="23182"/>
    <cellStyle name="20% - Accent6 15 2 5" xfId="3741"/>
    <cellStyle name="20% - Accent6 15 2 5 2" xfId="14946"/>
    <cellStyle name="20% - Accent6 15 2 5 2 2" xfId="28338"/>
    <cellStyle name="20% - Accent6 15 2 5 3" xfId="18897"/>
    <cellStyle name="20% - Accent6 15 2 5 3 2" xfId="32176"/>
    <cellStyle name="20% - Accent6 15 2 5 4" xfId="23185"/>
    <cellStyle name="20% - Accent6 15 2 6" xfId="3742"/>
    <cellStyle name="20% - Accent6 15 2 6 2" xfId="14947"/>
    <cellStyle name="20% - Accent6 15 2 6 2 2" xfId="28339"/>
    <cellStyle name="20% - Accent6 15 2 6 3" xfId="18898"/>
    <cellStyle name="20% - Accent6 15 2 6 3 2" xfId="32177"/>
    <cellStyle name="20% - Accent6 15 2 6 4" xfId="23186"/>
    <cellStyle name="20% - Accent6 15 2 7" xfId="14936"/>
    <cellStyle name="20% - Accent6 15 2 7 2" xfId="28328"/>
    <cellStyle name="20% - Accent6 15 2 8" xfId="18887"/>
    <cellStyle name="20% - Accent6 15 2 8 2" xfId="32166"/>
    <cellStyle name="20% - Accent6 15 2 9" xfId="23175"/>
    <cellStyle name="20% - Accent6 15 2_Volatility" xfId="3743"/>
    <cellStyle name="20% - Accent6 15 3" xfId="3744"/>
    <cellStyle name="20% - Accent6 15 3 2" xfId="3745"/>
    <cellStyle name="20% - Accent6 15 3 2 2" xfId="3746"/>
    <cellStyle name="20% - Accent6 15 3 2 2 2" xfId="14950"/>
    <cellStyle name="20% - Accent6 15 3 2 2 2 2" xfId="28342"/>
    <cellStyle name="20% - Accent6 15 3 2 2 3" xfId="18901"/>
    <cellStyle name="20% - Accent6 15 3 2 2 3 2" xfId="32180"/>
    <cellStyle name="20% - Accent6 15 3 2 2 4" xfId="23189"/>
    <cellStyle name="20% - Accent6 15 3 2 3" xfId="3747"/>
    <cellStyle name="20% - Accent6 15 3 2 3 2" xfId="14951"/>
    <cellStyle name="20% - Accent6 15 3 2 3 2 2" xfId="28343"/>
    <cellStyle name="20% - Accent6 15 3 2 3 3" xfId="18902"/>
    <cellStyle name="20% - Accent6 15 3 2 3 3 2" xfId="32181"/>
    <cellStyle name="20% - Accent6 15 3 2 3 4" xfId="23190"/>
    <cellStyle name="20% - Accent6 15 3 2 4" xfId="14949"/>
    <cellStyle name="20% - Accent6 15 3 2 4 2" xfId="28341"/>
    <cellStyle name="20% - Accent6 15 3 2 5" xfId="18900"/>
    <cellStyle name="20% - Accent6 15 3 2 5 2" xfId="32179"/>
    <cellStyle name="20% - Accent6 15 3 2 6" xfId="23188"/>
    <cellStyle name="20% - Accent6 15 3 3" xfId="3748"/>
    <cellStyle name="20% - Accent6 15 3 3 2" xfId="3749"/>
    <cellStyle name="20% - Accent6 15 3 3 2 2" xfId="14953"/>
    <cellStyle name="20% - Accent6 15 3 3 2 2 2" xfId="28345"/>
    <cellStyle name="20% - Accent6 15 3 3 2 3" xfId="18904"/>
    <cellStyle name="20% - Accent6 15 3 3 2 3 2" xfId="32183"/>
    <cellStyle name="20% - Accent6 15 3 3 2 4" xfId="23192"/>
    <cellStyle name="20% - Accent6 15 3 3 3" xfId="3750"/>
    <cellStyle name="20% - Accent6 15 3 3 3 2" xfId="14954"/>
    <cellStyle name="20% - Accent6 15 3 3 3 2 2" xfId="28346"/>
    <cellStyle name="20% - Accent6 15 3 3 3 3" xfId="18905"/>
    <cellStyle name="20% - Accent6 15 3 3 3 3 2" xfId="32184"/>
    <cellStyle name="20% - Accent6 15 3 3 3 4" xfId="23193"/>
    <cellStyle name="20% - Accent6 15 3 3 4" xfId="14952"/>
    <cellStyle name="20% - Accent6 15 3 3 4 2" xfId="28344"/>
    <cellStyle name="20% - Accent6 15 3 3 5" xfId="18903"/>
    <cellStyle name="20% - Accent6 15 3 3 5 2" xfId="32182"/>
    <cellStyle name="20% - Accent6 15 3 3 6" xfId="23191"/>
    <cellStyle name="20% - Accent6 15 3 4" xfId="3751"/>
    <cellStyle name="20% - Accent6 15 3 4 2" xfId="14955"/>
    <cellStyle name="20% - Accent6 15 3 4 2 2" xfId="28347"/>
    <cellStyle name="20% - Accent6 15 3 4 3" xfId="18906"/>
    <cellStyle name="20% - Accent6 15 3 4 3 2" xfId="32185"/>
    <cellStyle name="20% - Accent6 15 3 4 4" xfId="23194"/>
    <cellStyle name="20% - Accent6 15 3 5" xfId="3752"/>
    <cellStyle name="20% - Accent6 15 3 5 2" xfId="14956"/>
    <cellStyle name="20% - Accent6 15 3 5 2 2" xfId="28348"/>
    <cellStyle name="20% - Accent6 15 3 5 3" xfId="18907"/>
    <cellStyle name="20% - Accent6 15 3 5 3 2" xfId="32186"/>
    <cellStyle name="20% - Accent6 15 3 5 4" xfId="23195"/>
    <cellStyle name="20% - Accent6 15 3 6" xfId="14948"/>
    <cellStyle name="20% - Accent6 15 3 6 2" xfId="28340"/>
    <cellStyle name="20% - Accent6 15 3 7" xfId="18899"/>
    <cellStyle name="20% - Accent6 15 3 7 2" xfId="32178"/>
    <cellStyle name="20% - Accent6 15 3 8" xfId="23187"/>
    <cellStyle name="20% - Accent6 15 3_Volatility" xfId="3753"/>
    <cellStyle name="20% - Accent6 15 4" xfId="3754"/>
    <cellStyle name="20% - Accent6 15 4 2" xfId="3755"/>
    <cellStyle name="20% - Accent6 15 4 2 2" xfId="14958"/>
    <cellStyle name="20% - Accent6 15 4 2 2 2" xfId="28350"/>
    <cellStyle name="20% - Accent6 15 4 2 3" xfId="18909"/>
    <cellStyle name="20% - Accent6 15 4 2 3 2" xfId="32188"/>
    <cellStyle name="20% - Accent6 15 4 2 4" xfId="23197"/>
    <cellStyle name="20% - Accent6 15 4 3" xfId="3756"/>
    <cellStyle name="20% - Accent6 15 4 3 2" xfId="14959"/>
    <cellStyle name="20% - Accent6 15 4 3 2 2" xfId="28351"/>
    <cellStyle name="20% - Accent6 15 4 3 3" xfId="18910"/>
    <cellStyle name="20% - Accent6 15 4 3 3 2" xfId="32189"/>
    <cellStyle name="20% - Accent6 15 4 3 4" xfId="23198"/>
    <cellStyle name="20% - Accent6 15 4 4" xfId="14957"/>
    <cellStyle name="20% - Accent6 15 4 4 2" xfId="28349"/>
    <cellStyle name="20% - Accent6 15 4 5" xfId="18908"/>
    <cellStyle name="20% - Accent6 15 4 5 2" xfId="32187"/>
    <cellStyle name="20% - Accent6 15 4 6" xfId="23196"/>
    <cellStyle name="20% - Accent6 15 5" xfId="3757"/>
    <cellStyle name="20% - Accent6 15 5 2" xfId="3758"/>
    <cellStyle name="20% - Accent6 15 5 2 2" xfId="14961"/>
    <cellStyle name="20% - Accent6 15 5 2 2 2" xfId="28353"/>
    <cellStyle name="20% - Accent6 15 5 2 3" xfId="18912"/>
    <cellStyle name="20% - Accent6 15 5 2 3 2" xfId="32191"/>
    <cellStyle name="20% - Accent6 15 5 2 4" xfId="23200"/>
    <cellStyle name="20% - Accent6 15 5 3" xfId="3759"/>
    <cellStyle name="20% - Accent6 15 5 3 2" xfId="14962"/>
    <cellStyle name="20% - Accent6 15 5 3 2 2" xfId="28354"/>
    <cellStyle name="20% - Accent6 15 5 3 3" xfId="18913"/>
    <cellStyle name="20% - Accent6 15 5 3 3 2" xfId="32192"/>
    <cellStyle name="20% - Accent6 15 5 3 4" xfId="23201"/>
    <cellStyle name="20% - Accent6 15 5 4" xfId="14960"/>
    <cellStyle name="20% - Accent6 15 5 4 2" xfId="28352"/>
    <cellStyle name="20% - Accent6 15 5 5" xfId="18911"/>
    <cellStyle name="20% - Accent6 15 5 5 2" xfId="32190"/>
    <cellStyle name="20% - Accent6 15 5 6" xfId="23199"/>
    <cellStyle name="20% - Accent6 15 6" xfId="3760"/>
    <cellStyle name="20% - Accent6 15 6 2" xfId="3761"/>
    <cellStyle name="20% - Accent6 15 6 2 2" xfId="14964"/>
    <cellStyle name="20% - Accent6 15 6 2 2 2" xfId="28356"/>
    <cellStyle name="20% - Accent6 15 6 2 3" xfId="18915"/>
    <cellStyle name="20% - Accent6 15 6 2 3 2" xfId="32194"/>
    <cellStyle name="20% - Accent6 15 6 2 4" xfId="23203"/>
    <cellStyle name="20% - Accent6 15 6 3" xfId="3762"/>
    <cellStyle name="20% - Accent6 15 6 3 2" xfId="14965"/>
    <cellStyle name="20% - Accent6 15 6 3 2 2" xfId="28357"/>
    <cellStyle name="20% - Accent6 15 6 3 3" xfId="18916"/>
    <cellStyle name="20% - Accent6 15 6 3 3 2" xfId="32195"/>
    <cellStyle name="20% - Accent6 15 6 3 4" xfId="23204"/>
    <cellStyle name="20% - Accent6 15 6 4" xfId="14963"/>
    <cellStyle name="20% - Accent6 15 6 4 2" xfId="28355"/>
    <cellStyle name="20% - Accent6 15 6 5" xfId="18914"/>
    <cellStyle name="20% - Accent6 15 6 5 2" xfId="32193"/>
    <cellStyle name="20% - Accent6 15 6 6" xfId="23202"/>
    <cellStyle name="20% - Accent6 15 7" xfId="3763"/>
    <cellStyle name="20% - Accent6 15 7 2" xfId="14966"/>
    <cellStyle name="20% - Accent6 15 7 2 2" xfId="28358"/>
    <cellStyle name="20% - Accent6 15 7 3" xfId="18917"/>
    <cellStyle name="20% - Accent6 15 7 3 2" xfId="32196"/>
    <cellStyle name="20% - Accent6 15 7 4" xfId="23205"/>
    <cellStyle name="20% - Accent6 15 8" xfId="3764"/>
    <cellStyle name="20% - Accent6 15 8 2" xfId="14967"/>
    <cellStyle name="20% - Accent6 15 8 2 2" xfId="28359"/>
    <cellStyle name="20% - Accent6 15 8 3" xfId="18918"/>
    <cellStyle name="20% - Accent6 15 8 3 2" xfId="32197"/>
    <cellStyle name="20% - Accent6 15 8 4" xfId="23206"/>
    <cellStyle name="20% - Accent6 15 9" xfId="14935"/>
    <cellStyle name="20% - Accent6 15 9 2" xfId="28327"/>
    <cellStyle name="20% - Accent6 15_Volatility" xfId="3765"/>
    <cellStyle name="20% - Accent6 16" xfId="3766"/>
    <cellStyle name="20% - Accent6 16 2" xfId="14968"/>
    <cellStyle name="20% - Accent6 16 2 2" xfId="28360"/>
    <cellStyle name="20% - Accent6 16 3" xfId="18919"/>
    <cellStyle name="20% - Accent6 16 3 2" xfId="32198"/>
    <cellStyle name="20% - Accent6 16 4" xfId="23207"/>
    <cellStyle name="20% - Accent6 17" xfId="3767"/>
    <cellStyle name="20% - Accent6 17 2" xfId="14969"/>
    <cellStyle name="20% - Accent6 17 2 2" xfId="28361"/>
    <cellStyle name="20% - Accent6 17 3" xfId="18920"/>
    <cellStyle name="20% - Accent6 17 3 2" xfId="32199"/>
    <cellStyle name="20% - Accent6 17 4" xfId="23208"/>
    <cellStyle name="20% - Accent6 18" xfId="3768"/>
    <cellStyle name="20% - Accent6 18 2" xfId="14970"/>
    <cellStyle name="20% - Accent6 18 2 2" xfId="28362"/>
    <cellStyle name="20% - Accent6 18 3" xfId="18921"/>
    <cellStyle name="20% - Accent6 18 3 2" xfId="32200"/>
    <cellStyle name="20% - Accent6 18 4" xfId="23209"/>
    <cellStyle name="20% - Accent6 19" xfId="3769"/>
    <cellStyle name="20% - Accent6 19 2" xfId="14971"/>
    <cellStyle name="20% - Accent6 19 2 2" xfId="28363"/>
    <cellStyle name="20% - Accent6 19 3" xfId="18922"/>
    <cellStyle name="20% - Accent6 19 3 2" xfId="32201"/>
    <cellStyle name="20% - Accent6 19 4" xfId="23210"/>
    <cellStyle name="20% - Accent6 2" xfId="3770"/>
    <cellStyle name="20% - Accent6 2 10" xfId="18923"/>
    <cellStyle name="20% - Accent6 2 10 2" xfId="32202"/>
    <cellStyle name="20% - Accent6 2 11" xfId="23211"/>
    <cellStyle name="20% - Accent6 2 2" xfId="3771"/>
    <cellStyle name="20% - Accent6 2 2 2" xfId="3772"/>
    <cellStyle name="20% - Accent6 2 2 2 2" xfId="3773"/>
    <cellStyle name="20% - Accent6 2 2 2 2 2" xfId="14975"/>
    <cellStyle name="20% - Accent6 2 2 2 2 2 2" xfId="28367"/>
    <cellStyle name="20% - Accent6 2 2 2 2 3" xfId="18926"/>
    <cellStyle name="20% - Accent6 2 2 2 2 3 2" xfId="32205"/>
    <cellStyle name="20% - Accent6 2 2 2 2 4" xfId="23214"/>
    <cellStyle name="20% - Accent6 2 2 2 3" xfId="3774"/>
    <cellStyle name="20% - Accent6 2 2 2 3 2" xfId="14976"/>
    <cellStyle name="20% - Accent6 2 2 2 3 2 2" xfId="28368"/>
    <cellStyle name="20% - Accent6 2 2 2 3 3" xfId="18927"/>
    <cellStyle name="20% - Accent6 2 2 2 3 3 2" xfId="32206"/>
    <cellStyle name="20% - Accent6 2 2 2 3 4" xfId="23215"/>
    <cellStyle name="20% - Accent6 2 2 2 4" xfId="14974"/>
    <cellStyle name="20% - Accent6 2 2 2 4 2" xfId="28366"/>
    <cellStyle name="20% - Accent6 2 2 2 5" xfId="18925"/>
    <cellStyle name="20% - Accent6 2 2 2 5 2" xfId="32204"/>
    <cellStyle name="20% - Accent6 2 2 2 6" xfId="23213"/>
    <cellStyle name="20% - Accent6 2 2 3" xfId="3775"/>
    <cellStyle name="20% - Accent6 2 2 3 2" xfId="3776"/>
    <cellStyle name="20% - Accent6 2 2 3 2 2" xfId="14978"/>
    <cellStyle name="20% - Accent6 2 2 3 2 2 2" xfId="28370"/>
    <cellStyle name="20% - Accent6 2 2 3 2 3" xfId="18929"/>
    <cellStyle name="20% - Accent6 2 2 3 2 3 2" xfId="32208"/>
    <cellStyle name="20% - Accent6 2 2 3 2 4" xfId="23217"/>
    <cellStyle name="20% - Accent6 2 2 3 3" xfId="3777"/>
    <cellStyle name="20% - Accent6 2 2 3 3 2" xfId="14979"/>
    <cellStyle name="20% - Accent6 2 2 3 3 2 2" xfId="28371"/>
    <cellStyle name="20% - Accent6 2 2 3 3 3" xfId="18930"/>
    <cellStyle name="20% - Accent6 2 2 3 3 3 2" xfId="32209"/>
    <cellStyle name="20% - Accent6 2 2 3 3 4" xfId="23218"/>
    <cellStyle name="20% - Accent6 2 2 3 4" xfId="14977"/>
    <cellStyle name="20% - Accent6 2 2 3 4 2" xfId="28369"/>
    <cellStyle name="20% - Accent6 2 2 3 5" xfId="18928"/>
    <cellStyle name="20% - Accent6 2 2 3 5 2" xfId="32207"/>
    <cellStyle name="20% - Accent6 2 2 3 6" xfId="23216"/>
    <cellStyle name="20% - Accent6 2 2 4" xfId="3778"/>
    <cellStyle name="20% - Accent6 2 2 4 2" xfId="3779"/>
    <cellStyle name="20% - Accent6 2 2 4 2 2" xfId="14981"/>
    <cellStyle name="20% - Accent6 2 2 4 2 2 2" xfId="28373"/>
    <cellStyle name="20% - Accent6 2 2 4 2 3" xfId="18932"/>
    <cellStyle name="20% - Accent6 2 2 4 2 3 2" xfId="32211"/>
    <cellStyle name="20% - Accent6 2 2 4 2 4" xfId="23220"/>
    <cellStyle name="20% - Accent6 2 2 4 3" xfId="3780"/>
    <cellStyle name="20% - Accent6 2 2 4 3 2" xfId="14982"/>
    <cellStyle name="20% - Accent6 2 2 4 3 2 2" xfId="28374"/>
    <cellStyle name="20% - Accent6 2 2 4 3 3" xfId="18933"/>
    <cellStyle name="20% - Accent6 2 2 4 3 3 2" xfId="32212"/>
    <cellStyle name="20% - Accent6 2 2 4 3 4" xfId="23221"/>
    <cellStyle name="20% - Accent6 2 2 4 4" xfId="14980"/>
    <cellStyle name="20% - Accent6 2 2 4 4 2" xfId="28372"/>
    <cellStyle name="20% - Accent6 2 2 4 5" xfId="18931"/>
    <cellStyle name="20% - Accent6 2 2 4 5 2" xfId="32210"/>
    <cellStyle name="20% - Accent6 2 2 4 6" xfId="23219"/>
    <cellStyle name="20% - Accent6 2 2 5" xfId="3781"/>
    <cellStyle name="20% - Accent6 2 2 5 2" xfId="14983"/>
    <cellStyle name="20% - Accent6 2 2 5 2 2" xfId="28375"/>
    <cellStyle name="20% - Accent6 2 2 5 3" xfId="18934"/>
    <cellStyle name="20% - Accent6 2 2 5 3 2" xfId="32213"/>
    <cellStyle name="20% - Accent6 2 2 5 4" xfId="23222"/>
    <cellStyle name="20% - Accent6 2 2 6" xfId="3782"/>
    <cellStyle name="20% - Accent6 2 2 6 2" xfId="14984"/>
    <cellStyle name="20% - Accent6 2 2 6 2 2" xfId="28376"/>
    <cellStyle name="20% - Accent6 2 2 6 3" xfId="18935"/>
    <cellStyle name="20% - Accent6 2 2 6 3 2" xfId="32214"/>
    <cellStyle name="20% - Accent6 2 2 6 4" xfId="23223"/>
    <cellStyle name="20% - Accent6 2 2 7" xfId="14973"/>
    <cellStyle name="20% - Accent6 2 2 7 2" xfId="28365"/>
    <cellStyle name="20% - Accent6 2 2 8" xfId="18924"/>
    <cellStyle name="20% - Accent6 2 2 8 2" xfId="32203"/>
    <cellStyle name="20% - Accent6 2 2 9" xfId="23212"/>
    <cellStyle name="20% - Accent6 2 2_Volatility" xfId="3783"/>
    <cellStyle name="20% - Accent6 2 3" xfId="3784"/>
    <cellStyle name="20% - Accent6 2 3 2" xfId="3785"/>
    <cellStyle name="20% - Accent6 2 3 2 2" xfId="3786"/>
    <cellStyle name="20% - Accent6 2 3 2 2 2" xfId="14987"/>
    <cellStyle name="20% - Accent6 2 3 2 2 2 2" xfId="28379"/>
    <cellStyle name="20% - Accent6 2 3 2 2 3" xfId="18938"/>
    <cellStyle name="20% - Accent6 2 3 2 2 3 2" xfId="32217"/>
    <cellStyle name="20% - Accent6 2 3 2 2 4" xfId="23226"/>
    <cellStyle name="20% - Accent6 2 3 2 3" xfId="3787"/>
    <cellStyle name="20% - Accent6 2 3 2 3 2" xfId="14988"/>
    <cellStyle name="20% - Accent6 2 3 2 3 2 2" xfId="28380"/>
    <cellStyle name="20% - Accent6 2 3 2 3 3" xfId="18939"/>
    <cellStyle name="20% - Accent6 2 3 2 3 3 2" xfId="32218"/>
    <cellStyle name="20% - Accent6 2 3 2 3 4" xfId="23227"/>
    <cellStyle name="20% - Accent6 2 3 2 4" xfId="14986"/>
    <cellStyle name="20% - Accent6 2 3 2 4 2" xfId="28378"/>
    <cellStyle name="20% - Accent6 2 3 2 5" xfId="18937"/>
    <cellStyle name="20% - Accent6 2 3 2 5 2" xfId="32216"/>
    <cellStyle name="20% - Accent6 2 3 2 6" xfId="23225"/>
    <cellStyle name="20% - Accent6 2 3 3" xfId="3788"/>
    <cellStyle name="20% - Accent6 2 3 3 2" xfId="3789"/>
    <cellStyle name="20% - Accent6 2 3 3 2 2" xfId="14990"/>
    <cellStyle name="20% - Accent6 2 3 3 2 2 2" xfId="28382"/>
    <cellStyle name="20% - Accent6 2 3 3 2 3" xfId="18941"/>
    <cellStyle name="20% - Accent6 2 3 3 2 3 2" xfId="32220"/>
    <cellStyle name="20% - Accent6 2 3 3 2 4" xfId="23229"/>
    <cellStyle name="20% - Accent6 2 3 3 3" xfId="3790"/>
    <cellStyle name="20% - Accent6 2 3 3 3 2" xfId="14991"/>
    <cellStyle name="20% - Accent6 2 3 3 3 2 2" xfId="28383"/>
    <cellStyle name="20% - Accent6 2 3 3 3 3" xfId="18942"/>
    <cellStyle name="20% - Accent6 2 3 3 3 3 2" xfId="32221"/>
    <cellStyle name="20% - Accent6 2 3 3 3 4" xfId="23230"/>
    <cellStyle name="20% - Accent6 2 3 3 4" xfId="14989"/>
    <cellStyle name="20% - Accent6 2 3 3 4 2" xfId="28381"/>
    <cellStyle name="20% - Accent6 2 3 3 5" xfId="18940"/>
    <cellStyle name="20% - Accent6 2 3 3 5 2" xfId="32219"/>
    <cellStyle name="20% - Accent6 2 3 3 6" xfId="23228"/>
    <cellStyle name="20% - Accent6 2 3 4" xfId="3791"/>
    <cellStyle name="20% - Accent6 2 3 4 2" xfId="14992"/>
    <cellStyle name="20% - Accent6 2 3 4 2 2" xfId="28384"/>
    <cellStyle name="20% - Accent6 2 3 4 3" xfId="18943"/>
    <cellStyle name="20% - Accent6 2 3 4 3 2" xfId="32222"/>
    <cellStyle name="20% - Accent6 2 3 4 4" xfId="23231"/>
    <cellStyle name="20% - Accent6 2 3 5" xfId="3792"/>
    <cellStyle name="20% - Accent6 2 3 5 2" xfId="14993"/>
    <cellStyle name="20% - Accent6 2 3 5 2 2" xfId="28385"/>
    <cellStyle name="20% - Accent6 2 3 5 3" xfId="18944"/>
    <cellStyle name="20% - Accent6 2 3 5 3 2" xfId="32223"/>
    <cellStyle name="20% - Accent6 2 3 5 4" xfId="23232"/>
    <cellStyle name="20% - Accent6 2 3 6" xfId="14985"/>
    <cellStyle name="20% - Accent6 2 3 6 2" xfId="28377"/>
    <cellStyle name="20% - Accent6 2 3 7" xfId="18936"/>
    <cellStyle name="20% - Accent6 2 3 7 2" xfId="32215"/>
    <cellStyle name="20% - Accent6 2 3 8" xfId="23224"/>
    <cellStyle name="20% - Accent6 2 3_Volatility" xfId="3793"/>
    <cellStyle name="20% - Accent6 2 4" xfId="3794"/>
    <cellStyle name="20% - Accent6 2 4 2" xfId="3795"/>
    <cellStyle name="20% - Accent6 2 4 2 2" xfId="14995"/>
    <cellStyle name="20% - Accent6 2 4 2 2 2" xfId="28387"/>
    <cellStyle name="20% - Accent6 2 4 2 3" xfId="18946"/>
    <cellStyle name="20% - Accent6 2 4 2 3 2" xfId="32225"/>
    <cellStyle name="20% - Accent6 2 4 2 4" xfId="23234"/>
    <cellStyle name="20% - Accent6 2 4 3" xfId="3796"/>
    <cellStyle name="20% - Accent6 2 4 3 2" xfId="14996"/>
    <cellStyle name="20% - Accent6 2 4 3 2 2" xfId="28388"/>
    <cellStyle name="20% - Accent6 2 4 3 3" xfId="18947"/>
    <cellStyle name="20% - Accent6 2 4 3 3 2" xfId="32226"/>
    <cellStyle name="20% - Accent6 2 4 3 4" xfId="23235"/>
    <cellStyle name="20% - Accent6 2 4 4" xfId="14994"/>
    <cellStyle name="20% - Accent6 2 4 4 2" xfId="28386"/>
    <cellStyle name="20% - Accent6 2 4 5" xfId="18945"/>
    <cellStyle name="20% - Accent6 2 4 5 2" xfId="32224"/>
    <cellStyle name="20% - Accent6 2 4 6" xfId="23233"/>
    <cellStyle name="20% - Accent6 2 5" xfId="3797"/>
    <cellStyle name="20% - Accent6 2 5 2" xfId="3798"/>
    <cellStyle name="20% - Accent6 2 5 2 2" xfId="14998"/>
    <cellStyle name="20% - Accent6 2 5 2 2 2" xfId="28390"/>
    <cellStyle name="20% - Accent6 2 5 2 3" xfId="18949"/>
    <cellStyle name="20% - Accent6 2 5 2 3 2" xfId="32228"/>
    <cellStyle name="20% - Accent6 2 5 2 4" xfId="23237"/>
    <cellStyle name="20% - Accent6 2 5 3" xfId="3799"/>
    <cellStyle name="20% - Accent6 2 5 3 2" xfId="14999"/>
    <cellStyle name="20% - Accent6 2 5 3 2 2" xfId="28391"/>
    <cellStyle name="20% - Accent6 2 5 3 3" xfId="18950"/>
    <cellStyle name="20% - Accent6 2 5 3 3 2" xfId="32229"/>
    <cellStyle name="20% - Accent6 2 5 3 4" xfId="23238"/>
    <cellStyle name="20% - Accent6 2 5 4" xfId="14997"/>
    <cellStyle name="20% - Accent6 2 5 4 2" xfId="28389"/>
    <cellStyle name="20% - Accent6 2 5 5" xfId="18948"/>
    <cellStyle name="20% - Accent6 2 5 5 2" xfId="32227"/>
    <cellStyle name="20% - Accent6 2 5 6" xfId="23236"/>
    <cellStyle name="20% - Accent6 2 6" xfId="3800"/>
    <cellStyle name="20% - Accent6 2 6 2" xfId="3801"/>
    <cellStyle name="20% - Accent6 2 6 2 2" xfId="15001"/>
    <cellStyle name="20% - Accent6 2 6 2 2 2" xfId="28393"/>
    <cellStyle name="20% - Accent6 2 6 2 3" xfId="18952"/>
    <cellStyle name="20% - Accent6 2 6 2 3 2" xfId="32231"/>
    <cellStyle name="20% - Accent6 2 6 2 4" xfId="23240"/>
    <cellStyle name="20% - Accent6 2 6 3" xfId="3802"/>
    <cellStyle name="20% - Accent6 2 6 3 2" xfId="15002"/>
    <cellStyle name="20% - Accent6 2 6 3 2 2" xfId="28394"/>
    <cellStyle name="20% - Accent6 2 6 3 3" xfId="18953"/>
    <cellStyle name="20% - Accent6 2 6 3 3 2" xfId="32232"/>
    <cellStyle name="20% - Accent6 2 6 3 4" xfId="23241"/>
    <cellStyle name="20% - Accent6 2 6 4" xfId="15000"/>
    <cellStyle name="20% - Accent6 2 6 4 2" xfId="28392"/>
    <cellStyle name="20% - Accent6 2 6 5" xfId="18951"/>
    <cellStyle name="20% - Accent6 2 6 5 2" xfId="32230"/>
    <cellStyle name="20% - Accent6 2 6 6" xfId="23239"/>
    <cellStyle name="20% - Accent6 2 7" xfId="3803"/>
    <cellStyle name="20% - Accent6 2 7 2" xfId="15003"/>
    <cellStyle name="20% - Accent6 2 7 2 2" xfId="28395"/>
    <cellStyle name="20% - Accent6 2 7 3" xfId="18954"/>
    <cellStyle name="20% - Accent6 2 7 3 2" xfId="32233"/>
    <cellStyle name="20% - Accent6 2 7 4" xfId="23242"/>
    <cellStyle name="20% - Accent6 2 8" xfId="3804"/>
    <cellStyle name="20% - Accent6 2 8 2" xfId="15004"/>
    <cellStyle name="20% - Accent6 2 8 2 2" xfId="28396"/>
    <cellStyle name="20% - Accent6 2 8 3" xfId="18955"/>
    <cellStyle name="20% - Accent6 2 8 3 2" xfId="32234"/>
    <cellStyle name="20% - Accent6 2 8 4" xfId="23243"/>
    <cellStyle name="20% - Accent6 2 9" xfId="14972"/>
    <cellStyle name="20% - Accent6 2 9 2" xfId="28364"/>
    <cellStyle name="20% - Accent6 2_Volatility" xfId="3805"/>
    <cellStyle name="20% - Accent6 3" xfId="3806"/>
    <cellStyle name="20% - Accent6 3 10" xfId="18956"/>
    <cellStyle name="20% - Accent6 3 10 2" xfId="32235"/>
    <cellStyle name="20% - Accent6 3 11" xfId="23244"/>
    <cellStyle name="20% - Accent6 3 2" xfId="3807"/>
    <cellStyle name="20% - Accent6 3 2 2" xfId="3808"/>
    <cellStyle name="20% - Accent6 3 2 2 2" xfId="3809"/>
    <cellStyle name="20% - Accent6 3 2 2 2 2" xfId="15008"/>
    <cellStyle name="20% - Accent6 3 2 2 2 2 2" xfId="28400"/>
    <cellStyle name="20% - Accent6 3 2 2 2 3" xfId="18959"/>
    <cellStyle name="20% - Accent6 3 2 2 2 3 2" xfId="32238"/>
    <cellStyle name="20% - Accent6 3 2 2 2 4" xfId="23247"/>
    <cellStyle name="20% - Accent6 3 2 2 3" xfId="3810"/>
    <cellStyle name="20% - Accent6 3 2 2 3 2" xfId="15009"/>
    <cellStyle name="20% - Accent6 3 2 2 3 2 2" xfId="28401"/>
    <cellStyle name="20% - Accent6 3 2 2 3 3" xfId="18960"/>
    <cellStyle name="20% - Accent6 3 2 2 3 3 2" xfId="32239"/>
    <cellStyle name="20% - Accent6 3 2 2 3 4" xfId="23248"/>
    <cellStyle name="20% - Accent6 3 2 2 4" xfId="15007"/>
    <cellStyle name="20% - Accent6 3 2 2 4 2" xfId="28399"/>
    <cellStyle name="20% - Accent6 3 2 2 5" xfId="18958"/>
    <cellStyle name="20% - Accent6 3 2 2 5 2" xfId="32237"/>
    <cellStyle name="20% - Accent6 3 2 2 6" xfId="23246"/>
    <cellStyle name="20% - Accent6 3 2 3" xfId="3811"/>
    <cellStyle name="20% - Accent6 3 2 3 2" xfId="3812"/>
    <cellStyle name="20% - Accent6 3 2 3 2 2" xfId="15011"/>
    <cellStyle name="20% - Accent6 3 2 3 2 2 2" xfId="28403"/>
    <cellStyle name="20% - Accent6 3 2 3 2 3" xfId="18962"/>
    <cellStyle name="20% - Accent6 3 2 3 2 3 2" xfId="32241"/>
    <cellStyle name="20% - Accent6 3 2 3 2 4" xfId="23250"/>
    <cellStyle name="20% - Accent6 3 2 3 3" xfId="3813"/>
    <cellStyle name="20% - Accent6 3 2 3 3 2" xfId="15012"/>
    <cellStyle name="20% - Accent6 3 2 3 3 2 2" xfId="28404"/>
    <cellStyle name="20% - Accent6 3 2 3 3 3" xfId="18963"/>
    <cellStyle name="20% - Accent6 3 2 3 3 3 2" xfId="32242"/>
    <cellStyle name="20% - Accent6 3 2 3 3 4" xfId="23251"/>
    <cellStyle name="20% - Accent6 3 2 3 4" xfId="15010"/>
    <cellStyle name="20% - Accent6 3 2 3 4 2" xfId="28402"/>
    <cellStyle name="20% - Accent6 3 2 3 5" xfId="18961"/>
    <cellStyle name="20% - Accent6 3 2 3 5 2" xfId="32240"/>
    <cellStyle name="20% - Accent6 3 2 3 6" xfId="23249"/>
    <cellStyle name="20% - Accent6 3 2 4" xfId="3814"/>
    <cellStyle name="20% - Accent6 3 2 4 2" xfId="3815"/>
    <cellStyle name="20% - Accent6 3 2 4 2 2" xfId="15014"/>
    <cellStyle name="20% - Accent6 3 2 4 2 2 2" xfId="28406"/>
    <cellStyle name="20% - Accent6 3 2 4 2 3" xfId="18965"/>
    <cellStyle name="20% - Accent6 3 2 4 2 3 2" xfId="32244"/>
    <cellStyle name="20% - Accent6 3 2 4 2 4" xfId="23253"/>
    <cellStyle name="20% - Accent6 3 2 4 3" xfId="3816"/>
    <cellStyle name="20% - Accent6 3 2 4 3 2" xfId="15015"/>
    <cellStyle name="20% - Accent6 3 2 4 3 2 2" xfId="28407"/>
    <cellStyle name="20% - Accent6 3 2 4 3 3" xfId="18966"/>
    <cellStyle name="20% - Accent6 3 2 4 3 3 2" xfId="32245"/>
    <cellStyle name="20% - Accent6 3 2 4 3 4" xfId="23254"/>
    <cellStyle name="20% - Accent6 3 2 4 4" xfId="15013"/>
    <cellStyle name="20% - Accent6 3 2 4 4 2" xfId="28405"/>
    <cellStyle name="20% - Accent6 3 2 4 5" xfId="18964"/>
    <cellStyle name="20% - Accent6 3 2 4 5 2" xfId="32243"/>
    <cellStyle name="20% - Accent6 3 2 4 6" xfId="23252"/>
    <cellStyle name="20% - Accent6 3 2 5" xfId="3817"/>
    <cellStyle name="20% - Accent6 3 2 5 2" xfId="15016"/>
    <cellStyle name="20% - Accent6 3 2 5 2 2" xfId="28408"/>
    <cellStyle name="20% - Accent6 3 2 5 3" xfId="18967"/>
    <cellStyle name="20% - Accent6 3 2 5 3 2" xfId="32246"/>
    <cellStyle name="20% - Accent6 3 2 5 4" xfId="23255"/>
    <cellStyle name="20% - Accent6 3 2 6" xfId="3818"/>
    <cellStyle name="20% - Accent6 3 2 6 2" xfId="15017"/>
    <cellStyle name="20% - Accent6 3 2 6 2 2" xfId="28409"/>
    <cellStyle name="20% - Accent6 3 2 6 3" xfId="18968"/>
    <cellStyle name="20% - Accent6 3 2 6 3 2" xfId="32247"/>
    <cellStyle name="20% - Accent6 3 2 6 4" xfId="23256"/>
    <cellStyle name="20% - Accent6 3 2 7" xfId="15006"/>
    <cellStyle name="20% - Accent6 3 2 7 2" xfId="28398"/>
    <cellStyle name="20% - Accent6 3 2 8" xfId="18957"/>
    <cellStyle name="20% - Accent6 3 2 8 2" xfId="32236"/>
    <cellStyle name="20% - Accent6 3 2 9" xfId="23245"/>
    <cellStyle name="20% - Accent6 3 2_Volatility" xfId="3819"/>
    <cellStyle name="20% - Accent6 3 3" xfId="3820"/>
    <cellStyle name="20% - Accent6 3 3 2" xfId="3821"/>
    <cellStyle name="20% - Accent6 3 3 2 2" xfId="3822"/>
    <cellStyle name="20% - Accent6 3 3 2 2 2" xfId="15020"/>
    <cellStyle name="20% - Accent6 3 3 2 2 2 2" xfId="28412"/>
    <cellStyle name="20% - Accent6 3 3 2 2 3" xfId="18971"/>
    <cellStyle name="20% - Accent6 3 3 2 2 3 2" xfId="32250"/>
    <cellStyle name="20% - Accent6 3 3 2 2 4" xfId="23259"/>
    <cellStyle name="20% - Accent6 3 3 2 3" xfId="3823"/>
    <cellStyle name="20% - Accent6 3 3 2 3 2" xfId="15021"/>
    <cellStyle name="20% - Accent6 3 3 2 3 2 2" xfId="28413"/>
    <cellStyle name="20% - Accent6 3 3 2 3 3" xfId="18972"/>
    <cellStyle name="20% - Accent6 3 3 2 3 3 2" xfId="32251"/>
    <cellStyle name="20% - Accent6 3 3 2 3 4" xfId="23260"/>
    <cellStyle name="20% - Accent6 3 3 2 4" xfId="15019"/>
    <cellStyle name="20% - Accent6 3 3 2 4 2" xfId="28411"/>
    <cellStyle name="20% - Accent6 3 3 2 5" xfId="18970"/>
    <cellStyle name="20% - Accent6 3 3 2 5 2" xfId="32249"/>
    <cellStyle name="20% - Accent6 3 3 2 6" xfId="23258"/>
    <cellStyle name="20% - Accent6 3 3 3" xfId="3824"/>
    <cellStyle name="20% - Accent6 3 3 3 2" xfId="3825"/>
    <cellStyle name="20% - Accent6 3 3 3 2 2" xfId="15023"/>
    <cellStyle name="20% - Accent6 3 3 3 2 2 2" xfId="28415"/>
    <cellStyle name="20% - Accent6 3 3 3 2 3" xfId="18974"/>
    <cellStyle name="20% - Accent6 3 3 3 2 3 2" xfId="32253"/>
    <cellStyle name="20% - Accent6 3 3 3 2 4" xfId="23262"/>
    <cellStyle name="20% - Accent6 3 3 3 3" xfId="3826"/>
    <cellStyle name="20% - Accent6 3 3 3 3 2" xfId="15024"/>
    <cellStyle name="20% - Accent6 3 3 3 3 2 2" xfId="28416"/>
    <cellStyle name="20% - Accent6 3 3 3 3 3" xfId="18975"/>
    <cellStyle name="20% - Accent6 3 3 3 3 3 2" xfId="32254"/>
    <cellStyle name="20% - Accent6 3 3 3 3 4" xfId="23263"/>
    <cellStyle name="20% - Accent6 3 3 3 4" xfId="15022"/>
    <cellStyle name="20% - Accent6 3 3 3 4 2" xfId="28414"/>
    <cellStyle name="20% - Accent6 3 3 3 5" xfId="18973"/>
    <cellStyle name="20% - Accent6 3 3 3 5 2" xfId="32252"/>
    <cellStyle name="20% - Accent6 3 3 3 6" xfId="23261"/>
    <cellStyle name="20% - Accent6 3 3 4" xfId="3827"/>
    <cellStyle name="20% - Accent6 3 3 4 2" xfId="15025"/>
    <cellStyle name="20% - Accent6 3 3 4 2 2" xfId="28417"/>
    <cellStyle name="20% - Accent6 3 3 4 3" xfId="18976"/>
    <cellStyle name="20% - Accent6 3 3 4 3 2" xfId="32255"/>
    <cellStyle name="20% - Accent6 3 3 4 4" xfId="23264"/>
    <cellStyle name="20% - Accent6 3 3 5" xfId="3828"/>
    <cellStyle name="20% - Accent6 3 3 5 2" xfId="15026"/>
    <cellStyle name="20% - Accent6 3 3 5 2 2" xfId="28418"/>
    <cellStyle name="20% - Accent6 3 3 5 3" xfId="18977"/>
    <cellStyle name="20% - Accent6 3 3 5 3 2" xfId="32256"/>
    <cellStyle name="20% - Accent6 3 3 5 4" xfId="23265"/>
    <cellStyle name="20% - Accent6 3 3 6" xfId="15018"/>
    <cellStyle name="20% - Accent6 3 3 6 2" xfId="28410"/>
    <cellStyle name="20% - Accent6 3 3 7" xfId="18969"/>
    <cellStyle name="20% - Accent6 3 3 7 2" xfId="32248"/>
    <cellStyle name="20% - Accent6 3 3 8" xfId="23257"/>
    <cellStyle name="20% - Accent6 3 3_Volatility" xfId="3829"/>
    <cellStyle name="20% - Accent6 3 4" xfId="3830"/>
    <cellStyle name="20% - Accent6 3 4 2" xfId="3831"/>
    <cellStyle name="20% - Accent6 3 4 2 2" xfId="15028"/>
    <cellStyle name="20% - Accent6 3 4 2 2 2" xfId="28420"/>
    <cellStyle name="20% - Accent6 3 4 2 3" xfId="18979"/>
    <cellStyle name="20% - Accent6 3 4 2 3 2" xfId="32258"/>
    <cellStyle name="20% - Accent6 3 4 2 4" xfId="23267"/>
    <cellStyle name="20% - Accent6 3 4 3" xfId="3832"/>
    <cellStyle name="20% - Accent6 3 4 3 2" xfId="15029"/>
    <cellStyle name="20% - Accent6 3 4 3 2 2" xfId="28421"/>
    <cellStyle name="20% - Accent6 3 4 3 3" xfId="18980"/>
    <cellStyle name="20% - Accent6 3 4 3 3 2" xfId="32259"/>
    <cellStyle name="20% - Accent6 3 4 3 4" xfId="23268"/>
    <cellStyle name="20% - Accent6 3 4 4" xfId="15027"/>
    <cellStyle name="20% - Accent6 3 4 4 2" xfId="28419"/>
    <cellStyle name="20% - Accent6 3 4 5" xfId="18978"/>
    <cellStyle name="20% - Accent6 3 4 5 2" xfId="32257"/>
    <cellStyle name="20% - Accent6 3 4 6" xfId="23266"/>
    <cellStyle name="20% - Accent6 3 5" xfId="3833"/>
    <cellStyle name="20% - Accent6 3 5 2" xfId="3834"/>
    <cellStyle name="20% - Accent6 3 5 2 2" xfId="15031"/>
    <cellStyle name="20% - Accent6 3 5 2 2 2" xfId="28423"/>
    <cellStyle name="20% - Accent6 3 5 2 3" xfId="18982"/>
    <cellStyle name="20% - Accent6 3 5 2 3 2" xfId="32261"/>
    <cellStyle name="20% - Accent6 3 5 2 4" xfId="23270"/>
    <cellStyle name="20% - Accent6 3 5 3" xfId="3835"/>
    <cellStyle name="20% - Accent6 3 5 3 2" xfId="15032"/>
    <cellStyle name="20% - Accent6 3 5 3 2 2" xfId="28424"/>
    <cellStyle name="20% - Accent6 3 5 3 3" xfId="18983"/>
    <cellStyle name="20% - Accent6 3 5 3 3 2" xfId="32262"/>
    <cellStyle name="20% - Accent6 3 5 3 4" xfId="23271"/>
    <cellStyle name="20% - Accent6 3 5 4" xfId="15030"/>
    <cellStyle name="20% - Accent6 3 5 4 2" xfId="28422"/>
    <cellStyle name="20% - Accent6 3 5 5" xfId="18981"/>
    <cellStyle name="20% - Accent6 3 5 5 2" xfId="32260"/>
    <cellStyle name="20% - Accent6 3 5 6" xfId="23269"/>
    <cellStyle name="20% - Accent6 3 6" xfId="3836"/>
    <cellStyle name="20% - Accent6 3 6 2" xfId="3837"/>
    <cellStyle name="20% - Accent6 3 6 2 2" xfId="15034"/>
    <cellStyle name="20% - Accent6 3 6 2 2 2" xfId="28426"/>
    <cellStyle name="20% - Accent6 3 6 2 3" xfId="18985"/>
    <cellStyle name="20% - Accent6 3 6 2 3 2" xfId="32264"/>
    <cellStyle name="20% - Accent6 3 6 2 4" xfId="23273"/>
    <cellStyle name="20% - Accent6 3 6 3" xfId="3838"/>
    <cellStyle name="20% - Accent6 3 6 3 2" xfId="15035"/>
    <cellStyle name="20% - Accent6 3 6 3 2 2" xfId="28427"/>
    <cellStyle name="20% - Accent6 3 6 3 3" xfId="18986"/>
    <cellStyle name="20% - Accent6 3 6 3 3 2" xfId="32265"/>
    <cellStyle name="20% - Accent6 3 6 3 4" xfId="23274"/>
    <cellStyle name="20% - Accent6 3 6 4" xfId="15033"/>
    <cellStyle name="20% - Accent6 3 6 4 2" xfId="28425"/>
    <cellStyle name="20% - Accent6 3 6 5" xfId="18984"/>
    <cellStyle name="20% - Accent6 3 6 5 2" xfId="32263"/>
    <cellStyle name="20% - Accent6 3 6 6" xfId="23272"/>
    <cellStyle name="20% - Accent6 3 7" xfId="3839"/>
    <cellStyle name="20% - Accent6 3 7 2" xfId="15036"/>
    <cellStyle name="20% - Accent6 3 7 2 2" xfId="28428"/>
    <cellStyle name="20% - Accent6 3 7 3" xfId="18987"/>
    <cellStyle name="20% - Accent6 3 7 3 2" xfId="32266"/>
    <cellStyle name="20% - Accent6 3 7 4" xfId="23275"/>
    <cellStyle name="20% - Accent6 3 8" xfId="3840"/>
    <cellStyle name="20% - Accent6 3 8 2" xfId="15037"/>
    <cellStyle name="20% - Accent6 3 8 2 2" xfId="28429"/>
    <cellStyle name="20% - Accent6 3 8 3" xfId="18988"/>
    <cellStyle name="20% - Accent6 3 8 3 2" xfId="32267"/>
    <cellStyle name="20% - Accent6 3 8 4" xfId="23276"/>
    <cellStyle name="20% - Accent6 3 9" xfId="15005"/>
    <cellStyle name="20% - Accent6 3 9 2" xfId="28397"/>
    <cellStyle name="20% - Accent6 3_Volatility" xfId="3841"/>
    <cellStyle name="20% - Accent6 4" xfId="3842"/>
    <cellStyle name="20% - Accent6 4 10" xfId="18989"/>
    <cellStyle name="20% - Accent6 4 10 2" xfId="32268"/>
    <cellStyle name="20% - Accent6 4 11" xfId="23277"/>
    <cellStyle name="20% - Accent6 4 2" xfId="3843"/>
    <cellStyle name="20% - Accent6 4 2 2" xfId="3844"/>
    <cellStyle name="20% - Accent6 4 2 2 2" xfId="3845"/>
    <cellStyle name="20% - Accent6 4 2 2 2 2" xfId="15041"/>
    <cellStyle name="20% - Accent6 4 2 2 2 2 2" xfId="28433"/>
    <cellStyle name="20% - Accent6 4 2 2 2 3" xfId="18992"/>
    <cellStyle name="20% - Accent6 4 2 2 2 3 2" xfId="32271"/>
    <cellStyle name="20% - Accent6 4 2 2 2 4" xfId="23280"/>
    <cellStyle name="20% - Accent6 4 2 2 3" xfId="3846"/>
    <cellStyle name="20% - Accent6 4 2 2 3 2" xfId="15042"/>
    <cellStyle name="20% - Accent6 4 2 2 3 2 2" xfId="28434"/>
    <cellStyle name="20% - Accent6 4 2 2 3 3" xfId="18993"/>
    <cellStyle name="20% - Accent6 4 2 2 3 3 2" xfId="32272"/>
    <cellStyle name="20% - Accent6 4 2 2 3 4" xfId="23281"/>
    <cellStyle name="20% - Accent6 4 2 2 4" xfId="15040"/>
    <cellStyle name="20% - Accent6 4 2 2 4 2" xfId="28432"/>
    <cellStyle name="20% - Accent6 4 2 2 5" xfId="18991"/>
    <cellStyle name="20% - Accent6 4 2 2 5 2" xfId="32270"/>
    <cellStyle name="20% - Accent6 4 2 2 6" xfId="23279"/>
    <cellStyle name="20% - Accent6 4 2 3" xfId="3847"/>
    <cellStyle name="20% - Accent6 4 2 3 2" xfId="3848"/>
    <cellStyle name="20% - Accent6 4 2 3 2 2" xfId="15044"/>
    <cellStyle name="20% - Accent6 4 2 3 2 2 2" xfId="28436"/>
    <cellStyle name="20% - Accent6 4 2 3 2 3" xfId="18995"/>
    <cellStyle name="20% - Accent6 4 2 3 2 3 2" xfId="32274"/>
    <cellStyle name="20% - Accent6 4 2 3 2 4" xfId="23283"/>
    <cellStyle name="20% - Accent6 4 2 3 3" xfId="3849"/>
    <cellStyle name="20% - Accent6 4 2 3 3 2" xfId="15045"/>
    <cellStyle name="20% - Accent6 4 2 3 3 2 2" xfId="28437"/>
    <cellStyle name="20% - Accent6 4 2 3 3 3" xfId="18996"/>
    <cellStyle name="20% - Accent6 4 2 3 3 3 2" xfId="32275"/>
    <cellStyle name="20% - Accent6 4 2 3 3 4" xfId="23284"/>
    <cellStyle name="20% - Accent6 4 2 3 4" xfId="15043"/>
    <cellStyle name="20% - Accent6 4 2 3 4 2" xfId="28435"/>
    <cellStyle name="20% - Accent6 4 2 3 5" xfId="18994"/>
    <cellStyle name="20% - Accent6 4 2 3 5 2" xfId="32273"/>
    <cellStyle name="20% - Accent6 4 2 3 6" xfId="23282"/>
    <cellStyle name="20% - Accent6 4 2 4" xfId="3850"/>
    <cellStyle name="20% - Accent6 4 2 4 2" xfId="3851"/>
    <cellStyle name="20% - Accent6 4 2 4 2 2" xfId="15047"/>
    <cellStyle name="20% - Accent6 4 2 4 2 2 2" xfId="28439"/>
    <cellStyle name="20% - Accent6 4 2 4 2 3" xfId="18998"/>
    <cellStyle name="20% - Accent6 4 2 4 2 3 2" xfId="32277"/>
    <cellStyle name="20% - Accent6 4 2 4 2 4" xfId="23286"/>
    <cellStyle name="20% - Accent6 4 2 4 3" xfId="3852"/>
    <cellStyle name="20% - Accent6 4 2 4 3 2" xfId="15048"/>
    <cellStyle name="20% - Accent6 4 2 4 3 2 2" xfId="28440"/>
    <cellStyle name="20% - Accent6 4 2 4 3 3" xfId="18999"/>
    <cellStyle name="20% - Accent6 4 2 4 3 3 2" xfId="32278"/>
    <cellStyle name="20% - Accent6 4 2 4 3 4" xfId="23287"/>
    <cellStyle name="20% - Accent6 4 2 4 4" xfId="15046"/>
    <cellStyle name="20% - Accent6 4 2 4 4 2" xfId="28438"/>
    <cellStyle name="20% - Accent6 4 2 4 5" xfId="18997"/>
    <cellStyle name="20% - Accent6 4 2 4 5 2" xfId="32276"/>
    <cellStyle name="20% - Accent6 4 2 4 6" xfId="23285"/>
    <cellStyle name="20% - Accent6 4 2 5" xfId="3853"/>
    <cellStyle name="20% - Accent6 4 2 5 2" xfId="15049"/>
    <cellStyle name="20% - Accent6 4 2 5 2 2" xfId="28441"/>
    <cellStyle name="20% - Accent6 4 2 5 3" xfId="19000"/>
    <cellStyle name="20% - Accent6 4 2 5 3 2" xfId="32279"/>
    <cellStyle name="20% - Accent6 4 2 5 4" xfId="23288"/>
    <cellStyle name="20% - Accent6 4 2 6" xfId="3854"/>
    <cellStyle name="20% - Accent6 4 2 6 2" xfId="15050"/>
    <cellStyle name="20% - Accent6 4 2 6 2 2" xfId="28442"/>
    <cellStyle name="20% - Accent6 4 2 6 3" xfId="19001"/>
    <cellStyle name="20% - Accent6 4 2 6 3 2" xfId="32280"/>
    <cellStyle name="20% - Accent6 4 2 6 4" xfId="23289"/>
    <cellStyle name="20% - Accent6 4 2 7" xfId="15039"/>
    <cellStyle name="20% - Accent6 4 2 7 2" xfId="28431"/>
    <cellStyle name="20% - Accent6 4 2 8" xfId="18990"/>
    <cellStyle name="20% - Accent6 4 2 8 2" xfId="32269"/>
    <cellStyle name="20% - Accent6 4 2 9" xfId="23278"/>
    <cellStyle name="20% - Accent6 4 2_Volatility" xfId="3855"/>
    <cellStyle name="20% - Accent6 4 3" xfId="3856"/>
    <cellStyle name="20% - Accent6 4 3 2" xfId="3857"/>
    <cellStyle name="20% - Accent6 4 3 2 2" xfId="3858"/>
    <cellStyle name="20% - Accent6 4 3 2 2 2" xfId="15053"/>
    <cellStyle name="20% - Accent6 4 3 2 2 2 2" xfId="28445"/>
    <cellStyle name="20% - Accent6 4 3 2 2 3" xfId="19004"/>
    <cellStyle name="20% - Accent6 4 3 2 2 3 2" xfId="32283"/>
    <cellStyle name="20% - Accent6 4 3 2 2 4" xfId="23292"/>
    <cellStyle name="20% - Accent6 4 3 2 3" xfId="3859"/>
    <cellStyle name="20% - Accent6 4 3 2 3 2" xfId="15054"/>
    <cellStyle name="20% - Accent6 4 3 2 3 2 2" xfId="28446"/>
    <cellStyle name="20% - Accent6 4 3 2 3 3" xfId="19005"/>
    <cellStyle name="20% - Accent6 4 3 2 3 3 2" xfId="32284"/>
    <cellStyle name="20% - Accent6 4 3 2 3 4" xfId="23293"/>
    <cellStyle name="20% - Accent6 4 3 2 4" xfId="15052"/>
    <cellStyle name="20% - Accent6 4 3 2 4 2" xfId="28444"/>
    <cellStyle name="20% - Accent6 4 3 2 5" xfId="19003"/>
    <cellStyle name="20% - Accent6 4 3 2 5 2" xfId="32282"/>
    <cellStyle name="20% - Accent6 4 3 2 6" xfId="23291"/>
    <cellStyle name="20% - Accent6 4 3 3" xfId="3860"/>
    <cellStyle name="20% - Accent6 4 3 3 2" xfId="3861"/>
    <cellStyle name="20% - Accent6 4 3 3 2 2" xfId="15056"/>
    <cellStyle name="20% - Accent6 4 3 3 2 2 2" xfId="28448"/>
    <cellStyle name="20% - Accent6 4 3 3 2 3" xfId="19007"/>
    <cellStyle name="20% - Accent6 4 3 3 2 3 2" xfId="32286"/>
    <cellStyle name="20% - Accent6 4 3 3 2 4" xfId="23295"/>
    <cellStyle name="20% - Accent6 4 3 3 3" xfId="3862"/>
    <cellStyle name="20% - Accent6 4 3 3 3 2" xfId="15057"/>
    <cellStyle name="20% - Accent6 4 3 3 3 2 2" xfId="28449"/>
    <cellStyle name="20% - Accent6 4 3 3 3 3" xfId="19008"/>
    <cellStyle name="20% - Accent6 4 3 3 3 3 2" xfId="32287"/>
    <cellStyle name="20% - Accent6 4 3 3 3 4" xfId="23296"/>
    <cellStyle name="20% - Accent6 4 3 3 4" xfId="15055"/>
    <cellStyle name="20% - Accent6 4 3 3 4 2" xfId="28447"/>
    <cellStyle name="20% - Accent6 4 3 3 5" xfId="19006"/>
    <cellStyle name="20% - Accent6 4 3 3 5 2" xfId="32285"/>
    <cellStyle name="20% - Accent6 4 3 3 6" xfId="23294"/>
    <cellStyle name="20% - Accent6 4 3 4" xfId="3863"/>
    <cellStyle name="20% - Accent6 4 3 4 2" xfId="15058"/>
    <cellStyle name="20% - Accent6 4 3 4 2 2" xfId="28450"/>
    <cellStyle name="20% - Accent6 4 3 4 3" xfId="19009"/>
    <cellStyle name="20% - Accent6 4 3 4 3 2" xfId="32288"/>
    <cellStyle name="20% - Accent6 4 3 4 4" xfId="23297"/>
    <cellStyle name="20% - Accent6 4 3 5" xfId="3864"/>
    <cellStyle name="20% - Accent6 4 3 5 2" xfId="15059"/>
    <cellStyle name="20% - Accent6 4 3 5 2 2" xfId="28451"/>
    <cellStyle name="20% - Accent6 4 3 5 3" xfId="19010"/>
    <cellStyle name="20% - Accent6 4 3 5 3 2" xfId="32289"/>
    <cellStyle name="20% - Accent6 4 3 5 4" xfId="23298"/>
    <cellStyle name="20% - Accent6 4 3 6" xfId="15051"/>
    <cellStyle name="20% - Accent6 4 3 6 2" xfId="28443"/>
    <cellStyle name="20% - Accent6 4 3 7" xfId="19002"/>
    <cellStyle name="20% - Accent6 4 3 7 2" xfId="32281"/>
    <cellStyle name="20% - Accent6 4 3 8" xfId="23290"/>
    <cellStyle name="20% - Accent6 4 3_Volatility" xfId="3865"/>
    <cellStyle name="20% - Accent6 4 4" xfId="3866"/>
    <cellStyle name="20% - Accent6 4 4 2" xfId="3867"/>
    <cellStyle name="20% - Accent6 4 4 2 2" xfId="15061"/>
    <cellStyle name="20% - Accent6 4 4 2 2 2" xfId="28453"/>
    <cellStyle name="20% - Accent6 4 4 2 3" xfId="19012"/>
    <cellStyle name="20% - Accent6 4 4 2 3 2" xfId="32291"/>
    <cellStyle name="20% - Accent6 4 4 2 4" xfId="23300"/>
    <cellStyle name="20% - Accent6 4 4 3" xfId="3868"/>
    <cellStyle name="20% - Accent6 4 4 3 2" xfId="15062"/>
    <cellStyle name="20% - Accent6 4 4 3 2 2" xfId="28454"/>
    <cellStyle name="20% - Accent6 4 4 3 3" xfId="19013"/>
    <cellStyle name="20% - Accent6 4 4 3 3 2" xfId="32292"/>
    <cellStyle name="20% - Accent6 4 4 3 4" xfId="23301"/>
    <cellStyle name="20% - Accent6 4 4 4" xfId="15060"/>
    <cellStyle name="20% - Accent6 4 4 4 2" xfId="28452"/>
    <cellStyle name="20% - Accent6 4 4 5" xfId="19011"/>
    <cellStyle name="20% - Accent6 4 4 5 2" xfId="32290"/>
    <cellStyle name="20% - Accent6 4 4 6" xfId="23299"/>
    <cellStyle name="20% - Accent6 4 5" xfId="3869"/>
    <cellStyle name="20% - Accent6 4 5 2" xfId="3870"/>
    <cellStyle name="20% - Accent6 4 5 2 2" xfId="15064"/>
    <cellStyle name="20% - Accent6 4 5 2 2 2" xfId="28456"/>
    <cellStyle name="20% - Accent6 4 5 2 3" xfId="19015"/>
    <cellStyle name="20% - Accent6 4 5 2 3 2" xfId="32294"/>
    <cellStyle name="20% - Accent6 4 5 2 4" xfId="23303"/>
    <cellStyle name="20% - Accent6 4 5 3" xfId="3871"/>
    <cellStyle name="20% - Accent6 4 5 3 2" xfId="15065"/>
    <cellStyle name="20% - Accent6 4 5 3 2 2" xfId="28457"/>
    <cellStyle name="20% - Accent6 4 5 3 3" xfId="19016"/>
    <cellStyle name="20% - Accent6 4 5 3 3 2" xfId="32295"/>
    <cellStyle name="20% - Accent6 4 5 3 4" xfId="23304"/>
    <cellStyle name="20% - Accent6 4 5 4" xfId="15063"/>
    <cellStyle name="20% - Accent6 4 5 4 2" xfId="28455"/>
    <cellStyle name="20% - Accent6 4 5 5" xfId="19014"/>
    <cellStyle name="20% - Accent6 4 5 5 2" xfId="32293"/>
    <cellStyle name="20% - Accent6 4 5 6" xfId="23302"/>
    <cellStyle name="20% - Accent6 4 6" xfId="3872"/>
    <cellStyle name="20% - Accent6 4 6 2" xfId="3873"/>
    <cellStyle name="20% - Accent6 4 6 2 2" xfId="15067"/>
    <cellStyle name="20% - Accent6 4 6 2 2 2" xfId="28459"/>
    <cellStyle name="20% - Accent6 4 6 2 3" xfId="19018"/>
    <cellStyle name="20% - Accent6 4 6 2 3 2" xfId="32297"/>
    <cellStyle name="20% - Accent6 4 6 2 4" xfId="23306"/>
    <cellStyle name="20% - Accent6 4 6 3" xfId="3874"/>
    <cellStyle name="20% - Accent6 4 6 3 2" xfId="15068"/>
    <cellStyle name="20% - Accent6 4 6 3 2 2" xfId="28460"/>
    <cellStyle name="20% - Accent6 4 6 3 3" xfId="19019"/>
    <cellStyle name="20% - Accent6 4 6 3 3 2" xfId="32298"/>
    <cellStyle name="20% - Accent6 4 6 3 4" xfId="23307"/>
    <cellStyle name="20% - Accent6 4 6 4" xfId="15066"/>
    <cellStyle name="20% - Accent6 4 6 4 2" xfId="28458"/>
    <cellStyle name="20% - Accent6 4 6 5" xfId="19017"/>
    <cellStyle name="20% - Accent6 4 6 5 2" xfId="32296"/>
    <cellStyle name="20% - Accent6 4 6 6" xfId="23305"/>
    <cellStyle name="20% - Accent6 4 7" xfId="3875"/>
    <cellStyle name="20% - Accent6 4 7 2" xfId="15069"/>
    <cellStyle name="20% - Accent6 4 7 2 2" xfId="28461"/>
    <cellStyle name="20% - Accent6 4 7 3" xfId="19020"/>
    <cellStyle name="20% - Accent6 4 7 3 2" xfId="32299"/>
    <cellStyle name="20% - Accent6 4 7 4" xfId="23308"/>
    <cellStyle name="20% - Accent6 4 8" xfId="3876"/>
    <cellStyle name="20% - Accent6 4 8 2" xfId="15070"/>
    <cellStyle name="20% - Accent6 4 8 2 2" xfId="28462"/>
    <cellStyle name="20% - Accent6 4 8 3" xfId="19021"/>
    <cellStyle name="20% - Accent6 4 8 3 2" xfId="32300"/>
    <cellStyle name="20% - Accent6 4 8 4" xfId="23309"/>
    <cellStyle name="20% - Accent6 4 9" xfId="15038"/>
    <cellStyle name="20% - Accent6 4 9 2" xfId="28430"/>
    <cellStyle name="20% - Accent6 4_Volatility" xfId="3877"/>
    <cellStyle name="20% - Accent6 5" xfId="3878"/>
    <cellStyle name="20% - Accent6 5 10" xfId="19022"/>
    <cellStyle name="20% - Accent6 5 10 2" xfId="32301"/>
    <cellStyle name="20% - Accent6 5 11" xfId="23310"/>
    <cellStyle name="20% - Accent6 5 2" xfId="3879"/>
    <cellStyle name="20% - Accent6 5 2 2" xfId="3880"/>
    <cellStyle name="20% - Accent6 5 2 2 2" xfId="3881"/>
    <cellStyle name="20% - Accent6 5 2 2 2 2" xfId="15074"/>
    <cellStyle name="20% - Accent6 5 2 2 2 2 2" xfId="28466"/>
    <cellStyle name="20% - Accent6 5 2 2 2 3" xfId="19025"/>
    <cellStyle name="20% - Accent6 5 2 2 2 3 2" xfId="32304"/>
    <cellStyle name="20% - Accent6 5 2 2 2 4" xfId="23313"/>
    <cellStyle name="20% - Accent6 5 2 2 3" xfId="3882"/>
    <cellStyle name="20% - Accent6 5 2 2 3 2" xfId="15075"/>
    <cellStyle name="20% - Accent6 5 2 2 3 2 2" xfId="28467"/>
    <cellStyle name="20% - Accent6 5 2 2 3 3" xfId="19026"/>
    <cellStyle name="20% - Accent6 5 2 2 3 3 2" xfId="32305"/>
    <cellStyle name="20% - Accent6 5 2 2 3 4" xfId="23314"/>
    <cellStyle name="20% - Accent6 5 2 2 4" xfId="15073"/>
    <cellStyle name="20% - Accent6 5 2 2 4 2" xfId="28465"/>
    <cellStyle name="20% - Accent6 5 2 2 5" xfId="19024"/>
    <cellStyle name="20% - Accent6 5 2 2 5 2" xfId="32303"/>
    <cellStyle name="20% - Accent6 5 2 2 6" xfId="23312"/>
    <cellStyle name="20% - Accent6 5 2 3" xfId="3883"/>
    <cellStyle name="20% - Accent6 5 2 3 2" xfId="3884"/>
    <cellStyle name="20% - Accent6 5 2 3 2 2" xfId="15077"/>
    <cellStyle name="20% - Accent6 5 2 3 2 2 2" xfId="28469"/>
    <cellStyle name="20% - Accent6 5 2 3 2 3" xfId="19028"/>
    <cellStyle name="20% - Accent6 5 2 3 2 3 2" xfId="32307"/>
    <cellStyle name="20% - Accent6 5 2 3 2 4" xfId="23316"/>
    <cellStyle name="20% - Accent6 5 2 3 3" xfId="3885"/>
    <cellStyle name="20% - Accent6 5 2 3 3 2" xfId="15078"/>
    <cellStyle name="20% - Accent6 5 2 3 3 2 2" xfId="28470"/>
    <cellStyle name="20% - Accent6 5 2 3 3 3" xfId="19029"/>
    <cellStyle name="20% - Accent6 5 2 3 3 3 2" xfId="32308"/>
    <cellStyle name="20% - Accent6 5 2 3 3 4" xfId="23317"/>
    <cellStyle name="20% - Accent6 5 2 3 4" xfId="15076"/>
    <cellStyle name="20% - Accent6 5 2 3 4 2" xfId="28468"/>
    <cellStyle name="20% - Accent6 5 2 3 5" xfId="19027"/>
    <cellStyle name="20% - Accent6 5 2 3 5 2" xfId="32306"/>
    <cellStyle name="20% - Accent6 5 2 3 6" xfId="23315"/>
    <cellStyle name="20% - Accent6 5 2 4" xfId="3886"/>
    <cellStyle name="20% - Accent6 5 2 4 2" xfId="3887"/>
    <cellStyle name="20% - Accent6 5 2 4 2 2" xfId="15080"/>
    <cellStyle name="20% - Accent6 5 2 4 2 2 2" xfId="28472"/>
    <cellStyle name="20% - Accent6 5 2 4 2 3" xfId="19031"/>
    <cellStyle name="20% - Accent6 5 2 4 2 3 2" xfId="32310"/>
    <cellStyle name="20% - Accent6 5 2 4 2 4" xfId="23319"/>
    <cellStyle name="20% - Accent6 5 2 4 3" xfId="3888"/>
    <cellStyle name="20% - Accent6 5 2 4 3 2" xfId="15081"/>
    <cellStyle name="20% - Accent6 5 2 4 3 2 2" xfId="28473"/>
    <cellStyle name="20% - Accent6 5 2 4 3 3" xfId="19032"/>
    <cellStyle name="20% - Accent6 5 2 4 3 3 2" xfId="32311"/>
    <cellStyle name="20% - Accent6 5 2 4 3 4" xfId="23320"/>
    <cellStyle name="20% - Accent6 5 2 4 4" xfId="15079"/>
    <cellStyle name="20% - Accent6 5 2 4 4 2" xfId="28471"/>
    <cellStyle name="20% - Accent6 5 2 4 5" xfId="19030"/>
    <cellStyle name="20% - Accent6 5 2 4 5 2" xfId="32309"/>
    <cellStyle name="20% - Accent6 5 2 4 6" xfId="23318"/>
    <cellStyle name="20% - Accent6 5 2 5" xfId="3889"/>
    <cellStyle name="20% - Accent6 5 2 5 2" xfId="15082"/>
    <cellStyle name="20% - Accent6 5 2 5 2 2" xfId="28474"/>
    <cellStyle name="20% - Accent6 5 2 5 3" xfId="19033"/>
    <cellStyle name="20% - Accent6 5 2 5 3 2" xfId="32312"/>
    <cellStyle name="20% - Accent6 5 2 5 4" xfId="23321"/>
    <cellStyle name="20% - Accent6 5 2 6" xfId="3890"/>
    <cellStyle name="20% - Accent6 5 2 6 2" xfId="15083"/>
    <cellStyle name="20% - Accent6 5 2 6 2 2" xfId="28475"/>
    <cellStyle name="20% - Accent6 5 2 6 3" xfId="19034"/>
    <cellStyle name="20% - Accent6 5 2 6 3 2" xfId="32313"/>
    <cellStyle name="20% - Accent6 5 2 6 4" xfId="23322"/>
    <cellStyle name="20% - Accent6 5 2 7" xfId="15072"/>
    <cellStyle name="20% - Accent6 5 2 7 2" xfId="28464"/>
    <cellStyle name="20% - Accent6 5 2 8" xfId="19023"/>
    <cellStyle name="20% - Accent6 5 2 8 2" xfId="32302"/>
    <cellStyle name="20% - Accent6 5 2 9" xfId="23311"/>
    <cellStyle name="20% - Accent6 5 2_Volatility" xfId="3891"/>
    <cellStyle name="20% - Accent6 5 3" xfId="3892"/>
    <cellStyle name="20% - Accent6 5 3 2" xfId="3893"/>
    <cellStyle name="20% - Accent6 5 3 2 2" xfId="3894"/>
    <cellStyle name="20% - Accent6 5 3 2 2 2" xfId="15086"/>
    <cellStyle name="20% - Accent6 5 3 2 2 2 2" xfId="28478"/>
    <cellStyle name="20% - Accent6 5 3 2 2 3" xfId="19037"/>
    <cellStyle name="20% - Accent6 5 3 2 2 3 2" xfId="32316"/>
    <cellStyle name="20% - Accent6 5 3 2 2 4" xfId="23325"/>
    <cellStyle name="20% - Accent6 5 3 2 3" xfId="3895"/>
    <cellStyle name="20% - Accent6 5 3 2 3 2" xfId="15087"/>
    <cellStyle name="20% - Accent6 5 3 2 3 2 2" xfId="28479"/>
    <cellStyle name="20% - Accent6 5 3 2 3 3" xfId="19038"/>
    <cellStyle name="20% - Accent6 5 3 2 3 3 2" xfId="32317"/>
    <cellStyle name="20% - Accent6 5 3 2 3 4" xfId="23326"/>
    <cellStyle name="20% - Accent6 5 3 2 4" xfId="15085"/>
    <cellStyle name="20% - Accent6 5 3 2 4 2" xfId="28477"/>
    <cellStyle name="20% - Accent6 5 3 2 5" xfId="19036"/>
    <cellStyle name="20% - Accent6 5 3 2 5 2" xfId="32315"/>
    <cellStyle name="20% - Accent6 5 3 2 6" xfId="23324"/>
    <cellStyle name="20% - Accent6 5 3 3" xfId="3896"/>
    <cellStyle name="20% - Accent6 5 3 3 2" xfId="3897"/>
    <cellStyle name="20% - Accent6 5 3 3 2 2" xfId="15089"/>
    <cellStyle name="20% - Accent6 5 3 3 2 2 2" xfId="28481"/>
    <cellStyle name="20% - Accent6 5 3 3 2 3" xfId="19040"/>
    <cellStyle name="20% - Accent6 5 3 3 2 3 2" xfId="32319"/>
    <cellStyle name="20% - Accent6 5 3 3 2 4" xfId="23328"/>
    <cellStyle name="20% - Accent6 5 3 3 3" xfId="3898"/>
    <cellStyle name="20% - Accent6 5 3 3 3 2" xfId="15090"/>
    <cellStyle name="20% - Accent6 5 3 3 3 2 2" xfId="28482"/>
    <cellStyle name="20% - Accent6 5 3 3 3 3" xfId="19041"/>
    <cellStyle name="20% - Accent6 5 3 3 3 3 2" xfId="32320"/>
    <cellStyle name="20% - Accent6 5 3 3 3 4" xfId="23329"/>
    <cellStyle name="20% - Accent6 5 3 3 4" xfId="15088"/>
    <cellStyle name="20% - Accent6 5 3 3 4 2" xfId="28480"/>
    <cellStyle name="20% - Accent6 5 3 3 5" xfId="19039"/>
    <cellStyle name="20% - Accent6 5 3 3 5 2" xfId="32318"/>
    <cellStyle name="20% - Accent6 5 3 3 6" xfId="23327"/>
    <cellStyle name="20% - Accent6 5 3 4" xfId="3899"/>
    <cellStyle name="20% - Accent6 5 3 4 2" xfId="15091"/>
    <cellStyle name="20% - Accent6 5 3 4 2 2" xfId="28483"/>
    <cellStyle name="20% - Accent6 5 3 4 3" xfId="19042"/>
    <cellStyle name="20% - Accent6 5 3 4 3 2" xfId="32321"/>
    <cellStyle name="20% - Accent6 5 3 4 4" xfId="23330"/>
    <cellStyle name="20% - Accent6 5 3 5" xfId="3900"/>
    <cellStyle name="20% - Accent6 5 3 5 2" xfId="15092"/>
    <cellStyle name="20% - Accent6 5 3 5 2 2" xfId="28484"/>
    <cellStyle name="20% - Accent6 5 3 5 3" xfId="19043"/>
    <cellStyle name="20% - Accent6 5 3 5 3 2" xfId="32322"/>
    <cellStyle name="20% - Accent6 5 3 5 4" xfId="23331"/>
    <cellStyle name="20% - Accent6 5 3 6" xfId="15084"/>
    <cellStyle name="20% - Accent6 5 3 6 2" xfId="28476"/>
    <cellStyle name="20% - Accent6 5 3 7" xfId="19035"/>
    <cellStyle name="20% - Accent6 5 3 7 2" xfId="32314"/>
    <cellStyle name="20% - Accent6 5 3 8" xfId="23323"/>
    <cellStyle name="20% - Accent6 5 3_Volatility" xfId="3901"/>
    <cellStyle name="20% - Accent6 5 4" xfId="3902"/>
    <cellStyle name="20% - Accent6 5 4 2" xfId="3903"/>
    <cellStyle name="20% - Accent6 5 4 2 2" xfId="15094"/>
    <cellStyle name="20% - Accent6 5 4 2 2 2" xfId="28486"/>
    <cellStyle name="20% - Accent6 5 4 2 3" xfId="19045"/>
    <cellStyle name="20% - Accent6 5 4 2 3 2" xfId="32324"/>
    <cellStyle name="20% - Accent6 5 4 2 4" xfId="23333"/>
    <cellStyle name="20% - Accent6 5 4 3" xfId="3904"/>
    <cellStyle name="20% - Accent6 5 4 3 2" xfId="15095"/>
    <cellStyle name="20% - Accent6 5 4 3 2 2" xfId="28487"/>
    <cellStyle name="20% - Accent6 5 4 3 3" xfId="19046"/>
    <cellStyle name="20% - Accent6 5 4 3 3 2" xfId="32325"/>
    <cellStyle name="20% - Accent6 5 4 3 4" xfId="23334"/>
    <cellStyle name="20% - Accent6 5 4 4" xfId="15093"/>
    <cellStyle name="20% - Accent6 5 4 4 2" xfId="28485"/>
    <cellStyle name="20% - Accent6 5 4 5" xfId="19044"/>
    <cellStyle name="20% - Accent6 5 4 5 2" xfId="32323"/>
    <cellStyle name="20% - Accent6 5 4 6" xfId="23332"/>
    <cellStyle name="20% - Accent6 5 5" xfId="3905"/>
    <cellStyle name="20% - Accent6 5 5 2" xfId="3906"/>
    <cellStyle name="20% - Accent6 5 5 2 2" xfId="15097"/>
    <cellStyle name="20% - Accent6 5 5 2 2 2" xfId="28489"/>
    <cellStyle name="20% - Accent6 5 5 2 3" xfId="19048"/>
    <cellStyle name="20% - Accent6 5 5 2 3 2" xfId="32327"/>
    <cellStyle name="20% - Accent6 5 5 2 4" xfId="23336"/>
    <cellStyle name="20% - Accent6 5 5 3" xfId="3907"/>
    <cellStyle name="20% - Accent6 5 5 3 2" xfId="15098"/>
    <cellStyle name="20% - Accent6 5 5 3 2 2" xfId="28490"/>
    <cellStyle name="20% - Accent6 5 5 3 3" xfId="19049"/>
    <cellStyle name="20% - Accent6 5 5 3 3 2" xfId="32328"/>
    <cellStyle name="20% - Accent6 5 5 3 4" xfId="23337"/>
    <cellStyle name="20% - Accent6 5 5 4" xfId="15096"/>
    <cellStyle name="20% - Accent6 5 5 4 2" xfId="28488"/>
    <cellStyle name="20% - Accent6 5 5 5" xfId="19047"/>
    <cellStyle name="20% - Accent6 5 5 5 2" xfId="32326"/>
    <cellStyle name="20% - Accent6 5 5 6" xfId="23335"/>
    <cellStyle name="20% - Accent6 5 6" xfId="3908"/>
    <cellStyle name="20% - Accent6 5 6 2" xfId="3909"/>
    <cellStyle name="20% - Accent6 5 6 2 2" xfId="15100"/>
    <cellStyle name="20% - Accent6 5 6 2 2 2" xfId="28492"/>
    <cellStyle name="20% - Accent6 5 6 2 3" xfId="19051"/>
    <cellStyle name="20% - Accent6 5 6 2 3 2" xfId="32330"/>
    <cellStyle name="20% - Accent6 5 6 2 4" xfId="23339"/>
    <cellStyle name="20% - Accent6 5 6 3" xfId="3910"/>
    <cellStyle name="20% - Accent6 5 6 3 2" xfId="15101"/>
    <cellStyle name="20% - Accent6 5 6 3 2 2" xfId="28493"/>
    <cellStyle name="20% - Accent6 5 6 3 3" xfId="19052"/>
    <cellStyle name="20% - Accent6 5 6 3 3 2" xfId="32331"/>
    <cellStyle name="20% - Accent6 5 6 3 4" xfId="23340"/>
    <cellStyle name="20% - Accent6 5 6 4" xfId="15099"/>
    <cellStyle name="20% - Accent6 5 6 4 2" xfId="28491"/>
    <cellStyle name="20% - Accent6 5 6 5" xfId="19050"/>
    <cellStyle name="20% - Accent6 5 6 5 2" xfId="32329"/>
    <cellStyle name="20% - Accent6 5 6 6" xfId="23338"/>
    <cellStyle name="20% - Accent6 5 7" xfId="3911"/>
    <cellStyle name="20% - Accent6 5 7 2" xfId="15102"/>
    <cellStyle name="20% - Accent6 5 7 2 2" xfId="28494"/>
    <cellStyle name="20% - Accent6 5 7 3" xfId="19053"/>
    <cellStyle name="20% - Accent6 5 7 3 2" xfId="32332"/>
    <cellStyle name="20% - Accent6 5 7 4" xfId="23341"/>
    <cellStyle name="20% - Accent6 5 8" xfId="3912"/>
    <cellStyle name="20% - Accent6 5 8 2" xfId="15103"/>
    <cellStyle name="20% - Accent6 5 8 2 2" xfId="28495"/>
    <cellStyle name="20% - Accent6 5 8 3" xfId="19054"/>
    <cellStyle name="20% - Accent6 5 8 3 2" xfId="32333"/>
    <cellStyle name="20% - Accent6 5 8 4" xfId="23342"/>
    <cellStyle name="20% - Accent6 5 9" xfId="15071"/>
    <cellStyle name="20% - Accent6 5 9 2" xfId="28463"/>
    <cellStyle name="20% - Accent6 5_Volatility" xfId="3913"/>
    <cellStyle name="20% - Accent6 6" xfId="3914"/>
    <cellStyle name="20% - Accent6 6 10" xfId="19055"/>
    <cellStyle name="20% - Accent6 6 10 2" xfId="32334"/>
    <cellStyle name="20% - Accent6 6 11" xfId="23343"/>
    <cellStyle name="20% - Accent6 6 2" xfId="3915"/>
    <cellStyle name="20% - Accent6 6 2 2" xfId="3916"/>
    <cellStyle name="20% - Accent6 6 2 2 2" xfId="3917"/>
    <cellStyle name="20% - Accent6 6 2 2 2 2" xfId="15107"/>
    <cellStyle name="20% - Accent6 6 2 2 2 2 2" xfId="28499"/>
    <cellStyle name="20% - Accent6 6 2 2 2 3" xfId="19058"/>
    <cellStyle name="20% - Accent6 6 2 2 2 3 2" xfId="32337"/>
    <cellStyle name="20% - Accent6 6 2 2 2 4" xfId="23346"/>
    <cellStyle name="20% - Accent6 6 2 2 3" xfId="3918"/>
    <cellStyle name="20% - Accent6 6 2 2 3 2" xfId="15108"/>
    <cellStyle name="20% - Accent6 6 2 2 3 2 2" xfId="28500"/>
    <cellStyle name="20% - Accent6 6 2 2 3 3" xfId="19059"/>
    <cellStyle name="20% - Accent6 6 2 2 3 3 2" xfId="32338"/>
    <cellStyle name="20% - Accent6 6 2 2 3 4" xfId="23347"/>
    <cellStyle name="20% - Accent6 6 2 2 4" xfId="15106"/>
    <cellStyle name="20% - Accent6 6 2 2 4 2" xfId="28498"/>
    <cellStyle name="20% - Accent6 6 2 2 5" xfId="19057"/>
    <cellStyle name="20% - Accent6 6 2 2 5 2" xfId="32336"/>
    <cellStyle name="20% - Accent6 6 2 2 6" xfId="23345"/>
    <cellStyle name="20% - Accent6 6 2 3" xfId="3919"/>
    <cellStyle name="20% - Accent6 6 2 3 2" xfId="3920"/>
    <cellStyle name="20% - Accent6 6 2 3 2 2" xfId="15110"/>
    <cellStyle name="20% - Accent6 6 2 3 2 2 2" xfId="28502"/>
    <cellStyle name="20% - Accent6 6 2 3 2 3" xfId="19061"/>
    <cellStyle name="20% - Accent6 6 2 3 2 3 2" xfId="32340"/>
    <cellStyle name="20% - Accent6 6 2 3 2 4" xfId="23349"/>
    <cellStyle name="20% - Accent6 6 2 3 3" xfId="3921"/>
    <cellStyle name="20% - Accent6 6 2 3 3 2" xfId="15111"/>
    <cellStyle name="20% - Accent6 6 2 3 3 2 2" xfId="28503"/>
    <cellStyle name="20% - Accent6 6 2 3 3 3" xfId="19062"/>
    <cellStyle name="20% - Accent6 6 2 3 3 3 2" xfId="32341"/>
    <cellStyle name="20% - Accent6 6 2 3 3 4" xfId="23350"/>
    <cellStyle name="20% - Accent6 6 2 3 4" xfId="15109"/>
    <cellStyle name="20% - Accent6 6 2 3 4 2" xfId="28501"/>
    <cellStyle name="20% - Accent6 6 2 3 5" xfId="19060"/>
    <cellStyle name="20% - Accent6 6 2 3 5 2" xfId="32339"/>
    <cellStyle name="20% - Accent6 6 2 3 6" xfId="23348"/>
    <cellStyle name="20% - Accent6 6 2 4" xfId="3922"/>
    <cellStyle name="20% - Accent6 6 2 4 2" xfId="3923"/>
    <cellStyle name="20% - Accent6 6 2 4 2 2" xfId="15113"/>
    <cellStyle name="20% - Accent6 6 2 4 2 2 2" xfId="28505"/>
    <cellStyle name="20% - Accent6 6 2 4 2 3" xfId="19064"/>
    <cellStyle name="20% - Accent6 6 2 4 2 3 2" xfId="32343"/>
    <cellStyle name="20% - Accent6 6 2 4 2 4" xfId="23352"/>
    <cellStyle name="20% - Accent6 6 2 4 3" xfId="3924"/>
    <cellStyle name="20% - Accent6 6 2 4 3 2" xfId="15114"/>
    <cellStyle name="20% - Accent6 6 2 4 3 2 2" xfId="28506"/>
    <cellStyle name="20% - Accent6 6 2 4 3 3" xfId="19065"/>
    <cellStyle name="20% - Accent6 6 2 4 3 3 2" xfId="32344"/>
    <cellStyle name="20% - Accent6 6 2 4 3 4" xfId="23353"/>
    <cellStyle name="20% - Accent6 6 2 4 4" xfId="15112"/>
    <cellStyle name="20% - Accent6 6 2 4 4 2" xfId="28504"/>
    <cellStyle name="20% - Accent6 6 2 4 5" xfId="19063"/>
    <cellStyle name="20% - Accent6 6 2 4 5 2" xfId="32342"/>
    <cellStyle name="20% - Accent6 6 2 4 6" xfId="23351"/>
    <cellStyle name="20% - Accent6 6 2 5" xfId="3925"/>
    <cellStyle name="20% - Accent6 6 2 5 2" xfId="15115"/>
    <cellStyle name="20% - Accent6 6 2 5 2 2" xfId="28507"/>
    <cellStyle name="20% - Accent6 6 2 5 3" xfId="19066"/>
    <cellStyle name="20% - Accent6 6 2 5 3 2" xfId="32345"/>
    <cellStyle name="20% - Accent6 6 2 5 4" xfId="23354"/>
    <cellStyle name="20% - Accent6 6 2 6" xfId="3926"/>
    <cellStyle name="20% - Accent6 6 2 6 2" xfId="15116"/>
    <cellStyle name="20% - Accent6 6 2 6 2 2" xfId="28508"/>
    <cellStyle name="20% - Accent6 6 2 6 3" xfId="19067"/>
    <cellStyle name="20% - Accent6 6 2 6 3 2" xfId="32346"/>
    <cellStyle name="20% - Accent6 6 2 6 4" xfId="23355"/>
    <cellStyle name="20% - Accent6 6 2 7" xfId="15105"/>
    <cellStyle name="20% - Accent6 6 2 7 2" xfId="28497"/>
    <cellStyle name="20% - Accent6 6 2 8" xfId="19056"/>
    <cellStyle name="20% - Accent6 6 2 8 2" xfId="32335"/>
    <cellStyle name="20% - Accent6 6 2 9" xfId="23344"/>
    <cellStyle name="20% - Accent6 6 2_Volatility" xfId="3927"/>
    <cellStyle name="20% - Accent6 6 3" xfId="3928"/>
    <cellStyle name="20% - Accent6 6 3 2" xfId="3929"/>
    <cellStyle name="20% - Accent6 6 3 2 2" xfId="3930"/>
    <cellStyle name="20% - Accent6 6 3 2 2 2" xfId="15119"/>
    <cellStyle name="20% - Accent6 6 3 2 2 2 2" xfId="28511"/>
    <cellStyle name="20% - Accent6 6 3 2 2 3" xfId="19070"/>
    <cellStyle name="20% - Accent6 6 3 2 2 3 2" xfId="32349"/>
    <cellStyle name="20% - Accent6 6 3 2 2 4" xfId="23358"/>
    <cellStyle name="20% - Accent6 6 3 2 3" xfId="3931"/>
    <cellStyle name="20% - Accent6 6 3 2 3 2" xfId="15120"/>
    <cellStyle name="20% - Accent6 6 3 2 3 2 2" xfId="28512"/>
    <cellStyle name="20% - Accent6 6 3 2 3 3" xfId="19071"/>
    <cellStyle name="20% - Accent6 6 3 2 3 3 2" xfId="32350"/>
    <cellStyle name="20% - Accent6 6 3 2 3 4" xfId="23359"/>
    <cellStyle name="20% - Accent6 6 3 2 4" xfId="15118"/>
    <cellStyle name="20% - Accent6 6 3 2 4 2" xfId="28510"/>
    <cellStyle name="20% - Accent6 6 3 2 5" xfId="19069"/>
    <cellStyle name="20% - Accent6 6 3 2 5 2" xfId="32348"/>
    <cellStyle name="20% - Accent6 6 3 2 6" xfId="23357"/>
    <cellStyle name="20% - Accent6 6 3 3" xfId="3932"/>
    <cellStyle name="20% - Accent6 6 3 3 2" xfId="3933"/>
    <cellStyle name="20% - Accent6 6 3 3 2 2" xfId="15122"/>
    <cellStyle name="20% - Accent6 6 3 3 2 2 2" xfId="28514"/>
    <cellStyle name="20% - Accent6 6 3 3 2 3" xfId="19073"/>
    <cellStyle name="20% - Accent6 6 3 3 2 3 2" xfId="32352"/>
    <cellStyle name="20% - Accent6 6 3 3 2 4" xfId="23361"/>
    <cellStyle name="20% - Accent6 6 3 3 3" xfId="3934"/>
    <cellStyle name="20% - Accent6 6 3 3 3 2" xfId="15123"/>
    <cellStyle name="20% - Accent6 6 3 3 3 2 2" xfId="28515"/>
    <cellStyle name="20% - Accent6 6 3 3 3 3" xfId="19074"/>
    <cellStyle name="20% - Accent6 6 3 3 3 3 2" xfId="32353"/>
    <cellStyle name="20% - Accent6 6 3 3 3 4" xfId="23362"/>
    <cellStyle name="20% - Accent6 6 3 3 4" xfId="15121"/>
    <cellStyle name="20% - Accent6 6 3 3 4 2" xfId="28513"/>
    <cellStyle name="20% - Accent6 6 3 3 5" xfId="19072"/>
    <cellStyle name="20% - Accent6 6 3 3 5 2" xfId="32351"/>
    <cellStyle name="20% - Accent6 6 3 3 6" xfId="23360"/>
    <cellStyle name="20% - Accent6 6 3 4" xfId="3935"/>
    <cellStyle name="20% - Accent6 6 3 4 2" xfId="15124"/>
    <cellStyle name="20% - Accent6 6 3 4 2 2" xfId="28516"/>
    <cellStyle name="20% - Accent6 6 3 4 3" xfId="19075"/>
    <cellStyle name="20% - Accent6 6 3 4 3 2" xfId="32354"/>
    <cellStyle name="20% - Accent6 6 3 4 4" xfId="23363"/>
    <cellStyle name="20% - Accent6 6 3 5" xfId="3936"/>
    <cellStyle name="20% - Accent6 6 3 5 2" xfId="15125"/>
    <cellStyle name="20% - Accent6 6 3 5 2 2" xfId="28517"/>
    <cellStyle name="20% - Accent6 6 3 5 3" xfId="19076"/>
    <cellStyle name="20% - Accent6 6 3 5 3 2" xfId="32355"/>
    <cellStyle name="20% - Accent6 6 3 5 4" xfId="23364"/>
    <cellStyle name="20% - Accent6 6 3 6" xfId="15117"/>
    <cellStyle name="20% - Accent6 6 3 6 2" xfId="28509"/>
    <cellStyle name="20% - Accent6 6 3 7" xfId="19068"/>
    <cellStyle name="20% - Accent6 6 3 7 2" xfId="32347"/>
    <cellStyle name="20% - Accent6 6 3 8" xfId="23356"/>
    <cellStyle name="20% - Accent6 6 3_Volatility" xfId="3937"/>
    <cellStyle name="20% - Accent6 6 4" xfId="3938"/>
    <cellStyle name="20% - Accent6 6 4 2" xfId="3939"/>
    <cellStyle name="20% - Accent6 6 4 2 2" xfId="15127"/>
    <cellStyle name="20% - Accent6 6 4 2 2 2" xfId="28519"/>
    <cellStyle name="20% - Accent6 6 4 2 3" xfId="19078"/>
    <cellStyle name="20% - Accent6 6 4 2 3 2" xfId="32357"/>
    <cellStyle name="20% - Accent6 6 4 2 4" xfId="23366"/>
    <cellStyle name="20% - Accent6 6 4 3" xfId="3940"/>
    <cellStyle name="20% - Accent6 6 4 3 2" xfId="15128"/>
    <cellStyle name="20% - Accent6 6 4 3 2 2" xfId="28520"/>
    <cellStyle name="20% - Accent6 6 4 3 3" xfId="19079"/>
    <cellStyle name="20% - Accent6 6 4 3 3 2" xfId="32358"/>
    <cellStyle name="20% - Accent6 6 4 3 4" xfId="23367"/>
    <cellStyle name="20% - Accent6 6 4 4" xfId="15126"/>
    <cellStyle name="20% - Accent6 6 4 4 2" xfId="28518"/>
    <cellStyle name="20% - Accent6 6 4 5" xfId="19077"/>
    <cellStyle name="20% - Accent6 6 4 5 2" xfId="32356"/>
    <cellStyle name="20% - Accent6 6 4 6" xfId="23365"/>
    <cellStyle name="20% - Accent6 6 5" xfId="3941"/>
    <cellStyle name="20% - Accent6 6 5 2" xfId="3942"/>
    <cellStyle name="20% - Accent6 6 5 2 2" xfId="15130"/>
    <cellStyle name="20% - Accent6 6 5 2 2 2" xfId="28522"/>
    <cellStyle name="20% - Accent6 6 5 2 3" xfId="19081"/>
    <cellStyle name="20% - Accent6 6 5 2 3 2" xfId="32360"/>
    <cellStyle name="20% - Accent6 6 5 2 4" xfId="23369"/>
    <cellStyle name="20% - Accent6 6 5 3" xfId="3943"/>
    <cellStyle name="20% - Accent6 6 5 3 2" xfId="15131"/>
    <cellStyle name="20% - Accent6 6 5 3 2 2" xfId="28523"/>
    <cellStyle name="20% - Accent6 6 5 3 3" xfId="19082"/>
    <cellStyle name="20% - Accent6 6 5 3 3 2" xfId="32361"/>
    <cellStyle name="20% - Accent6 6 5 3 4" xfId="23370"/>
    <cellStyle name="20% - Accent6 6 5 4" xfId="15129"/>
    <cellStyle name="20% - Accent6 6 5 4 2" xfId="28521"/>
    <cellStyle name="20% - Accent6 6 5 5" xfId="19080"/>
    <cellStyle name="20% - Accent6 6 5 5 2" xfId="32359"/>
    <cellStyle name="20% - Accent6 6 5 6" xfId="23368"/>
    <cellStyle name="20% - Accent6 6 6" xfId="3944"/>
    <cellStyle name="20% - Accent6 6 6 2" xfId="3945"/>
    <cellStyle name="20% - Accent6 6 6 2 2" xfId="15133"/>
    <cellStyle name="20% - Accent6 6 6 2 2 2" xfId="28525"/>
    <cellStyle name="20% - Accent6 6 6 2 3" xfId="19084"/>
    <cellStyle name="20% - Accent6 6 6 2 3 2" xfId="32363"/>
    <cellStyle name="20% - Accent6 6 6 2 4" xfId="23372"/>
    <cellStyle name="20% - Accent6 6 6 3" xfId="3946"/>
    <cellStyle name="20% - Accent6 6 6 3 2" xfId="15134"/>
    <cellStyle name="20% - Accent6 6 6 3 2 2" xfId="28526"/>
    <cellStyle name="20% - Accent6 6 6 3 3" xfId="19085"/>
    <cellStyle name="20% - Accent6 6 6 3 3 2" xfId="32364"/>
    <cellStyle name="20% - Accent6 6 6 3 4" xfId="23373"/>
    <cellStyle name="20% - Accent6 6 6 4" xfId="15132"/>
    <cellStyle name="20% - Accent6 6 6 4 2" xfId="28524"/>
    <cellStyle name="20% - Accent6 6 6 5" xfId="19083"/>
    <cellStyle name="20% - Accent6 6 6 5 2" xfId="32362"/>
    <cellStyle name="20% - Accent6 6 6 6" xfId="23371"/>
    <cellStyle name="20% - Accent6 6 7" xfId="3947"/>
    <cellStyle name="20% - Accent6 6 7 2" xfId="15135"/>
    <cellStyle name="20% - Accent6 6 7 2 2" xfId="28527"/>
    <cellStyle name="20% - Accent6 6 7 3" xfId="19086"/>
    <cellStyle name="20% - Accent6 6 7 3 2" xfId="32365"/>
    <cellStyle name="20% - Accent6 6 7 4" xfId="23374"/>
    <cellStyle name="20% - Accent6 6 8" xfId="3948"/>
    <cellStyle name="20% - Accent6 6 8 2" xfId="15136"/>
    <cellStyle name="20% - Accent6 6 8 2 2" xfId="28528"/>
    <cellStyle name="20% - Accent6 6 8 3" xfId="19087"/>
    <cellStyle name="20% - Accent6 6 8 3 2" xfId="32366"/>
    <cellStyle name="20% - Accent6 6 8 4" xfId="23375"/>
    <cellStyle name="20% - Accent6 6 9" xfId="15104"/>
    <cellStyle name="20% - Accent6 6 9 2" xfId="28496"/>
    <cellStyle name="20% - Accent6 6_Volatility" xfId="3949"/>
    <cellStyle name="20% - Accent6 7" xfId="3950"/>
    <cellStyle name="20% - Accent6 7 10" xfId="19088"/>
    <cellStyle name="20% - Accent6 7 10 2" xfId="32367"/>
    <cellStyle name="20% - Accent6 7 11" xfId="23376"/>
    <cellStyle name="20% - Accent6 7 2" xfId="3951"/>
    <cellStyle name="20% - Accent6 7 2 2" xfId="3952"/>
    <cellStyle name="20% - Accent6 7 2 2 2" xfId="3953"/>
    <cellStyle name="20% - Accent6 7 2 2 2 2" xfId="15140"/>
    <cellStyle name="20% - Accent6 7 2 2 2 2 2" xfId="28532"/>
    <cellStyle name="20% - Accent6 7 2 2 2 3" xfId="19091"/>
    <cellStyle name="20% - Accent6 7 2 2 2 3 2" xfId="32370"/>
    <cellStyle name="20% - Accent6 7 2 2 2 4" xfId="23379"/>
    <cellStyle name="20% - Accent6 7 2 2 3" xfId="3954"/>
    <cellStyle name="20% - Accent6 7 2 2 3 2" xfId="15141"/>
    <cellStyle name="20% - Accent6 7 2 2 3 2 2" xfId="28533"/>
    <cellStyle name="20% - Accent6 7 2 2 3 3" xfId="19092"/>
    <cellStyle name="20% - Accent6 7 2 2 3 3 2" xfId="32371"/>
    <cellStyle name="20% - Accent6 7 2 2 3 4" xfId="23380"/>
    <cellStyle name="20% - Accent6 7 2 2 4" xfId="15139"/>
    <cellStyle name="20% - Accent6 7 2 2 4 2" xfId="28531"/>
    <cellStyle name="20% - Accent6 7 2 2 5" xfId="19090"/>
    <cellStyle name="20% - Accent6 7 2 2 5 2" xfId="32369"/>
    <cellStyle name="20% - Accent6 7 2 2 6" xfId="23378"/>
    <cellStyle name="20% - Accent6 7 2 3" xfId="3955"/>
    <cellStyle name="20% - Accent6 7 2 3 2" xfId="3956"/>
    <cellStyle name="20% - Accent6 7 2 3 2 2" xfId="15143"/>
    <cellStyle name="20% - Accent6 7 2 3 2 2 2" xfId="28535"/>
    <cellStyle name="20% - Accent6 7 2 3 2 3" xfId="19094"/>
    <cellStyle name="20% - Accent6 7 2 3 2 3 2" xfId="32373"/>
    <cellStyle name="20% - Accent6 7 2 3 2 4" xfId="23382"/>
    <cellStyle name="20% - Accent6 7 2 3 3" xfId="3957"/>
    <cellStyle name="20% - Accent6 7 2 3 3 2" xfId="15144"/>
    <cellStyle name="20% - Accent6 7 2 3 3 2 2" xfId="28536"/>
    <cellStyle name="20% - Accent6 7 2 3 3 3" xfId="19095"/>
    <cellStyle name="20% - Accent6 7 2 3 3 3 2" xfId="32374"/>
    <cellStyle name="20% - Accent6 7 2 3 3 4" xfId="23383"/>
    <cellStyle name="20% - Accent6 7 2 3 4" xfId="15142"/>
    <cellStyle name="20% - Accent6 7 2 3 4 2" xfId="28534"/>
    <cellStyle name="20% - Accent6 7 2 3 5" xfId="19093"/>
    <cellStyle name="20% - Accent6 7 2 3 5 2" xfId="32372"/>
    <cellStyle name="20% - Accent6 7 2 3 6" xfId="23381"/>
    <cellStyle name="20% - Accent6 7 2 4" xfId="3958"/>
    <cellStyle name="20% - Accent6 7 2 4 2" xfId="3959"/>
    <cellStyle name="20% - Accent6 7 2 4 2 2" xfId="15146"/>
    <cellStyle name="20% - Accent6 7 2 4 2 2 2" xfId="28538"/>
    <cellStyle name="20% - Accent6 7 2 4 2 3" xfId="19097"/>
    <cellStyle name="20% - Accent6 7 2 4 2 3 2" xfId="32376"/>
    <cellStyle name="20% - Accent6 7 2 4 2 4" xfId="23385"/>
    <cellStyle name="20% - Accent6 7 2 4 3" xfId="3960"/>
    <cellStyle name="20% - Accent6 7 2 4 3 2" xfId="15147"/>
    <cellStyle name="20% - Accent6 7 2 4 3 2 2" xfId="28539"/>
    <cellStyle name="20% - Accent6 7 2 4 3 3" xfId="19098"/>
    <cellStyle name="20% - Accent6 7 2 4 3 3 2" xfId="32377"/>
    <cellStyle name="20% - Accent6 7 2 4 3 4" xfId="23386"/>
    <cellStyle name="20% - Accent6 7 2 4 4" xfId="15145"/>
    <cellStyle name="20% - Accent6 7 2 4 4 2" xfId="28537"/>
    <cellStyle name="20% - Accent6 7 2 4 5" xfId="19096"/>
    <cellStyle name="20% - Accent6 7 2 4 5 2" xfId="32375"/>
    <cellStyle name="20% - Accent6 7 2 4 6" xfId="23384"/>
    <cellStyle name="20% - Accent6 7 2 5" xfId="3961"/>
    <cellStyle name="20% - Accent6 7 2 5 2" xfId="15148"/>
    <cellStyle name="20% - Accent6 7 2 5 2 2" xfId="28540"/>
    <cellStyle name="20% - Accent6 7 2 5 3" xfId="19099"/>
    <cellStyle name="20% - Accent6 7 2 5 3 2" xfId="32378"/>
    <cellStyle name="20% - Accent6 7 2 5 4" xfId="23387"/>
    <cellStyle name="20% - Accent6 7 2 6" xfId="3962"/>
    <cellStyle name="20% - Accent6 7 2 6 2" xfId="15149"/>
    <cellStyle name="20% - Accent6 7 2 6 2 2" xfId="28541"/>
    <cellStyle name="20% - Accent6 7 2 6 3" xfId="19100"/>
    <cellStyle name="20% - Accent6 7 2 6 3 2" xfId="32379"/>
    <cellStyle name="20% - Accent6 7 2 6 4" xfId="23388"/>
    <cellStyle name="20% - Accent6 7 2 7" xfId="15138"/>
    <cellStyle name="20% - Accent6 7 2 7 2" xfId="28530"/>
    <cellStyle name="20% - Accent6 7 2 8" xfId="19089"/>
    <cellStyle name="20% - Accent6 7 2 8 2" xfId="32368"/>
    <cellStyle name="20% - Accent6 7 2 9" xfId="23377"/>
    <cellStyle name="20% - Accent6 7 2_Volatility" xfId="3963"/>
    <cellStyle name="20% - Accent6 7 3" xfId="3964"/>
    <cellStyle name="20% - Accent6 7 3 2" xfId="3965"/>
    <cellStyle name="20% - Accent6 7 3 2 2" xfId="3966"/>
    <cellStyle name="20% - Accent6 7 3 2 2 2" xfId="15152"/>
    <cellStyle name="20% - Accent6 7 3 2 2 2 2" xfId="28544"/>
    <cellStyle name="20% - Accent6 7 3 2 2 3" xfId="19103"/>
    <cellStyle name="20% - Accent6 7 3 2 2 3 2" xfId="32382"/>
    <cellStyle name="20% - Accent6 7 3 2 2 4" xfId="23391"/>
    <cellStyle name="20% - Accent6 7 3 2 3" xfId="3967"/>
    <cellStyle name="20% - Accent6 7 3 2 3 2" xfId="15153"/>
    <cellStyle name="20% - Accent6 7 3 2 3 2 2" xfId="28545"/>
    <cellStyle name="20% - Accent6 7 3 2 3 3" xfId="19104"/>
    <cellStyle name="20% - Accent6 7 3 2 3 3 2" xfId="32383"/>
    <cellStyle name="20% - Accent6 7 3 2 3 4" xfId="23392"/>
    <cellStyle name="20% - Accent6 7 3 2 4" xfId="15151"/>
    <cellStyle name="20% - Accent6 7 3 2 4 2" xfId="28543"/>
    <cellStyle name="20% - Accent6 7 3 2 5" xfId="19102"/>
    <cellStyle name="20% - Accent6 7 3 2 5 2" xfId="32381"/>
    <cellStyle name="20% - Accent6 7 3 2 6" xfId="23390"/>
    <cellStyle name="20% - Accent6 7 3 3" xfId="3968"/>
    <cellStyle name="20% - Accent6 7 3 3 2" xfId="3969"/>
    <cellStyle name="20% - Accent6 7 3 3 2 2" xfId="15155"/>
    <cellStyle name="20% - Accent6 7 3 3 2 2 2" xfId="28547"/>
    <cellStyle name="20% - Accent6 7 3 3 2 3" xfId="19106"/>
    <cellStyle name="20% - Accent6 7 3 3 2 3 2" xfId="32385"/>
    <cellStyle name="20% - Accent6 7 3 3 2 4" xfId="23394"/>
    <cellStyle name="20% - Accent6 7 3 3 3" xfId="3970"/>
    <cellStyle name="20% - Accent6 7 3 3 3 2" xfId="15156"/>
    <cellStyle name="20% - Accent6 7 3 3 3 2 2" xfId="28548"/>
    <cellStyle name="20% - Accent6 7 3 3 3 3" xfId="19107"/>
    <cellStyle name="20% - Accent6 7 3 3 3 3 2" xfId="32386"/>
    <cellStyle name="20% - Accent6 7 3 3 3 4" xfId="23395"/>
    <cellStyle name="20% - Accent6 7 3 3 4" xfId="15154"/>
    <cellStyle name="20% - Accent6 7 3 3 4 2" xfId="28546"/>
    <cellStyle name="20% - Accent6 7 3 3 5" xfId="19105"/>
    <cellStyle name="20% - Accent6 7 3 3 5 2" xfId="32384"/>
    <cellStyle name="20% - Accent6 7 3 3 6" xfId="23393"/>
    <cellStyle name="20% - Accent6 7 3 4" xfId="3971"/>
    <cellStyle name="20% - Accent6 7 3 4 2" xfId="15157"/>
    <cellStyle name="20% - Accent6 7 3 4 2 2" xfId="28549"/>
    <cellStyle name="20% - Accent6 7 3 4 3" xfId="19108"/>
    <cellStyle name="20% - Accent6 7 3 4 3 2" xfId="32387"/>
    <cellStyle name="20% - Accent6 7 3 4 4" xfId="23396"/>
    <cellStyle name="20% - Accent6 7 3 5" xfId="3972"/>
    <cellStyle name="20% - Accent6 7 3 5 2" xfId="15158"/>
    <cellStyle name="20% - Accent6 7 3 5 2 2" xfId="28550"/>
    <cellStyle name="20% - Accent6 7 3 5 3" xfId="19109"/>
    <cellStyle name="20% - Accent6 7 3 5 3 2" xfId="32388"/>
    <cellStyle name="20% - Accent6 7 3 5 4" xfId="23397"/>
    <cellStyle name="20% - Accent6 7 3 6" xfId="15150"/>
    <cellStyle name="20% - Accent6 7 3 6 2" xfId="28542"/>
    <cellStyle name="20% - Accent6 7 3 7" xfId="19101"/>
    <cellStyle name="20% - Accent6 7 3 7 2" xfId="32380"/>
    <cellStyle name="20% - Accent6 7 3 8" xfId="23389"/>
    <cellStyle name="20% - Accent6 7 3_Volatility" xfId="3973"/>
    <cellStyle name="20% - Accent6 7 4" xfId="3974"/>
    <cellStyle name="20% - Accent6 7 4 2" xfId="3975"/>
    <cellStyle name="20% - Accent6 7 4 2 2" xfId="15160"/>
    <cellStyle name="20% - Accent6 7 4 2 2 2" xfId="28552"/>
    <cellStyle name="20% - Accent6 7 4 2 3" xfId="19111"/>
    <cellStyle name="20% - Accent6 7 4 2 3 2" xfId="32390"/>
    <cellStyle name="20% - Accent6 7 4 2 4" xfId="23399"/>
    <cellStyle name="20% - Accent6 7 4 3" xfId="3976"/>
    <cellStyle name="20% - Accent6 7 4 3 2" xfId="15161"/>
    <cellStyle name="20% - Accent6 7 4 3 2 2" xfId="28553"/>
    <cellStyle name="20% - Accent6 7 4 3 3" xfId="19112"/>
    <cellStyle name="20% - Accent6 7 4 3 3 2" xfId="32391"/>
    <cellStyle name="20% - Accent6 7 4 3 4" xfId="23400"/>
    <cellStyle name="20% - Accent6 7 4 4" xfId="15159"/>
    <cellStyle name="20% - Accent6 7 4 4 2" xfId="28551"/>
    <cellStyle name="20% - Accent6 7 4 5" xfId="19110"/>
    <cellStyle name="20% - Accent6 7 4 5 2" xfId="32389"/>
    <cellStyle name="20% - Accent6 7 4 6" xfId="23398"/>
    <cellStyle name="20% - Accent6 7 5" xfId="3977"/>
    <cellStyle name="20% - Accent6 7 5 2" xfId="3978"/>
    <cellStyle name="20% - Accent6 7 5 2 2" xfId="15163"/>
    <cellStyle name="20% - Accent6 7 5 2 2 2" xfId="28555"/>
    <cellStyle name="20% - Accent6 7 5 2 3" xfId="19114"/>
    <cellStyle name="20% - Accent6 7 5 2 3 2" xfId="32393"/>
    <cellStyle name="20% - Accent6 7 5 2 4" xfId="23402"/>
    <cellStyle name="20% - Accent6 7 5 3" xfId="3979"/>
    <cellStyle name="20% - Accent6 7 5 3 2" xfId="15164"/>
    <cellStyle name="20% - Accent6 7 5 3 2 2" xfId="28556"/>
    <cellStyle name="20% - Accent6 7 5 3 3" xfId="19115"/>
    <cellStyle name="20% - Accent6 7 5 3 3 2" xfId="32394"/>
    <cellStyle name="20% - Accent6 7 5 3 4" xfId="23403"/>
    <cellStyle name="20% - Accent6 7 5 4" xfId="15162"/>
    <cellStyle name="20% - Accent6 7 5 4 2" xfId="28554"/>
    <cellStyle name="20% - Accent6 7 5 5" xfId="19113"/>
    <cellStyle name="20% - Accent6 7 5 5 2" xfId="32392"/>
    <cellStyle name="20% - Accent6 7 5 6" xfId="23401"/>
    <cellStyle name="20% - Accent6 7 6" xfId="3980"/>
    <cellStyle name="20% - Accent6 7 6 2" xfId="3981"/>
    <cellStyle name="20% - Accent6 7 6 2 2" xfId="15166"/>
    <cellStyle name="20% - Accent6 7 6 2 2 2" xfId="28558"/>
    <cellStyle name="20% - Accent6 7 6 2 3" xfId="19117"/>
    <cellStyle name="20% - Accent6 7 6 2 3 2" xfId="32396"/>
    <cellStyle name="20% - Accent6 7 6 2 4" xfId="23405"/>
    <cellStyle name="20% - Accent6 7 6 3" xfId="3982"/>
    <cellStyle name="20% - Accent6 7 6 3 2" xfId="15167"/>
    <cellStyle name="20% - Accent6 7 6 3 2 2" xfId="28559"/>
    <cellStyle name="20% - Accent6 7 6 3 3" xfId="19118"/>
    <cellStyle name="20% - Accent6 7 6 3 3 2" xfId="32397"/>
    <cellStyle name="20% - Accent6 7 6 3 4" xfId="23406"/>
    <cellStyle name="20% - Accent6 7 6 4" xfId="15165"/>
    <cellStyle name="20% - Accent6 7 6 4 2" xfId="28557"/>
    <cellStyle name="20% - Accent6 7 6 5" xfId="19116"/>
    <cellStyle name="20% - Accent6 7 6 5 2" xfId="32395"/>
    <cellStyle name="20% - Accent6 7 6 6" xfId="23404"/>
    <cellStyle name="20% - Accent6 7 7" xfId="3983"/>
    <cellStyle name="20% - Accent6 7 7 2" xfId="15168"/>
    <cellStyle name="20% - Accent6 7 7 2 2" xfId="28560"/>
    <cellStyle name="20% - Accent6 7 7 3" xfId="19119"/>
    <cellStyle name="20% - Accent6 7 7 3 2" xfId="32398"/>
    <cellStyle name="20% - Accent6 7 7 4" xfId="23407"/>
    <cellStyle name="20% - Accent6 7 8" xfId="3984"/>
    <cellStyle name="20% - Accent6 7 8 2" xfId="15169"/>
    <cellStyle name="20% - Accent6 7 8 2 2" xfId="28561"/>
    <cellStyle name="20% - Accent6 7 8 3" xfId="19120"/>
    <cellStyle name="20% - Accent6 7 8 3 2" xfId="32399"/>
    <cellStyle name="20% - Accent6 7 8 4" xfId="23408"/>
    <cellStyle name="20% - Accent6 7 9" xfId="15137"/>
    <cellStyle name="20% - Accent6 7 9 2" xfId="28529"/>
    <cellStyle name="20% - Accent6 7_Volatility" xfId="3985"/>
    <cellStyle name="20% - Accent6 8" xfId="3986"/>
    <cellStyle name="20% - Accent6 8 10" xfId="19121"/>
    <cellStyle name="20% - Accent6 8 10 2" xfId="32400"/>
    <cellStyle name="20% - Accent6 8 11" xfId="23409"/>
    <cellStyle name="20% - Accent6 8 2" xfId="3987"/>
    <cellStyle name="20% - Accent6 8 2 2" xfId="3988"/>
    <cellStyle name="20% - Accent6 8 2 2 2" xfId="3989"/>
    <cellStyle name="20% - Accent6 8 2 2 2 2" xfId="15173"/>
    <cellStyle name="20% - Accent6 8 2 2 2 2 2" xfId="28565"/>
    <cellStyle name="20% - Accent6 8 2 2 2 3" xfId="19124"/>
    <cellStyle name="20% - Accent6 8 2 2 2 3 2" xfId="32403"/>
    <cellStyle name="20% - Accent6 8 2 2 2 4" xfId="23412"/>
    <cellStyle name="20% - Accent6 8 2 2 3" xfId="3990"/>
    <cellStyle name="20% - Accent6 8 2 2 3 2" xfId="15174"/>
    <cellStyle name="20% - Accent6 8 2 2 3 2 2" xfId="28566"/>
    <cellStyle name="20% - Accent6 8 2 2 3 3" xfId="19125"/>
    <cellStyle name="20% - Accent6 8 2 2 3 3 2" xfId="32404"/>
    <cellStyle name="20% - Accent6 8 2 2 3 4" xfId="23413"/>
    <cellStyle name="20% - Accent6 8 2 2 4" xfId="15172"/>
    <cellStyle name="20% - Accent6 8 2 2 4 2" xfId="28564"/>
    <cellStyle name="20% - Accent6 8 2 2 5" xfId="19123"/>
    <cellStyle name="20% - Accent6 8 2 2 5 2" xfId="32402"/>
    <cellStyle name="20% - Accent6 8 2 2 6" xfId="23411"/>
    <cellStyle name="20% - Accent6 8 2 3" xfId="3991"/>
    <cellStyle name="20% - Accent6 8 2 3 2" xfId="3992"/>
    <cellStyle name="20% - Accent6 8 2 3 2 2" xfId="15176"/>
    <cellStyle name="20% - Accent6 8 2 3 2 2 2" xfId="28568"/>
    <cellStyle name="20% - Accent6 8 2 3 2 3" xfId="19127"/>
    <cellStyle name="20% - Accent6 8 2 3 2 3 2" xfId="32406"/>
    <cellStyle name="20% - Accent6 8 2 3 2 4" xfId="23415"/>
    <cellStyle name="20% - Accent6 8 2 3 3" xfId="3993"/>
    <cellStyle name="20% - Accent6 8 2 3 3 2" xfId="15177"/>
    <cellStyle name="20% - Accent6 8 2 3 3 2 2" xfId="28569"/>
    <cellStyle name="20% - Accent6 8 2 3 3 3" xfId="19128"/>
    <cellStyle name="20% - Accent6 8 2 3 3 3 2" xfId="32407"/>
    <cellStyle name="20% - Accent6 8 2 3 3 4" xfId="23416"/>
    <cellStyle name="20% - Accent6 8 2 3 4" xfId="15175"/>
    <cellStyle name="20% - Accent6 8 2 3 4 2" xfId="28567"/>
    <cellStyle name="20% - Accent6 8 2 3 5" xfId="19126"/>
    <cellStyle name="20% - Accent6 8 2 3 5 2" xfId="32405"/>
    <cellStyle name="20% - Accent6 8 2 3 6" xfId="23414"/>
    <cellStyle name="20% - Accent6 8 2 4" xfId="3994"/>
    <cellStyle name="20% - Accent6 8 2 4 2" xfId="3995"/>
    <cellStyle name="20% - Accent6 8 2 4 2 2" xfId="15179"/>
    <cellStyle name="20% - Accent6 8 2 4 2 2 2" xfId="28571"/>
    <cellStyle name="20% - Accent6 8 2 4 2 3" xfId="19130"/>
    <cellStyle name="20% - Accent6 8 2 4 2 3 2" xfId="32409"/>
    <cellStyle name="20% - Accent6 8 2 4 2 4" xfId="23418"/>
    <cellStyle name="20% - Accent6 8 2 4 3" xfId="3996"/>
    <cellStyle name="20% - Accent6 8 2 4 3 2" xfId="15180"/>
    <cellStyle name="20% - Accent6 8 2 4 3 2 2" xfId="28572"/>
    <cellStyle name="20% - Accent6 8 2 4 3 3" xfId="19131"/>
    <cellStyle name="20% - Accent6 8 2 4 3 3 2" xfId="32410"/>
    <cellStyle name="20% - Accent6 8 2 4 3 4" xfId="23419"/>
    <cellStyle name="20% - Accent6 8 2 4 4" xfId="15178"/>
    <cellStyle name="20% - Accent6 8 2 4 4 2" xfId="28570"/>
    <cellStyle name="20% - Accent6 8 2 4 5" xfId="19129"/>
    <cellStyle name="20% - Accent6 8 2 4 5 2" xfId="32408"/>
    <cellStyle name="20% - Accent6 8 2 4 6" xfId="23417"/>
    <cellStyle name="20% - Accent6 8 2 5" xfId="3997"/>
    <cellStyle name="20% - Accent6 8 2 5 2" xfId="15181"/>
    <cellStyle name="20% - Accent6 8 2 5 2 2" xfId="28573"/>
    <cellStyle name="20% - Accent6 8 2 5 3" xfId="19132"/>
    <cellStyle name="20% - Accent6 8 2 5 3 2" xfId="32411"/>
    <cellStyle name="20% - Accent6 8 2 5 4" xfId="23420"/>
    <cellStyle name="20% - Accent6 8 2 6" xfId="3998"/>
    <cellStyle name="20% - Accent6 8 2 6 2" xfId="15182"/>
    <cellStyle name="20% - Accent6 8 2 6 2 2" xfId="28574"/>
    <cellStyle name="20% - Accent6 8 2 6 3" xfId="19133"/>
    <cellStyle name="20% - Accent6 8 2 6 3 2" xfId="32412"/>
    <cellStyle name="20% - Accent6 8 2 6 4" xfId="23421"/>
    <cellStyle name="20% - Accent6 8 2 7" xfId="15171"/>
    <cellStyle name="20% - Accent6 8 2 7 2" xfId="28563"/>
    <cellStyle name="20% - Accent6 8 2 8" xfId="19122"/>
    <cellStyle name="20% - Accent6 8 2 8 2" xfId="32401"/>
    <cellStyle name="20% - Accent6 8 2 9" xfId="23410"/>
    <cellStyle name="20% - Accent6 8 2_Volatility" xfId="3999"/>
    <cellStyle name="20% - Accent6 8 3" xfId="4000"/>
    <cellStyle name="20% - Accent6 8 3 2" xfId="4001"/>
    <cellStyle name="20% - Accent6 8 3 2 2" xfId="4002"/>
    <cellStyle name="20% - Accent6 8 3 2 2 2" xfId="15185"/>
    <cellStyle name="20% - Accent6 8 3 2 2 2 2" xfId="28577"/>
    <cellStyle name="20% - Accent6 8 3 2 2 3" xfId="19136"/>
    <cellStyle name="20% - Accent6 8 3 2 2 3 2" xfId="32415"/>
    <cellStyle name="20% - Accent6 8 3 2 2 4" xfId="23424"/>
    <cellStyle name="20% - Accent6 8 3 2 3" xfId="4003"/>
    <cellStyle name="20% - Accent6 8 3 2 3 2" xfId="15186"/>
    <cellStyle name="20% - Accent6 8 3 2 3 2 2" xfId="28578"/>
    <cellStyle name="20% - Accent6 8 3 2 3 3" xfId="19137"/>
    <cellStyle name="20% - Accent6 8 3 2 3 3 2" xfId="32416"/>
    <cellStyle name="20% - Accent6 8 3 2 3 4" xfId="23425"/>
    <cellStyle name="20% - Accent6 8 3 2 4" xfId="15184"/>
    <cellStyle name="20% - Accent6 8 3 2 4 2" xfId="28576"/>
    <cellStyle name="20% - Accent6 8 3 2 5" xfId="19135"/>
    <cellStyle name="20% - Accent6 8 3 2 5 2" xfId="32414"/>
    <cellStyle name="20% - Accent6 8 3 2 6" xfId="23423"/>
    <cellStyle name="20% - Accent6 8 3 3" xfId="4004"/>
    <cellStyle name="20% - Accent6 8 3 3 2" xfId="4005"/>
    <cellStyle name="20% - Accent6 8 3 3 2 2" xfId="15188"/>
    <cellStyle name="20% - Accent6 8 3 3 2 2 2" xfId="28580"/>
    <cellStyle name="20% - Accent6 8 3 3 2 3" xfId="19139"/>
    <cellStyle name="20% - Accent6 8 3 3 2 3 2" xfId="32418"/>
    <cellStyle name="20% - Accent6 8 3 3 2 4" xfId="23427"/>
    <cellStyle name="20% - Accent6 8 3 3 3" xfId="4006"/>
    <cellStyle name="20% - Accent6 8 3 3 3 2" xfId="15189"/>
    <cellStyle name="20% - Accent6 8 3 3 3 2 2" xfId="28581"/>
    <cellStyle name="20% - Accent6 8 3 3 3 3" xfId="19140"/>
    <cellStyle name="20% - Accent6 8 3 3 3 3 2" xfId="32419"/>
    <cellStyle name="20% - Accent6 8 3 3 3 4" xfId="23428"/>
    <cellStyle name="20% - Accent6 8 3 3 4" xfId="15187"/>
    <cellStyle name="20% - Accent6 8 3 3 4 2" xfId="28579"/>
    <cellStyle name="20% - Accent6 8 3 3 5" xfId="19138"/>
    <cellStyle name="20% - Accent6 8 3 3 5 2" xfId="32417"/>
    <cellStyle name="20% - Accent6 8 3 3 6" xfId="23426"/>
    <cellStyle name="20% - Accent6 8 3 4" xfId="4007"/>
    <cellStyle name="20% - Accent6 8 3 4 2" xfId="15190"/>
    <cellStyle name="20% - Accent6 8 3 4 2 2" xfId="28582"/>
    <cellStyle name="20% - Accent6 8 3 4 3" xfId="19141"/>
    <cellStyle name="20% - Accent6 8 3 4 3 2" xfId="32420"/>
    <cellStyle name="20% - Accent6 8 3 4 4" xfId="23429"/>
    <cellStyle name="20% - Accent6 8 3 5" xfId="4008"/>
    <cellStyle name="20% - Accent6 8 3 5 2" xfId="15191"/>
    <cellStyle name="20% - Accent6 8 3 5 2 2" xfId="28583"/>
    <cellStyle name="20% - Accent6 8 3 5 3" xfId="19142"/>
    <cellStyle name="20% - Accent6 8 3 5 3 2" xfId="32421"/>
    <cellStyle name="20% - Accent6 8 3 5 4" xfId="23430"/>
    <cellStyle name="20% - Accent6 8 3 6" xfId="15183"/>
    <cellStyle name="20% - Accent6 8 3 6 2" xfId="28575"/>
    <cellStyle name="20% - Accent6 8 3 7" xfId="19134"/>
    <cellStyle name="20% - Accent6 8 3 7 2" xfId="32413"/>
    <cellStyle name="20% - Accent6 8 3 8" xfId="23422"/>
    <cellStyle name="20% - Accent6 8 3_Volatility" xfId="4009"/>
    <cellStyle name="20% - Accent6 8 4" xfId="4010"/>
    <cellStyle name="20% - Accent6 8 4 2" xfId="4011"/>
    <cellStyle name="20% - Accent6 8 4 2 2" xfId="15193"/>
    <cellStyle name="20% - Accent6 8 4 2 2 2" xfId="28585"/>
    <cellStyle name="20% - Accent6 8 4 2 3" xfId="19144"/>
    <cellStyle name="20% - Accent6 8 4 2 3 2" xfId="32423"/>
    <cellStyle name="20% - Accent6 8 4 2 4" xfId="23432"/>
    <cellStyle name="20% - Accent6 8 4 3" xfId="4012"/>
    <cellStyle name="20% - Accent6 8 4 3 2" xfId="15194"/>
    <cellStyle name="20% - Accent6 8 4 3 2 2" xfId="28586"/>
    <cellStyle name="20% - Accent6 8 4 3 3" xfId="19145"/>
    <cellStyle name="20% - Accent6 8 4 3 3 2" xfId="32424"/>
    <cellStyle name="20% - Accent6 8 4 3 4" xfId="23433"/>
    <cellStyle name="20% - Accent6 8 4 4" xfId="15192"/>
    <cellStyle name="20% - Accent6 8 4 4 2" xfId="28584"/>
    <cellStyle name="20% - Accent6 8 4 5" xfId="19143"/>
    <cellStyle name="20% - Accent6 8 4 5 2" xfId="32422"/>
    <cellStyle name="20% - Accent6 8 4 6" xfId="23431"/>
    <cellStyle name="20% - Accent6 8 5" xfId="4013"/>
    <cellStyle name="20% - Accent6 8 5 2" xfId="4014"/>
    <cellStyle name="20% - Accent6 8 5 2 2" xfId="15196"/>
    <cellStyle name="20% - Accent6 8 5 2 2 2" xfId="28588"/>
    <cellStyle name="20% - Accent6 8 5 2 3" xfId="19147"/>
    <cellStyle name="20% - Accent6 8 5 2 3 2" xfId="32426"/>
    <cellStyle name="20% - Accent6 8 5 2 4" xfId="23435"/>
    <cellStyle name="20% - Accent6 8 5 3" xfId="4015"/>
    <cellStyle name="20% - Accent6 8 5 3 2" xfId="15197"/>
    <cellStyle name="20% - Accent6 8 5 3 2 2" xfId="28589"/>
    <cellStyle name="20% - Accent6 8 5 3 3" xfId="19148"/>
    <cellStyle name="20% - Accent6 8 5 3 3 2" xfId="32427"/>
    <cellStyle name="20% - Accent6 8 5 3 4" xfId="23436"/>
    <cellStyle name="20% - Accent6 8 5 4" xfId="15195"/>
    <cellStyle name="20% - Accent6 8 5 4 2" xfId="28587"/>
    <cellStyle name="20% - Accent6 8 5 5" xfId="19146"/>
    <cellStyle name="20% - Accent6 8 5 5 2" xfId="32425"/>
    <cellStyle name="20% - Accent6 8 5 6" xfId="23434"/>
    <cellStyle name="20% - Accent6 8 6" xfId="4016"/>
    <cellStyle name="20% - Accent6 8 6 2" xfId="4017"/>
    <cellStyle name="20% - Accent6 8 6 2 2" xfId="15199"/>
    <cellStyle name="20% - Accent6 8 6 2 2 2" xfId="28591"/>
    <cellStyle name="20% - Accent6 8 6 2 3" xfId="19150"/>
    <cellStyle name="20% - Accent6 8 6 2 3 2" xfId="32429"/>
    <cellStyle name="20% - Accent6 8 6 2 4" xfId="23438"/>
    <cellStyle name="20% - Accent6 8 6 3" xfId="4018"/>
    <cellStyle name="20% - Accent6 8 6 3 2" xfId="15200"/>
    <cellStyle name="20% - Accent6 8 6 3 2 2" xfId="28592"/>
    <cellStyle name="20% - Accent6 8 6 3 3" xfId="19151"/>
    <cellStyle name="20% - Accent6 8 6 3 3 2" xfId="32430"/>
    <cellStyle name="20% - Accent6 8 6 3 4" xfId="23439"/>
    <cellStyle name="20% - Accent6 8 6 4" xfId="15198"/>
    <cellStyle name="20% - Accent6 8 6 4 2" xfId="28590"/>
    <cellStyle name="20% - Accent6 8 6 5" xfId="19149"/>
    <cellStyle name="20% - Accent6 8 6 5 2" xfId="32428"/>
    <cellStyle name="20% - Accent6 8 6 6" xfId="23437"/>
    <cellStyle name="20% - Accent6 8 7" xfId="4019"/>
    <cellStyle name="20% - Accent6 8 7 2" xfId="15201"/>
    <cellStyle name="20% - Accent6 8 7 2 2" xfId="28593"/>
    <cellStyle name="20% - Accent6 8 7 3" xfId="19152"/>
    <cellStyle name="20% - Accent6 8 7 3 2" xfId="32431"/>
    <cellStyle name="20% - Accent6 8 7 4" xfId="23440"/>
    <cellStyle name="20% - Accent6 8 8" xfId="4020"/>
    <cellStyle name="20% - Accent6 8 8 2" xfId="15202"/>
    <cellStyle name="20% - Accent6 8 8 2 2" xfId="28594"/>
    <cellStyle name="20% - Accent6 8 8 3" xfId="19153"/>
    <cellStyle name="20% - Accent6 8 8 3 2" xfId="32432"/>
    <cellStyle name="20% - Accent6 8 8 4" xfId="23441"/>
    <cellStyle name="20% - Accent6 8 9" xfId="15170"/>
    <cellStyle name="20% - Accent6 8 9 2" xfId="28562"/>
    <cellStyle name="20% - Accent6 8_Volatility" xfId="4021"/>
    <cellStyle name="20% - Accent6 9" xfId="4022"/>
    <cellStyle name="20% - Accent6 9 10" xfId="19154"/>
    <cellStyle name="20% - Accent6 9 10 2" xfId="32433"/>
    <cellStyle name="20% - Accent6 9 11" xfId="23442"/>
    <cellStyle name="20% - Accent6 9 2" xfId="4023"/>
    <cellStyle name="20% - Accent6 9 2 2" xfId="4024"/>
    <cellStyle name="20% - Accent6 9 2 2 2" xfId="4025"/>
    <cellStyle name="20% - Accent6 9 2 2 2 2" xfId="15206"/>
    <cellStyle name="20% - Accent6 9 2 2 2 2 2" xfId="28598"/>
    <cellStyle name="20% - Accent6 9 2 2 2 3" xfId="19157"/>
    <cellStyle name="20% - Accent6 9 2 2 2 3 2" xfId="32436"/>
    <cellStyle name="20% - Accent6 9 2 2 2 4" xfId="23445"/>
    <cellStyle name="20% - Accent6 9 2 2 3" xfId="4026"/>
    <cellStyle name="20% - Accent6 9 2 2 3 2" xfId="15207"/>
    <cellStyle name="20% - Accent6 9 2 2 3 2 2" xfId="28599"/>
    <cellStyle name="20% - Accent6 9 2 2 3 3" xfId="19158"/>
    <cellStyle name="20% - Accent6 9 2 2 3 3 2" xfId="32437"/>
    <cellStyle name="20% - Accent6 9 2 2 3 4" xfId="23446"/>
    <cellStyle name="20% - Accent6 9 2 2 4" xfId="15205"/>
    <cellStyle name="20% - Accent6 9 2 2 4 2" xfId="28597"/>
    <cellStyle name="20% - Accent6 9 2 2 5" xfId="19156"/>
    <cellStyle name="20% - Accent6 9 2 2 5 2" xfId="32435"/>
    <cellStyle name="20% - Accent6 9 2 2 6" xfId="23444"/>
    <cellStyle name="20% - Accent6 9 2 3" xfId="4027"/>
    <cellStyle name="20% - Accent6 9 2 3 2" xfId="4028"/>
    <cellStyle name="20% - Accent6 9 2 3 2 2" xfId="15209"/>
    <cellStyle name="20% - Accent6 9 2 3 2 2 2" xfId="28601"/>
    <cellStyle name="20% - Accent6 9 2 3 2 3" xfId="19160"/>
    <cellStyle name="20% - Accent6 9 2 3 2 3 2" xfId="32439"/>
    <cellStyle name="20% - Accent6 9 2 3 2 4" xfId="23448"/>
    <cellStyle name="20% - Accent6 9 2 3 3" xfId="4029"/>
    <cellStyle name="20% - Accent6 9 2 3 3 2" xfId="15210"/>
    <cellStyle name="20% - Accent6 9 2 3 3 2 2" xfId="28602"/>
    <cellStyle name="20% - Accent6 9 2 3 3 3" xfId="19161"/>
    <cellStyle name="20% - Accent6 9 2 3 3 3 2" xfId="32440"/>
    <cellStyle name="20% - Accent6 9 2 3 3 4" xfId="23449"/>
    <cellStyle name="20% - Accent6 9 2 3 4" xfId="15208"/>
    <cellStyle name="20% - Accent6 9 2 3 4 2" xfId="28600"/>
    <cellStyle name="20% - Accent6 9 2 3 5" xfId="19159"/>
    <cellStyle name="20% - Accent6 9 2 3 5 2" xfId="32438"/>
    <cellStyle name="20% - Accent6 9 2 3 6" xfId="23447"/>
    <cellStyle name="20% - Accent6 9 2 4" xfId="4030"/>
    <cellStyle name="20% - Accent6 9 2 4 2" xfId="4031"/>
    <cellStyle name="20% - Accent6 9 2 4 2 2" xfId="15212"/>
    <cellStyle name="20% - Accent6 9 2 4 2 2 2" xfId="28604"/>
    <cellStyle name="20% - Accent6 9 2 4 2 3" xfId="19163"/>
    <cellStyle name="20% - Accent6 9 2 4 2 3 2" xfId="32442"/>
    <cellStyle name="20% - Accent6 9 2 4 2 4" xfId="23451"/>
    <cellStyle name="20% - Accent6 9 2 4 3" xfId="4032"/>
    <cellStyle name="20% - Accent6 9 2 4 3 2" xfId="15213"/>
    <cellStyle name="20% - Accent6 9 2 4 3 2 2" xfId="28605"/>
    <cellStyle name="20% - Accent6 9 2 4 3 3" xfId="19164"/>
    <cellStyle name="20% - Accent6 9 2 4 3 3 2" xfId="32443"/>
    <cellStyle name="20% - Accent6 9 2 4 3 4" xfId="23452"/>
    <cellStyle name="20% - Accent6 9 2 4 4" xfId="15211"/>
    <cellStyle name="20% - Accent6 9 2 4 4 2" xfId="28603"/>
    <cellStyle name="20% - Accent6 9 2 4 5" xfId="19162"/>
    <cellStyle name="20% - Accent6 9 2 4 5 2" xfId="32441"/>
    <cellStyle name="20% - Accent6 9 2 4 6" xfId="23450"/>
    <cellStyle name="20% - Accent6 9 2 5" xfId="4033"/>
    <cellStyle name="20% - Accent6 9 2 5 2" xfId="15214"/>
    <cellStyle name="20% - Accent6 9 2 5 2 2" xfId="28606"/>
    <cellStyle name="20% - Accent6 9 2 5 3" xfId="19165"/>
    <cellStyle name="20% - Accent6 9 2 5 3 2" xfId="32444"/>
    <cellStyle name="20% - Accent6 9 2 5 4" xfId="23453"/>
    <cellStyle name="20% - Accent6 9 2 6" xfId="4034"/>
    <cellStyle name="20% - Accent6 9 2 6 2" xfId="15215"/>
    <cellStyle name="20% - Accent6 9 2 6 2 2" xfId="28607"/>
    <cellStyle name="20% - Accent6 9 2 6 3" xfId="19166"/>
    <cellStyle name="20% - Accent6 9 2 6 3 2" xfId="32445"/>
    <cellStyle name="20% - Accent6 9 2 6 4" xfId="23454"/>
    <cellStyle name="20% - Accent6 9 2 7" xfId="15204"/>
    <cellStyle name="20% - Accent6 9 2 7 2" xfId="28596"/>
    <cellStyle name="20% - Accent6 9 2 8" xfId="19155"/>
    <cellStyle name="20% - Accent6 9 2 8 2" xfId="32434"/>
    <cellStyle name="20% - Accent6 9 2 9" xfId="23443"/>
    <cellStyle name="20% - Accent6 9 2_Volatility" xfId="4035"/>
    <cellStyle name="20% - Accent6 9 3" xfId="4036"/>
    <cellStyle name="20% - Accent6 9 3 2" xfId="4037"/>
    <cellStyle name="20% - Accent6 9 3 2 2" xfId="4038"/>
    <cellStyle name="20% - Accent6 9 3 2 2 2" xfId="15218"/>
    <cellStyle name="20% - Accent6 9 3 2 2 2 2" xfId="28610"/>
    <cellStyle name="20% - Accent6 9 3 2 2 3" xfId="19169"/>
    <cellStyle name="20% - Accent6 9 3 2 2 3 2" xfId="32448"/>
    <cellStyle name="20% - Accent6 9 3 2 2 4" xfId="23457"/>
    <cellStyle name="20% - Accent6 9 3 2 3" xfId="4039"/>
    <cellStyle name="20% - Accent6 9 3 2 3 2" xfId="15219"/>
    <cellStyle name="20% - Accent6 9 3 2 3 2 2" xfId="28611"/>
    <cellStyle name="20% - Accent6 9 3 2 3 3" xfId="19170"/>
    <cellStyle name="20% - Accent6 9 3 2 3 3 2" xfId="32449"/>
    <cellStyle name="20% - Accent6 9 3 2 3 4" xfId="23458"/>
    <cellStyle name="20% - Accent6 9 3 2 4" xfId="15217"/>
    <cellStyle name="20% - Accent6 9 3 2 4 2" xfId="28609"/>
    <cellStyle name="20% - Accent6 9 3 2 5" xfId="19168"/>
    <cellStyle name="20% - Accent6 9 3 2 5 2" xfId="32447"/>
    <cellStyle name="20% - Accent6 9 3 2 6" xfId="23456"/>
    <cellStyle name="20% - Accent6 9 3 3" xfId="4040"/>
    <cellStyle name="20% - Accent6 9 3 3 2" xfId="4041"/>
    <cellStyle name="20% - Accent6 9 3 3 2 2" xfId="15221"/>
    <cellStyle name="20% - Accent6 9 3 3 2 2 2" xfId="28613"/>
    <cellStyle name="20% - Accent6 9 3 3 2 3" xfId="19172"/>
    <cellStyle name="20% - Accent6 9 3 3 2 3 2" xfId="32451"/>
    <cellStyle name="20% - Accent6 9 3 3 2 4" xfId="23460"/>
    <cellStyle name="20% - Accent6 9 3 3 3" xfId="4042"/>
    <cellStyle name="20% - Accent6 9 3 3 3 2" xfId="15222"/>
    <cellStyle name="20% - Accent6 9 3 3 3 2 2" xfId="28614"/>
    <cellStyle name="20% - Accent6 9 3 3 3 3" xfId="19173"/>
    <cellStyle name="20% - Accent6 9 3 3 3 3 2" xfId="32452"/>
    <cellStyle name="20% - Accent6 9 3 3 3 4" xfId="23461"/>
    <cellStyle name="20% - Accent6 9 3 3 4" xfId="15220"/>
    <cellStyle name="20% - Accent6 9 3 3 4 2" xfId="28612"/>
    <cellStyle name="20% - Accent6 9 3 3 5" xfId="19171"/>
    <cellStyle name="20% - Accent6 9 3 3 5 2" xfId="32450"/>
    <cellStyle name="20% - Accent6 9 3 3 6" xfId="23459"/>
    <cellStyle name="20% - Accent6 9 3 4" xfId="4043"/>
    <cellStyle name="20% - Accent6 9 3 4 2" xfId="15223"/>
    <cellStyle name="20% - Accent6 9 3 4 2 2" xfId="28615"/>
    <cellStyle name="20% - Accent6 9 3 4 3" xfId="19174"/>
    <cellStyle name="20% - Accent6 9 3 4 3 2" xfId="32453"/>
    <cellStyle name="20% - Accent6 9 3 4 4" xfId="23462"/>
    <cellStyle name="20% - Accent6 9 3 5" xfId="4044"/>
    <cellStyle name="20% - Accent6 9 3 5 2" xfId="15224"/>
    <cellStyle name="20% - Accent6 9 3 5 2 2" xfId="28616"/>
    <cellStyle name="20% - Accent6 9 3 5 3" xfId="19175"/>
    <cellStyle name="20% - Accent6 9 3 5 3 2" xfId="32454"/>
    <cellStyle name="20% - Accent6 9 3 5 4" xfId="23463"/>
    <cellStyle name="20% - Accent6 9 3 6" xfId="15216"/>
    <cellStyle name="20% - Accent6 9 3 6 2" xfId="28608"/>
    <cellStyle name="20% - Accent6 9 3 7" xfId="19167"/>
    <cellStyle name="20% - Accent6 9 3 7 2" xfId="32446"/>
    <cellStyle name="20% - Accent6 9 3 8" xfId="23455"/>
    <cellStyle name="20% - Accent6 9 3_Volatility" xfId="4045"/>
    <cellStyle name="20% - Accent6 9 4" xfId="4046"/>
    <cellStyle name="20% - Accent6 9 4 2" xfId="4047"/>
    <cellStyle name="20% - Accent6 9 4 2 2" xfId="15226"/>
    <cellStyle name="20% - Accent6 9 4 2 2 2" xfId="28618"/>
    <cellStyle name="20% - Accent6 9 4 2 3" xfId="19177"/>
    <cellStyle name="20% - Accent6 9 4 2 3 2" xfId="32456"/>
    <cellStyle name="20% - Accent6 9 4 2 4" xfId="23465"/>
    <cellStyle name="20% - Accent6 9 4 3" xfId="4048"/>
    <cellStyle name="20% - Accent6 9 4 3 2" xfId="15227"/>
    <cellStyle name="20% - Accent6 9 4 3 2 2" xfId="28619"/>
    <cellStyle name="20% - Accent6 9 4 3 3" xfId="19178"/>
    <cellStyle name="20% - Accent6 9 4 3 3 2" xfId="32457"/>
    <cellStyle name="20% - Accent6 9 4 3 4" xfId="23466"/>
    <cellStyle name="20% - Accent6 9 4 4" xfId="15225"/>
    <cellStyle name="20% - Accent6 9 4 4 2" xfId="28617"/>
    <cellStyle name="20% - Accent6 9 4 5" xfId="19176"/>
    <cellStyle name="20% - Accent6 9 4 5 2" xfId="32455"/>
    <cellStyle name="20% - Accent6 9 4 6" xfId="23464"/>
    <cellStyle name="20% - Accent6 9 5" xfId="4049"/>
    <cellStyle name="20% - Accent6 9 5 2" xfId="4050"/>
    <cellStyle name="20% - Accent6 9 5 2 2" xfId="15229"/>
    <cellStyle name="20% - Accent6 9 5 2 2 2" xfId="28621"/>
    <cellStyle name="20% - Accent6 9 5 2 3" xfId="19180"/>
    <cellStyle name="20% - Accent6 9 5 2 3 2" xfId="32459"/>
    <cellStyle name="20% - Accent6 9 5 2 4" xfId="23468"/>
    <cellStyle name="20% - Accent6 9 5 3" xfId="4051"/>
    <cellStyle name="20% - Accent6 9 5 3 2" xfId="15230"/>
    <cellStyle name="20% - Accent6 9 5 3 2 2" xfId="28622"/>
    <cellStyle name="20% - Accent6 9 5 3 3" xfId="19181"/>
    <cellStyle name="20% - Accent6 9 5 3 3 2" xfId="32460"/>
    <cellStyle name="20% - Accent6 9 5 3 4" xfId="23469"/>
    <cellStyle name="20% - Accent6 9 5 4" xfId="15228"/>
    <cellStyle name="20% - Accent6 9 5 4 2" xfId="28620"/>
    <cellStyle name="20% - Accent6 9 5 5" xfId="19179"/>
    <cellStyle name="20% - Accent6 9 5 5 2" xfId="32458"/>
    <cellStyle name="20% - Accent6 9 5 6" xfId="23467"/>
    <cellStyle name="20% - Accent6 9 6" xfId="4052"/>
    <cellStyle name="20% - Accent6 9 6 2" xfId="4053"/>
    <cellStyle name="20% - Accent6 9 6 2 2" xfId="15232"/>
    <cellStyle name="20% - Accent6 9 6 2 2 2" xfId="28624"/>
    <cellStyle name="20% - Accent6 9 6 2 3" xfId="19183"/>
    <cellStyle name="20% - Accent6 9 6 2 3 2" xfId="32462"/>
    <cellStyle name="20% - Accent6 9 6 2 4" xfId="23471"/>
    <cellStyle name="20% - Accent6 9 6 3" xfId="4054"/>
    <cellStyle name="20% - Accent6 9 6 3 2" xfId="15233"/>
    <cellStyle name="20% - Accent6 9 6 3 2 2" xfId="28625"/>
    <cellStyle name="20% - Accent6 9 6 3 3" xfId="19184"/>
    <cellStyle name="20% - Accent6 9 6 3 3 2" xfId="32463"/>
    <cellStyle name="20% - Accent6 9 6 3 4" xfId="23472"/>
    <cellStyle name="20% - Accent6 9 6 4" xfId="15231"/>
    <cellStyle name="20% - Accent6 9 6 4 2" xfId="28623"/>
    <cellStyle name="20% - Accent6 9 6 5" xfId="19182"/>
    <cellStyle name="20% - Accent6 9 6 5 2" xfId="32461"/>
    <cellStyle name="20% - Accent6 9 6 6" xfId="23470"/>
    <cellStyle name="20% - Accent6 9 7" xfId="4055"/>
    <cellStyle name="20% - Accent6 9 7 2" xfId="15234"/>
    <cellStyle name="20% - Accent6 9 7 2 2" xfId="28626"/>
    <cellStyle name="20% - Accent6 9 7 3" xfId="19185"/>
    <cellStyle name="20% - Accent6 9 7 3 2" xfId="32464"/>
    <cellStyle name="20% - Accent6 9 7 4" xfId="23473"/>
    <cellStyle name="20% - Accent6 9 8" xfId="4056"/>
    <cellStyle name="20% - Accent6 9 8 2" xfId="15235"/>
    <cellStyle name="20% - Accent6 9 8 2 2" xfId="28627"/>
    <cellStyle name="20% - Accent6 9 8 3" xfId="19186"/>
    <cellStyle name="20% - Accent6 9 8 3 2" xfId="32465"/>
    <cellStyle name="20% - Accent6 9 8 4" xfId="23474"/>
    <cellStyle name="20% - Accent6 9 9" xfId="15203"/>
    <cellStyle name="20% - Accent6 9 9 2" xfId="28595"/>
    <cellStyle name="20% - Accent6 9_Volatility" xfId="4057"/>
    <cellStyle name="20% - Ênfase1" xfId="4058"/>
    <cellStyle name="20% - Ênfase2" xfId="4059"/>
    <cellStyle name="20% - Ênfase3" xfId="4060"/>
    <cellStyle name="20% - Ênfase4" xfId="4061"/>
    <cellStyle name="20% - Ênfase5" xfId="4062"/>
    <cellStyle name="20% - Ênfase6" xfId="4063"/>
    <cellStyle name="20% - Énfasis1" xfId="4064"/>
    <cellStyle name="20% - Énfasis2" xfId="4065"/>
    <cellStyle name="20% - Énfasis3" xfId="4066"/>
    <cellStyle name="20% - Énfasis4" xfId="4067"/>
    <cellStyle name="20% - Énfasis5" xfId="4068"/>
    <cellStyle name="20% - Énfasis6" xfId="4069"/>
    <cellStyle name="20% - 강조색1" xfId="4070"/>
    <cellStyle name="20% - 강조색1 2" xfId="4071"/>
    <cellStyle name="20% - 강조색2" xfId="4072"/>
    <cellStyle name="20% - 강조색2 2" xfId="4073"/>
    <cellStyle name="20% - 강조색3" xfId="4074"/>
    <cellStyle name="20% - 강조색3 2" xfId="4075"/>
    <cellStyle name="20% - 강조색4" xfId="4076"/>
    <cellStyle name="20% - 강조색4 2" xfId="4077"/>
    <cellStyle name="20% - 강조색5" xfId="4078"/>
    <cellStyle name="20% - 강조색5 2" xfId="4079"/>
    <cellStyle name="20% - 강조색6" xfId="4080"/>
    <cellStyle name="20% - 강조색6 2" xfId="4081"/>
    <cellStyle name="2DecimalPercent" xfId="4082"/>
    <cellStyle name="2DecimalPercent 2" xfId="4083"/>
    <cellStyle name="2DecimalPercent 2 2" xfId="4084"/>
    <cellStyle name="2DecimalPercent 3" xfId="4085"/>
    <cellStyle name="2DecimalPercent 4" xfId="4086"/>
    <cellStyle name="2DecimalPercent 5" xfId="4087"/>
    <cellStyle name="2Decimals" xfId="4088"/>
    <cellStyle name="2Decimals 2" xfId="4089"/>
    <cellStyle name="2Decimals 2 2" xfId="4090"/>
    <cellStyle name="2Decimals 3" xfId="4091"/>
    <cellStyle name="2Decimals 4" xfId="4092"/>
    <cellStyle name="2Decimals 5" xfId="4093"/>
    <cellStyle name="2places" xfId="4094"/>
    <cellStyle name="³f¹ô[0]_P721-Spd" xfId="4095"/>
    <cellStyle name="³f¹ô_P721-Spd" xfId="4096"/>
    <cellStyle name="4 spaces" xfId="16346"/>
    <cellStyle name="40% - Accent1 10" xfId="4097"/>
    <cellStyle name="40% - Accent1 10 10" xfId="19187"/>
    <cellStyle name="40% - Accent1 10 10 2" xfId="32466"/>
    <cellStyle name="40% - Accent1 10 11" xfId="23475"/>
    <cellStyle name="40% - Accent1 10 2" xfId="4098"/>
    <cellStyle name="40% - Accent1 10 2 2" xfId="4099"/>
    <cellStyle name="40% - Accent1 10 2 2 2" xfId="4100"/>
    <cellStyle name="40% - Accent1 10 2 2 2 2" xfId="15239"/>
    <cellStyle name="40% - Accent1 10 2 2 2 2 2" xfId="28631"/>
    <cellStyle name="40% - Accent1 10 2 2 2 3" xfId="19190"/>
    <cellStyle name="40% - Accent1 10 2 2 2 3 2" xfId="32469"/>
    <cellStyle name="40% - Accent1 10 2 2 2 4" xfId="23478"/>
    <cellStyle name="40% - Accent1 10 2 2 3" xfId="4101"/>
    <cellStyle name="40% - Accent1 10 2 2 3 2" xfId="15240"/>
    <cellStyle name="40% - Accent1 10 2 2 3 2 2" xfId="28632"/>
    <cellStyle name="40% - Accent1 10 2 2 3 3" xfId="19191"/>
    <cellStyle name="40% - Accent1 10 2 2 3 3 2" xfId="32470"/>
    <cellStyle name="40% - Accent1 10 2 2 3 4" xfId="23479"/>
    <cellStyle name="40% - Accent1 10 2 2 4" xfId="15238"/>
    <cellStyle name="40% - Accent1 10 2 2 4 2" xfId="28630"/>
    <cellStyle name="40% - Accent1 10 2 2 5" xfId="19189"/>
    <cellStyle name="40% - Accent1 10 2 2 5 2" xfId="32468"/>
    <cellStyle name="40% - Accent1 10 2 2 6" xfId="23477"/>
    <cellStyle name="40% - Accent1 10 2 3" xfId="4102"/>
    <cellStyle name="40% - Accent1 10 2 3 2" xfId="4103"/>
    <cellStyle name="40% - Accent1 10 2 3 2 2" xfId="15242"/>
    <cellStyle name="40% - Accent1 10 2 3 2 2 2" xfId="28634"/>
    <cellStyle name="40% - Accent1 10 2 3 2 3" xfId="19193"/>
    <cellStyle name="40% - Accent1 10 2 3 2 3 2" xfId="32472"/>
    <cellStyle name="40% - Accent1 10 2 3 2 4" xfId="23481"/>
    <cellStyle name="40% - Accent1 10 2 3 3" xfId="4104"/>
    <cellStyle name="40% - Accent1 10 2 3 3 2" xfId="15243"/>
    <cellStyle name="40% - Accent1 10 2 3 3 2 2" xfId="28635"/>
    <cellStyle name="40% - Accent1 10 2 3 3 3" xfId="19194"/>
    <cellStyle name="40% - Accent1 10 2 3 3 3 2" xfId="32473"/>
    <cellStyle name="40% - Accent1 10 2 3 3 4" xfId="23482"/>
    <cellStyle name="40% - Accent1 10 2 3 4" xfId="15241"/>
    <cellStyle name="40% - Accent1 10 2 3 4 2" xfId="28633"/>
    <cellStyle name="40% - Accent1 10 2 3 5" xfId="19192"/>
    <cellStyle name="40% - Accent1 10 2 3 5 2" xfId="32471"/>
    <cellStyle name="40% - Accent1 10 2 3 6" xfId="23480"/>
    <cellStyle name="40% - Accent1 10 2 4" xfId="4105"/>
    <cellStyle name="40% - Accent1 10 2 4 2" xfId="4106"/>
    <cellStyle name="40% - Accent1 10 2 4 2 2" xfId="15245"/>
    <cellStyle name="40% - Accent1 10 2 4 2 2 2" xfId="28637"/>
    <cellStyle name="40% - Accent1 10 2 4 2 3" xfId="19196"/>
    <cellStyle name="40% - Accent1 10 2 4 2 3 2" xfId="32475"/>
    <cellStyle name="40% - Accent1 10 2 4 2 4" xfId="23484"/>
    <cellStyle name="40% - Accent1 10 2 4 3" xfId="4107"/>
    <cellStyle name="40% - Accent1 10 2 4 3 2" xfId="15246"/>
    <cellStyle name="40% - Accent1 10 2 4 3 2 2" xfId="28638"/>
    <cellStyle name="40% - Accent1 10 2 4 3 3" xfId="19197"/>
    <cellStyle name="40% - Accent1 10 2 4 3 3 2" xfId="32476"/>
    <cellStyle name="40% - Accent1 10 2 4 3 4" xfId="23485"/>
    <cellStyle name="40% - Accent1 10 2 4 4" xfId="15244"/>
    <cellStyle name="40% - Accent1 10 2 4 4 2" xfId="28636"/>
    <cellStyle name="40% - Accent1 10 2 4 5" xfId="19195"/>
    <cellStyle name="40% - Accent1 10 2 4 5 2" xfId="32474"/>
    <cellStyle name="40% - Accent1 10 2 4 6" xfId="23483"/>
    <cellStyle name="40% - Accent1 10 2 5" xfId="4108"/>
    <cellStyle name="40% - Accent1 10 2 5 2" xfId="15247"/>
    <cellStyle name="40% - Accent1 10 2 5 2 2" xfId="28639"/>
    <cellStyle name="40% - Accent1 10 2 5 3" xfId="19198"/>
    <cellStyle name="40% - Accent1 10 2 5 3 2" xfId="32477"/>
    <cellStyle name="40% - Accent1 10 2 5 4" xfId="23486"/>
    <cellStyle name="40% - Accent1 10 2 6" xfId="4109"/>
    <cellStyle name="40% - Accent1 10 2 6 2" xfId="15248"/>
    <cellStyle name="40% - Accent1 10 2 6 2 2" xfId="28640"/>
    <cellStyle name="40% - Accent1 10 2 6 3" xfId="19199"/>
    <cellStyle name="40% - Accent1 10 2 6 3 2" xfId="32478"/>
    <cellStyle name="40% - Accent1 10 2 6 4" xfId="23487"/>
    <cellStyle name="40% - Accent1 10 2 7" xfId="15237"/>
    <cellStyle name="40% - Accent1 10 2 7 2" xfId="28629"/>
    <cellStyle name="40% - Accent1 10 2 8" xfId="19188"/>
    <cellStyle name="40% - Accent1 10 2 8 2" xfId="32467"/>
    <cellStyle name="40% - Accent1 10 2 9" xfId="23476"/>
    <cellStyle name="40% - Accent1 10 2_Volatility" xfId="4110"/>
    <cellStyle name="40% - Accent1 10 3" xfId="4111"/>
    <cellStyle name="40% - Accent1 10 3 2" xfId="4112"/>
    <cellStyle name="40% - Accent1 10 3 2 2" xfId="4113"/>
    <cellStyle name="40% - Accent1 10 3 2 2 2" xfId="15251"/>
    <cellStyle name="40% - Accent1 10 3 2 2 2 2" xfId="28643"/>
    <cellStyle name="40% - Accent1 10 3 2 2 3" xfId="19202"/>
    <cellStyle name="40% - Accent1 10 3 2 2 3 2" xfId="32481"/>
    <cellStyle name="40% - Accent1 10 3 2 2 4" xfId="23490"/>
    <cellStyle name="40% - Accent1 10 3 2 3" xfId="4114"/>
    <cellStyle name="40% - Accent1 10 3 2 3 2" xfId="15252"/>
    <cellStyle name="40% - Accent1 10 3 2 3 2 2" xfId="28644"/>
    <cellStyle name="40% - Accent1 10 3 2 3 3" xfId="19203"/>
    <cellStyle name="40% - Accent1 10 3 2 3 3 2" xfId="32482"/>
    <cellStyle name="40% - Accent1 10 3 2 3 4" xfId="23491"/>
    <cellStyle name="40% - Accent1 10 3 2 4" xfId="15250"/>
    <cellStyle name="40% - Accent1 10 3 2 4 2" xfId="28642"/>
    <cellStyle name="40% - Accent1 10 3 2 5" xfId="19201"/>
    <cellStyle name="40% - Accent1 10 3 2 5 2" xfId="32480"/>
    <cellStyle name="40% - Accent1 10 3 2 6" xfId="23489"/>
    <cellStyle name="40% - Accent1 10 3 3" xfId="4115"/>
    <cellStyle name="40% - Accent1 10 3 3 2" xfId="4116"/>
    <cellStyle name="40% - Accent1 10 3 3 2 2" xfId="15254"/>
    <cellStyle name="40% - Accent1 10 3 3 2 2 2" xfId="28646"/>
    <cellStyle name="40% - Accent1 10 3 3 2 3" xfId="19205"/>
    <cellStyle name="40% - Accent1 10 3 3 2 3 2" xfId="32484"/>
    <cellStyle name="40% - Accent1 10 3 3 2 4" xfId="23493"/>
    <cellStyle name="40% - Accent1 10 3 3 3" xfId="4117"/>
    <cellStyle name="40% - Accent1 10 3 3 3 2" xfId="15255"/>
    <cellStyle name="40% - Accent1 10 3 3 3 2 2" xfId="28647"/>
    <cellStyle name="40% - Accent1 10 3 3 3 3" xfId="19206"/>
    <cellStyle name="40% - Accent1 10 3 3 3 3 2" xfId="32485"/>
    <cellStyle name="40% - Accent1 10 3 3 3 4" xfId="23494"/>
    <cellStyle name="40% - Accent1 10 3 3 4" xfId="15253"/>
    <cellStyle name="40% - Accent1 10 3 3 4 2" xfId="28645"/>
    <cellStyle name="40% - Accent1 10 3 3 5" xfId="19204"/>
    <cellStyle name="40% - Accent1 10 3 3 5 2" xfId="32483"/>
    <cellStyle name="40% - Accent1 10 3 3 6" xfId="23492"/>
    <cellStyle name="40% - Accent1 10 3 4" xfId="4118"/>
    <cellStyle name="40% - Accent1 10 3 4 2" xfId="15256"/>
    <cellStyle name="40% - Accent1 10 3 4 2 2" xfId="28648"/>
    <cellStyle name="40% - Accent1 10 3 4 3" xfId="19207"/>
    <cellStyle name="40% - Accent1 10 3 4 3 2" xfId="32486"/>
    <cellStyle name="40% - Accent1 10 3 4 4" xfId="23495"/>
    <cellStyle name="40% - Accent1 10 3 5" xfId="4119"/>
    <cellStyle name="40% - Accent1 10 3 5 2" xfId="15257"/>
    <cellStyle name="40% - Accent1 10 3 5 2 2" xfId="28649"/>
    <cellStyle name="40% - Accent1 10 3 5 3" xfId="19208"/>
    <cellStyle name="40% - Accent1 10 3 5 3 2" xfId="32487"/>
    <cellStyle name="40% - Accent1 10 3 5 4" xfId="23496"/>
    <cellStyle name="40% - Accent1 10 3 6" xfId="15249"/>
    <cellStyle name="40% - Accent1 10 3 6 2" xfId="28641"/>
    <cellStyle name="40% - Accent1 10 3 7" xfId="19200"/>
    <cellStyle name="40% - Accent1 10 3 7 2" xfId="32479"/>
    <cellStyle name="40% - Accent1 10 3 8" xfId="23488"/>
    <cellStyle name="40% - Accent1 10 3_Volatility" xfId="4120"/>
    <cellStyle name="40% - Accent1 10 4" xfId="4121"/>
    <cellStyle name="40% - Accent1 10 4 2" xfId="4122"/>
    <cellStyle name="40% - Accent1 10 4 2 2" xfId="15259"/>
    <cellStyle name="40% - Accent1 10 4 2 2 2" xfId="28651"/>
    <cellStyle name="40% - Accent1 10 4 2 3" xfId="19210"/>
    <cellStyle name="40% - Accent1 10 4 2 3 2" xfId="32489"/>
    <cellStyle name="40% - Accent1 10 4 2 4" xfId="23498"/>
    <cellStyle name="40% - Accent1 10 4 3" xfId="4123"/>
    <cellStyle name="40% - Accent1 10 4 3 2" xfId="15260"/>
    <cellStyle name="40% - Accent1 10 4 3 2 2" xfId="28652"/>
    <cellStyle name="40% - Accent1 10 4 3 3" xfId="19211"/>
    <cellStyle name="40% - Accent1 10 4 3 3 2" xfId="32490"/>
    <cellStyle name="40% - Accent1 10 4 3 4" xfId="23499"/>
    <cellStyle name="40% - Accent1 10 4 4" xfId="15258"/>
    <cellStyle name="40% - Accent1 10 4 4 2" xfId="28650"/>
    <cellStyle name="40% - Accent1 10 4 5" xfId="19209"/>
    <cellStyle name="40% - Accent1 10 4 5 2" xfId="32488"/>
    <cellStyle name="40% - Accent1 10 4 6" xfId="23497"/>
    <cellStyle name="40% - Accent1 10 5" xfId="4124"/>
    <cellStyle name="40% - Accent1 10 5 2" xfId="4125"/>
    <cellStyle name="40% - Accent1 10 5 2 2" xfId="15262"/>
    <cellStyle name="40% - Accent1 10 5 2 2 2" xfId="28654"/>
    <cellStyle name="40% - Accent1 10 5 2 3" xfId="19213"/>
    <cellStyle name="40% - Accent1 10 5 2 3 2" xfId="32492"/>
    <cellStyle name="40% - Accent1 10 5 2 4" xfId="23501"/>
    <cellStyle name="40% - Accent1 10 5 3" xfId="4126"/>
    <cellStyle name="40% - Accent1 10 5 3 2" xfId="15263"/>
    <cellStyle name="40% - Accent1 10 5 3 2 2" xfId="28655"/>
    <cellStyle name="40% - Accent1 10 5 3 3" xfId="19214"/>
    <cellStyle name="40% - Accent1 10 5 3 3 2" xfId="32493"/>
    <cellStyle name="40% - Accent1 10 5 3 4" xfId="23502"/>
    <cellStyle name="40% - Accent1 10 5 4" xfId="15261"/>
    <cellStyle name="40% - Accent1 10 5 4 2" xfId="28653"/>
    <cellStyle name="40% - Accent1 10 5 5" xfId="19212"/>
    <cellStyle name="40% - Accent1 10 5 5 2" xfId="32491"/>
    <cellStyle name="40% - Accent1 10 5 6" xfId="23500"/>
    <cellStyle name="40% - Accent1 10 6" xfId="4127"/>
    <cellStyle name="40% - Accent1 10 6 2" xfId="4128"/>
    <cellStyle name="40% - Accent1 10 6 2 2" xfId="15265"/>
    <cellStyle name="40% - Accent1 10 6 2 2 2" xfId="28657"/>
    <cellStyle name="40% - Accent1 10 6 2 3" xfId="19216"/>
    <cellStyle name="40% - Accent1 10 6 2 3 2" xfId="32495"/>
    <cellStyle name="40% - Accent1 10 6 2 4" xfId="23504"/>
    <cellStyle name="40% - Accent1 10 6 3" xfId="4129"/>
    <cellStyle name="40% - Accent1 10 6 3 2" xfId="15266"/>
    <cellStyle name="40% - Accent1 10 6 3 2 2" xfId="28658"/>
    <cellStyle name="40% - Accent1 10 6 3 3" xfId="19217"/>
    <cellStyle name="40% - Accent1 10 6 3 3 2" xfId="32496"/>
    <cellStyle name="40% - Accent1 10 6 3 4" xfId="23505"/>
    <cellStyle name="40% - Accent1 10 6 4" xfId="15264"/>
    <cellStyle name="40% - Accent1 10 6 4 2" xfId="28656"/>
    <cellStyle name="40% - Accent1 10 6 5" xfId="19215"/>
    <cellStyle name="40% - Accent1 10 6 5 2" xfId="32494"/>
    <cellStyle name="40% - Accent1 10 6 6" xfId="23503"/>
    <cellStyle name="40% - Accent1 10 7" xfId="4130"/>
    <cellStyle name="40% - Accent1 10 7 2" xfId="15267"/>
    <cellStyle name="40% - Accent1 10 7 2 2" xfId="28659"/>
    <cellStyle name="40% - Accent1 10 7 3" xfId="19218"/>
    <cellStyle name="40% - Accent1 10 7 3 2" xfId="32497"/>
    <cellStyle name="40% - Accent1 10 7 4" xfId="23506"/>
    <cellStyle name="40% - Accent1 10 8" xfId="4131"/>
    <cellStyle name="40% - Accent1 10 8 2" xfId="15268"/>
    <cellStyle name="40% - Accent1 10 8 2 2" xfId="28660"/>
    <cellStyle name="40% - Accent1 10 8 3" xfId="19219"/>
    <cellStyle name="40% - Accent1 10 8 3 2" xfId="32498"/>
    <cellStyle name="40% - Accent1 10 8 4" xfId="23507"/>
    <cellStyle name="40% - Accent1 10 9" xfId="15236"/>
    <cellStyle name="40% - Accent1 10 9 2" xfId="28628"/>
    <cellStyle name="40% - Accent1 10_Volatility" xfId="4132"/>
    <cellStyle name="40% - Accent1 11" xfId="4133"/>
    <cellStyle name="40% - Accent1 11 10" xfId="19220"/>
    <cellStyle name="40% - Accent1 11 10 2" xfId="32499"/>
    <cellStyle name="40% - Accent1 11 11" xfId="23508"/>
    <cellStyle name="40% - Accent1 11 2" xfId="4134"/>
    <cellStyle name="40% - Accent1 11 2 2" xfId="4135"/>
    <cellStyle name="40% - Accent1 11 2 2 2" xfId="4136"/>
    <cellStyle name="40% - Accent1 11 2 2 2 2" xfId="15272"/>
    <cellStyle name="40% - Accent1 11 2 2 2 2 2" xfId="28664"/>
    <cellStyle name="40% - Accent1 11 2 2 2 3" xfId="19223"/>
    <cellStyle name="40% - Accent1 11 2 2 2 3 2" xfId="32502"/>
    <cellStyle name="40% - Accent1 11 2 2 2 4" xfId="23511"/>
    <cellStyle name="40% - Accent1 11 2 2 3" xfId="4137"/>
    <cellStyle name="40% - Accent1 11 2 2 3 2" xfId="15273"/>
    <cellStyle name="40% - Accent1 11 2 2 3 2 2" xfId="28665"/>
    <cellStyle name="40% - Accent1 11 2 2 3 3" xfId="19224"/>
    <cellStyle name="40% - Accent1 11 2 2 3 3 2" xfId="32503"/>
    <cellStyle name="40% - Accent1 11 2 2 3 4" xfId="23512"/>
    <cellStyle name="40% - Accent1 11 2 2 4" xfId="15271"/>
    <cellStyle name="40% - Accent1 11 2 2 4 2" xfId="28663"/>
    <cellStyle name="40% - Accent1 11 2 2 5" xfId="19222"/>
    <cellStyle name="40% - Accent1 11 2 2 5 2" xfId="32501"/>
    <cellStyle name="40% - Accent1 11 2 2 6" xfId="23510"/>
    <cellStyle name="40% - Accent1 11 2 3" xfId="4138"/>
    <cellStyle name="40% - Accent1 11 2 3 2" xfId="4139"/>
    <cellStyle name="40% - Accent1 11 2 3 2 2" xfId="15275"/>
    <cellStyle name="40% - Accent1 11 2 3 2 2 2" xfId="28667"/>
    <cellStyle name="40% - Accent1 11 2 3 2 3" xfId="19226"/>
    <cellStyle name="40% - Accent1 11 2 3 2 3 2" xfId="32505"/>
    <cellStyle name="40% - Accent1 11 2 3 2 4" xfId="23514"/>
    <cellStyle name="40% - Accent1 11 2 3 3" xfId="4140"/>
    <cellStyle name="40% - Accent1 11 2 3 3 2" xfId="15276"/>
    <cellStyle name="40% - Accent1 11 2 3 3 2 2" xfId="28668"/>
    <cellStyle name="40% - Accent1 11 2 3 3 3" xfId="19227"/>
    <cellStyle name="40% - Accent1 11 2 3 3 3 2" xfId="32506"/>
    <cellStyle name="40% - Accent1 11 2 3 3 4" xfId="23515"/>
    <cellStyle name="40% - Accent1 11 2 3 4" xfId="15274"/>
    <cellStyle name="40% - Accent1 11 2 3 4 2" xfId="28666"/>
    <cellStyle name="40% - Accent1 11 2 3 5" xfId="19225"/>
    <cellStyle name="40% - Accent1 11 2 3 5 2" xfId="32504"/>
    <cellStyle name="40% - Accent1 11 2 3 6" xfId="23513"/>
    <cellStyle name="40% - Accent1 11 2 4" xfId="4141"/>
    <cellStyle name="40% - Accent1 11 2 4 2" xfId="4142"/>
    <cellStyle name="40% - Accent1 11 2 4 2 2" xfId="15278"/>
    <cellStyle name="40% - Accent1 11 2 4 2 2 2" xfId="28670"/>
    <cellStyle name="40% - Accent1 11 2 4 2 3" xfId="19229"/>
    <cellStyle name="40% - Accent1 11 2 4 2 3 2" xfId="32508"/>
    <cellStyle name="40% - Accent1 11 2 4 2 4" xfId="23517"/>
    <cellStyle name="40% - Accent1 11 2 4 3" xfId="4143"/>
    <cellStyle name="40% - Accent1 11 2 4 3 2" xfId="15279"/>
    <cellStyle name="40% - Accent1 11 2 4 3 2 2" xfId="28671"/>
    <cellStyle name="40% - Accent1 11 2 4 3 3" xfId="19230"/>
    <cellStyle name="40% - Accent1 11 2 4 3 3 2" xfId="32509"/>
    <cellStyle name="40% - Accent1 11 2 4 3 4" xfId="23518"/>
    <cellStyle name="40% - Accent1 11 2 4 4" xfId="15277"/>
    <cellStyle name="40% - Accent1 11 2 4 4 2" xfId="28669"/>
    <cellStyle name="40% - Accent1 11 2 4 5" xfId="19228"/>
    <cellStyle name="40% - Accent1 11 2 4 5 2" xfId="32507"/>
    <cellStyle name="40% - Accent1 11 2 4 6" xfId="23516"/>
    <cellStyle name="40% - Accent1 11 2 5" xfId="4144"/>
    <cellStyle name="40% - Accent1 11 2 5 2" xfId="15280"/>
    <cellStyle name="40% - Accent1 11 2 5 2 2" xfId="28672"/>
    <cellStyle name="40% - Accent1 11 2 5 3" xfId="19231"/>
    <cellStyle name="40% - Accent1 11 2 5 3 2" xfId="32510"/>
    <cellStyle name="40% - Accent1 11 2 5 4" xfId="23519"/>
    <cellStyle name="40% - Accent1 11 2 6" xfId="4145"/>
    <cellStyle name="40% - Accent1 11 2 6 2" xfId="15281"/>
    <cellStyle name="40% - Accent1 11 2 6 2 2" xfId="28673"/>
    <cellStyle name="40% - Accent1 11 2 6 3" xfId="19232"/>
    <cellStyle name="40% - Accent1 11 2 6 3 2" xfId="32511"/>
    <cellStyle name="40% - Accent1 11 2 6 4" xfId="23520"/>
    <cellStyle name="40% - Accent1 11 2 7" xfId="15270"/>
    <cellStyle name="40% - Accent1 11 2 7 2" xfId="28662"/>
    <cellStyle name="40% - Accent1 11 2 8" xfId="19221"/>
    <cellStyle name="40% - Accent1 11 2 8 2" xfId="32500"/>
    <cellStyle name="40% - Accent1 11 2 9" xfId="23509"/>
    <cellStyle name="40% - Accent1 11 2_Volatility" xfId="4146"/>
    <cellStyle name="40% - Accent1 11 3" xfId="4147"/>
    <cellStyle name="40% - Accent1 11 3 2" xfId="4148"/>
    <cellStyle name="40% - Accent1 11 3 2 2" xfId="4149"/>
    <cellStyle name="40% - Accent1 11 3 2 2 2" xfId="15284"/>
    <cellStyle name="40% - Accent1 11 3 2 2 2 2" xfId="28676"/>
    <cellStyle name="40% - Accent1 11 3 2 2 3" xfId="19235"/>
    <cellStyle name="40% - Accent1 11 3 2 2 3 2" xfId="32514"/>
    <cellStyle name="40% - Accent1 11 3 2 2 4" xfId="23523"/>
    <cellStyle name="40% - Accent1 11 3 2 3" xfId="4150"/>
    <cellStyle name="40% - Accent1 11 3 2 3 2" xfId="15285"/>
    <cellStyle name="40% - Accent1 11 3 2 3 2 2" xfId="28677"/>
    <cellStyle name="40% - Accent1 11 3 2 3 3" xfId="19236"/>
    <cellStyle name="40% - Accent1 11 3 2 3 3 2" xfId="32515"/>
    <cellStyle name="40% - Accent1 11 3 2 3 4" xfId="23524"/>
    <cellStyle name="40% - Accent1 11 3 2 4" xfId="15283"/>
    <cellStyle name="40% - Accent1 11 3 2 4 2" xfId="28675"/>
    <cellStyle name="40% - Accent1 11 3 2 5" xfId="19234"/>
    <cellStyle name="40% - Accent1 11 3 2 5 2" xfId="32513"/>
    <cellStyle name="40% - Accent1 11 3 2 6" xfId="23522"/>
    <cellStyle name="40% - Accent1 11 3 3" xfId="4151"/>
    <cellStyle name="40% - Accent1 11 3 3 2" xfId="4152"/>
    <cellStyle name="40% - Accent1 11 3 3 2 2" xfId="15287"/>
    <cellStyle name="40% - Accent1 11 3 3 2 2 2" xfId="28679"/>
    <cellStyle name="40% - Accent1 11 3 3 2 3" xfId="19238"/>
    <cellStyle name="40% - Accent1 11 3 3 2 3 2" xfId="32517"/>
    <cellStyle name="40% - Accent1 11 3 3 2 4" xfId="23526"/>
    <cellStyle name="40% - Accent1 11 3 3 3" xfId="4153"/>
    <cellStyle name="40% - Accent1 11 3 3 3 2" xfId="15288"/>
    <cellStyle name="40% - Accent1 11 3 3 3 2 2" xfId="28680"/>
    <cellStyle name="40% - Accent1 11 3 3 3 3" xfId="19239"/>
    <cellStyle name="40% - Accent1 11 3 3 3 3 2" xfId="32518"/>
    <cellStyle name="40% - Accent1 11 3 3 3 4" xfId="23527"/>
    <cellStyle name="40% - Accent1 11 3 3 4" xfId="15286"/>
    <cellStyle name="40% - Accent1 11 3 3 4 2" xfId="28678"/>
    <cellStyle name="40% - Accent1 11 3 3 5" xfId="19237"/>
    <cellStyle name="40% - Accent1 11 3 3 5 2" xfId="32516"/>
    <cellStyle name="40% - Accent1 11 3 3 6" xfId="23525"/>
    <cellStyle name="40% - Accent1 11 3 4" xfId="4154"/>
    <cellStyle name="40% - Accent1 11 3 4 2" xfId="15289"/>
    <cellStyle name="40% - Accent1 11 3 4 2 2" xfId="28681"/>
    <cellStyle name="40% - Accent1 11 3 4 3" xfId="19240"/>
    <cellStyle name="40% - Accent1 11 3 4 3 2" xfId="32519"/>
    <cellStyle name="40% - Accent1 11 3 4 4" xfId="23528"/>
    <cellStyle name="40% - Accent1 11 3 5" xfId="4155"/>
    <cellStyle name="40% - Accent1 11 3 5 2" xfId="15290"/>
    <cellStyle name="40% - Accent1 11 3 5 2 2" xfId="28682"/>
    <cellStyle name="40% - Accent1 11 3 5 3" xfId="19241"/>
    <cellStyle name="40% - Accent1 11 3 5 3 2" xfId="32520"/>
    <cellStyle name="40% - Accent1 11 3 5 4" xfId="23529"/>
    <cellStyle name="40% - Accent1 11 3 6" xfId="15282"/>
    <cellStyle name="40% - Accent1 11 3 6 2" xfId="28674"/>
    <cellStyle name="40% - Accent1 11 3 7" xfId="19233"/>
    <cellStyle name="40% - Accent1 11 3 7 2" xfId="32512"/>
    <cellStyle name="40% - Accent1 11 3 8" xfId="23521"/>
    <cellStyle name="40% - Accent1 11 3_Volatility" xfId="4156"/>
    <cellStyle name="40% - Accent1 11 4" xfId="4157"/>
    <cellStyle name="40% - Accent1 11 4 2" xfId="4158"/>
    <cellStyle name="40% - Accent1 11 4 2 2" xfId="15292"/>
    <cellStyle name="40% - Accent1 11 4 2 2 2" xfId="28684"/>
    <cellStyle name="40% - Accent1 11 4 2 3" xfId="19243"/>
    <cellStyle name="40% - Accent1 11 4 2 3 2" xfId="32522"/>
    <cellStyle name="40% - Accent1 11 4 2 4" xfId="23531"/>
    <cellStyle name="40% - Accent1 11 4 3" xfId="4159"/>
    <cellStyle name="40% - Accent1 11 4 3 2" xfId="15293"/>
    <cellStyle name="40% - Accent1 11 4 3 2 2" xfId="28685"/>
    <cellStyle name="40% - Accent1 11 4 3 3" xfId="19244"/>
    <cellStyle name="40% - Accent1 11 4 3 3 2" xfId="32523"/>
    <cellStyle name="40% - Accent1 11 4 3 4" xfId="23532"/>
    <cellStyle name="40% - Accent1 11 4 4" xfId="15291"/>
    <cellStyle name="40% - Accent1 11 4 4 2" xfId="28683"/>
    <cellStyle name="40% - Accent1 11 4 5" xfId="19242"/>
    <cellStyle name="40% - Accent1 11 4 5 2" xfId="32521"/>
    <cellStyle name="40% - Accent1 11 4 6" xfId="23530"/>
    <cellStyle name="40% - Accent1 11 5" xfId="4160"/>
    <cellStyle name="40% - Accent1 11 5 2" xfId="4161"/>
    <cellStyle name="40% - Accent1 11 5 2 2" xfId="15295"/>
    <cellStyle name="40% - Accent1 11 5 2 2 2" xfId="28687"/>
    <cellStyle name="40% - Accent1 11 5 2 3" xfId="19246"/>
    <cellStyle name="40% - Accent1 11 5 2 3 2" xfId="32525"/>
    <cellStyle name="40% - Accent1 11 5 2 4" xfId="23534"/>
    <cellStyle name="40% - Accent1 11 5 3" xfId="4162"/>
    <cellStyle name="40% - Accent1 11 5 3 2" xfId="15296"/>
    <cellStyle name="40% - Accent1 11 5 3 2 2" xfId="28688"/>
    <cellStyle name="40% - Accent1 11 5 3 3" xfId="19247"/>
    <cellStyle name="40% - Accent1 11 5 3 3 2" xfId="32526"/>
    <cellStyle name="40% - Accent1 11 5 3 4" xfId="23535"/>
    <cellStyle name="40% - Accent1 11 5 4" xfId="15294"/>
    <cellStyle name="40% - Accent1 11 5 4 2" xfId="28686"/>
    <cellStyle name="40% - Accent1 11 5 5" xfId="19245"/>
    <cellStyle name="40% - Accent1 11 5 5 2" xfId="32524"/>
    <cellStyle name="40% - Accent1 11 5 6" xfId="23533"/>
    <cellStyle name="40% - Accent1 11 6" xfId="4163"/>
    <cellStyle name="40% - Accent1 11 6 2" xfId="4164"/>
    <cellStyle name="40% - Accent1 11 6 2 2" xfId="15298"/>
    <cellStyle name="40% - Accent1 11 6 2 2 2" xfId="28690"/>
    <cellStyle name="40% - Accent1 11 6 2 3" xfId="19249"/>
    <cellStyle name="40% - Accent1 11 6 2 3 2" xfId="32528"/>
    <cellStyle name="40% - Accent1 11 6 2 4" xfId="23537"/>
    <cellStyle name="40% - Accent1 11 6 3" xfId="4165"/>
    <cellStyle name="40% - Accent1 11 6 3 2" xfId="15299"/>
    <cellStyle name="40% - Accent1 11 6 3 2 2" xfId="28691"/>
    <cellStyle name="40% - Accent1 11 6 3 3" xfId="19250"/>
    <cellStyle name="40% - Accent1 11 6 3 3 2" xfId="32529"/>
    <cellStyle name="40% - Accent1 11 6 3 4" xfId="23538"/>
    <cellStyle name="40% - Accent1 11 6 4" xfId="15297"/>
    <cellStyle name="40% - Accent1 11 6 4 2" xfId="28689"/>
    <cellStyle name="40% - Accent1 11 6 5" xfId="19248"/>
    <cellStyle name="40% - Accent1 11 6 5 2" xfId="32527"/>
    <cellStyle name="40% - Accent1 11 6 6" xfId="23536"/>
    <cellStyle name="40% - Accent1 11 7" xfId="4166"/>
    <cellStyle name="40% - Accent1 11 7 2" xfId="15300"/>
    <cellStyle name="40% - Accent1 11 7 2 2" xfId="28692"/>
    <cellStyle name="40% - Accent1 11 7 3" xfId="19251"/>
    <cellStyle name="40% - Accent1 11 7 3 2" xfId="32530"/>
    <cellStyle name="40% - Accent1 11 7 4" xfId="23539"/>
    <cellStyle name="40% - Accent1 11 8" xfId="4167"/>
    <cellStyle name="40% - Accent1 11 8 2" xfId="15301"/>
    <cellStyle name="40% - Accent1 11 8 2 2" xfId="28693"/>
    <cellStyle name="40% - Accent1 11 8 3" xfId="19252"/>
    <cellStyle name="40% - Accent1 11 8 3 2" xfId="32531"/>
    <cellStyle name="40% - Accent1 11 8 4" xfId="23540"/>
    <cellStyle name="40% - Accent1 11 9" xfId="15269"/>
    <cellStyle name="40% - Accent1 11 9 2" xfId="28661"/>
    <cellStyle name="40% - Accent1 11_Volatility" xfId="4168"/>
    <cellStyle name="40% - Accent1 12" xfId="4169"/>
    <cellStyle name="40% - Accent1 12 10" xfId="19253"/>
    <cellStyle name="40% - Accent1 12 10 2" xfId="32532"/>
    <cellStyle name="40% - Accent1 12 11" xfId="23541"/>
    <cellStyle name="40% - Accent1 12 2" xfId="4170"/>
    <cellStyle name="40% - Accent1 12 2 2" xfId="4171"/>
    <cellStyle name="40% - Accent1 12 2 2 2" xfId="4172"/>
    <cellStyle name="40% - Accent1 12 2 2 2 2" xfId="15305"/>
    <cellStyle name="40% - Accent1 12 2 2 2 2 2" xfId="28697"/>
    <cellStyle name="40% - Accent1 12 2 2 2 3" xfId="19256"/>
    <cellStyle name="40% - Accent1 12 2 2 2 3 2" xfId="32535"/>
    <cellStyle name="40% - Accent1 12 2 2 2 4" xfId="23544"/>
    <cellStyle name="40% - Accent1 12 2 2 3" xfId="4173"/>
    <cellStyle name="40% - Accent1 12 2 2 3 2" xfId="15306"/>
    <cellStyle name="40% - Accent1 12 2 2 3 2 2" xfId="28698"/>
    <cellStyle name="40% - Accent1 12 2 2 3 3" xfId="19257"/>
    <cellStyle name="40% - Accent1 12 2 2 3 3 2" xfId="32536"/>
    <cellStyle name="40% - Accent1 12 2 2 3 4" xfId="23545"/>
    <cellStyle name="40% - Accent1 12 2 2 4" xfId="15304"/>
    <cellStyle name="40% - Accent1 12 2 2 4 2" xfId="28696"/>
    <cellStyle name="40% - Accent1 12 2 2 5" xfId="19255"/>
    <cellStyle name="40% - Accent1 12 2 2 5 2" xfId="32534"/>
    <cellStyle name="40% - Accent1 12 2 2 6" xfId="23543"/>
    <cellStyle name="40% - Accent1 12 2 3" xfId="4174"/>
    <cellStyle name="40% - Accent1 12 2 3 2" xfId="4175"/>
    <cellStyle name="40% - Accent1 12 2 3 2 2" xfId="15308"/>
    <cellStyle name="40% - Accent1 12 2 3 2 2 2" xfId="28700"/>
    <cellStyle name="40% - Accent1 12 2 3 2 3" xfId="19259"/>
    <cellStyle name="40% - Accent1 12 2 3 2 3 2" xfId="32538"/>
    <cellStyle name="40% - Accent1 12 2 3 2 4" xfId="23547"/>
    <cellStyle name="40% - Accent1 12 2 3 3" xfId="4176"/>
    <cellStyle name="40% - Accent1 12 2 3 3 2" xfId="15309"/>
    <cellStyle name="40% - Accent1 12 2 3 3 2 2" xfId="28701"/>
    <cellStyle name="40% - Accent1 12 2 3 3 3" xfId="19260"/>
    <cellStyle name="40% - Accent1 12 2 3 3 3 2" xfId="32539"/>
    <cellStyle name="40% - Accent1 12 2 3 3 4" xfId="23548"/>
    <cellStyle name="40% - Accent1 12 2 3 4" xfId="15307"/>
    <cellStyle name="40% - Accent1 12 2 3 4 2" xfId="28699"/>
    <cellStyle name="40% - Accent1 12 2 3 5" xfId="19258"/>
    <cellStyle name="40% - Accent1 12 2 3 5 2" xfId="32537"/>
    <cellStyle name="40% - Accent1 12 2 3 6" xfId="23546"/>
    <cellStyle name="40% - Accent1 12 2 4" xfId="4177"/>
    <cellStyle name="40% - Accent1 12 2 4 2" xfId="4178"/>
    <cellStyle name="40% - Accent1 12 2 4 2 2" xfId="15311"/>
    <cellStyle name="40% - Accent1 12 2 4 2 2 2" xfId="28703"/>
    <cellStyle name="40% - Accent1 12 2 4 2 3" xfId="19262"/>
    <cellStyle name="40% - Accent1 12 2 4 2 3 2" xfId="32541"/>
    <cellStyle name="40% - Accent1 12 2 4 2 4" xfId="23550"/>
    <cellStyle name="40% - Accent1 12 2 4 3" xfId="4179"/>
    <cellStyle name="40% - Accent1 12 2 4 3 2" xfId="15312"/>
    <cellStyle name="40% - Accent1 12 2 4 3 2 2" xfId="28704"/>
    <cellStyle name="40% - Accent1 12 2 4 3 3" xfId="19263"/>
    <cellStyle name="40% - Accent1 12 2 4 3 3 2" xfId="32542"/>
    <cellStyle name="40% - Accent1 12 2 4 3 4" xfId="23551"/>
    <cellStyle name="40% - Accent1 12 2 4 4" xfId="15310"/>
    <cellStyle name="40% - Accent1 12 2 4 4 2" xfId="28702"/>
    <cellStyle name="40% - Accent1 12 2 4 5" xfId="19261"/>
    <cellStyle name="40% - Accent1 12 2 4 5 2" xfId="32540"/>
    <cellStyle name="40% - Accent1 12 2 4 6" xfId="23549"/>
    <cellStyle name="40% - Accent1 12 2 5" xfId="4180"/>
    <cellStyle name="40% - Accent1 12 2 5 2" xfId="15313"/>
    <cellStyle name="40% - Accent1 12 2 5 2 2" xfId="28705"/>
    <cellStyle name="40% - Accent1 12 2 5 3" xfId="19264"/>
    <cellStyle name="40% - Accent1 12 2 5 3 2" xfId="32543"/>
    <cellStyle name="40% - Accent1 12 2 5 4" xfId="23552"/>
    <cellStyle name="40% - Accent1 12 2 6" xfId="4181"/>
    <cellStyle name="40% - Accent1 12 2 6 2" xfId="15314"/>
    <cellStyle name="40% - Accent1 12 2 6 2 2" xfId="28706"/>
    <cellStyle name="40% - Accent1 12 2 6 3" xfId="19265"/>
    <cellStyle name="40% - Accent1 12 2 6 3 2" xfId="32544"/>
    <cellStyle name="40% - Accent1 12 2 6 4" xfId="23553"/>
    <cellStyle name="40% - Accent1 12 2 7" xfId="15303"/>
    <cellStyle name="40% - Accent1 12 2 7 2" xfId="28695"/>
    <cellStyle name="40% - Accent1 12 2 8" xfId="19254"/>
    <cellStyle name="40% - Accent1 12 2 8 2" xfId="32533"/>
    <cellStyle name="40% - Accent1 12 2 9" xfId="23542"/>
    <cellStyle name="40% - Accent1 12 2_Volatility" xfId="4182"/>
    <cellStyle name="40% - Accent1 12 3" xfId="4183"/>
    <cellStyle name="40% - Accent1 12 3 2" xfId="4184"/>
    <cellStyle name="40% - Accent1 12 3 2 2" xfId="4185"/>
    <cellStyle name="40% - Accent1 12 3 2 2 2" xfId="15317"/>
    <cellStyle name="40% - Accent1 12 3 2 2 2 2" xfId="28709"/>
    <cellStyle name="40% - Accent1 12 3 2 2 3" xfId="19268"/>
    <cellStyle name="40% - Accent1 12 3 2 2 3 2" xfId="32547"/>
    <cellStyle name="40% - Accent1 12 3 2 2 4" xfId="23556"/>
    <cellStyle name="40% - Accent1 12 3 2 3" xfId="4186"/>
    <cellStyle name="40% - Accent1 12 3 2 3 2" xfId="15318"/>
    <cellStyle name="40% - Accent1 12 3 2 3 2 2" xfId="28710"/>
    <cellStyle name="40% - Accent1 12 3 2 3 3" xfId="19269"/>
    <cellStyle name="40% - Accent1 12 3 2 3 3 2" xfId="32548"/>
    <cellStyle name="40% - Accent1 12 3 2 3 4" xfId="23557"/>
    <cellStyle name="40% - Accent1 12 3 2 4" xfId="15316"/>
    <cellStyle name="40% - Accent1 12 3 2 4 2" xfId="28708"/>
    <cellStyle name="40% - Accent1 12 3 2 5" xfId="19267"/>
    <cellStyle name="40% - Accent1 12 3 2 5 2" xfId="32546"/>
    <cellStyle name="40% - Accent1 12 3 2 6" xfId="23555"/>
    <cellStyle name="40% - Accent1 12 3 3" xfId="4187"/>
    <cellStyle name="40% - Accent1 12 3 3 2" xfId="4188"/>
    <cellStyle name="40% - Accent1 12 3 3 2 2" xfId="15320"/>
    <cellStyle name="40% - Accent1 12 3 3 2 2 2" xfId="28712"/>
    <cellStyle name="40% - Accent1 12 3 3 2 3" xfId="19271"/>
    <cellStyle name="40% - Accent1 12 3 3 2 3 2" xfId="32550"/>
    <cellStyle name="40% - Accent1 12 3 3 2 4" xfId="23559"/>
    <cellStyle name="40% - Accent1 12 3 3 3" xfId="4189"/>
    <cellStyle name="40% - Accent1 12 3 3 3 2" xfId="15321"/>
    <cellStyle name="40% - Accent1 12 3 3 3 2 2" xfId="28713"/>
    <cellStyle name="40% - Accent1 12 3 3 3 3" xfId="19272"/>
    <cellStyle name="40% - Accent1 12 3 3 3 3 2" xfId="32551"/>
    <cellStyle name="40% - Accent1 12 3 3 3 4" xfId="23560"/>
    <cellStyle name="40% - Accent1 12 3 3 4" xfId="15319"/>
    <cellStyle name="40% - Accent1 12 3 3 4 2" xfId="28711"/>
    <cellStyle name="40% - Accent1 12 3 3 5" xfId="19270"/>
    <cellStyle name="40% - Accent1 12 3 3 5 2" xfId="32549"/>
    <cellStyle name="40% - Accent1 12 3 3 6" xfId="23558"/>
    <cellStyle name="40% - Accent1 12 3 4" xfId="4190"/>
    <cellStyle name="40% - Accent1 12 3 4 2" xfId="15322"/>
    <cellStyle name="40% - Accent1 12 3 4 2 2" xfId="28714"/>
    <cellStyle name="40% - Accent1 12 3 4 3" xfId="19273"/>
    <cellStyle name="40% - Accent1 12 3 4 3 2" xfId="32552"/>
    <cellStyle name="40% - Accent1 12 3 4 4" xfId="23561"/>
    <cellStyle name="40% - Accent1 12 3 5" xfId="4191"/>
    <cellStyle name="40% - Accent1 12 3 5 2" xfId="15323"/>
    <cellStyle name="40% - Accent1 12 3 5 2 2" xfId="28715"/>
    <cellStyle name="40% - Accent1 12 3 5 3" xfId="19274"/>
    <cellStyle name="40% - Accent1 12 3 5 3 2" xfId="32553"/>
    <cellStyle name="40% - Accent1 12 3 5 4" xfId="23562"/>
    <cellStyle name="40% - Accent1 12 3 6" xfId="15315"/>
    <cellStyle name="40% - Accent1 12 3 6 2" xfId="28707"/>
    <cellStyle name="40% - Accent1 12 3 7" xfId="19266"/>
    <cellStyle name="40% - Accent1 12 3 7 2" xfId="32545"/>
    <cellStyle name="40% - Accent1 12 3 8" xfId="23554"/>
    <cellStyle name="40% - Accent1 12 3_Volatility" xfId="4192"/>
    <cellStyle name="40% - Accent1 12 4" xfId="4193"/>
    <cellStyle name="40% - Accent1 12 4 2" xfId="4194"/>
    <cellStyle name="40% - Accent1 12 4 2 2" xfId="15325"/>
    <cellStyle name="40% - Accent1 12 4 2 2 2" xfId="28717"/>
    <cellStyle name="40% - Accent1 12 4 2 3" xfId="19276"/>
    <cellStyle name="40% - Accent1 12 4 2 3 2" xfId="32555"/>
    <cellStyle name="40% - Accent1 12 4 2 4" xfId="23564"/>
    <cellStyle name="40% - Accent1 12 4 3" xfId="4195"/>
    <cellStyle name="40% - Accent1 12 4 3 2" xfId="15326"/>
    <cellStyle name="40% - Accent1 12 4 3 2 2" xfId="28718"/>
    <cellStyle name="40% - Accent1 12 4 3 3" xfId="19277"/>
    <cellStyle name="40% - Accent1 12 4 3 3 2" xfId="32556"/>
    <cellStyle name="40% - Accent1 12 4 3 4" xfId="23565"/>
    <cellStyle name="40% - Accent1 12 4 4" xfId="15324"/>
    <cellStyle name="40% - Accent1 12 4 4 2" xfId="28716"/>
    <cellStyle name="40% - Accent1 12 4 5" xfId="19275"/>
    <cellStyle name="40% - Accent1 12 4 5 2" xfId="32554"/>
    <cellStyle name="40% - Accent1 12 4 6" xfId="23563"/>
    <cellStyle name="40% - Accent1 12 5" xfId="4196"/>
    <cellStyle name="40% - Accent1 12 5 2" xfId="4197"/>
    <cellStyle name="40% - Accent1 12 5 2 2" xfId="15328"/>
    <cellStyle name="40% - Accent1 12 5 2 2 2" xfId="28720"/>
    <cellStyle name="40% - Accent1 12 5 2 3" xfId="19279"/>
    <cellStyle name="40% - Accent1 12 5 2 3 2" xfId="32558"/>
    <cellStyle name="40% - Accent1 12 5 2 4" xfId="23567"/>
    <cellStyle name="40% - Accent1 12 5 3" xfId="4198"/>
    <cellStyle name="40% - Accent1 12 5 3 2" xfId="15329"/>
    <cellStyle name="40% - Accent1 12 5 3 2 2" xfId="28721"/>
    <cellStyle name="40% - Accent1 12 5 3 3" xfId="19280"/>
    <cellStyle name="40% - Accent1 12 5 3 3 2" xfId="32559"/>
    <cellStyle name="40% - Accent1 12 5 3 4" xfId="23568"/>
    <cellStyle name="40% - Accent1 12 5 4" xfId="15327"/>
    <cellStyle name="40% - Accent1 12 5 4 2" xfId="28719"/>
    <cellStyle name="40% - Accent1 12 5 5" xfId="19278"/>
    <cellStyle name="40% - Accent1 12 5 5 2" xfId="32557"/>
    <cellStyle name="40% - Accent1 12 5 6" xfId="23566"/>
    <cellStyle name="40% - Accent1 12 6" xfId="4199"/>
    <cellStyle name="40% - Accent1 12 6 2" xfId="4200"/>
    <cellStyle name="40% - Accent1 12 6 2 2" xfId="15331"/>
    <cellStyle name="40% - Accent1 12 6 2 2 2" xfId="28723"/>
    <cellStyle name="40% - Accent1 12 6 2 3" xfId="19282"/>
    <cellStyle name="40% - Accent1 12 6 2 3 2" xfId="32561"/>
    <cellStyle name="40% - Accent1 12 6 2 4" xfId="23570"/>
    <cellStyle name="40% - Accent1 12 6 3" xfId="4201"/>
    <cellStyle name="40% - Accent1 12 6 3 2" xfId="15332"/>
    <cellStyle name="40% - Accent1 12 6 3 2 2" xfId="28724"/>
    <cellStyle name="40% - Accent1 12 6 3 3" xfId="19283"/>
    <cellStyle name="40% - Accent1 12 6 3 3 2" xfId="32562"/>
    <cellStyle name="40% - Accent1 12 6 3 4" xfId="23571"/>
    <cellStyle name="40% - Accent1 12 6 4" xfId="15330"/>
    <cellStyle name="40% - Accent1 12 6 4 2" xfId="28722"/>
    <cellStyle name="40% - Accent1 12 6 5" xfId="19281"/>
    <cellStyle name="40% - Accent1 12 6 5 2" xfId="32560"/>
    <cellStyle name="40% - Accent1 12 6 6" xfId="23569"/>
    <cellStyle name="40% - Accent1 12 7" xfId="4202"/>
    <cellStyle name="40% - Accent1 12 7 2" xfId="15333"/>
    <cellStyle name="40% - Accent1 12 7 2 2" xfId="28725"/>
    <cellStyle name="40% - Accent1 12 7 3" xfId="19284"/>
    <cellStyle name="40% - Accent1 12 7 3 2" xfId="32563"/>
    <cellStyle name="40% - Accent1 12 7 4" xfId="23572"/>
    <cellStyle name="40% - Accent1 12 8" xfId="4203"/>
    <cellStyle name="40% - Accent1 12 8 2" xfId="15334"/>
    <cellStyle name="40% - Accent1 12 8 2 2" xfId="28726"/>
    <cellStyle name="40% - Accent1 12 8 3" xfId="19285"/>
    <cellStyle name="40% - Accent1 12 8 3 2" xfId="32564"/>
    <cellStyle name="40% - Accent1 12 8 4" xfId="23573"/>
    <cellStyle name="40% - Accent1 12 9" xfId="15302"/>
    <cellStyle name="40% - Accent1 12 9 2" xfId="28694"/>
    <cellStyle name="40% - Accent1 12_Volatility" xfId="4204"/>
    <cellStyle name="40% - Accent1 13" xfId="4205"/>
    <cellStyle name="40% - Accent1 13 10" xfId="19286"/>
    <cellStyle name="40% - Accent1 13 10 2" xfId="32565"/>
    <cellStyle name="40% - Accent1 13 11" xfId="23574"/>
    <cellStyle name="40% - Accent1 13 2" xfId="4206"/>
    <cellStyle name="40% - Accent1 13 2 2" xfId="4207"/>
    <cellStyle name="40% - Accent1 13 2 2 2" xfId="4208"/>
    <cellStyle name="40% - Accent1 13 2 2 2 2" xfId="15338"/>
    <cellStyle name="40% - Accent1 13 2 2 2 2 2" xfId="28730"/>
    <cellStyle name="40% - Accent1 13 2 2 2 3" xfId="19289"/>
    <cellStyle name="40% - Accent1 13 2 2 2 3 2" xfId="32568"/>
    <cellStyle name="40% - Accent1 13 2 2 2 4" xfId="23577"/>
    <cellStyle name="40% - Accent1 13 2 2 3" xfId="4209"/>
    <cellStyle name="40% - Accent1 13 2 2 3 2" xfId="15339"/>
    <cellStyle name="40% - Accent1 13 2 2 3 2 2" xfId="28731"/>
    <cellStyle name="40% - Accent1 13 2 2 3 3" xfId="19290"/>
    <cellStyle name="40% - Accent1 13 2 2 3 3 2" xfId="32569"/>
    <cellStyle name="40% - Accent1 13 2 2 3 4" xfId="23578"/>
    <cellStyle name="40% - Accent1 13 2 2 4" xfId="15337"/>
    <cellStyle name="40% - Accent1 13 2 2 4 2" xfId="28729"/>
    <cellStyle name="40% - Accent1 13 2 2 5" xfId="19288"/>
    <cellStyle name="40% - Accent1 13 2 2 5 2" xfId="32567"/>
    <cellStyle name="40% - Accent1 13 2 2 6" xfId="23576"/>
    <cellStyle name="40% - Accent1 13 2 3" xfId="4210"/>
    <cellStyle name="40% - Accent1 13 2 3 2" xfId="4211"/>
    <cellStyle name="40% - Accent1 13 2 3 2 2" xfId="15341"/>
    <cellStyle name="40% - Accent1 13 2 3 2 2 2" xfId="28733"/>
    <cellStyle name="40% - Accent1 13 2 3 2 3" xfId="19292"/>
    <cellStyle name="40% - Accent1 13 2 3 2 3 2" xfId="32571"/>
    <cellStyle name="40% - Accent1 13 2 3 2 4" xfId="23580"/>
    <cellStyle name="40% - Accent1 13 2 3 3" xfId="4212"/>
    <cellStyle name="40% - Accent1 13 2 3 3 2" xfId="15342"/>
    <cellStyle name="40% - Accent1 13 2 3 3 2 2" xfId="28734"/>
    <cellStyle name="40% - Accent1 13 2 3 3 3" xfId="19293"/>
    <cellStyle name="40% - Accent1 13 2 3 3 3 2" xfId="32572"/>
    <cellStyle name="40% - Accent1 13 2 3 3 4" xfId="23581"/>
    <cellStyle name="40% - Accent1 13 2 3 4" xfId="15340"/>
    <cellStyle name="40% - Accent1 13 2 3 4 2" xfId="28732"/>
    <cellStyle name="40% - Accent1 13 2 3 5" xfId="19291"/>
    <cellStyle name="40% - Accent1 13 2 3 5 2" xfId="32570"/>
    <cellStyle name="40% - Accent1 13 2 3 6" xfId="23579"/>
    <cellStyle name="40% - Accent1 13 2 4" xfId="4213"/>
    <cellStyle name="40% - Accent1 13 2 4 2" xfId="4214"/>
    <cellStyle name="40% - Accent1 13 2 4 2 2" xfId="15344"/>
    <cellStyle name="40% - Accent1 13 2 4 2 2 2" xfId="28736"/>
    <cellStyle name="40% - Accent1 13 2 4 2 3" xfId="19295"/>
    <cellStyle name="40% - Accent1 13 2 4 2 3 2" xfId="32574"/>
    <cellStyle name="40% - Accent1 13 2 4 2 4" xfId="23583"/>
    <cellStyle name="40% - Accent1 13 2 4 3" xfId="4215"/>
    <cellStyle name="40% - Accent1 13 2 4 3 2" xfId="15345"/>
    <cellStyle name="40% - Accent1 13 2 4 3 2 2" xfId="28737"/>
    <cellStyle name="40% - Accent1 13 2 4 3 3" xfId="19296"/>
    <cellStyle name="40% - Accent1 13 2 4 3 3 2" xfId="32575"/>
    <cellStyle name="40% - Accent1 13 2 4 3 4" xfId="23584"/>
    <cellStyle name="40% - Accent1 13 2 4 4" xfId="15343"/>
    <cellStyle name="40% - Accent1 13 2 4 4 2" xfId="28735"/>
    <cellStyle name="40% - Accent1 13 2 4 5" xfId="19294"/>
    <cellStyle name="40% - Accent1 13 2 4 5 2" xfId="32573"/>
    <cellStyle name="40% - Accent1 13 2 4 6" xfId="23582"/>
    <cellStyle name="40% - Accent1 13 2 5" xfId="4216"/>
    <cellStyle name="40% - Accent1 13 2 5 2" xfId="15346"/>
    <cellStyle name="40% - Accent1 13 2 5 2 2" xfId="28738"/>
    <cellStyle name="40% - Accent1 13 2 5 3" xfId="19297"/>
    <cellStyle name="40% - Accent1 13 2 5 3 2" xfId="32576"/>
    <cellStyle name="40% - Accent1 13 2 5 4" xfId="23585"/>
    <cellStyle name="40% - Accent1 13 2 6" xfId="4217"/>
    <cellStyle name="40% - Accent1 13 2 6 2" xfId="15347"/>
    <cellStyle name="40% - Accent1 13 2 6 2 2" xfId="28739"/>
    <cellStyle name="40% - Accent1 13 2 6 3" xfId="19298"/>
    <cellStyle name="40% - Accent1 13 2 6 3 2" xfId="32577"/>
    <cellStyle name="40% - Accent1 13 2 6 4" xfId="23586"/>
    <cellStyle name="40% - Accent1 13 2 7" xfId="15336"/>
    <cellStyle name="40% - Accent1 13 2 7 2" xfId="28728"/>
    <cellStyle name="40% - Accent1 13 2 8" xfId="19287"/>
    <cellStyle name="40% - Accent1 13 2 8 2" xfId="32566"/>
    <cellStyle name="40% - Accent1 13 2 9" xfId="23575"/>
    <cellStyle name="40% - Accent1 13 2_Volatility" xfId="4218"/>
    <cellStyle name="40% - Accent1 13 3" xfId="4219"/>
    <cellStyle name="40% - Accent1 13 3 2" xfId="4220"/>
    <cellStyle name="40% - Accent1 13 3 2 2" xfId="4221"/>
    <cellStyle name="40% - Accent1 13 3 2 2 2" xfId="15350"/>
    <cellStyle name="40% - Accent1 13 3 2 2 2 2" xfId="28742"/>
    <cellStyle name="40% - Accent1 13 3 2 2 3" xfId="19301"/>
    <cellStyle name="40% - Accent1 13 3 2 2 3 2" xfId="32580"/>
    <cellStyle name="40% - Accent1 13 3 2 2 4" xfId="23589"/>
    <cellStyle name="40% - Accent1 13 3 2 3" xfId="4222"/>
    <cellStyle name="40% - Accent1 13 3 2 3 2" xfId="15351"/>
    <cellStyle name="40% - Accent1 13 3 2 3 2 2" xfId="28743"/>
    <cellStyle name="40% - Accent1 13 3 2 3 3" xfId="19302"/>
    <cellStyle name="40% - Accent1 13 3 2 3 3 2" xfId="32581"/>
    <cellStyle name="40% - Accent1 13 3 2 3 4" xfId="23590"/>
    <cellStyle name="40% - Accent1 13 3 2 4" xfId="15349"/>
    <cellStyle name="40% - Accent1 13 3 2 4 2" xfId="28741"/>
    <cellStyle name="40% - Accent1 13 3 2 5" xfId="19300"/>
    <cellStyle name="40% - Accent1 13 3 2 5 2" xfId="32579"/>
    <cellStyle name="40% - Accent1 13 3 2 6" xfId="23588"/>
    <cellStyle name="40% - Accent1 13 3 3" xfId="4223"/>
    <cellStyle name="40% - Accent1 13 3 3 2" xfId="4224"/>
    <cellStyle name="40% - Accent1 13 3 3 2 2" xfId="15353"/>
    <cellStyle name="40% - Accent1 13 3 3 2 2 2" xfId="28745"/>
    <cellStyle name="40% - Accent1 13 3 3 2 3" xfId="19304"/>
    <cellStyle name="40% - Accent1 13 3 3 2 3 2" xfId="32583"/>
    <cellStyle name="40% - Accent1 13 3 3 2 4" xfId="23592"/>
    <cellStyle name="40% - Accent1 13 3 3 3" xfId="4225"/>
    <cellStyle name="40% - Accent1 13 3 3 3 2" xfId="15354"/>
    <cellStyle name="40% - Accent1 13 3 3 3 2 2" xfId="28746"/>
    <cellStyle name="40% - Accent1 13 3 3 3 3" xfId="19305"/>
    <cellStyle name="40% - Accent1 13 3 3 3 3 2" xfId="32584"/>
    <cellStyle name="40% - Accent1 13 3 3 3 4" xfId="23593"/>
    <cellStyle name="40% - Accent1 13 3 3 4" xfId="15352"/>
    <cellStyle name="40% - Accent1 13 3 3 4 2" xfId="28744"/>
    <cellStyle name="40% - Accent1 13 3 3 5" xfId="19303"/>
    <cellStyle name="40% - Accent1 13 3 3 5 2" xfId="32582"/>
    <cellStyle name="40% - Accent1 13 3 3 6" xfId="23591"/>
    <cellStyle name="40% - Accent1 13 3 4" xfId="4226"/>
    <cellStyle name="40% - Accent1 13 3 4 2" xfId="15355"/>
    <cellStyle name="40% - Accent1 13 3 4 2 2" xfId="28747"/>
    <cellStyle name="40% - Accent1 13 3 4 3" xfId="19306"/>
    <cellStyle name="40% - Accent1 13 3 4 3 2" xfId="32585"/>
    <cellStyle name="40% - Accent1 13 3 4 4" xfId="23594"/>
    <cellStyle name="40% - Accent1 13 3 5" xfId="4227"/>
    <cellStyle name="40% - Accent1 13 3 5 2" xfId="15356"/>
    <cellStyle name="40% - Accent1 13 3 5 2 2" xfId="28748"/>
    <cellStyle name="40% - Accent1 13 3 5 3" xfId="19307"/>
    <cellStyle name="40% - Accent1 13 3 5 3 2" xfId="32586"/>
    <cellStyle name="40% - Accent1 13 3 5 4" xfId="23595"/>
    <cellStyle name="40% - Accent1 13 3 6" xfId="15348"/>
    <cellStyle name="40% - Accent1 13 3 6 2" xfId="28740"/>
    <cellStyle name="40% - Accent1 13 3 7" xfId="19299"/>
    <cellStyle name="40% - Accent1 13 3 7 2" xfId="32578"/>
    <cellStyle name="40% - Accent1 13 3 8" xfId="23587"/>
    <cellStyle name="40% - Accent1 13 3_Volatility" xfId="4228"/>
    <cellStyle name="40% - Accent1 13 4" xfId="4229"/>
    <cellStyle name="40% - Accent1 13 4 2" xfId="4230"/>
    <cellStyle name="40% - Accent1 13 4 2 2" xfId="15358"/>
    <cellStyle name="40% - Accent1 13 4 2 2 2" xfId="28750"/>
    <cellStyle name="40% - Accent1 13 4 2 3" xfId="19309"/>
    <cellStyle name="40% - Accent1 13 4 2 3 2" xfId="32588"/>
    <cellStyle name="40% - Accent1 13 4 2 4" xfId="23597"/>
    <cellStyle name="40% - Accent1 13 4 3" xfId="4231"/>
    <cellStyle name="40% - Accent1 13 4 3 2" xfId="15359"/>
    <cellStyle name="40% - Accent1 13 4 3 2 2" xfId="28751"/>
    <cellStyle name="40% - Accent1 13 4 3 3" xfId="19310"/>
    <cellStyle name="40% - Accent1 13 4 3 3 2" xfId="32589"/>
    <cellStyle name="40% - Accent1 13 4 3 4" xfId="23598"/>
    <cellStyle name="40% - Accent1 13 4 4" xfId="15357"/>
    <cellStyle name="40% - Accent1 13 4 4 2" xfId="28749"/>
    <cellStyle name="40% - Accent1 13 4 5" xfId="19308"/>
    <cellStyle name="40% - Accent1 13 4 5 2" xfId="32587"/>
    <cellStyle name="40% - Accent1 13 4 6" xfId="23596"/>
    <cellStyle name="40% - Accent1 13 5" xfId="4232"/>
    <cellStyle name="40% - Accent1 13 5 2" xfId="4233"/>
    <cellStyle name="40% - Accent1 13 5 2 2" xfId="15361"/>
    <cellStyle name="40% - Accent1 13 5 2 2 2" xfId="28753"/>
    <cellStyle name="40% - Accent1 13 5 2 3" xfId="19312"/>
    <cellStyle name="40% - Accent1 13 5 2 3 2" xfId="32591"/>
    <cellStyle name="40% - Accent1 13 5 2 4" xfId="23600"/>
    <cellStyle name="40% - Accent1 13 5 3" xfId="4234"/>
    <cellStyle name="40% - Accent1 13 5 3 2" xfId="15362"/>
    <cellStyle name="40% - Accent1 13 5 3 2 2" xfId="28754"/>
    <cellStyle name="40% - Accent1 13 5 3 3" xfId="19313"/>
    <cellStyle name="40% - Accent1 13 5 3 3 2" xfId="32592"/>
    <cellStyle name="40% - Accent1 13 5 3 4" xfId="23601"/>
    <cellStyle name="40% - Accent1 13 5 4" xfId="15360"/>
    <cellStyle name="40% - Accent1 13 5 4 2" xfId="28752"/>
    <cellStyle name="40% - Accent1 13 5 5" xfId="19311"/>
    <cellStyle name="40% - Accent1 13 5 5 2" xfId="32590"/>
    <cellStyle name="40% - Accent1 13 5 6" xfId="23599"/>
    <cellStyle name="40% - Accent1 13 6" xfId="4235"/>
    <cellStyle name="40% - Accent1 13 6 2" xfId="4236"/>
    <cellStyle name="40% - Accent1 13 6 2 2" xfId="15364"/>
    <cellStyle name="40% - Accent1 13 6 2 2 2" xfId="28756"/>
    <cellStyle name="40% - Accent1 13 6 2 3" xfId="19315"/>
    <cellStyle name="40% - Accent1 13 6 2 3 2" xfId="32594"/>
    <cellStyle name="40% - Accent1 13 6 2 4" xfId="23603"/>
    <cellStyle name="40% - Accent1 13 6 3" xfId="4237"/>
    <cellStyle name="40% - Accent1 13 6 3 2" xfId="15365"/>
    <cellStyle name="40% - Accent1 13 6 3 2 2" xfId="28757"/>
    <cellStyle name="40% - Accent1 13 6 3 3" xfId="19316"/>
    <cellStyle name="40% - Accent1 13 6 3 3 2" xfId="32595"/>
    <cellStyle name="40% - Accent1 13 6 3 4" xfId="23604"/>
    <cellStyle name="40% - Accent1 13 6 4" xfId="15363"/>
    <cellStyle name="40% - Accent1 13 6 4 2" xfId="28755"/>
    <cellStyle name="40% - Accent1 13 6 5" xfId="19314"/>
    <cellStyle name="40% - Accent1 13 6 5 2" xfId="32593"/>
    <cellStyle name="40% - Accent1 13 6 6" xfId="23602"/>
    <cellStyle name="40% - Accent1 13 7" xfId="4238"/>
    <cellStyle name="40% - Accent1 13 7 2" xfId="15366"/>
    <cellStyle name="40% - Accent1 13 7 2 2" xfId="28758"/>
    <cellStyle name="40% - Accent1 13 7 3" xfId="19317"/>
    <cellStyle name="40% - Accent1 13 7 3 2" xfId="32596"/>
    <cellStyle name="40% - Accent1 13 7 4" xfId="23605"/>
    <cellStyle name="40% - Accent1 13 8" xfId="4239"/>
    <cellStyle name="40% - Accent1 13 8 2" xfId="15367"/>
    <cellStyle name="40% - Accent1 13 8 2 2" xfId="28759"/>
    <cellStyle name="40% - Accent1 13 8 3" xfId="19318"/>
    <cellStyle name="40% - Accent1 13 8 3 2" xfId="32597"/>
    <cellStyle name="40% - Accent1 13 8 4" xfId="23606"/>
    <cellStyle name="40% - Accent1 13 9" xfId="15335"/>
    <cellStyle name="40% - Accent1 13 9 2" xfId="28727"/>
    <cellStyle name="40% - Accent1 13_Volatility" xfId="4240"/>
    <cellStyle name="40% - Accent1 14" xfId="4241"/>
    <cellStyle name="40% - Accent1 14 10" xfId="19319"/>
    <cellStyle name="40% - Accent1 14 10 2" xfId="32598"/>
    <cellStyle name="40% - Accent1 14 11" xfId="23607"/>
    <cellStyle name="40% - Accent1 14 2" xfId="4242"/>
    <cellStyle name="40% - Accent1 14 2 2" xfId="4243"/>
    <cellStyle name="40% - Accent1 14 2 2 2" xfId="4244"/>
    <cellStyle name="40% - Accent1 14 2 2 2 2" xfId="15371"/>
    <cellStyle name="40% - Accent1 14 2 2 2 2 2" xfId="28763"/>
    <cellStyle name="40% - Accent1 14 2 2 2 3" xfId="19322"/>
    <cellStyle name="40% - Accent1 14 2 2 2 3 2" xfId="32601"/>
    <cellStyle name="40% - Accent1 14 2 2 2 4" xfId="23610"/>
    <cellStyle name="40% - Accent1 14 2 2 3" xfId="4245"/>
    <cellStyle name="40% - Accent1 14 2 2 3 2" xfId="15372"/>
    <cellStyle name="40% - Accent1 14 2 2 3 2 2" xfId="28764"/>
    <cellStyle name="40% - Accent1 14 2 2 3 3" xfId="19323"/>
    <cellStyle name="40% - Accent1 14 2 2 3 3 2" xfId="32602"/>
    <cellStyle name="40% - Accent1 14 2 2 3 4" xfId="23611"/>
    <cellStyle name="40% - Accent1 14 2 2 4" xfId="15370"/>
    <cellStyle name="40% - Accent1 14 2 2 4 2" xfId="28762"/>
    <cellStyle name="40% - Accent1 14 2 2 5" xfId="19321"/>
    <cellStyle name="40% - Accent1 14 2 2 5 2" xfId="32600"/>
    <cellStyle name="40% - Accent1 14 2 2 6" xfId="23609"/>
    <cellStyle name="40% - Accent1 14 2 3" xfId="4246"/>
    <cellStyle name="40% - Accent1 14 2 3 2" xfId="4247"/>
    <cellStyle name="40% - Accent1 14 2 3 2 2" xfId="15374"/>
    <cellStyle name="40% - Accent1 14 2 3 2 2 2" xfId="28766"/>
    <cellStyle name="40% - Accent1 14 2 3 2 3" xfId="19325"/>
    <cellStyle name="40% - Accent1 14 2 3 2 3 2" xfId="32604"/>
    <cellStyle name="40% - Accent1 14 2 3 2 4" xfId="23613"/>
    <cellStyle name="40% - Accent1 14 2 3 3" xfId="4248"/>
    <cellStyle name="40% - Accent1 14 2 3 3 2" xfId="15375"/>
    <cellStyle name="40% - Accent1 14 2 3 3 2 2" xfId="28767"/>
    <cellStyle name="40% - Accent1 14 2 3 3 3" xfId="19326"/>
    <cellStyle name="40% - Accent1 14 2 3 3 3 2" xfId="32605"/>
    <cellStyle name="40% - Accent1 14 2 3 3 4" xfId="23614"/>
    <cellStyle name="40% - Accent1 14 2 3 4" xfId="15373"/>
    <cellStyle name="40% - Accent1 14 2 3 4 2" xfId="28765"/>
    <cellStyle name="40% - Accent1 14 2 3 5" xfId="19324"/>
    <cellStyle name="40% - Accent1 14 2 3 5 2" xfId="32603"/>
    <cellStyle name="40% - Accent1 14 2 3 6" xfId="23612"/>
    <cellStyle name="40% - Accent1 14 2 4" xfId="4249"/>
    <cellStyle name="40% - Accent1 14 2 4 2" xfId="4250"/>
    <cellStyle name="40% - Accent1 14 2 4 2 2" xfId="15377"/>
    <cellStyle name="40% - Accent1 14 2 4 2 2 2" xfId="28769"/>
    <cellStyle name="40% - Accent1 14 2 4 2 3" xfId="19328"/>
    <cellStyle name="40% - Accent1 14 2 4 2 3 2" xfId="32607"/>
    <cellStyle name="40% - Accent1 14 2 4 2 4" xfId="23616"/>
    <cellStyle name="40% - Accent1 14 2 4 3" xfId="4251"/>
    <cellStyle name="40% - Accent1 14 2 4 3 2" xfId="15378"/>
    <cellStyle name="40% - Accent1 14 2 4 3 2 2" xfId="28770"/>
    <cellStyle name="40% - Accent1 14 2 4 3 3" xfId="19329"/>
    <cellStyle name="40% - Accent1 14 2 4 3 3 2" xfId="32608"/>
    <cellStyle name="40% - Accent1 14 2 4 3 4" xfId="23617"/>
    <cellStyle name="40% - Accent1 14 2 4 4" xfId="15376"/>
    <cellStyle name="40% - Accent1 14 2 4 4 2" xfId="28768"/>
    <cellStyle name="40% - Accent1 14 2 4 5" xfId="19327"/>
    <cellStyle name="40% - Accent1 14 2 4 5 2" xfId="32606"/>
    <cellStyle name="40% - Accent1 14 2 4 6" xfId="23615"/>
    <cellStyle name="40% - Accent1 14 2 5" xfId="4252"/>
    <cellStyle name="40% - Accent1 14 2 5 2" xfId="15379"/>
    <cellStyle name="40% - Accent1 14 2 5 2 2" xfId="28771"/>
    <cellStyle name="40% - Accent1 14 2 5 3" xfId="19330"/>
    <cellStyle name="40% - Accent1 14 2 5 3 2" xfId="32609"/>
    <cellStyle name="40% - Accent1 14 2 5 4" xfId="23618"/>
    <cellStyle name="40% - Accent1 14 2 6" xfId="4253"/>
    <cellStyle name="40% - Accent1 14 2 6 2" xfId="15380"/>
    <cellStyle name="40% - Accent1 14 2 6 2 2" xfId="28772"/>
    <cellStyle name="40% - Accent1 14 2 6 3" xfId="19331"/>
    <cellStyle name="40% - Accent1 14 2 6 3 2" xfId="32610"/>
    <cellStyle name="40% - Accent1 14 2 6 4" xfId="23619"/>
    <cellStyle name="40% - Accent1 14 2 7" xfId="15369"/>
    <cellStyle name="40% - Accent1 14 2 7 2" xfId="28761"/>
    <cellStyle name="40% - Accent1 14 2 8" xfId="19320"/>
    <cellStyle name="40% - Accent1 14 2 8 2" xfId="32599"/>
    <cellStyle name="40% - Accent1 14 2 9" xfId="23608"/>
    <cellStyle name="40% - Accent1 14 2_Volatility" xfId="4254"/>
    <cellStyle name="40% - Accent1 14 3" xfId="4255"/>
    <cellStyle name="40% - Accent1 14 3 2" xfId="4256"/>
    <cellStyle name="40% - Accent1 14 3 2 2" xfId="4257"/>
    <cellStyle name="40% - Accent1 14 3 2 2 2" xfId="15383"/>
    <cellStyle name="40% - Accent1 14 3 2 2 2 2" xfId="28775"/>
    <cellStyle name="40% - Accent1 14 3 2 2 3" xfId="19334"/>
    <cellStyle name="40% - Accent1 14 3 2 2 3 2" xfId="32613"/>
    <cellStyle name="40% - Accent1 14 3 2 2 4" xfId="23622"/>
    <cellStyle name="40% - Accent1 14 3 2 3" xfId="4258"/>
    <cellStyle name="40% - Accent1 14 3 2 3 2" xfId="15384"/>
    <cellStyle name="40% - Accent1 14 3 2 3 2 2" xfId="28776"/>
    <cellStyle name="40% - Accent1 14 3 2 3 3" xfId="19335"/>
    <cellStyle name="40% - Accent1 14 3 2 3 3 2" xfId="32614"/>
    <cellStyle name="40% - Accent1 14 3 2 3 4" xfId="23623"/>
    <cellStyle name="40% - Accent1 14 3 2 4" xfId="15382"/>
    <cellStyle name="40% - Accent1 14 3 2 4 2" xfId="28774"/>
    <cellStyle name="40% - Accent1 14 3 2 5" xfId="19333"/>
    <cellStyle name="40% - Accent1 14 3 2 5 2" xfId="32612"/>
    <cellStyle name="40% - Accent1 14 3 2 6" xfId="23621"/>
    <cellStyle name="40% - Accent1 14 3 3" xfId="4259"/>
    <cellStyle name="40% - Accent1 14 3 3 2" xfId="4260"/>
    <cellStyle name="40% - Accent1 14 3 3 2 2" xfId="15386"/>
    <cellStyle name="40% - Accent1 14 3 3 2 2 2" xfId="28778"/>
    <cellStyle name="40% - Accent1 14 3 3 2 3" xfId="19337"/>
    <cellStyle name="40% - Accent1 14 3 3 2 3 2" xfId="32616"/>
    <cellStyle name="40% - Accent1 14 3 3 2 4" xfId="23625"/>
    <cellStyle name="40% - Accent1 14 3 3 3" xfId="4261"/>
    <cellStyle name="40% - Accent1 14 3 3 3 2" xfId="15387"/>
    <cellStyle name="40% - Accent1 14 3 3 3 2 2" xfId="28779"/>
    <cellStyle name="40% - Accent1 14 3 3 3 3" xfId="19338"/>
    <cellStyle name="40% - Accent1 14 3 3 3 3 2" xfId="32617"/>
    <cellStyle name="40% - Accent1 14 3 3 3 4" xfId="23626"/>
    <cellStyle name="40% - Accent1 14 3 3 4" xfId="15385"/>
    <cellStyle name="40% - Accent1 14 3 3 4 2" xfId="28777"/>
    <cellStyle name="40% - Accent1 14 3 3 5" xfId="19336"/>
    <cellStyle name="40% - Accent1 14 3 3 5 2" xfId="32615"/>
    <cellStyle name="40% - Accent1 14 3 3 6" xfId="23624"/>
    <cellStyle name="40% - Accent1 14 3 4" xfId="4262"/>
    <cellStyle name="40% - Accent1 14 3 4 2" xfId="15388"/>
    <cellStyle name="40% - Accent1 14 3 4 2 2" xfId="28780"/>
    <cellStyle name="40% - Accent1 14 3 4 3" xfId="19339"/>
    <cellStyle name="40% - Accent1 14 3 4 3 2" xfId="32618"/>
    <cellStyle name="40% - Accent1 14 3 4 4" xfId="23627"/>
    <cellStyle name="40% - Accent1 14 3 5" xfId="4263"/>
    <cellStyle name="40% - Accent1 14 3 5 2" xfId="15389"/>
    <cellStyle name="40% - Accent1 14 3 5 2 2" xfId="28781"/>
    <cellStyle name="40% - Accent1 14 3 5 3" xfId="19340"/>
    <cellStyle name="40% - Accent1 14 3 5 3 2" xfId="32619"/>
    <cellStyle name="40% - Accent1 14 3 5 4" xfId="23628"/>
    <cellStyle name="40% - Accent1 14 3 6" xfId="15381"/>
    <cellStyle name="40% - Accent1 14 3 6 2" xfId="28773"/>
    <cellStyle name="40% - Accent1 14 3 7" xfId="19332"/>
    <cellStyle name="40% - Accent1 14 3 7 2" xfId="32611"/>
    <cellStyle name="40% - Accent1 14 3 8" xfId="23620"/>
    <cellStyle name="40% - Accent1 14 3_Volatility" xfId="4264"/>
    <cellStyle name="40% - Accent1 14 4" xfId="4265"/>
    <cellStyle name="40% - Accent1 14 4 2" xfId="4266"/>
    <cellStyle name="40% - Accent1 14 4 2 2" xfId="15391"/>
    <cellStyle name="40% - Accent1 14 4 2 2 2" xfId="28783"/>
    <cellStyle name="40% - Accent1 14 4 2 3" xfId="19342"/>
    <cellStyle name="40% - Accent1 14 4 2 3 2" xfId="32621"/>
    <cellStyle name="40% - Accent1 14 4 2 4" xfId="23630"/>
    <cellStyle name="40% - Accent1 14 4 3" xfId="4267"/>
    <cellStyle name="40% - Accent1 14 4 3 2" xfId="15392"/>
    <cellStyle name="40% - Accent1 14 4 3 2 2" xfId="28784"/>
    <cellStyle name="40% - Accent1 14 4 3 3" xfId="19343"/>
    <cellStyle name="40% - Accent1 14 4 3 3 2" xfId="32622"/>
    <cellStyle name="40% - Accent1 14 4 3 4" xfId="23631"/>
    <cellStyle name="40% - Accent1 14 4 4" xfId="15390"/>
    <cellStyle name="40% - Accent1 14 4 4 2" xfId="28782"/>
    <cellStyle name="40% - Accent1 14 4 5" xfId="19341"/>
    <cellStyle name="40% - Accent1 14 4 5 2" xfId="32620"/>
    <cellStyle name="40% - Accent1 14 4 6" xfId="23629"/>
    <cellStyle name="40% - Accent1 14 5" xfId="4268"/>
    <cellStyle name="40% - Accent1 14 5 2" xfId="4269"/>
    <cellStyle name="40% - Accent1 14 5 2 2" xfId="15394"/>
    <cellStyle name="40% - Accent1 14 5 2 2 2" xfId="28786"/>
    <cellStyle name="40% - Accent1 14 5 2 3" xfId="19345"/>
    <cellStyle name="40% - Accent1 14 5 2 3 2" xfId="32624"/>
    <cellStyle name="40% - Accent1 14 5 2 4" xfId="23633"/>
    <cellStyle name="40% - Accent1 14 5 3" xfId="4270"/>
    <cellStyle name="40% - Accent1 14 5 3 2" xfId="15395"/>
    <cellStyle name="40% - Accent1 14 5 3 2 2" xfId="28787"/>
    <cellStyle name="40% - Accent1 14 5 3 3" xfId="19346"/>
    <cellStyle name="40% - Accent1 14 5 3 3 2" xfId="32625"/>
    <cellStyle name="40% - Accent1 14 5 3 4" xfId="23634"/>
    <cellStyle name="40% - Accent1 14 5 4" xfId="15393"/>
    <cellStyle name="40% - Accent1 14 5 4 2" xfId="28785"/>
    <cellStyle name="40% - Accent1 14 5 5" xfId="19344"/>
    <cellStyle name="40% - Accent1 14 5 5 2" xfId="32623"/>
    <cellStyle name="40% - Accent1 14 5 6" xfId="23632"/>
    <cellStyle name="40% - Accent1 14 6" xfId="4271"/>
    <cellStyle name="40% - Accent1 14 6 2" xfId="4272"/>
    <cellStyle name="40% - Accent1 14 6 2 2" xfId="15397"/>
    <cellStyle name="40% - Accent1 14 6 2 2 2" xfId="28789"/>
    <cellStyle name="40% - Accent1 14 6 2 3" xfId="19348"/>
    <cellStyle name="40% - Accent1 14 6 2 3 2" xfId="32627"/>
    <cellStyle name="40% - Accent1 14 6 2 4" xfId="23636"/>
    <cellStyle name="40% - Accent1 14 6 3" xfId="4273"/>
    <cellStyle name="40% - Accent1 14 6 3 2" xfId="15398"/>
    <cellStyle name="40% - Accent1 14 6 3 2 2" xfId="28790"/>
    <cellStyle name="40% - Accent1 14 6 3 3" xfId="19349"/>
    <cellStyle name="40% - Accent1 14 6 3 3 2" xfId="32628"/>
    <cellStyle name="40% - Accent1 14 6 3 4" xfId="23637"/>
    <cellStyle name="40% - Accent1 14 6 4" xfId="15396"/>
    <cellStyle name="40% - Accent1 14 6 4 2" xfId="28788"/>
    <cellStyle name="40% - Accent1 14 6 5" xfId="19347"/>
    <cellStyle name="40% - Accent1 14 6 5 2" xfId="32626"/>
    <cellStyle name="40% - Accent1 14 6 6" xfId="23635"/>
    <cellStyle name="40% - Accent1 14 7" xfId="4274"/>
    <cellStyle name="40% - Accent1 14 7 2" xfId="15399"/>
    <cellStyle name="40% - Accent1 14 7 2 2" xfId="28791"/>
    <cellStyle name="40% - Accent1 14 7 3" xfId="19350"/>
    <cellStyle name="40% - Accent1 14 7 3 2" xfId="32629"/>
    <cellStyle name="40% - Accent1 14 7 4" xfId="23638"/>
    <cellStyle name="40% - Accent1 14 8" xfId="4275"/>
    <cellStyle name="40% - Accent1 14 8 2" xfId="15400"/>
    <cellStyle name="40% - Accent1 14 8 2 2" xfId="28792"/>
    <cellStyle name="40% - Accent1 14 8 3" xfId="19351"/>
    <cellStyle name="40% - Accent1 14 8 3 2" xfId="32630"/>
    <cellStyle name="40% - Accent1 14 8 4" xfId="23639"/>
    <cellStyle name="40% - Accent1 14 9" xfId="15368"/>
    <cellStyle name="40% - Accent1 14 9 2" xfId="28760"/>
    <cellStyle name="40% - Accent1 14_Volatility" xfId="4276"/>
    <cellStyle name="40% - Accent1 15" xfId="4277"/>
    <cellStyle name="40% - Accent1 15 10" xfId="19352"/>
    <cellStyle name="40% - Accent1 15 10 2" xfId="32631"/>
    <cellStyle name="40% - Accent1 15 11" xfId="23640"/>
    <cellStyle name="40% - Accent1 15 2" xfId="4278"/>
    <cellStyle name="40% - Accent1 15 2 2" xfId="4279"/>
    <cellStyle name="40% - Accent1 15 2 2 2" xfId="4280"/>
    <cellStyle name="40% - Accent1 15 2 2 2 2" xfId="15404"/>
    <cellStyle name="40% - Accent1 15 2 2 2 2 2" xfId="28796"/>
    <cellStyle name="40% - Accent1 15 2 2 2 3" xfId="19355"/>
    <cellStyle name="40% - Accent1 15 2 2 2 3 2" xfId="32634"/>
    <cellStyle name="40% - Accent1 15 2 2 2 4" xfId="23643"/>
    <cellStyle name="40% - Accent1 15 2 2 3" xfId="4281"/>
    <cellStyle name="40% - Accent1 15 2 2 3 2" xfId="15405"/>
    <cellStyle name="40% - Accent1 15 2 2 3 2 2" xfId="28797"/>
    <cellStyle name="40% - Accent1 15 2 2 3 3" xfId="19356"/>
    <cellStyle name="40% - Accent1 15 2 2 3 3 2" xfId="32635"/>
    <cellStyle name="40% - Accent1 15 2 2 3 4" xfId="23644"/>
    <cellStyle name="40% - Accent1 15 2 2 4" xfId="15403"/>
    <cellStyle name="40% - Accent1 15 2 2 4 2" xfId="28795"/>
    <cellStyle name="40% - Accent1 15 2 2 5" xfId="19354"/>
    <cellStyle name="40% - Accent1 15 2 2 5 2" xfId="32633"/>
    <cellStyle name="40% - Accent1 15 2 2 6" xfId="23642"/>
    <cellStyle name="40% - Accent1 15 2 3" xfId="4282"/>
    <cellStyle name="40% - Accent1 15 2 3 2" xfId="4283"/>
    <cellStyle name="40% - Accent1 15 2 3 2 2" xfId="15407"/>
    <cellStyle name="40% - Accent1 15 2 3 2 2 2" xfId="28799"/>
    <cellStyle name="40% - Accent1 15 2 3 2 3" xfId="19358"/>
    <cellStyle name="40% - Accent1 15 2 3 2 3 2" xfId="32637"/>
    <cellStyle name="40% - Accent1 15 2 3 2 4" xfId="23646"/>
    <cellStyle name="40% - Accent1 15 2 3 3" xfId="4284"/>
    <cellStyle name="40% - Accent1 15 2 3 3 2" xfId="15408"/>
    <cellStyle name="40% - Accent1 15 2 3 3 2 2" xfId="28800"/>
    <cellStyle name="40% - Accent1 15 2 3 3 3" xfId="19359"/>
    <cellStyle name="40% - Accent1 15 2 3 3 3 2" xfId="32638"/>
    <cellStyle name="40% - Accent1 15 2 3 3 4" xfId="23647"/>
    <cellStyle name="40% - Accent1 15 2 3 4" xfId="15406"/>
    <cellStyle name="40% - Accent1 15 2 3 4 2" xfId="28798"/>
    <cellStyle name="40% - Accent1 15 2 3 5" xfId="19357"/>
    <cellStyle name="40% - Accent1 15 2 3 5 2" xfId="32636"/>
    <cellStyle name="40% - Accent1 15 2 3 6" xfId="23645"/>
    <cellStyle name="40% - Accent1 15 2 4" xfId="4285"/>
    <cellStyle name="40% - Accent1 15 2 4 2" xfId="4286"/>
    <cellStyle name="40% - Accent1 15 2 4 2 2" xfId="15410"/>
    <cellStyle name="40% - Accent1 15 2 4 2 2 2" xfId="28802"/>
    <cellStyle name="40% - Accent1 15 2 4 2 3" xfId="19361"/>
    <cellStyle name="40% - Accent1 15 2 4 2 3 2" xfId="32640"/>
    <cellStyle name="40% - Accent1 15 2 4 2 4" xfId="23649"/>
    <cellStyle name="40% - Accent1 15 2 4 3" xfId="4287"/>
    <cellStyle name="40% - Accent1 15 2 4 3 2" xfId="15411"/>
    <cellStyle name="40% - Accent1 15 2 4 3 2 2" xfId="28803"/>
    <cellStyle name="40% - Accent1 15 2 4 3 3" xfId="19362"/>
    <cellStyle name="40% - Accent1 15 2 4 3 3 2" xfId="32641"/>
    <cellStyle name="40% - Accent1 15 2 4 3 4" xfId="23650"/>
    <cellStyle name="40% - Accent1 15 2 4 4" xfId="15409"/>
    <cellStyle name="40% - Accent1 15 2 4 4 2" xfId="28801"/>
    <cellStyle name="40% - Accent1 15 2 4 5" xfId="19360"/>
    <cellStyle name="40% - Accent1 15 2 4 5 2" xfId="32639"/>
    <cellStyle name="40% - Accent1 15 2 4 6" xfId="23648"/>
    <cellStyle name="40% - Accent1 15 2 5" xfId="4288"/>
    <cellStyle name="40% - Accent1 15 2 5 2" xfId="15412"/>
    <cellStyle name="40% - Accent1 15 2 5 2 2" xfId="28804"/>
    <cellStyle name="40% - Accent1 15 2 5 3" xfId="19363"/>
    <cellStyle name="40% - Accent1 15 2 5 3 2" xfId="32642"/>
    <cellStyle name="40% - Accent1 15 2 5 4" xfId="23651"/>
    <cellStyle name="40% - Accent1 15 2 6" xfId="4289"/>
    <cellStyle name="40% - Accent1 15 2 6 2" xfId="15413"/>
    <cellStyle name="40% - Accent1 15 2 6 2 2" xfId="28805"/>
    <cellStyle name="40% - Accent1 15 2 6 3" xfId="19364"/>
    <cellStyle name="40% - Accent1 15 2 6 3 2" xfId="32643"/>
    <cellStyle name="40% - Accent1 15 2 6 4" xfId="23652"/>
    <cellStyle name="40% - Accent1 15 2 7" xfId="15402"/>
    <cellStyle name="40% - Accent1 15 2 7 2" xfId="28794"/>
    <cellStyle name="40% - Accent1 15 2 8" xfId="19353"/>
    <cellStyle name="40% - Accent1 15 2 8 2" xfId="32632"/>
    <cellStyle name="40% - Accent1 15 2 9" xfId="23641"/>
    <cellStyle name="40% - Accent1 15 2_Volatility" xfId="4290"/>
    <cellStyle name="40% - Accent1 15 3" xfId="4291"/>
    <cellStyle name="40% - Accent1 15 3 2" xfId="4292"/>
    <cellStyle name="40% - Accent1 15 3 2 2" xfId="4293"/>
    <cellStyle name="40% - Accent1 15 3 2 2 2" xfId="15416"/>
    <cellStyle name="40% - Accent1 15 3 2 2 2 2" xfId="28808"/>
    <cellStyle name="40% - Accent1 15 3 2 2 3" xfId="19367"/>
    <cellStyle name="40% - Accent1 15 3 2 2 3 2" xfId="32646"/>
    <cellStyle name="40% - Accent1 15 3 2 2 4" xfId="23655"/>
    <cellStyle name="40% - Accent1 15 3 2 3" xfId="4294"/>
    <cellStyle name="40% - Accent1 15 3 2 3 2" xfId="15417"/>
    <cellStyle name="40% - Accent1 15 3 2 3 2 2" xfId="28809"/>
    <cellStyle name="40% - Accent1 15 3 2 3 3" xfId="19368"/>
    <cellStyle name="40% - Accent1 15 3 2 3 3 2" xfId="32647"/>
    <cellStyle name="40% - Accent1 15 3 2 3 4" xfId="23656"/>
    <cellStyle name="40% - Accent1 15 3 2 4" xfId="15415"/>
    <cellStyle name="40% - Accent1 15 3 2 4 2" xfId="28807"/>
    <cellStyle name="40% - Accent1 15 3 2 5" xfId="19366"/>
    <cellStyle name="40% - Accent1 15 3 2 5 2" xfId="32645"/>
    <cellStyle name="40% - Accent1 15 3 2 6" xfId="23654"/>
    <cellStyle name="40% - Accent1 15 3 3" xfId="4295"/>
    <cellStyle name="40% - Accent1 15 3 3 2" xfId="4296"/>
    <cellStyle name="40% - Accent1 15 3 3 2 2" xfId="15419"/>
    <cellStyle name="40% - Accent1 15 3 3 2 2 2" xfId="28811"/>
    <cellStyle name="40% - Accent1 15 3 3 2 3" xfId="19370"/>
    <cellStyle name="40% - Accent1 15 3 3 2 3 2" xfId="32649"/>
    <cellStyle name="40% - Accent1 15 3 3 2 4" xfId="23658"/>
    <cellStyle name="40% - Accent1 15 3 3 3" xfId="4297"/>
    <cellStyle name="40% - Accent1 15 3 3 3 2" xfId="15420"/>
    <cellStyle name="40% - Accent1 15 3 3 3 2 2" xfId="28812"/>
    <cellStyle name="40% - Accent1 15 3 3 3 3" xfId="19371"/>
    <cellStyle name="40% - Accent1 15 3 3 3 3 2" xfId="32650"/>
    <cellStyle name="40% - Accent1 15 3 3 3 4" xfId="23659"/>
    <cellStyle name="40% - Accent1 15 3 3 4" xfId="15418"/>
    <cellStyle name="40% - Accent1 15 3 3 4 2" xfId="28810"/>
    <cellStyle name="40% - Accent1 15 3 3 5" xfId="19369"/>
    <cellStyle name="40% - Accent1 15 3 3 5 2" xfId="32648"/>
    <cellStyle name="40% - Accent1 15 3 3 6" xfId="23657"/>
    <cellStyle name="40% - Accent1 15 3 4" xfId="4298"/>
    <cellStyle name="40% - Accent1 15 3 4 2" xfId="15421"/>
    <cellStyle name="40% - Accent1 15 3 4 2 2" xfId="28813"/>
    <cellStyle name="40% - Accent1 15 3 4 3" xfId="19372"/>
    <cellStyle name="40% - Accent1 15 3 4 3 2" xfId="32651"/>
    <cellStyle name="40% - Accent1 15 3 4 4" xfId="23660"/>
    <cellStyle name="40% - Accent1 15 3 5" xfId="4299"/>
    <cellStyle name="40% - Accent1 15 3 5 2" xfId="15422"/>
    <cellStyle name="40% - Accent1 15 3 5 2 2" xfId="28814"/>
    <cellStyle name="40% - Accent1 15 3 5 3" xfId="19373"/>
    <cellStyle name="40% - Accent1 15 3 5 3 2" xfId="32652"/>
    <cellStyle name="40% - Accent1 15 3 5 4" xfId="23661"/>
    <cellStyle name="40% - Accent1 15 3 6" xfId="15414"/>
    <cellStyle name="40% - Accent1 15 3 6 2" xfId="28806"/>
    <cellStyle name="40% - Accent1 15 3 7" xfId="19365"/>
    <cellStyle name="40% - Accent1 15 3 7 2" xfId="32644"/>
    <cellStyle name="40% - Accent1 15 3 8" xfId="23653"/>
    <cellStyle name="40% - Accent1 15 3_Volatility" xfId="4300"/>
    <cellStyle name="40% - Accent1 15 4" xfId="4301"/>
    <cellStyle name="40% - Accent1 15 4 2" xfId="4302"/>
    <cellStyle name="40% - Accent1 15 4 2 2" xfId="15424"/>
    <cellStyle name="40% - Accent1 15 4 2 2 2" xfId="28816"/>
    <cellStyle name="40% - Accent1 15 4 2 3" xfId="19375"/>
    <cellStyle name="40% - Accent1 15 4 2 3 2" xfId="32654"/>
    <cellStyle name="40% - Accent1 15 4 2 4" xfId="23663"/>
    <cellStyle name="40% - Accent1 15 4 3" xfId="4303"/>
    <cellStyle name="40% - Accent1 15 4 3 2" xfId="15425"/>
    <cellStyle name="40% - Accent1 15 4 3 2 2" xfId="28817"/>
    <cellStyle name="40% - Accent1 15 4 3 3" xfId="19376"/>
    <cellStyle name="40% - Accent1 15 4 3 3 2" xfId="32655"/>
    <cellStyle name="40% - Accent1 15 4 3 4" xfId="23664"/>
    <cellStyle name="40% - Accent1 15 4 4" xfId="15423"/>
    <cellStyle name="40% - Accent1 15 4 4 2" xfId="28815"/>
    <cellStyle name="40% - Accent1 15 4 5" xfId="19374"/>
    <cellStyle name="40% - Accent1 15 4 5 2" xfId="32653"/>
    <cellStyle name="40% - Accent1 15 4 6" xfId="23662"/>
    <cellStyle name="40% - Accent1 15 5" xfId="4304"/>
    <cellStyle name="40% - Accent1 15 5 2" xfId="4305"/>
    <cellStyle name="40% - Accent1 15 5 2 2" xfId="15427"/>
    <cellStyle name="40% - Accent1 15 5 2 2 2" xfId="28819"/>
    <cellStyle name="40% - Accent1 15 5 2 3" xfId="19378"/>
    <cellStyle name="40% - Accent1 15 5 2 3 2" xfId="32657"/>
    <cellStyle name="40% - Accent1 15 5 2 4" xfId="23666"/>
    <cellStyle name="40% - Accent1 15 5 3" xfId="4306"/>
    <cellStyle name="40% - Accent1 15 5 3 2" xfId="15428"/>
    <cellStyle name="40% - Accent1 15 5 3 2 2" xfId="28820"/>
    <cellStyle name="40% - Accent1 15 5 3 3" xfId="19379"/>
    <cellStyle name="40% - Accent1 15 5 3 3 2" xfId="32658"/>
    <cellStyle name="40% - Accent1 15 5 3 4" xfId="23667"/>
    <cellStyle name="40% - Accent1 15 5 4" xfId="15426"/>
    <cellStyle name="40% - Accent1 15 5 4 2" xfId="28818"/>
    <cellStyle name="40% - Accent1 15 5 5" xfId="19377"/>
    <cellStyle name="40% - Accent1 15 5 5 2" xfId="32656"/>
    <cellStyle name="40% - Accent1 15 5 6" xfId="23665"/>
    <cellStyle name="40% - Accent1 15 6" xfId="4307"/>
    <cellStyle name="40% - Accent1 15 6 2" xfId="4308"/>
    <cellStyle name="40% - Accent1 15 6 2 2" xfId="15430"/>
    <cellStyle name="40% - Accent1 15 6 2 2 2" xfId="28822"/>
    <cellStyle name="40% - Accent1 15 6 2 3" xfId="19381"/>
    <cellStyle name="40% - Accent1 15 6 2 3 2" xfId="32660"/>
    <cellStyle name="40% - Accent1 15 6 2 4" xfId="23669"/>
    <cellStyle name="40% - Accent1 15 6 3" xfId="4309"/>
    <cellStyle name="40% - Accent1 15 6 3 2" xfId="15431"/>
    <cellStyle name="40% - Accent1 15 6 3 2 2" xfId="28823"/>
    <cellStyle name="40% - Accent1 15 6 3 3" xfId="19382"/>
    <cellStyle name="40% - Accent1 15 6 3 3 2" xfId="32661"/>
    <cellStyle name="40% - Accent1 15 6 3 4" xfId="23670"/>
    <cellStyle name="40% - Accent1 15 6 4" xfId="15429"/>
    <cellStyle name="40% - Accent1 15 6 4 2" xfId="28821"/>
    <cellStyle name="40% - Accent1 15 6 5" xfId="19380"/>
    <cellStyle name="40% - Accent1 15 6 5 2" xfId="32659"/>
    <cellStyle name="40% - Accent1 15 6 6" xfId="23668"/>
    <cellStyle name="40% - Accent1 15 7" xfId="4310"/>
    <cellStyle name="40% - Accent1 15 7 2" xfId="15432"/>
    <cellStyle name="40% - Accent1 15 7 2 2" xfId="28824"/>
    <cellStyle name="40% - Accent1 15 7 3" xfId="19383"/>
    <cellStyle name="40% - Accent1 15 7 3 2" xfId="32662"/>
    <cellStyle name="40% - Accent1 15 7 4" xfId="23671"/>
    <cellStyle name="40% - Accent1 15 8" xfId="4311"/>
    <cellStyle name="40% - Accent1 15 8 2" xfId="15433"/>
    <cellStyle name="40% - Accent1 15 8 2 2" xfId="28825"/>
    <cellStyle name="40% - Accent1 15 8 3" xfId="19384"/>
    <cellStyle name="40% - Accent1 15 8 3 2" xfId="32663"/>
    <cellStyle name="40% - Accent1 15 8 4" xfId="23672"/>
    <cellStyle name="40% - Accent1 15 9" xfId="15401"/>
    <cellStyle name="40% - Accent1 15 9 2" xfId="28793"/>
    <cellStyle name="40% - Accent1 15_Volatility" xfId="4312"/>
    <cellStyle name="40% - Accent1 16" xfId="4313"/>
    <cellStyle name="40% - Accent1 16 2" xfId="15434"/>
    <cellStyle name="40% - Accent1 16 2 2" xfId="28826"/>
    <cellStyle name="40% - Accent1 16 3" xfId="19385"/>
    <cellStyle name="40% - Accent1 16 3 2" xfId="32664"/>
    <cellStyle name="40% - Accent1 16 4" xfId="23673"/>
    <cellStyle name="40% - Accent1 17" xfId="4314"/>
    <cellStyle name="40% - Accent1 17 2" xfId="15435"/>
    <cellStyle name="40% - Accent1 17 2 2" xfId="28827"/>
    <cellStyle name="40% - Accent1 17 3" xfId="19386"/>
    <cellStyle name="40% - Accent1 17 3 2" xfId="32665"/>
    <cellStyle name="40% - Accent1 17 4" xfId="23674"/>
    <cellStyle name="40% - Accent1 18" xfId="4315"/>
    <cellStyle name="40% - Accent1 18 2" xfId="15436"/>
    <cellStyle name="40% - Accent1 18 2 2" xfId="28828"/>
    <cellStyle name="40% - Accent1 18 3" xfId="19387"/>
    <cellStyle name="40% - Accent1 18 3 2" xfId="32666"/>
    <cellStyle name="40% - Accent1 18 4" xfId="23675"/>
    <cellStyle name="40% - Accent1 19" xfId="4316"/>
    <cellStyle name="40% - Accent1 19 2" xfId="15437"/>
    <cellStyle name="40% - Accent1 19 2 2" xfId="28829"/>
    <cellStyle name="40% - Accent1 19 3" xfId="19388"/>
    <cellStyle name="40% - Accent1 19 3 2" xfId="32667"/>
    <cellStyle name="40% - Accent1 19 4" xfId="23676"/>
    <cellStyle name="40% - Accent1 2" xfId="4317"/>
    <cellStyle name="40% - Accent1 2 10" xfId="19389"/>
    <cellStyle name="40% - Accent1 2 10 2" xfId="32668"/>
    <cellStyle name="40% - Accent1 2 11" xfId="23677"/>
    <cellStyle name="40% - Accent1 2 2" xfId="4318"/>
    <cellStyle name="40% - Accent1 2 2 2" xfId="4319"/>
    <cellStyle name="40% - Accent1 2 2 2 2" xfId="4320"/>
    <cellStyle name="40% - Accent1 2 2 2 2 2" xfId="15441"/>
    <cellStyle name="40% - Accent1 2 2 2 2 2 2" xfId="28833"/>
    <cellStyle name="40% - Accent1 2 2 2 2 3" xfId="19392"/>
    <cellStyle name="40% - Accent1 2 2 2 2 3 2" xfId="32671"/>
    <cellStyle name="40% - Accent1 2 2 2 2 4" xfId="23680"/>
    <cellStyle name="40% - Accent1 2 2 2 3" xfId="4321"/>
    <cellStyle name="40% - Accent1 2 2 2 3 2" xfId="15442"/>
    <cellStyle name="40% - Accent1 2 2 2 3 2 2" xfId="28834"/>
    <cellStyle name="40% - Accent1 2 2 2 3 3" xfId="19393"/>
    <cellStyle name="40% - Accent1 2 2 2 3 3 2" xfId="32672"/>
    <cellStyle name="40% - Accent1 2 2 2 3 4" xfId="23681"/>
    <cellStyle name="40% - Accent1 2 2 2 4" xfId="15440"/>
    <cellStyle name="40% - Accent1 2 2 2 4 2" xfId="28832"/>
    <cellStyle name="40% - Accent1 2 2 2 5" xfId="19391"/>
    <cellStyle name="40% - Accent1 2 2 2 5 2" xfId="32670"/>
    <cellStyle name="40% - Accent1 2 2 2 6" xfId="23679"/>
    <cellStyle name="40% - Accent1 2 2 3" xfId="4322"/>
    <cellStyle name="40% - Accent1 2 2 3 2" xfId="4323"/>
    <cellStyle name="40% - Accent1 2 2 3 2 2" xfId="15444"/>
    <cellStyle name="40% - Accent1 2 2 3 2 2 2" xfId="28836"/>
    <cellStyle name="40% - Accent1 2 2 3 2 3" xfId="19395"/>
    <cellStyle name="40% - Accent1 2 2 3 2 3 2" xfId="32674"/>
    <cellStyle name="40% - Accent1 2 2 3 2 4" xfId="23683"/>
    <cellStyle name="40% - Accent1 2 2 3 3" xfId="4324"/>
    <cellStyle name="40% - Accent1 2 2 3 3 2" xfId="15445"/>
    <cellStyle name="40% - Accent1 2 2 3 3 2 2" xfId="28837"/>
    <cellStyle name="40% - Accent1 2 2 3 3 3" xfId="19396"/>
    <cellStyle name="40% - Accent1 2 2 3 3 3 2" xfId="32675"/>
    <cellStyle name="40% - Accent1 2 2 3 3 4" xfId="23684"/>
    <cellStyle name="40% - Accent1 2 2 3 4" xfId="15443"/>
    <cellStyle name="40% - Accent1 2 2 3 4 2" xfId="28835"/>
    <cellStyle name="40% - Accent1 2 2 3 5" xfId="19394"/>
    <cellStyle name="40% - Accent1 2 2 3 5 2" xfId="32673"/>
    <cellStyle name="40% - Accent1 2 2 3 6" xfId="23682"/>
    <cellStyle name="40% - Accent1 2 2 4" xfId="4325"/>
    <cellStyle name="40% - Accent1 2 2 4 2" xfId="4326"/>
    <cellStyle name="40% - Accent1 2 2 4 2 2" xfId="15447"/>
    <cellStyle name="40% - Accent1 2 2 4 2 2 2" xfId="28839"/>
    <cellStyle name="40% - Accent1 2 2 4 2 3" xfId="19398"/>
    <cellStyle name="40% - Accent1 2 2 4 2 3 2" xfId="32677"/>
    <cellStyle name="40% - Accent1 2 2 4 2 4" xfId="23686"/>
    <cellStyle name="40% - Accent1 2 2 4 3" xfId="4327"/>
    <cellStyle name="40% - Accent1 2 2 4 3 2" xfId="15448"/>
    <cellStyle name="40% - Accent1 2 2 4 3 2 2" xfId="28840"/>
    <cellStyle name="40% - Accent1 2 2 4 3 3" xfId="19399"/>
    <cellStyle name="40% - Accent1 2 2 4 3 3 2" xfId="32678"/>
    <cellStyle name="40% - Accent1 2 2 4 3 4" xfId="23687"/>
    <cellStyle name="40% - Accent1 2 2 4 4" xfId="15446"/>
    <cellStyle name="40% - Accent1 2 2 4 4 2" xfId="28838"/>
    <cellStyle name="40% - Accent1 2 2 4 5" xfId="19397"/>
    <cellStyle name="40% - Accent1 2 2 4 5 2" xfId="32676"/>
    <cellStyle name="40% - Accent1 2 2 4 6" xfId="23685"/>
    <cellStyle name="40% - Accent1 2 2 5" xfId="4328"/>
    <cellStyle name="40% - Accent1 2 2 5 2" xfId="15449"/>
    <cellStyle name="40% - Accent1 2 2 5 2 2" xfId="28841"/>
    <cellStyle name="40% - Accent1 2 2 5 3" xfId="19400"/>
    <cellStyle name="40% - Accent1 2 2 5 3 2" xfId="32679"/>
    <cellStyle name="40% - Accent1 2 2 5 4" xfId="23688"/>
    <cellStyle name="40% - Accent1 2 2 6" xfId="4329"/>
    <cellStyle name="40% - Accent1 2 2 6 2" xfId="15450"/>
    <cellStyle name="40% - Accent1 2 2 6 2 2" xfId="28842"/>
    <cellStyle name="40% - Accent1 2 2 6 3" xfId="19401"/>
    <cellStyle name="40% - Accent1 2 2 6 3 2" xfId="32680"/>
    <cellStyle name="40% - Accent1 2 2 6 4" xfId="23689"/>
    <cellStyle name="40% - Accent1 2 2 7" xfId="15439"/>
    <cellStyle name="40% - Accent1 2 2 7 2" xfId="28831"/>
    <cellStyle name="40% - Accent1 2 2 8" xfId="19390"/>
    <cellStyle name="40% - Accent1 2 2 8 2" xfId="32669"/>
    <cellStyle name="40% - Accent1 2 2 9" xfId="23678"/>
    <cellStyle name="40% - Accent1 2 2_Volatility" xfId="4330"/>
    <cellStyle name="40% - Accent1 2 3" xfId="4331"/>
    <cellStyle name="40% - Accent1 2 3 2" xfId="4332"/>
    <cellStyle name="40% - Accent1 2 3 2 2" xfId="4333"/>
    <cellStyle name="40% - Accent1 2 3 2 2 2" xfId="15453"/>
    <cellStyle name="40% - Accent1 2 3 2 2 2 2" xfId="28845"/>
    <cellStyle name="40% - Accent1 2 3 2 2 3" xfId="19404"/>
    <cellStyle name="40% - Accent1 2 3 2 2 3 2" xfId="32683"/>
    <cellStyle name="40% - Accent1 2 3 2 2 4" xfId="23692"/>
    <cellStyle name="40% - Accent1 2 3 2 3" xfId="4334"/>
    <cellStyle name="40% - Accent1 2 3 2 3 2" xfId="15454"/>
    <cellStyle name="40% - Accent1 2 3 2 3 2 2" xfId="28846"/>
    <cellStyle name="40% - Accent1 2 3 2 3 3" xfId="19405"/>
    <cellStyle name="40% - Accent1 2 3 2 3 3 2" xfId="32684"/>
    <cellStyle name="40% - Accent1 2 3 2 3 4" xfId="23693"/>
    <cellStyle name="40% - Accent1 2 3 2 4" xfId="15452"/>
    <cellStyle name="40% - Accent1 2 3 2 4 2" xfId="28844"/>
    <cellStyle name="40% - Accent1 2 3 2 5" xfId="19403"/>
    <cellStyle name="40% - Accent1 2 3 2 5 2" xfId="32682"/>
    <cellStyle name="40% - Accent1 2 3 2 6" xfId="23691"/>
    <cellStyle name="40% - Accent1 2 3 3" xfId="4335"/>
    <cellStyle name="40% - Accent1 2 3 3 2" xfId="4336"/>
    <cellStyle name="40% - Accent1 2 3 3 2 2" xfId="15456"/>
    <cellStyle name="40% - Accent1 2 3 3 2 2 2" xfId="28848"/>
    <cellStyle name="40% - Accent1 2 3 3 2 3" xfId="19407"/>
    <cellStyle name="40% - Accent1 2 3 3 2 3 2" xfId="32686"/>
    <cellStyle name="40% - Accent1 2 3 3 2 4" xfId="23695"/>
    <cellStyle name="40% - Accent1 2 3 3 3" xfId="4337"/>
    <cellStyle name="40% - Accent1 2 3 3 3 2" xfId="15457"/>
    <cellStyle name="40% - Accent1 2 3 3 3 2 2" xfId="28849"/>
    <cellStyle name="40% - Accent1 2 3 3 3 3" xfId="19408"/>
    <cellStyle name="40% - Accent1 2 3 3 3 3 2" xfId="32687"/>
    <cellStyle name="40% - Accent1 2 3 3 3 4" xfId="23696"/>
    <cellStyle name="40% - Accent1 2 3 3 4" xfId="15455"/>
    <cellStyle name="40% - Accent1 2 3 3 4 2" xfId="28847"/>
    <cellStyle name="40% - Accent1 2 3 3 5" xfId="19406"/>
    <cellStyle name="40% - Accent1 2 3 3 5 2" xfId="32685"/>
    <cellStyle name="40% - Accent1 2 3 3 6" xfId="23694"/>
    <cellStyle name="40% - Accent1 2 3 4" xfId="4338"/>
    <cellStyle name="40% - Accent1 2 3 4 2" xfId="15458"/>
    <cellStyle name="40% - Accent1 2 3 4 2 2" xfId="28850"/>
    <cellStyle name="40% - Accent1 2 3 4 3" xfId="19409"/>
    <cellStyle name="40% - Accent1 2 3 4 3 2" xfId="32688"/>
    <cellStyle name="40% - Accent1 2 3 4 4" xfId="23697"/>
    <cellStyle name="40% - Accent1 2 3 5" xfId="4339"/>
    <cellStyle name="40% - Accent1 2 3 5 2" xfId="15459"/>
    <cellStyle name="40% - Accent1 2 3 5 2 2" xfId="28851"/>
    <cellStyle name="40% - Accent1 2 3 5 3" xfId="19410"/>
    <cellStyle name="40% - Accent1 2 3 5 3 2" xfId="32689"/>
    <cellStyle name="40% - Accent1 2 3 5 4" xfId="23698"/>
    <cellStyle name="40% - Accent1 2 3 6" xfId="15451"/>
    <cellStyle name="40% - Accent1 2 3 6 2" xfId="28843"/>
    <cellStyle name="40% - Accent1 2 3 7" xfId="19402"/>
    <cellStyle name="40% - Accent1 2 3 7 2" xfId="32681"/>
    <cellStyle name="40% - Accent1 2 3 8" xfId="23690"/>
    <cellStyle name="40% - Accent1 2 3_Volatility" xfId="4340"/>
    <cellStyle name="40% - Accent1 2 4" xfId="4341"/>
    <cellStyle name="40% - Accent1 2 4 2" xfId="4342"/>
    <cellStyle name="40% - Accent1 2 4 2 2" xfId="15461"/>
    <cellStyle name="40% - Accent1 2 4 2 2 2" xfId="28853"/>
    <cellStyle name="40% - Accent1 2 4 2 3" xfId="19412"/>
    <cellStyle name="40% - Accent1 2 4 2 3 2" xfId="32691"/>
    <cellStyle name="40% - Accent1 2 4 2 4" xfId="23700"/>
    <cellStyle name="40% - Accent1 2 4 3" xfId="4343"/>
    <cellStyle name="40% - Accent1 2 4 3 2" xfId="15462"/>
    <cellStyle name="40% - Accent1 2 4 3 2 2" xfId="28854"/>
    <cellStyle name="40% - Accent1 2 4 3 3" xfId="19413"/>
    <cellStyle name="40% - Accent1 2 4 3 3 2" xfId="32692"/>
    <cellStyle name="40% - Accent1 2 4 3 4" xfId="23701"/>
    <cellStyle name="40% - Accent1 2 4 4" xfId="15460"/>
    <cellStyle name="40% - Accent1 2 4 4 2" xfId="28852"/>
    <cellStyle name="40% - Accent1 2 4 5" xfId="19411"/>
    <cellStyle name="40% - Accent1 2 4 5 2" xfId="32690"/>
    <cellStyle name="40% - Accent1 2 4 6" xfId="23699"/>
    <cellStyle name="40% - Accent1 2 5" xfId="4344"/>
    <cellStyle name="40% - Accent1 2 5 2" xfId="4345"/>
    <cellStyle name="40% - Accent1 2 5 2 2" xfId="15464"/>
    <cellStyle name="40% - Accent1 2 5 2 2 2" xfId="28856"/>
    <cellStyle name="40% - Accent1 2 5 2 3" xfId="19415"/>
    <cellStyle name="40% - Accent1 2 5 2 3 2" xfId="32694"/>
    <cellStyle name="40% - Accent1 2 5 2 4" xfId="23703"/>
    <cellStyle name="40% - Accent1 2 5 3" xfId="4346"/>
    <cellStyle name="40% - Accent1 2 5 3 2" xfId="15465"/>
    <cellStyle name="40% - Accent1 2 5 3 2 2" xfId="28857"/>
    <cellStyle name="40% - Accent1 2 5 3 3" xfId="19416"/>
    <cellStyle name="40% - Accent1 2 5 3 3 2" xfId="32695"/>
    <cellStyle name="40% - Accent1 2 5 3 4" xfId="23704"/>
    <cellStyle name="40% - Accent1 2 5 4" xfId="15463"/>
    <cellStyle name="40% - Accent1 2 5 4 2" xfId="28855"/>
    <cellStyle name="40% - Accent1 2 5 5" xfId="19414"/>
    <cellStyle name="40% - Accent1 2 5 5 2" xfId="32693"/>
    <cellStyle name="40% - Accent1 2 5 6" xfId="23702"/>
    <cellStyle name="40% - Accent1 2 6" xfId="4347"/>
    <cellStyle name="40% - Accent1 2 6 2" xfId="4348"/>
    <cellStyle name="40% - Accent1 2 6 2 2" xfId="15467"/>
    <cellStyle name="40% - Accent1 2 6 2 2 2" xfId="28859"/>
    <cellStyle name="40% - Accent1 2 6 2 3" xfId="19418"/>
    <cellStyle name="40% - Accent1 2 6 2 3 2" xfId="32697"/>
    <cellStyle name="40% - Accent1 2 6 2 4" xfId="23706"/>
    <cellStyle name="40% - Accent1 2 6 3" xfId="4349"/>
    <cellStyle name="40% - Accent1 2 6 3 2" xfId="15468"/>
    <cellStyle name="40% - Accent1 2 6 3 2 2" xfId="28860"/>
    <cellStyle name="40% - Accent1 2 6 3 3" xfId="19419"/>
    <cellStyle name="40% - Accent1 2 6 3 3 2" xfId="32698"/>
    <cellStyle name="40% - Accent1 2 6 3 4" xfId="23707"/>
    <cellStyle name="40% - Accent1 2 6 4" xfId="15466"/>
    <cellStyle name="40% - Accent1 2 6 4 2" xfId="28858"/>
    <cellStyle name="40% - Accent1 2 6 5" xfId="19417"/>
    <cellStyle name="40% - Accent1 2 6 5 2" xfId="32696"/>
    <cellStyle name="40% - Accent1 2 6 6" xfId="23705"/>
    <cellStyle name="40% - Accent1 2 7" xfId="4350"/>
    <cellStyle name="40% - Accent1 2 7 2" xfId="15469"/>
    <cellStyle name="40% - Accent1 2 7 2 2" xfId="28861"/>
    <cellStyle name="40% - Accent1 2 7 3" xfId="19420"/>
    <cellStyle name="40% - Accent1 2 7 3 2" xfId="32699"/>
    <cellStyle name="40% - Accent1 2 7 4" xfId="23708"/>
    <cellStyle name="40% - Accent1 2 8" xfId="4351"/>
    <cellStyle name="40% - Accent1 2 8 2" xfId="15470"/>
    <cellStyle name="40% - Accent1 2 8 2 2" xfId="28862"/>
    <cellStyle name="40% - Accent1 2 8 3" xfId="19421"/>
    <cellStyle name="40% - Accent1 2 8 3 2" xfId="32700"/>
    <cellStyle name="40% - Accent1 2 8 4" xfId="23709"/>
    <cellStyle name="40% - Accent1 2 9" xfId="15438"/>
    <cellStyle name="40% - Accent1 2 9 2" xfId="28830"/>
    <cellStyle name="40% - Accent1 2_Volatility" xfId="4352"/>
    <cellStyle name="40% - Accent1 3" xfId="4353"/>
    <cellStyle name="40% - Accent1 3 10" xfId="19422"/>
    <cellStyle name="40% - Accent1 3 10 2" xfId="32701"/>
    <cellStyle name="40% - Accent1 3 11" xfId="23710"/>
    <cellStyle name="40% - Accent1 3 2" xfId="4354"/>
    <cellStyle name="40% - Accent1 3 2 2" xfId="4355"/>
    <cellStyle name="40% - Accent1 3 2 2 2" xfId="4356"/>
    <cellStyle name="40% - Accent1 3 2 2 2 2" xfId="15474"/>
    <cellStyle name="40% - Accent1 3 2 2 2 2 2" xfId="28866"/>
    <cellStyle name="40% - Accent1 3 2 2 2 3" xfId="19425"/>
    <cellStyle name="40% - Accent1 3 2 2 2 3 2" xfId="32704"/>
    <cellStyle name="40% - Accent1 3 2 2 2 4" xfId="23713"/>
    <cellStyle name="40% - Accent1 3 2 2 3" xfId="4357"/>
    <cellStyle name="40% - Accent1 3 2 2 3 2" xfId="15475"/>
    <cellStyle name="40% - Accent1 3 2 2 3 2 2" xfId="28867"/>
    <cellStyle name="40% - Accent1 3 2 2 3 3" xfId="19426"/>
    <cellStyle name="40% - Accent1 3 2 2 3 3 2" xfId="32705"/>
    <cellStyle name="40% - Accent1 3 2 2 3 4" xfId="23714"/>
    <cellStyle name="40% - Accent1 3 2 2 4" xfId="15473"/>
    <cellStyle name="40% - Accent1 3 2 2 4 2" xfId="28865"/>
    <cellStyle name="40% - Accent1 3 2 2 5" xfId="19424"/>
    <cellStyle name="40% - Accent1 3 2 2 5 2" xfId="32703"/>
    <cellStyle name="40% - Accent1 3 2 2 6" xfId="23712"/>
    <cellStyle name="40% - Accent1 3 2 3" xfId="4358"/>
    <cellStyle name="40% - Accent1 3 2 3 2" xfId="4359"/>
    <cellStyle name="40% - Accent1 3 2 3 2 2" xfId="15477"/>
    <cellStyle name="40% - Accent1 3 2 3 2 2 2" xfId="28869"/>
    <cellStyle name="40% - Accent1 3 2 3 2 3" xfId="19428"/>
    <cellStyle name="40% - Accent1 3 2 3 2 3 2" xfId="32707"/>
    <cellStyle name="40% - Accent1 3 2 3 2 4" xfId="23716"/>
    <cellStyle name="40% - Accent1 3 2 3 3" xfId="4360"/>
    <cellStyle name="40% - Accent1 3 2 3 3 2" xfId="15478"/>
    <cellStyle name="40% - Accent1 3 2 3 3 2 2" xfId="28870"/>
    <cellStyle name="40% - Accent1 3 2 3 3 3" xfId="19429"/>
    <cellStyle name="40% - Accent1 3 2 3 3 3 2" xfId="32708"/>
    <cellStyle name="40% - Accent1 3 2 3 3 4" xfId="23717"/>
    <cellStyle name="40% - Accent1 3 2 3 4" xfId="15476"/>
    <cellStyle name="40% - Accent1 3 2 3 4 2" xfId="28868"/>
    <cellStyle name="40% - Accent1 3 2 3 5" xfId="19427"/>
    <cellStyle name="40% - Accent1 3 2 3 5 2" xfId="32706"/>
    <cellStyle name="40% - Accent1 3 2 3 6" xfId="23715"/>
    <cellStyle name="40% - Accent1 3 2 4" xfId="4361"/>
    <cellStyle name="40% - Accent1 3 2 4 2" xfId="4362"/>
    <cellStyle name="40% - Accent1 3 2 4 2 2" xfId="15480"/>
    <cellStyle name="40% - Accent1 3 2 4 2 2 2" xfId="28872"/>
    <cellStyle name="40% - Accent1 3 2 4 2 3" xfId="19431"/>
    <cellStyle name="40% - Accent1 3 2 4 2 3 2" xfId="32710"/>
    <cellStyle name="40% - Accent1 3 2 4 2 4" xfId="23719"/>
    <cellStyle name="40% - Accent1 3 2 4 3" xfId="4363"/>
    <cellStyle name="40% - Accent1 3 2 4 3 2" xfId="15481"/>
    <cellStyle name="40% - Accent1 3 2 4 3 2 2" xfId="28873"/>
    <cellStyle name="40% - Accent1 3 2 4 3 3" xfId="19432"/>
    <cellStyle name="40% - Accent1 3 2 4 3 3 2" xfId="32711"/>
    <cellStyle name="40% - Accent1 3 2 4 3 4" xfId="23720"/>
    <cellStyle name="40% - Accent1 3 2 4 4" xfId="15479"/>
    <cellStyle name="40% - Accent1 3 2 4 4 2" xfId="28871"/>
    <cellStyle name="40% - Accent1 3 2 4 5" xfId="19430"/>
    <cellStyle name="40% - Accent1 3 2 4 5 2" xfId="32709"/>
    <cellStyle name="40% - Accent1 3 2 4 6" xfId="23718"/>
    <cellStyle name="40% - Accent1 3 2 5" xfId="4364"/>
    <cellStyle name="40% - Accent1 3 2 5 2" xfId="15482"/>
    <cellStyle name="40% - Accent1 3 2 5 2 2" xfId="28874"/>
    <cellStyle name="40% - Accent1 3 2 5 3" xfId="19433"/>
    <cellStyle name="40% - Accent1 3 2 5 3 2" xfId="32712"/>
    <cellStyle name="40% - Accent1 3 2 5 4" xfId="23721"/>
    <cellStyle name="40% - Accent1 3 2 6" xfId="4365"/>
    <cellStyle name="40% - Accent1 3 2 6 2" xfId="15483"/>
    <cellStyle name="40% - Accent1 3 2 6 2 2" xfId="28875"/>
    <cellStyle name="40% - Accent1 3 2 6 3" xfId="19434"/>
    <cellStyle name="40% - Accent1 3 2 6 3 2" xfId="32713"/>
    <cellStyle name="40% - Accent1 3 2 6 4" xfId="23722"/>
    <cellStyle name="40% - Accent1 3 2 7" xfId="15472"/>
    <cellStyle name="40% - Accent1 3 2 7 2" xfId="28864"/>
    <cellStyle name="40% - Accent1 3 2 8" xfId="19423"/>
    <cellStyle name="40% - Accent1 3 2 8 2" xfId="32702"/>
    <cellStyle name="40% - Accent1 3 2 9" xfId="23711"/>
    <cellStyle name="40% - Accent1 3 2_Volatility" xfId="4366"/>
    <cellStyle name="40% - Accent1 3 3" xfId="4367"/>
    <cellStyle name="40% - Accent1 3 3 2" xfId="4368"/>
    <cellStyle name="40% - Accent1 3 3 2 2" xfId="4369"/>
    <cellStyle name="40% - Accent1 3 3 2 2 2" xfId="15486"/>
    <cellStyle name="40% - Accent1 3 3 2 2 2 2" xfId="28878"/>
    <cellStyle name="40% - Accent1 3 3 2 2 3" xfId="19437"/>
    <cellStyle name="40% - Accent1 3 3 2 2 3 2" xfId="32716"/>
    <cellStyle name="40% - Accent1 3 3 2 2 4" xfId="23725"/>
    <cellStyle name="40% - Accent1 3 3 2 3" xfId="4370"/>
    <cellStyle name="40% - Accent1 3 3 2 3 2" xfId="15487"/>
    <cellStyle name="40% - Accent1 3 3 2 3 2 2" xfId="28879"/>
    <cellStyle name="40% - Accent1 3 3 2 3 3" xfId="19438"/>
    <cellStyle name="40% - Accent1 3 3 2 3 3 2" xfId="32717"/>
    <cellStyle name="40% - Accent1 3 3 2 3 4" xfId="23726"/>
    <cellStyle name="40% - Accent1 3 3 2 4" xfId="15485"/>
    <cellStyle name="40% - Accent1 3 3 2 4 2" xfId="28877"/>
    <cellStyle name="40% - Accent1 3 3 2 5" xfId="19436"/>
    <cellStyle name="40% - Accent1 3 3 2 5 2" xfId="32715"/>
    <cellStyle name="40% - Accent1 3 3 2 6" xfId="23724"/>
    <cellStyle name="40% - Accent1 3 3 3" xfId="4371"/>
    <cellStyle name="40% - Accent1 3 3 3 2" xfId="4372"/>
    <cellStyle name="40% - Accent1 3 3 3 2 2" xfId="15489"/>
    <cellStyle name="40% - Accent1 3 3 3 2 2 2" xfId="28881"/>
    <cellStyle name="40% - Accent1 3 3 3 2 3" xfId="19440"/>
    <cellStyle name="40% - Accent1 3 3 3 2 3 2" xfId="32719"/>
    <cellStyle name="40% - Accent1 3 3 3 2 4" xfId="23728"/>
    <cellStyle name="40% - Accent1 3 3 3 3" xfId="4373"/>
    <cellStyle name="40% - Accent1 3 3 3 3 2" xfId="15490"/>
    <cellStyle name="40% - Accent1 3 3 3 3 2 2" xfId="28882"/>
    <cellStyle name="40% - Accent1 3 3 3 3 3" xfId="19441"/>
    <cellStyle name="40% - Accent1 3 3 3 3 3 2" xfId="32720"/>
    <cellStyle name="40% - Accent1 3 3 3 3 4" xfId="23729"/>
    <cellStyle name="40% - Accent1 3 3 3 4" xfId="15488"/>
    <cellStyle name="40% - Accent1 3 3 3 4 2" xfId="28880"/>
    <cellStyle name="40% - Accent1 3 3 3 5" xfId="19439"/>
    <cellStyle name="40% - Accent1 3 3 3 5 2" xfId="32718"/>
    <cellStyle name="40% - Accent1 3 3 3 6" xfId="23727"/>
    <cellStyle name="40% - Accent1 3 3 4" xfId="4374"/>
    <cellStyle name="40% - Accent1 3 3 4 2" xfId="15491"/>
    <cellStyle name="40% - Accent1 3 3 4 2 2" xfId="28883"/>
    <cellStyle name="40% - Accent1 3 3 4 3" xfId="19442"/>
    <cellStyle name="40% - Accent1 3 3 4 3 2" xfId="32721"/>
    <cellStyle name="40% - Accent1 3 3 4 4" xfId="23730"/>
    <cellStyle name="40% - Accent1 3 3 5" xfId="4375"/>
    <cellStyle name="40% - Accent1 3 3 5 2" xfId="15492"/>
    <cellStyle name="40% - Accent1 3 3 5 2 2" xfId="28884"/>
    <cellStyle name="40% - Accent1 3 3 5 3" xfId="19443"/>
    <cellStyle name="40% - Accent1 3 3 5 3 2" xfId="32722"/>
    <cellStyle name="40% - Accent1 3 3 5 4" xfId="23731"/>
    <cellStyle name="40% - Accent1 3 3 6" xfId="15484"/>
    <cellStyle name="40% - Accent1 3 3 6 2" xfId="28876"/>
    <cellStyle name="40% - Accent1 3 3 7" xfId="19435"/>
    <cellStyle name="40% - Accent1 3 3 7 2" xfId="32714"/>
    <cellStyle name="40% - Accent1 3 3 8" xfId="23723"/>
    <cellStyle name="40% - Accent1 3 3_Volatility" xfId="4376"/>
    <cellStyle name="40% - Accent1 3 4" xfId="4377"/>
    <cellStyle name="40% - Accent1 3 4 2" xfId="4378"/>
    <cellStyle name="40% - Accent1 3 4 2 2" xfId="15494"/>
    <cellStyle name="40% - Accent1 3 4 2 2 2" xfId="28886"/>
    <cellStyle name="40% - Accent1 3 4 2 3" xfId="19445"/>
    <cellStyle name="40% - Accent1 3 4 2 3 2" xfId="32724"/>
    <cellStyle name="40% - Accent1 3 4 2 4" xfId="23733"/>
    <cellStyle name="40% - Accent1 3 4 3" xfId="4379"/>
    <cellStyle name="40% - Accent1 3 4 3 2" xfId="15495"/>
    <cellStyle name="40% - Accent1 3 4 3 2 2" xfId="28887"/>
    <cellStyle name="40% - Accent1 3 4 3 3" xfId="19446"/>
    <cellStyle name="40% - Accent1 3 4 3 3 2" xfId="32725"/>
    <cellStyle name="40% - Accent1 3 4 3 4" xfId="23734"/>
    <cellStyle name="40% - Accent1 3 4 4" xfId="15493"/>
    <cellStyle name="40% - Accent1 3 4 4 2" xfId="28885"/>
    <cellStyle name="40% - Accent1 3 4 5" xfId="19444"/>
    <cellStyle name="40% - Accent1 3 4 5 2" xfId="32723"/>
    <cellStyle name="40% - Accent1 3 4 6" xfId="23732"/>
    <cellStyle name="40% - Accent1 3 5" xfId="4380"/>
    <cellStyle name="40% - Accent1 3 5 2" xfId="4381"/>
    <cellStyle name="40% - Accent1 3 5 2 2" xfId="15497"/>
    <cellStyle name="40% - Accent1 3 5 2 2 2" xfId="28889"/>
    <cellStyle name="40% - Accent1 3 5 2 3" xfId="19448"/>
    <cellStyle name="40% - Accent1 3 5 2 3 2" xfId="32727"/>
    <cellStyle name="40% - Accent1 3 5 2 4" xfId="23736"/>
    <cellStyle name="40% - Accent1 3 5 3" xfId="4382"/>
    <cellStyle name="40% - Accent1 3 5 3 2" xfId="15498"/>
    <cellStyle name="40% - Accent1 3 5 3 2 2" xfId="28890"/>
    <cellStyle name="40% - Accent1 3 5 3 3" xfId="19449"/>
    <cellStyle name="40% - Accent1 3 5 3 3 2" xfId="32728"/>
    <cellStyle name="40% - Accent1 3 5 3 4" xfId="23737"/>
    <cellStyle name="40% - Accent1 3 5 4" xfId="15496"/>
    <cellStyle name="40% - Accent1 3 5 4 2" xfId="28888"/>
    <cellStyle name="40% - Accent1 3 5 5" xfId="19447"/>
    <cellStyle name="40% - Accent1 3 5 5 2" xfId="32726"/>
    <cellStyle name="40% - Accent1 3 5 6" xfId="23735"/>
    <cellStyle name="40% - Accent1 3 6" xfId="4383"/>
    <cellStyle name="40% - Accent1 3 6 2" xfId="4384"/>
    <cellStyle name="40% - Accent1 3 6 2 2" xfId="15500"/>
    <cellStyle name="40% - Accent1 3 6 2 2 2" xfId="28892"/>
    <cellStyle name="40% - Accent1 3 6 2 3" xfId="19451"/>
    <cellStyle name="40% - Accent1 3 6 2 3 2" xfId="32730"/>
    <cellStyle name="40% - Accent1 3 6 2 4" xfId="23739"/>
    <cellStyle name="40% - Accent1 3 6 3" xfId="4385"/>
    <cellStyle name="40% - Accent1 3 6 3 2" xfId="15501"/>
    <cellStyle name="40% - Accent1 3 6 3 2 2" xfId="28893"/>
    <cellStyle name="40% - Accent1 3 6 3 3" xfId="19452"/>
    <cellStyle name="40% - Accent1 3 6 3 3 2" xfId="32731"/>
    <cellStyle name="40% - Accent1 3 6 3 4" xfId="23740"/>
    <cellStyle name="40% - Accent1 3 6 4" xfId="15499"/>
    <cellStyle name="40% - Accent1 3 6 4 2" xfId="28891"/>
    <cellStyle name="40% - Accent1 3 6 5" xfId="19450"/>
    <cellStyle name="40% - Accent1 3 6 5 2" xfId="32729"/>
    <cellStyle name="40% - Accent1 3 6 6" xfId="23738"/>
    <cellStyle name="40% - Accent1 3 7" xfId="4386"/>
    <cellStyle name="40% - Accent1 3 7 2" xfId="15502"/>
    <cellStyle name="40% - Accent1 3 7 2 2" xfId="28894"/>
    <cellStyle name="40% - Accent1 3 7 3" xfId="19453"/>
    <cellStyle name="40% - Accent1 3 7 3 2" xfId="32732"/>
    <cellStyle name="40% - Accent1 3 7 4" xfId="23741"/>
    <cellStyle name="40% - Accent1 3 8" xfId="4387"/>
    <cellStyle name="40% - Accent1 3 8 2" xfId="15503"/>
    <cellStyle name="40% - Accent1 3 8 2 2" xfId="28895"/>
    <cellStyle name="40% - Accent1 3 8 3" xfId="19454"/>
    <cellStyle name="40% - Accent1 3 8 3 2" xfId="32733"/>
    <cellStyle name="40% - Accent1 3 8 4" xfId="23742"/>
    <cellStyle name="40% - Accent1 3 9" xfId="15471"/>
    <cellStyle name="40% - Accent1 3 9 2" xfId="28863"/>
    <cellStyle name="40% - Accent1 3_Volatility" xfId="4388"/>
    <cellStyle name="40% - Accent1 4" xfId="4389"/>
    <cellStyle name="40% - Accent1 4 10" xfId="19455"/>
    <cellStyle name="40% - Accent1 4 10 2" xfId="32734"/>
    <cellStyle name="40% - Accent1 4 11" xfId="23743"/>
    <cellStyle name="40% - Accent1 4 2" xfId="4390"/>
    <cellStyle name="40% - Accent1 4 2 2" xfId="4391"/>
    <cellStyle name="40% - Accent1 4 2 2 2" xfId="4392"/>
    <cellStyle name="40% - Accent1 4 2 2 2 2" xfId="15507"/>
    <cellStyle name="40% - Accent1 4 2 2 2 2 2" xfId="28899"/>
    <cellStyle name="40% - Accent1 4 2 2 2 3" xfId="19458"/>
    <cellStyle name="40% - Accent1 4 2 2 2 3 2" xfId="32737"/>
    <cellStyle name="40% - Accent1 4 2 2 2 4" xfId="23746"/>
    <cellStyle name="40% - Accent1 4 2 2 3" xfId="4393"/>
    <cellStyle name="40% - Accent1 4 2 2 3 2" xfId="15508"/>
    <cellStyle name="40% - Accent1 4 2 2 3 2 2" xfId="28900"/>
    <cellStyle name="40% - Accent1 4 2 2 3 3" xfId="19459"/>
    <cellStyle name="40% - Accent1 4 2 2 3 3 2" xfId="32738"/>
    <cellStyle name="40% - Accent1 4 2 2 3 4" xfId="23747"/>
    <cellStyle name="40% - Accent1 4 2 2 4" xfId="15506"/>
    <cellStyle name="40% - Accent1 4 2 2 4 2" xfId="28898"/>
    <cellStyle name="40% - Accent1 4 2 2 5" xfId="19457"/>
    <cellStyle name="40% - Accent1 4 2 2 5 2" xfId="32736"/>
    <cellStyle name="40% - Accent1 4 2 2 6" xfId="23745"/>
    <cellStyle name="40% - Accent1 4 2 3" xfId="4394"/>
    <cellStyle name="40% - Accent1 4 2 3 2" xfId="4395"/>
    <cellStyle name="40% - Accent1 4 2 3 2 2" xfId="15510"/>
    <cellStyle name="40% - Accent1 4 2 3 2 2 2" xfId="28902"/>
    <cellStyle name="40% - Accent1 4 2 3 2 3" xfId="19461"/>
    <cellStyle name="40% - Accent1 4 2 3 2 3 2" xfId="32740"/>
    <cellStyle name="40% - Accent1 4 2 3 2 4" xfId="23749"/>
    <cellStyle name="40% - Accent1 4 2 3 3" xfId="4396"/>
    <cellStyle name="40% - Accent1 4 2 3 3 2" xfId="15511"/>
    <cellStyle name="40% - Accent1 4 2 3 3 2 2" xfId="28903"/>
    <cellStyle name="40% - Accent1 4 2 3 3 3" xfId="19462"/>
    <cellStyle name="40% - Accent1 4 2 3 3 3 2" xfId="32741"/>
    <cellStyle name="40% - Accent1 4 2 3 3 4" xfId="23750"/>
    <cellStyle name="40% - Accent1 4 2 3 4" xfId="15509"/>
    <cellStyle name="40% - Accent1 4 2 3 4 2" xfId="28901"/>
    <cellStyle name="40% - Accent1 4 2 3 5" xfId="19460"/>
    <cellStyle name="40% - Accent1 4 2 3 5 2" xfId="32739"/>
    <cellStyle name="40% - Accent1 4 2 3 6" xfId="23748"/>
    <cellStyle name="40% - Accent1 4 2 4" xfId="4397"/>
    <cellStyle name="40% - Accent1 4 2 4 2" xfId="4398"/>
    <cellStyle name="40% - Accent1 4 2 4 2 2" xfId="15513"/>
    <cellStyle name="40% - Accent1 4 2 4 2 2 2" xfId="28905"/>
    <cellStyle name="40% - Accent1 4 2 4 2 3" xfId="19464"/>
    <cellStyle name="40% - Accent1 4 2 4 2 3 2" xfId="32743"/>
    <cellStyle name="40% - Accent1 4 2 4 2 4" xfId="23752"/>
    <cellStyle name="40% - Accent1 4 2 4 3" xfId="4399"/>
    <cellStyle name="40% - Accent1 4 2 4 3 2" xfId="15514"/>
    <cellStyle name="40% - Accent1 4 2 4 3 2 2" xfId="28906"/>
    <cellStyle name="40% - Accent1 4 2 4 3 3" xfId="19465"/>
    <cellStyle name="40% - Accent1 4 2 4 3 3 2" xfId="32744"/>
    <cellStyle name="40% - Accent1 4 2 4 3 4" xfId="23753"/>
    <cellStyle name="40% - Accent1 4 2 4 4" xfId="15512"/>
    <cellStyle name="40% - Accent1 4 2 4 4 2" xfId="28904"/>
    <cellStyle name="40% - Accent1 4 2 4 5" xfId="19463"/>
    <cellStyle name="40% - Accent1 4 2 4 5 2" xfId="32742"/>
    <cellStyle name="40% - Accent1 4 2 4 6" xfId="23751"/>
    <cellStyle name="40% - Accent1 4 2 5" xfId="4400"/>
    <cellStyle name="40% - Accent1 4 2 5 2" xfId="15515"/>
    <cellStyle name="40% - Accent1 4 2 5 2 2" xfId="28907"/>
    <cellStyle name="40% - Accent1 4 2 5 3" xfId="19466"/>
    <cellStyle name="40% - Accent1 4 2 5 3 2" xfId="32745"/>
    <cellStyle name="40% - Accent1 4 2 5 4" xfId="23754"/>
    <cellStyle name="40% - Accent1 4 2 6" xfId="4401"/>
    <cellStyle name="40% - Accent1 4 2 6 2" xfId="15516"/>
    <cellStyle name="40% - Accent1 4 2 6 2 2" xfId="28908"/>
    <cellStyle name="40% - Accent1 4 2 6 3" xfId="19467"/>
    <cellStyle name="40% - Accent1 4 2 6 3 2" xfId="32746"/>
    <cellStyle name="40% - Accent1 4 2 6 4" xfId="23755"/>
    <cellStyle name="40% - Accent1 4 2 7" xfId="15505"/>
    <cellStyle name="40% - Accent1 4 2 7 2" xfId="28897"/>
    <cellStyle name="40% - Accent1 4 2 8" xfId="19456"/>
    <cellStyle name="40% - Accent1 4 2 8 2" xfId="32735"/>
    <cellStyle name="40% - Accent1 4 2 9" xfId="23744"/>
    <cellStyle name="40% - Accent1 4 2_Volatility" xfId="4402"/>
    <cellStyle name="40% - Accent1 4 3" xfId="4403"/>
    <cellStyle name="40% - Accent1 4 3 2" xfId="4404"/>
    <cellStyle name="40% - Accent1 4 3 2 2" xfId="4405"/>
    <cellStyle name="40% - Accent1 4 3 2 2 2" xfId="15519"/>
    <cellStyle name="40% - Accent1 4 3 2 2 2 2" xfId="28911"/>
    <cellStyle name="40% - Accent1 4 3 2 2 3" xfId="19470"/>
    <cellStyle name="40% - Accent1 4 3 2 2 3 2" xfId="32749"/>
    <cellStyle name="40% - Accent1 4 3 2 2 4" xfId="23758"/>
    <cellStyle name="40% - Accent1 4 3 2 3" xfId="4406"/>
    <cellStyle name="40% - Accent1 4 3 2 3 2" xfId="15520"/>
    <cellStyle name="40% - Accent1 4 3 2 3 2 2" xfId="28912"/>
    <cellStyle name="40% - Accent1 4 3 2 3 3" xfId="19471"/>
    <cellStyle name="40% - Accent1 4 3 2 3 3 2" xfId="32750"/>
    <cellStyle name="40% - Accent1 4 3 2 3 4" xfId="23759"/>
    <cellStyle name="40% - Accent1 4 3 2 4" xfId="15518"/>
    <cellStyle name="40% - Accent1 4 3 2 4 2" xfId="28910"/>
    <cellStyle name="40% - Accent1 4 3 2 5" xfId="19469"/>
    <cellStyle name="40% - Accent1 4 3 2 5 2" xfId="32748"/>
    <cellStyle name="40% - Accent1 4 3 2 6" xfId="23757"/>
    <cellStyle name="40% - Accent1 4 3 3" xfId="4407"/>
    <cellStyle name="40% - Accent1 4 3 3 2" xfId="4408"/>
    <cellStyle name="40% - Accent1 4 3 3 2 2" xfId="15522"/>
    <cellStyle name="40% - Accent1 4 3 3 2 2 2" xfId="28914"/>
    <cellStyle name="40% - Accent1 4 3 3 2 3" xfId="19473"/>
    <cellStyle name="40% - Accent1 4 3 3 2 3 2" xfId="32752"/>
    <cellStyle name="40% - Accent1 4 3 3 2 4" xfId="23761"/>
    <cellStyle name="40% - Accent1 4 3 3 3" xfId="4409"/>
    <cellStyle name="40% - Accent1 4 3 3 3 2" xfId="15523"/>
    <cellStyle name="40% - Accent1 4 3 3 3 2 2" xfId="28915"/>
    <cellStyle name="40% - Accent1 4 3 3 3 3" xfId="19474"/>
    <cellStyle name="40% - Accent1 4 3 3 3 3 2" xfId="32753"/>
    <cellStyle name="40% - Accent1 4 3 3 3 4" xfId="23762"/>
    <cellStyle name="40% - Accent1 4 3 3 4" xfId="15521"/>
    <cellStyle name="40% - Accent1 4 3 3 4 2" xfId="28913"/>
    <cellStyle name="40% - Accent1 4 3 3 5" xfId="19472"/>
    <cellStyle name="40% - Accent1 4 3 3 5 2" xfId="32751"/>
    <cellStyle name="40% - Accent1 4 3 3 6" xfId="23760"/>
    <cellStyle name="40% - Accent1 4 3 4" xfId="4410"/>
    <cellStyle name="40% - Accent1 4 3 4 2" xfId="15524"/>
    <cellStyle name="40% - Accent1 4 3 4 2 2" xfId="28916"/>
    <cellStyle name="40% - Accent1 4 3 4 3" xfId="19475"/>
    <cellStyle name="40% - Accent1 4 3 4 3 2" xfId="32754"/>
    <cellStyle name="40% - Accent1 4 3 4 4" xfId="23763"/>
    <cellStyle name="40% - Accent1 4 3 5" xfId="4411"/>
    <cellStyle name="40% - Accent1 4 3 5 2" xfId="15525"/>
    <cellStyle name="40% - Accent1 4 3 5 2 2" xfId="28917"/>
    <cellStyle name="40% - Accent1 4 3 5 3" xfId="19476"/>
    <cellStyle name="40% - Accent1 4 3 5 3 2" xfId="32755"/>
    <cellStyle name="40% - Accent1 4 3 5 4" xfId="23764"/>
    <cellStyle name="40% - Accent1 4 3 6" xfId="15517"/>
    <cellStyle name="40% - Accent1 4 3 6 2" xfId="28909"/>
    <cellStyle name="40% - Accent1 4 3 7" xfId="19468"/>
    <cellStyle name="40% - Accent1 4 3 7 2" xfId="32747"/>
    <cellStyle name="40% - Accent1 4 3 8" xfId="23756"/>
    <cellStyle name="40% - Accent1 4 3_Volatility" xfId="4412"/>
    <cellStyle name="40% - Accent1 4 4" xfId="4413"/>
    <cellStyle name="40% - Accent1 4 4 2" xfId="4414"/>
    <cellStyle name="40% - Accent1 4 4 2 2" xfId="15527"/>
    <cellStyle name="40% - Accent1 4 4 2 2 2" xfId="28919"/>
    <cellStyle name="40% - Accent1 4 4 2 3" xfId="19478"/>
    <cellStyle name="40% - Accent1 4 4 2 3 2" xfId="32757"/>
    <cellStyle name="40% - Accent1 4 4 2 4" xfId="23766"/>
    <cellStyle name="40% - Accent1 4 4 3" xfId="4415"/>
    <cellStyle name="40% - Accent1 4 4 3 2" xfId="15528"/>
    <cellStyle name="40% - Accent1 4 4 3 2 2" xfId="28920"/>
    <cellStyle name="40% - Accent1 4 4 3 3" xfId="19479"/>
    <cellStyle name="40% - Accent1 4 4 3 3 2" xfId="32758"/>
    <cellStyle name="40% - Accent1 4 4 3 4" xfId="23767"/>
    <cellStyle name="40% - Accent1 4 4 4" xfId="15526"/>
    <cellStyle name="40% - Accent1 4 4 4 2" xfId="28918"/>
    <cellStyle name="40% - Accent1 4 4 5" xfId="19477"/>
    <cellStyle name="40% - Accent1 4 4 5 2" xfId="32756"/>
    <cellStyle name="40% - Accent1 4 4 6" xfId="23765"/>
    <cellStyle name="40% - Accent1 4 5" xfId="4416"/>
    <cellStyle name="40% - Accent1 4 5 2" xfId="4417"/>
    <cellStyle name="40% - Accent1 4 5 2 2" xfId="15530"/>
    <cellStyle name="40% - Accent1 4 5 2 2 2" xfId="28922"/>
    <cellStyle name="40% - Accent1 4 5 2 3" xfId="19481"/>
    <cellStyle name="40% - Accent1 4 5 2 3 2" xfId="32760"/>
    <cellStyle name="40% - Accent1 4 5 2 4" xfId="23769"/>
    <cellStyle name="40% - Accent1 4 5 3" xfId="4418"/>
    <cellStyle name="40% - Accent1 4 5 3 2" xfId="15531"/>
    <cellStyle name="40% - Accent1 4 5 3 2 2" xfId="28923"/>
    <cellStyle name="40% - Accent1 4 5 3 3" xfId="19482"/>
    <cellStyle name="40% - Accent1 4 5 3 3 2" xfId="32761"/>
    <cellStyle name="40% - Accent1 4 5 3 4" xfId="23770"/>
    <cellStyle name="40% - Accent1 4 5 4" xfId="15529"/>
    <cellStyle name="40% - Accent1 4 5 4 2" xfId="28921"/>
    <cellStyle name="40% - Accent1 4 5 5" xfId="19480"/>
    <cellStyle name="40% - Accent1 4 5 5 2" xfId="32759"/>
    <cellStyle name="40% - Accent1 4 5 6" xfId="23768"/>
    <cellStyle name="40% - Accent1 4 6" xfId="4419"/>
    <cellStyle name="40% - Accent1 4 6 2" xfId="4420"/>
    <cellStyle name="40% - Accent1 4 6 2 2" xfId="15533"/>
    <cellStyle name="40% - Accent1 4 6 2 2 2" xfId="28925"/>
    <cellStyle name="40% - Accent1 4 6 2 3" xfId="19484"/>
    <cellStyle name="40% - Accent1 4 6 2 3 2" xfId="32763"/>
    <cellStyle name="40% - Accent1 4 6 2 4" xfId="23772"/>
    <cellStyle name="40% - Accent1 4 6 3" xfId="4421"/>
    <cellStyle name="40% - Accent1 4 6 3 2" xfId="15534"/>
    <cellStyle name="40% - Accent1 4 6 3 2 2" xfId="28926"/>
    <cellStyle name="40% - Accent1 4 6 3 3" xfId="19485"/>
    <cellStyle name="40% - Accent1 4 6 3 3 2" xfId="32764"/>
    <cellStyle name="40% - Accent1 4 6 3 4" xfId="23773"/>
    <cellStyle name="40% - Accent1 4 6 4" xfId="15532"/>
    <cellStyle name="40% - Accent1 4 6 4 2" xfId="28924"/>
    <cellStyle name="40% - Accent1 4 6 5" xfId="19483"/>
    <cellStyle name="40% - Accent1 4 6 5 2" xfId="32762"/>
    <cellStyle name="40% - Accent1 4 6 6" xfId="23771"/>
    <cellStyle name="40% - Accent1 4 7" xfId="4422"/>
    <cellStyle name="40% - Accent1 4 7 2" xfId="15535"/>
    <cellStyle name="40% - Accent1 4 7 2 2" xfId="28927"/>
    <cellStyle name="40% - Accent1 4 7 3" xfId="19486"/>
    <cellStyle name="40% - Accent1 4 7 3 2" xfId="32765"/>
    <cellStyle name="40% - Accent1 4 7 4" xfId="23774"/>
    <cellStyle name="40% - Accent1 4 8" xfId="4423"/>
    <cellStyle name="40% - Accent1 4 8 2" xfId="15536"/>
    <cellStyle name="40% - Accent1 4 8 2 2" xfId="28928"/>
    <cellStyle name="40% - Accent1 4 8 3" xfId="19487"/>
    <cellStyle name="40% - Accent1 4 8 3 2" xfId="32766"/>
    <cellStyle name="40% - Accent1 4 8 4" xfId="23775"/>
    <cellStyle name="40% - Accent1 4 9" xfId="15504"/>
    <cellStyle name="40% - Accent1 4 9 2" xfId="28896"/>
    <cellStyle name="40% - Accent1 4_Volatility" xfId="4424"/>
    <cellStyle name="40% - Accent1 5" xfId="4425"/>
    <cellStyle name="40% - Accent1 5 10" xfId="19488"/>
    <cellStyle name="40% - Accent1 5 10 2" xfId="32767"/>
    <cellStyle name="40% - Accent1 5 11" xfId="23776"/>
    <cellStyle name="40% - Accent1 5 2" xfId="4426"/>
    <cellStyle name="40% - Accent1 5 2 2" xfId="4427"/>
    <cellStyle name="40% - Accent1 5 2 2 2" xfId="4428"/>
    <cellStyle name="40% - Accent1 5 2 2 2 2" xfId="15540"/>
    <cellStyle name="40% - Accent1 5 2 2 2 2 2" xfId="28932"/>
    <cellStyle name="40% - Accent1 5 2 2 2 3" xfId="19491"/>
    <cellStyle name="40% - Accent1 5 2 2 2 3 2" xfId="32770"/>
    <cellStyle name="40% - Accent1 5 2 2 2 4" xfId="23779"/>
    <cellStyle name="40% - Accent1 5 2 2 3" xfId="4429"/>
    <cellStyle name="40% - Accent1 5 2 2 3 2" xfId="15541"/>
    <cellStyle name="40% - Accent1 5 2 2 3 2 2" xfId="28933"/>
    <cellStyle name="40% - Accent1 5 2 2 3 3" xfId="19492"/>
    <cellStyle name="40% - Accent1 5 2 2 3 3 2" xfId="32771"/>
    <cellStyle name="40% - Accent1 5 2 2 3 4" xfId="23780"/>
    <cellStyle name="40% - Accent1 5 2 2 4" xfId="15539"/>
    <cellStyle name="40% - Accent1 5 2 2 4 2" xfId="28931"/>
    <cellStyle name="40% - Accent1 5 2 2 5" xfId="19490"/>
    <cellStyle name="40% - Accent1 5 2 2 5 2" xfId="32769"/>
    <cellStyle name="40% - Accent1 5 2 2 6" xfId="23778"/>
    <cellStyle name="40% - Accent1 5 2 3" xfId="4430"/>
    <cellStyle name="40% - Accent1 5 2 3 2" xfId="4431"/>
    <cellStyle name="40% - Accent1 5 2 3 2 2" xfId="15543"/>
    <cellStyle name="40% - Accent1 5 2 3 2 2 2" xfId="28935"/>
    <cellStyle name="40% - Accent1 5 2 3 2 3" xfId="19494"/>
    <cellStyle name="40% - Accent1 5 2 3 2 3 2" xfId="32773"/>
    <cellStyle name="40% - Accent1 5 2 3 2 4" xfId="23782"/>
    <cellStyle name="40% - Accent1 5 2 3 3" xfId="4432"/>
    <cellStyle name="40% - Accent1 5 2 3 3 2" xfId="15544"/>
    <cellStyle name="40% - Accent1 5 2 3 3 2 2" xfId="28936"/>
    <cellStyle name="40% - Accent1 5 2 3 3 3" xfId="19495"/>
    <cellStyle name="40% - Accent1 5 2 3 3 3 2" xfId="32774"/>
    <cellStyle name="40% - Accent1 5 2 3 3 4" xfId="23783"/>
    <cellStyle name="40% - Accent1 5 2 3 4" xfId="15542"/>
    <cellStyle name="40% - Accent1 5 2 3 4 2" xfId="28934"/>
    <cellStyle name="40% - Accent1 5 2 3 5" xfId="19493"/>
    <cellStyle name="40% - Accent1 5 2 3 5 2" xfId="32772"/>
    <cellStyle name="40% - Accent1 5 2 3 6" xfId="23781"/>
    <cellStyle name="40% - Accent1 5 2 4" xfId="4433"/>
    <cellStyle name="40% - Accent1 5 2 4 2" xfId="4434"/>
    <cellStyle name="40% - Accent1 5 2 4 2 2" xfId="15546"/>
    <cellStyle name="40% - Accent1 5 2 4 2 2 2" xfId="28938"/>
    <cellStyle name="40% - Accent1 5 2 4 2 3" xfId="19497"/>
    <cellStyle name="40% - Accent1 5 2 4 2 3 2" xfId="32776"/>
    <cellStyle name="40% - Accent1 5 2 4 2 4" xfId="23785"/>
    <cellStyle name="40% - Accent1 5 2 4 3" xfId="4435"/>
    <cellStyle name="40% - Accent1 5 2 4 3 2" xfId="15547"/>
    <cellStyle name="40% - Accent1 5 2 4 3 2 2" xfId="28939"/>
    <cellStyle name="40% - Accent1 5 2 4 3 3" xfId="19498"/>
    <cellStyle name="40% - Accent1 5 2 4 3 3 2" xfId="32777"/>
    <cellStyle name="40% - Accent1 5 2 4 3 4" xfId="23786"/>
    <cellStyle name="40% - Accent1 5 2 4 4" xfId="15545"/>
    <cellStyle name="40% - Accent1 5 2 4 4 2" xfId="28937"/>
    <cellStyle name="40% - Accent1 5 2 4 5" xfId="19496"/>
    <cellStyle name="40% - Accent1 5 2 4 5 2" xfId="32775"/>
    <cellStyle name="40% - Accent1 5 2 4 6" xfId="23784"/>
    <cellStyle name="40% - Accent1 5 2 5" xfId="4436"/>
    <cellStyle name="40% - Accent1 5 2 5 2" xfId="15548"/>
    <cellStyle name="40% - Accent1 5 2 5 2 2" xfId="28940"/>
    <cellStyle name="40% - Accent1 5 2 5 3" xfId="19499"/>
    <cellStyle name="40% - Accent1 5 2 5 3 2" xfId="32778"/>
    <cellStyle name="40% - Accent1 5 2 5 4" xfId="23787"/>
    <cellStyle name="40% - Accent1 5 2 6" xfId="4437"/>
    <cellStyle name="40% - Accent1 5 2 6 2" xfId="15549"/>
    <cellStyle name="40% - Accent1 5 2 6 2 2" xfId="28941"/>
    <cellStyle name="40% - Accent1 5 2 6 3" xfId="19500"/>
    <cellStyle name="40% - Accent1 5 2 6 3 2" xfId="32779"/>
    <cellStyle name="40% - Accent1 5 2 6 4" xfId="23788"/>
    <cellStyle name="40% - Accent1 5 2 7" xfId="15538"/>
    <cellStyle name="40% - Accent1 5 2 7 2" xfId="28930"/>
    <cellStyle name="40% - Accent1 5 2 8" xfId="19489"/>
    <cellStyle name="40% - Accent1 5 2 8 2" xfId="32768"/>
    <cellStyle name="40% - Accent1 5 2 9" xfId="23777"/>
    <cellStyle name="40% - Accent1 5 2_Volatility" xfId="4438"/>
    <cellStyle name="40% - Accent1 5 3" xfId="4439"/>
    <cellStyle name="40% - Accent1 5 3 2" xfId="4440"/>
    <cellStyle name="40% - Accent1 5 3 2 2" xfId="4441"/>
    <cellStyle name="40% - Accent1 5 3 2 2 2" xfId="15552"/>
    <cellStyle name="40% - Accent1 5 3 2 2 2 2" xfId="28944"/>
    <cellStyle name="40% - Accent1 5 3 2 2 3" xfId="19503"/>
    <cellStyle name="40% - Accent1 5 3 2 2 3 2" xfId="32782"/>
    <cellStyle name="40% - Accent1 5 3 2 2 4" xfId="23791"/>
    <cellStyle name="40% - Accent1 5 3 2 3" xfId="4442"/>
    <cellStyle name="40% - Accent1 5 3 2 3 2" xfId="15553"/>
    <cellStyle name="40% - Accent1 5 3 2 3 2 2" xfId="28945"/>
    <cellStyle name="40% - Accent1 5 3 2 3 3" xfId="19504"/>
    <cellStyle name="40% - Accent1 5 3 2 3 3 2" xfId="32783"/>
    <cellStyle name="40% - Accent1 5 3 2 3 4" xfId="23792"/>
    <cellStyle name="40% - Accent1 5 3 2 4" xfId="15551"/>
    <cellStyle name="40% - Accent1 5 3 2 4 2" xfId="28943"/>
    <cellStyle name="40% - Accent1 5 3 2 5" xfId="19502"/>
    <cellStyle name="40% - Accent1 5 3 2 5 2" xfId="32781"/>
    <cellStyle name="40% - Accent1 5 3 2 6" xfId="23790"/>
    <cellStyle name="40% - Accent1 5 3 3" xfId="4443"/>
    <cellStyle name="40% - Accent1 5 3 3 2" xfId="4444"/>
    <cellStyle name="40% - Accent1 5 3 3 2 2" xfId="15555"/>
    <cellStyle name="40% - Accent1 5 3 3 2 2 2" xfId="28947"/>
    <cellStyle name="40% - Accent1 5 3 3 2 3" xfId="19506"/>
    <cellStyle name="40% - Accent1 5 3 3 2 3 2" xfId="32785"/>
    <cellStyle name="40% - Accent1 5 3 3 2 4" xfId="23794"/>
    <cellStyle name="40% - Accent1 5 3 3 3" xfId="4445"/>
    <cellStyle name="40% - Accent1 5 3 3 3 2" xfId="15556"/>
    <cellStyle name="40% - Accent1 5 3 3 3 2 2" xfId="28948"/>
    <cellStyle name="40% - Accent1 5 3 3 3 3" xfId="19507"/>
    <cellStyle name="40% - Accent1 5 3 3 3 3 2" xfId="32786"/>
    <cellStyle name="40% - Accent1 5 3 3 3 4" xfId="23795"/>
    <cellStyle name="40% - Accent1 5 3 3 4" xfId="15554"/>
    <cellStyle name="40% - Accent1 5 3 3 4 2" xfId="28946"/>
    <cellStyle name="40% - Accent1 5 3 3 5" xfId="19505"/>
    <cellStyle name="40% - Accent1 5 3 3 5 2" xfId="32784"/>
    <cellStyle name="40% - Accent1 5 3 3 6" xfId="23793"/>
    <cellStyle name="40% - Accent1 5 3 4" xfId="4446"/>
    <cellStyle name="40% - Accent1 5 3 4 2" xfId="15557"/>
    <cellStyle name="40% - Accent1 5 3 4 2 2" xfId="28949"/>
    <cellStyle name="40% - Accent1 5 3 4 3" xfId="19508"/>
    <cellStyle name="40% - Accent1 5 3 4 3 2" xfId="32787"/>
    <cellStyle name="40% - Accent1 5 3 4 4" xfId="23796"/>
    <cellStyle name="40% - Accent1 5 3 5" xfId="4447"/>
    <cellStyle name="40% - Accent1 5 3 5 2" xfId="15558"/>
    <cellStyle name="40% - Accent1 5 3 5 2 2" xfId="28950"/>
    <cellStyle name="40% - Accent1 5 3 5 3" xfId="19509"/>
    <cellStyle name="40% - Accent1 5 3 5 3 2" xfId="32788"/>
    <cellStyle name="40% - Accent1 5 3 5 4" xfId="23797"/>
    <cellStyle name="40% - Accent1 5 3 6" xfId="15550"/>
    <cellStyle name="40% - Accent1 5 3 6 2" xfId="28942"/>
    <cellStyle name="40% - Accent1 5 3 7" xfId="19501"/>
    <cellStyle name="40% - Accent1 5 3 7 2" xfId="32780"/>
    <cellStyle name="40% - Accent1 5 3 8" xfId="23789"/>
    <cellStyle name="40% - Accent1 5 3_Volatility" xfId="4448"/>
    <cellStyle name="40% - Accent1 5 4" xfId="4449"/>
    <cellStyle name="40% - Accent1 5 4 2" xfId="4450"/>
    <cellStyle name="40% - Accent1 5 4 2 2" xfId="15560"/>
    <cellStyle name="40% - Accent1 5 4 2 2 2" xfId="28952"/>
    <cellStyle name="40% - Accent1 5 4 2 3" xfId="19511"/>
    <cellStyle name="40% - Accent1 5 4 2 3 2" xfId="32790"/>
    <cellStyle name="40% - Accent1 5 4 2 4" xfId="23799"/>
    <cellStyle name="40% - Accent1 5 4 3" xfId="4451"/>
    <cellStyle name="40% - Accent1 5 4 3 2" xfId="15561"/>
    <cellStyle name="40% - Accent1 5 4 3 2 2" xfId="28953"/>
    <cellStyle name="40% - Accent1 5 4 3 3" xfId="19512"/>
    <cellStyle name="40% - Accent1 5 4 3 3 2" xfId="32791"/>
    <cellStyle name="40% - Accent1 5 4 3 4" xfId="23800"/>
    <cellStyle name="40% - Accent1 5 4 4" xfId="15559"/>
    <cellStyle name="40% - Accent1 5 4 4 2" xfId="28951"/>
    <cellStyle name="40% - Accent1 5 4 5" xfId="19510"/>
    <cellStyle name="40% - Accent1 5 4 5 2" xfId="32789"/>
    <cellStyle name="40% - Accent1 5 4 6" xfId="23798"/>
    <cellStyle name="40% - Accent1 5 5" xfId="4452"/>
    <cellStyle name="40% - Accent1 5 5 2" xfId="4453"/>
    <cellStyle name="40% - Accent1 5 5 2 2" xfId="15563"/>
    <cellStyle name="40% - Accent1 5 5 2 2 2" xfId="28955"/>
    <cellStyle name="40% - Accent1 5 5 2 3" xfId="19514"/>
    <cellStyle name="40% - Accent1 5 5 2 3 2" xfId="32793"/>
    <cellStyle name="40% - Accent1 5 5 2 4" xfId="23802"/>
    <cellStyle name="40% - Accent1 5 5 3" xfId="4454"/>
    <cellStyle name="40% - Accent1 5 5 3 2" xfId="15564"/>
    <cellStyle name="40% - Accent1 5 5 3 2 2" xfId="28956"/>
    <cellStyle name="40% - Accent1 5 5 3 3" xfId="19515"/>
    <cellStyle name="40% - Accent1 5 5 3 3 2" xfId="32794"/>
    <cellStyle name="40% - Accent1 5 5 3 4" xfId="23803"/>
    <cellStyle name="40% - Accent1 5 5 4" xfId="15562"/>
    <cellStyle name="40% - Accent1 5 5 4 2" xfId="28954"/>
    <cellStyle name="40% - Accent1 5 5 5" xfId="19513"/>
    <cellStyle name="40% - Accent1 5 5 5 2" xfId="32792"/>
    <cellStyle name="40% - Accent1 5 5 6" xfId="23801"/>
    <cellStyle name="40% - Accent1 5 6" xfId="4455"/>
    <cellStyle name="40% - Accent1 5 6 2" xfId="4456"/>
    <cellStyle name="40% - Accent1 5 6 2 2" xfId="15566"/>
    <cellStyle name="40% - Accent1 5 6 2 2 2" xfId="28958"/>
    <cellStyle name="40% - Accent1 5 6 2 3" xfId="19517"/>
    <cellStyle name="40% - Accent1 5 6 2 3 2" xfId="32796"/>
    <cellStyle name="40% - Accent1 5 6 2 4" xfId="23805"/>
    <cellStyle name="40% - Accent1 5 6 3" xfId="4457"/>
    <cellStyle name="40% - Accent1 5 6 3 2" xfId="15567"/>
    <cellStyle name="40% - Accent1 5 6 3 2 2" xfId="28959"/>
    <cellStyle name="40% - Accent1 5 6 3 3" xfId="19518"/>
    <cellStyle name="40% - Accent1 5 6 3 3 2" xfId="32797"/>
    <cellStyle name="40% - Accent1 5 6 3 4" xfId="23806"/>
    <cellStyle name="40% - Accent1 5 6 4" xfId="15565"/>
    <cellStyle name="40% - Accent1 5 6 4 2" xfId="28957"/>
    <cellStyle name="40% - Accent1 5 6 5" xfId="19516"/>
    <cellStyle name="40% - Accent1 5 6 5 2" xfId="32795"/>
    <cellStyle name="40% - Accent1 5 6 6" xfId="23804"/>
    <cellStyle name="40% - Accent1 5 7" xfId="4458"/>
    <cellStyle name="40% - Accent1 5 7 2" xfId="15568"/>
    <cellStyle name="40% - Accent1 5 7 2 2" xfId="28960"/>
    <cellStyle name="40% - Accent1 5 7 3" xfId="19519"/>
    <cellStyle name="40% - Accent1 5 7 3 2" xfId="32798"/>
    <cellStyle name="40% - Accent1 5 7 4" xfId="23807"/>
    <cellStyle name="40% - Accent1 5 8" xfId="4459"/>
    <cellStyle name="40% - Accent1 5 8 2" xfId="15569"/>
    <cellStyle name="40% - Accent1 5 8 2 2" xfId="28961"/>
    <cellStyle name="40% - Accent1 5 8 3" xfId="19520"/>
    <cellStyle name="40% - Accent1 5 8 3 2" xfId="32799"/>
    <cellStyle name="40% - Accent1 5 8 4" xfId="23808"/>
    <cellStyle name="40% - Accent1 5 9" xfId="15537"/>
    <cellStyle name="40% - Accent1 5 9 2" xfId="28929"/>
    <cellStyle name="40% - Accent1 5_Volatility" xfId="4460"/>
    <cellStyle name="40% - Accent1 6" xfId="4461"/>
    <cellStyle name="40% - Accent1 6 10" xfId="19521"/>
    <cellStyle name="40% - Accent1 6 10 2" xfId="32800"/>
    <cellStyle name="40% - Accent1 6 11" xfId="23809"/>
    <cellStyle name="40% - Accent1 6 2" xfId="4462"/>
    <cellStyle name="40% - Accent1 6 2 2" xfId="4463"/>
    <cellStyle name="40% - Accent1 6 2 2 2" xfId="4464"/>
    <cellStyle name="40% - Accent1 6 2 2 2 2" xfId="15573"/>
    <cellStyle name="40% - Accent1 6 2 2 2 2 2" xfId="28965"/>
    <cellStyle name="40% - Accent1 6 2 2 2 3" xfId="19524"/>
    <cellStyle name="40% - Accent1 6 2 2 2 3 2" xfId="32803"/>
    <cellStyle name="40% - Accent1 6 2 2 2 4" xfId="23812"/>
    <cellStyle name="40% - Accent1 6 2 2 3" xfId="4465"/>
    <cellStyle name="40% - Accent1 6 2 2 3 2" xfId="15574"/>
    <cellStyle name="40% - Accent1 6 2 2 3 2 2" xfId="28966"/>
    <cellStyle name="40% - Accent1 6 2 2 3 3" xfId="19525"/>
    <cellStyle name="40% - Accent1 6 2 2 3 3 2" xfId="32804"/>
    <cellStyle name="40% - Accent1 6 2 2 3 4" xfId="23813"/>
    <cellStyle name="40% - Accent1 6 2 2 4" xfId="15572"/>
    <cellStyle name="40% - Accent1 6 2 2 4 2" xfId="28964"/>
    <cellStyle name="40% - Accent1 6 2 2 5" xfId="19523"/>
    <cellStyle name="40% - Accent1 6 2 2 5 2" xfId="32802"/>
    <cellStyle name="40% - Accent1 6 2 2 6" xfId="23811"/>
    <cellStyle name="40% - Accent1 6 2 3" xfId="4466"/>
    <cellStyle name="40% - Accent1 6 2 3 2" xfId="4467"/>
    <cellStyle name="40% - Accent1 6 2 3 2 2" xfId="15576"/>
    <cellStyle name="40% - Accent1 6 2 3 2 2 2" xfId="28968"/>
    <cellStyle name="40% - Accent1 6 2 3 2 3" xfId="19527"/>
    <cellStyle name="40% - Accent1 6 2 3 2 3 2" xfId="32806"/>
    <cellStyle name="40% - Accent1 6 2 3 2 4" xfId="23815"/>
    <cellStyle name="40% - Accent1 6 2 3 3" xfId="4468"/>
    <cellStyle name="40% - Accent1 6 2 3 3 2" xfId="15577"/>
    <cellStyle name="40% - Accent1 6 2 3 3 2 2" xfId="28969"/>
    <cellStyle name="40% - Accent1 6 2 3 3 3" xfId="19528"/>
    <cellStyle name="40% - Accent1 6 2 3 3 3 2" xfId="32807"/>
    <cellStyle name="40% - Accent1 6 2 3 3 4" xfId="23816"/>
    <cellStyle name="40% - Accent1 6 2 3 4" xfId="15575"/>
    <cellStyle name="40% - Accent1 6 2 3 4 2" xfId="28967"/>
    <cellStyle name="40% - Accent1 6 2 3 5" xfId="19526"/>
    <cellStyle name="40% - Accent1 6 2 3 5 2" xfId="32805"/>
    <cellStyle name="40% - Accent1 6 2 3 6" xfId="23814"/>
    <cellStyle name="40% - Accent1 6 2 4" xfId="4469"/>
    <cellStyle name="40% - Accent1 6 2 4 2" xfId="4470"/>
    <cellStyle name="40% - Accent1 6 2 4 2 2" xfId="15579"/>
    <cellStyle name="40% - Accent1 6 2 4 2 2 2" xfId="28971"/>
    <cellStyle name="40% - Accent1 6 2 4 2 3" xfId="19530"/>
    <cellStyle name="40% - Accent1 6 2 4 2 3 2" xfId="32809"/>
    <cellStyle name="40% - Accent1 6 2 4 2 4" xfId="23818"/>
    <cellStyle name="40% - Accent1 6 2 4 3" xfId="4471"/>
    <cellStyle name="40% - Accent1 6 2 4 3 2" xfId="15580"/>
    <cellStyle name="40% - Accent1 6 2 4 3 2 2" xfId="28972"/>
    <cellStyle name="40% - Accent1 6 2 4 3 3" xfId="19531"/>
    <cellStyle name="40% - Accent1 6 2 4 3 3 2" xfId="32810"/>
    <cellStyle name="40% - Accent1 6 2 4 3 4" xfId="23819"/>
    <cellStyle name="40% - Accent1 6 2 4 4" xfId="15578"/>
    <cellStyle name="40% - Accent1 6 2 4 4 2" xfId="28970"/>
    <cellStyle name="40% - Accent1 6 2 4 5" xfId="19529"/>
    <cellStyle name="40% - Accent1 6 2 4 5 2" xfId="32808"/>
    <cellStyle name="40% - Accent1 6 2 4 6" xfId="23817"/>
    <cellStyle name="40% - Accent1 6 2 5" xfId="4472"/>
    <cellStyle name="40% - Accent1 6 2 5 2" xfId="15581"/>
    <cellStyle name="40% - Accent1 6 2 5 2 2" xfId="28973"/>
    <cellStyle name="40% - Accent1 6 2 5 3" xfId="19532"/>
    <cellStyle name="40% - Accent1 6 2 5 3 2" xfId="32811"/>
    <cellStyle name="40% - Accent1 6 2 5 4" xfId="23820"/>
    <cellStyle name="40% - Accent1 6 2 6" xfId="4473"/>
    <cellStyle name="40% - Accent1 6 2 6 2" xfId="15582"/>
    <cellStyle name="40% - Accent1 6 2 6 2 2" xfId="28974"/>
    <cellStyle name="40% - Accent1 6 2 6 3" xfId="19533"/>
    <cellStyle name="40% - Accent1 6 2 6 3 2" xfId="32812"/>
    <cellStyle name="40% - Accent1 6 2 6 4" xfId="23821"/>
    <cellStyle name="40% - Accent1 6 2 7" xfId="15571"/>
    <cellStyle name="40% - Accent1 6 2 7 2" xfId="28963"/>
    <cellStyle name="40% - Accent1 6 2 8" xfId="19522"/>
    <cellStyle name="40% - Accent1 6 2 8 2" xfId="32801"/>
    <cellStyle name="40% - Accent1 6 2 9" xfId="23810"/>
    <cellStyle name="40% - Accent1 6 2_Volatility" xfId="4474"/>
    <cellStyle name="40% - Accent1 6 3" xfId="4475"/>
    <cellStyle name="40% - Accent1 6 3 2" xfId="4476"/>
    <cellStyle name="40% - Accent1 6 3 2 2" xfId="4477"/>
    <cellStyle name="40% - Accent1 6 3 2 2 2" xfId="15585"/>
    <cellStyle name="40% - Accent1 6 3 2 2 2 2" xfId="28977"/>
    <cellStyle name="40% - Accent1 6 3 2 2 3" xfId="19536"/>
    <cellStyle name="40% - Accent1 6 3 2 2 3 2" xfId="32815"/>
    <cellStyle name="40% - Accent1 6 3 2 2 4" xfId="23824"/>
    <cellStyle name="40% - Accent1 6 3 2 3" xfId="4478"/>
    <cellStyle name="40% - Accent1 6 3 2 3 2" xfId="15586"/>
    <cellStyle name="40% - Accent1 6 3 2 3 2 2" xfId="28978"/>
    <cellStyle name="40% - Accent1 6 3 2 3 3" xfId="19537"/>
    <cellStyle name="40% - Accent1 6 3 2 3 3 2" xfId="32816"/>
    <cellStyle name="40% - Accent1 6 3 2 3 4" xfId="23825"/>
    <cellStyle name="40% - Accent1 6 3 2 4" xfId="15584"/>
    <cellStyle name="40% - Accent1 6 3 2 4 2" xfId="28976"/>
    <cellStyle name="40% - Accent1 6 3 2 5" xfId="19535"/>
    <cellStyle name="40% - Accent1 6 3 2 5 2" xfId="32814"/>
    <cellStyle name="40% - Accent1 6 3 2 6" xfId="23823"/>
    <cellStyle name="40% - Accent1 6 3 3" xfId="4479"/>
    <cellStyle name="40% - Accent1 6 3 3 2" xfId="4480"/>
    <cellStyle name="40% - Accent1 6 3 3 2 2" xfId="15588"/>
    <cellStyle name="40% - Accent1 6 3 3 2 2 2" xfId="28980"/>
    <cellStyle name="40% - Accent1 6 3 3 2 3" xfId="19539"/>
    <cellStyle name="40% - Accent1 6 3 3 2 3 2" xfId="32818"/>
    <cellStyle name="40% - Accent1 6 3 3 2 4" xfId="23827"/>
    <cellStyle name="40% - Accent1 6 3 3 3" xfId="4481"/>
    <cellStyle name="40% - Accent1 6 3 3 3 2" xfId="15589"/>
    <cellStyle name="40% - Accent1 6 3 3 3 2 2" xfId="28981"/>
    <cellStyle name="40% - Accent1 6 3 3 3 3" xfId="19540"/>
    <cellStyle name="40% - Accent1 6 3 3 3 3 2" xfId="32819"/>
    <cellStyle name="40% - Accent1 6 3 3 3 4" xfId="23828"/>
    <cellStyle name="40% - Accent1 6 3 3 4" xfId="15587"/>
    <cellStyle name="40% - Accent1 6 3 3 4 2" xfId="28979"/>
    <cellStyle name="40% - Accent1 6 3 3 5" xfId="19538"/>
    <cellStyle name="40% - Accent1 6 3 3 5 2" xfId="32817"/>
    <cellStyle name="40% - Accent1 6 3 3 6" xfId="23826"/>
    <cellStyle name="40% - Accent1 6 3 4" xfId="4482"/>
    <cellStyle name="40% - Accent1 6 3 4 2" xfId="15590"/>
    <cellStyle name="40% - Accent1 6 3 4 2 2" xfId="28982"/>
    <cellStyle name="40% - Accent1 6 3 4 3" xfId="19541"/>
    <cellStyle name="40% - Accent1 6 3 4 3 2" xfId="32820"/>
    <cellStyle name="40% - Accent1 6 3 4 4" xfId="23829"/>
    <cellStyle name="40% - Accent1 6 3 5" xfId="4483"/>
    <cellStyle name="40% - Accent1 6 3 5 2" xfId="15591"/>
    <cellStyle name="40% - Accent1 6 3 5 2 2" xfId="28983"/>
    <cellStyle name="40% - Accent1 6 3 5 3" xfId="19542"/>
    <cellStyle name="40% - Accent1 6 3 5 3 2" xfId="32821"/>
    <cellStyle name="40% - Accent1 6 3 5 4" xfId="23830"/>
    <cellStyle name="40% - Accent1 6 3 6" xfId="15583"/>
    <cellStyle name="40% - Accent1 6 3 6 2" xfId="28975"/>
    <cellStyle name="40% - Accent1 6 3 7" xfId="19534"/>
    <cellStyle name="40% - Accent1 6 3 7 2" xfId="32813"/>
    <cellStyle name="40% - Accent1 6 3 8" xfId="23822"/>
    <cellStyle name="40% - Accent1 6 3_Volatility" xfId="4484"/>
    <cellStyle name="40% - Accent1 6 4" xfId="4485"/>
    <cellStyle name="40% - Accent1 6 4 2" xfId="4486"/>
    <cellStyle name="40% - Accent1 6 4 2 2" xfId="15593"/>
    <cellStyle name="40% - Accent1 6 4 2 2 2" xfId="28985"/>
    <cellStyle name="40% - Accent1 6 4 2 3" xfId="19544"/>
    <cellStyle name="40% - Accent1 6 4 2 3 2" xfId="32823"/>
    <cellStyle name="40% - Accent1 6 4 2 4" xfId="23832"/>
    <cellStyle name="40% - Accent1 6 4 3" xfId="4487"/>
    <cellStyle name="40% - Accent1 6 4 3 2" xfId="15594"/>
    <cellStyle name="40% - Accent1 6 4 3 2 2" xfId="28986"/>
    <cellStyle name="40% - Accent1 6 4 3 3" xfId="19545"/>
    <cellStyle name="40% - Accent1 6 4 3 3 2" xfId="32824"/>
    <cellStyle name="40% - Accent1 6 4 3 4" xfId="23833"/>
    <cellStyle name="40% - Accent1 6 4 4" xfId="15592"/>
    <cellStyle name="40% - Accent1 6 4 4 2" xfId="28984"/>
    <cellStyle name="40% - Accent1 6 4 5" xfId="19543"/>
    <cellStyle name="40% - Accent1 6 4 5 2" xfId="32822"/>
    <cellStyle name="40% - Accent1 6 4 6" xfId="23831"/>
    <cellStyle name="40% - Accent1 6 5" xfId="4488"/>
    <cellStyle name="40% - Accent1 6 5 2" xfId="4489"/>
    <cellStyle name="40% - Accent1 6 5 2 2" xfId="15596"/>
    <cellStyle name="40% - Accent1 6 5 2 2 2" xfId="28988"/>
    <cellStyle name="40% - Accent1 6 5 2 3" xfId="19547"/>
    <cellStyle name="40% - Accent1 6 5 2 3 2" xfId="32826"/>
    <cellStyle name="40% - Accent1 6 5 2 4" xfId="23835"/>
    <cellStyle name="40% - Accent1 6 5 3" xfId="4490"/>
    <cellStyle name="40% - Accent1 6 5 3 2" xfId="15597"/>
    <cellStyle name="40% - Accent1 6 5 3 2 2" xfId="28989"/>
    <cellStyle name="40% - Accent1 6 5 3 3" xfId="19548"/>
    <cellStyle name="40% - Accent1 6 5 3 3 2" xfId="32827"/>
    <cellStyle name="40% - Accent1 6 5 3 4" xfId="23836"/>
    <cellStyle name="40% - Accent1 6 5 4" xfId="15595"/>
    <cellStyle name="40% - Accent1 6 5 4 2" xfId="28987"/>
    <cellStyle name="40% - Accent1 6 5 5" xfId="19546"/>
    <cellStyle name="40% - Accent1 6 5 5 2" xfId="32825"/>
    <cellStyle name="40% - Accent1 6 5 6" xfId="23834"/>
    <cellStyle name="40% - Accent1 6 6" xfId="4491"/>
    <cellStyle name="40% - Accent1 6 6 2" xfId="4492"/>
    <cellStyle name="40% - Accent1 6 6 2 2" xfId="15599"/>
    <cellStyle name="40% - Accent1 6 6 2 2 2" xfId="28991"/>
    <cellStyle name="40% - Accent1 6 6 2 3" xfId="19550"/>
    <cellStyle name="40% - Accent1 6 6 2 3 2" xfId="32829"/>
    <cellStyle name="40% - Accent1 6 6 2 4" xfId="23838"/>
    <cellStyle name="40% - Accent1 6 6 3" xfId="4493"/>
    <cellStyle name="40% - Accent1 6 6 3 2" xfId="15600"/>
    <cellStyle name="40% - Accent1 6 6 3 2 2" xfId="28992"/>
    <cellStyle name="40% - Accent1 6 6 3 3" xfId="19551"/>
    <cellStyle name="40% - Accent1 6 6 3 3 2" xfId="32830"/>
    <cellStyle name="40% - Accent1 6 6 3 4" xfId="23839"/>
    <cellStyle name="40% - Accent1 6 6 4" xfId="15598"/>
    <cellStyle name="40% - Accent1 6 6 4 2" xfId="28990"/>
    <cellStyle name="40% - Accent1 6 6 5" xfId="19549"/>
    <cellStyle name="40% - Accent1 6 6 5 2" xfId="32828"/>
    <cellStyle name="40% - Accent1 6 6 6" xfId="23837"/>
    <cellStyle name="40% - Accent1 6 7" xfId="4494"/>
    <cellStyle name="40% - Accent1 6 7 2" xfId="15601"/>
    <cellStyle name="40% - Accent1 6 7 2 2" xfId="28993"/>
    <cellStyle name="40% - Accent1 6 7 3" xfId="19552"/>
    <cellStyle name="40% - Accent1 6 7 3 2" xfId="32831"/>
    <cellStyle name="40% - Accent1 6 7 4" xfId="23840"/>
    <cellStyle name="40% - Accent1 6 8" xfId="4495"/>
    <cellStyle name="40% - Accent1 6 8 2" xfId="15602"/>
    <cellStyle name="40% - Accent1 6 8 2 2" xfId="28994"/>
    <cellStyle name="40% - Accent1 6 8 3" xfId="19553"/>
    <cellStyle name="40% - Accent1 6 8 3 2" xfId="32832"/>
    <cellStyle name="40% - Accent1 6 8 4" xfId="23841"/>
    <cellStyle name="40% - Accent1 6 9" xfId="15570"/>
    <cellStyle name="40% - Accent1 6 9 2" xfId="28962"/>
    <cellStyle name="40% - Accent1 6_Volatility" xfId="4496"/>
    <cellStyle name="40% - Accent1 7" xfId="4497"/>
    <cellStyle name="40% - Accent1 7 10" xfId="19554"/>
    <cellStyle name="40% - Accent1 7 10 2" xfId="32833"/>
    <cellStyle name="40% - Accent1 7 11" xfId="23842"/>
    <cellStyle name="40% - Accent1 7 2" xfId="4498"/>
    <cellStyle name="40% - Accent1 7 2 2" xfId="4499"/>
    <cellStyle name="40% - Accent1 7 2 2 2" xfId="4500"/>
    <cellStyle name="40% - Accent1 7 2 2 2 2" xfId="15606"/>
    <cellStyle name="40% - Accent1 7 2 2 2 2 2" xfId="28998"/>
    <cellStyle name="40% - Accent1 7 2 2 2 3" xfId="19557"/>
    <cellStyle name="40% - Accent1 7 2 2 2 3 2" xfId="32836"/>
    <cellStyle name="40% - Accent1 7 2 2 2 4" xfId="23845"/>
    <cellStyle name="40% - Accent1 7 2 2 3" xfId="4501"/>
    <cellStyle name="40% - Accent1 7 2 2 3 2" xfId="15607"/>
    <cellStyle name="40% - Accent1 7 2 2 3 2 2" xfId="28999"/>
    <cellStyle name="40% - Accent1 7 2 2 3 3" xfId="19558"/>
    <cellStyle name="40% - Accent1 7 2 2 3 3 2" xfId="32837"/>
    <cellStyle name="40% - Accent1 7 2 2 3 4" xfId="23846"/>
    <cellStyle name="40% - Accent1 7 2 2 4" xfId="15605"/>
    <cellStyle name="40% - Accent1 7 2 2 4 2" xfId="28997"/>
    <cellStyle name="40% - Accent1 7 2 2 5" xfId="19556"/>
    <cellStyle name="40% - Accent1 7 2 2 5 2" xfId="32835"/>
    <cellStyle name="40% - Accent1 7 2 2 6" xfId="23844"/>
    <cellStyle name="40% - Accent1 7 2 3" xfId="4502"/>
    <cellStyle name="40% - Accent1 7 2 3 2" xfId="4503"/>
    <cellStyle name="40% - Accent1 7 2 3 2 2" xfId="15609"/>
    <cellStyle name="40% - Accent1 7 2 3 2 2 2" xfId="29001"/>
    <cellStyle name="40% - Accent1 7 2 3 2 3" xfId="19560"/>
    <cellStyle name="40% - Accent1 7 2 3 2 3 2" xfId="32839"/>
    <cellStyle name="40% - Accent1 7 2 3 2 4" xfId="23848"/>
    <cellStyle name="40% - Accent1 7 2 3 3" xfId="4504"/>
    <cellStyle name="40% - Accent1 7 2 3 3 2" xfId="15610"/>
    <cellStyle name="40% - Accent1 7 2 3 3 2 2" xfId="29002"/>
    <cellStyle name="40% - Accent1 7 2 3 3 3" xfId="19561"/>
    <cellStyle name="40% - Accent1 7 2 3 3 3 2" xfId="32840"/>
    <cellStyle name="40% - Accent1 7 2 3 3 4" xfId="23849"/>
    <cellStyle name="40% - Accent1 7 2 3 4" xfId="15608"/>
    <cellStyle name="40% - Accent1 7 2 3 4 2" xfId="29000"/>
    <cellStyle name="40% - Accent1 7 2 3 5" xfId="19559"/>
    <cellStyle name="40% - Accent1 7 2 3 5 2" xfId="32838"/>
    <cellStyle name="40% - Accent1 7 2 3 6" xfId="23847"/>
    <cellStyle name="40% - Accent1 7 2 4" xfId="4505"/>
    <cellStyle name="40% - Accent1 7 2 4 2" xfId="4506"/>
    <cellStyle name="40% - Accent1 7 2 4 2 2" xfId="15612"/>
    <cellStyle name="40% - Accent1 7 2 4 2 2 2" xfId="29004"/>
    <cellStyle name="40% - Accent1 7 2 4 2 3" xfId="19563"/>
    <cellStyle name="40% - Accent1 7 2 4 2 3 2" xfId="32842"/>
    <cellStyle name="40% - Accent1 7 2 4 2 4" xfId="23851"/>
    <cellStyle name="40% - Accent1 7 2 4 3" xfId="4507"/>
    <cellStyle name="40% - Accent1 7 2 4 3 2" xfId="15613"/>
    <cellStyle name="40% - Accent1 7 2 4 3 2 2" xfId="29005"/>
    <cellStyle name="40% - Accent1 7 2 4 3 3" xfId="19564"/>
    <cellStyle name="40% - Accent1 7 2 4 3 3 2" xfId="32843"/>
    <cellStyle name="40% - Accent1 7 2 4 3 4" xfId="23852"/>
    <cellStyle name="40% - Accent1 7 2 4 4" xfId="15611"/>
    <cellStyle name="40% - Accent1 7 2 4 4 2" xfId="29003"/>
    <cellStyle name="40% - Accent1 7 2 4 5" xfId="19562"/>
    <cellStyle name="40% - Accent1 7 2 4 5 2" xfId="32841"/>
    <cellStyle name="40% - Accent1 7 2 4 6" xfId="23850"/>
    <cellStyle name="40% - Accent1 7 2 5" xfId="4508"/>
    <cellStyle name="40% - Accent1 7 2 5 2" xfId="15614"/>
    <cellStyle name="40% - Accent1 7 2 5 2 2" xfId="29006"/>
    <cellStyle name="40% - Accent1 7 2 5 3" xfId="19565"/>
    <cellStyle name="40% - Accent1 7 2 5 3 2" xfId="32844"/>
    <cellStyle name="40% - Accent1 7 2 5 4" xfId="23853"/>
    <cellStyle name="40% - Accent1 7 2 6" xfId="4509"/>
    <cellStyle name="40% - Accent1 7 2 6 2" xfId="15615"/>
    <cellStyle name="40% - Accent1 7 2 6 2 2" xfId="29007"/>
    <cellStyle name="40% - Accent1 7 2 6 3" xfId="19566"/>
    <cellStyle name="40% - Accent1 7 2 6 3 2" xfId="32845"/>
    <cellStyle name="40% - Accent1 7 2 6 4" xfId="23854"/>
    <cellStyle name="40% - Accent1 7 2 7" xfId="15604"/>
    <cellStyle name="40% - Accent1 7 2 7 2" xfId="28996"/>
    <cellStyle name="40% - Accent1 7 2 8" xfId="19555"/>
    <cellStyle name="40% - Accent1 7 2 8 2" xfId="32834"/>
    <cellStyle name="40% - Accent1 7 2 9" xfId="23843"/>
    <cellStyle name="40% - Accent1 7 2_Volatility" xfId="4510"/>
    <cellStyle name="40% - Accent1 7 3" xfId="4511"/>
    <cellStyle name="40% - Accent1 7 3 2" xfId="4512"/>
    <cellStyle name="40% - Accent1 7 3 2 2" xfId="4513"/>
    <cellStyle name="40% - Accent1 7 3 2 2 2" xfId="15618"/>
    <cellStyle name="40% - Accent1 7 3 2 2 2 2" xfId="29010"/>
    <cellStyle name="40% - Accent1 7 3 2 2 3" xfId="19569"/>
    <cellStyle name="40% - Accent1 7 3 2 2 3 2" xfId="32848"/>
    <cellStyle name="40% - Accent1 7 3 2 2 4" xfId="23857"/>
    <cellStyle name="40% - Accent1 7 3 2 3" xfId="4514"/>
    <cellStyle name="40% - Accent1 7 3 2 3 2" xfId="15619"/>
    <cellStyle name="40% - Accent1 7 3 2 3 2 2" xfId="29011"/>
    <cellStyle name="40% - Accent1 7 3 2 3 3" xfId="19570"/>
    <cellStyle name="40% - Accent1 7 3 2 3 3 2" xfId="32849"/>
    <cellStyle name="40% - Accent1 7 3 2 3 4" xfId="23858"/>
    <cellStyle name="40% - Accent1 7 3 2 4" xfId="15617"/>
    <cellStyle name="40% - Accent1 7 3 2 4 2" xfId="29009"/>
    <cellStyle name="40% - Accent1 7 3 2 5" xfId="19568"/>
    <cellStyle name="40% - Accent1 7 3 2 5 2" xfId="32847"/>
    <cellStyle name="40% - Accent1 7 3 2 6" xfId="23856"/>
    <cellStyle name="40% - Accent1 7 3 3" xfId="4515"/>
    <cellStyle name="40% - Accent1 7 3 3 2" xfId="4516"/>
    <cellStyle name="40% - Accent1 7 3 3 2 2" xfId="15621"/>
    <cellStyle name="40% - Accent1 7 3 3 2 2 2" xfId="29013"/>
    <cellStyle name="40% - Accent1 7 3 3 2 3" xfId="19572"/>
    <cellStyle name="40% - Accent1 7 3 3 2 3 2" xfId="32851"/>
    <cellStyle name="40% - Accent1 7 3 3 2 4" xfId="23860"/>
    <cellStyle name="40% - Accent1 7 3 3 3" xfId="4517"/>
    <cellStyle name="40% - Accent1 7 3 3 3 2" xfId="15622"/>
    <cellStyle name="40% - Accent1 7 3 3 3 2 2" xfId="29014"/>
    <cellStyle name="40% - Accent1 7 3 3 3 3" xfId="19573"/>
    <cellStyle name="40% - Accent1 7 3 3 3 3 2" xfId="32852"/>
    <cellStyle name="40% - Accent1 7 3 3 3 4" xfId="23861"/>
    <cellStyle name="40% - Accent1 7 3 3 4" xfId="15620"/>
    <cellStyle name="40% - Accent1 7 3 3 4 2" xfId="29012"/>
    <cellStyle name="40% - Accent1 7 3 3 5" xfId="19571"/>
    <cellStyle name="40% - Accent1 7 3 3 5 2" xfId="32850"/>
    <cellStyle name="40% - Accent1 7 3 3 6" xfId="23859"/>
    <cellStyle name="40% - Accent1 7 3 4" xfId="4518"/>
    <cellStyle name="40% - Accent1 7 3 4 2" xfId="15623"/>
    <cellStyle name="40% - Accent1 7 3 4 2 2" xfId="29015"/>
    <cellStyle name="40% - Accent1 7 3 4 3" xfId="19574"/>
    <cellStyle name="40% - Accent1 7 3 4 3 2" xfId="32853"/>
    <cellStyle name="40% - Accent1 7 3 4 4" xfId="23862"/>
    <cellStyle name="40% - Accent1 7 3 5" xfId="4519"/>
    <cellStyle name="40% - Accent1 7 3 5 2" xfId="15624"/>
    <cellStyle name="40% - Accent1 7 3 5 2 2" xfId="29016"/>
    <cellStyle name="40% - Accent1 7 3 5 3" xfId="19575"/>
    <cellStyle name="40% - Accent1 7 3 5 3 2" xfId="32854"/>
    <cellStyle name="40% - Accent1 7 3 5 4" xfId="23863"/>
    <cellStyle name="40% - Accent1 7 3 6" xfId="15616"/>
    <cellStyle name="40% - Accent1 7 3 6 2" xfId="29008"/>
    <cellStyle name="40% - Accent1 7 3 7" xfId="19567"/>
    <cellStyle name="40% - Accent1 7 3 7 2" xfId="32846"/>
    <cellStyle name="40% - Accent1 7 3 8" xfId="23855"/>
    <cellStyle name="40% - Accent1 7 3_Volatility" xfId="4520"/>
    <cellStyle name="40% - Accent1 7 4" xfId="4521"/>
    <cellStyle name="40% - Accent1 7 4 2" xfId="4522"/>
    <cellStyle name="40% - Accent1 7 4 2 2" xfId="15626"/>
    <cellStyle name="40% - Accent1 7 4 2 2 2" xfId="29018"/>
    <cellStyle name="40% - Accent1 7 4 2 3" xfId="19577"/>
    <cellStyle name="40% - Accent1 7 4 2 3 2" xfId="32856"/>
    <cellStyle name="40% - Accent1 7 4 2 4" xfId="23865"/>
    <cellStyle name="40% - Accent1 7 4 3" xfId="4523"/>
    <cellStyle name="40% - Accent1 7 4 3 2" xfId="15627"/>
    <cellStyle name="40% - Accent1 7 4 3 2 2" xfId="29019"/>
    <cellStyle name="40% - Accent1 7 4 3 3" xfId="19578"/>
    <cellStyle name="40% - Accent1 7 4 3 3 2" xfId="32857"/>
    <cellStyle name="40% - Accent1 7 4 3 4" xfId="23866"/>
    <cellStyle name="40% - Accent1 7 4 4" xfId="15625"/>
    <cellStyle name="40% - Accent1 7 4 4 2" xfId="29017"/>
    <cellStyle name="40% - Accent1 7 4 5" xfId="19576"/>
    <cellStyle name="40% - Accent1 7 4 5 2" xfId="32855"/>
    <cellStyle name="40% - Accent1 7 4 6" xfId="23864"/>
    <cellStyle name="40% - Accent1 7 5" xfId="4524"/>
    <cellStyle name="40% - Accent1 7 5 2" xfId="4525"/>
    <cellStyle name="40% - Accent1 7 5 2 2" xfId="15629"/>
    <cellStyle name="40% - Accent1 7 5 2 2 2" xfId="29021"/>
    <cellStyle name="40% - Accent1 7 5 2 3" xfId="19580"/>
    <cellStyle name="40% - Accent1 7 5 2 3 2" xfId="32859"/>
    <cellStyle name="40% - Accent1 7 5 2 4" xfId="23868"/>
    <cellStyle name="40% - Accent1 7 5 3" xfId="4526"/>
    <cellStyle name="40% - Accent1 7 5 3 2" xfId="15630"/>
    <cellStyle name="40% - Accent1 7 5 3 2 2" xfId="29022"/>
    <cellStyle name="40% - Accent1 7 5 3 3" xfId="19581"/>
    <cellStyle name="40% - Accent1 7 5 3 3 2" xfId="32860"/>
    <cellStyle name="40% - Accent1 7 5 3 4" xfId="23869"/>
    <cellStyle name="40% - Accent1 7 5 4" xfId="15628"/>
    <cellStyle name="40% - Accent1 7 5 4 2" xfId="29020"/>
    <cellStyle name="40% - Accent1 7 5 5" xfId="19579"/>
    <cellStyle name="40% - Accent1 7 5 5 2" xfId="32858"/>
    <cellStyle name="40% - Accent1 7 5 6" xfId="23867"/>
    <cellStyle name="40% - Accent1 7 6" xfId="4527"/>
    <cellStyle name="40% - Accent1 7 6 2" xfId="4528"/>
    <cellStyle name="40% - Accent1 7 6 2 2" xfId="15632"/>
    <cellStyle name="40% - Accent1 7 6 2 2 2" xfId="29024"/>
    <cellStyle name="40% - Accent1 7 6 2 3" xfId="19583"/>
    <cellStyle name="40% - Accent1 7 6 2 3 2" xfId="32862"/>
    <cellStyle name="40% - Accent1 7 6 2 4" xfId="23871"/>
    <cellStyle name="40% - Accent1 7 6 3" xfId="4529"/>
    <cellStyle name="40% - Accent1 7 6 3 2" xfId="15633"/>
    <cellStyle name="40% - Accent1 7 6 3 2 2" xfId="29025"/>
    <cellStyle name="40% - Accent1 7 6 3 3" xfId="19584"/>
    <cellStyle name="40% - Accent1 7 6 3 3 2" xfId="32863"/>
    <cellStyle name="40% - Accent1 7 6 3 4" xfId="23872"/>
    <cellStyle name="40% - Accent1 7 6 4" xfId="15631"/>
    <cellStyle name="40% - Accent1 7 6 4 2" xfId="29023"/>
    <cellStyle name="40% - Accent1 7 6 5" xfId="19582"/>
    <cellStyle name="40% - Accent1 7 6 5 2" xfId="32861"/>
    <cellStyle name="40% - Accent1 7 6 6" xfId="23870"/>
    <cellStyle name="40% - Accent1 7 7" xfId="4530"/>
    <cellStyle name="40% - Accent1 7 7 2" xfId="15634"/>
    <cellStyle name="40% - Accent1 7 7 2 2" xfId="29026"/>
    <cellStyle name="40% - Accent1 7 7 3" xfId="19585"/>
    <cellStyle name="40% - Accent1 7 7 3 2" xfId="32864"/>
    <cellStyle name="40% - Accent1 7 7 4" xfId="23873"/>
    <cellStyle name="40% - Accent1 7 8" xfId="4531"/>
    <cellStyle name="40% - Accent1 7 8 2" xfId="15635"/>
    <cellStyle name="40% - Accent1 7 8 2 2" xfId="29027"/>
    <cellStyle name="40% - Accent1 7 8 3" xfId="19586"/>
    <cellStyle name="40% - Accent1 7 8 3 2" xfId="32865"/>
    <cellStyle name="40% - Accent1 7 8 4" xfId="23874"/>
    <cellStyle name="40% - Accent1 7 9" xfId="15603"/>
    <cellStyle name="40% - Accent1 7 9 2" xfId="28995"/>
    <cellStyle name="40% - Accent1 7_Volatility" xfId="4532"/>
    <cellStyle name="40% - Accent1 8" xfId="4533"/>
    <cellStyle name="40% - Accent1 8 10" xfId="19587"/>
    <cellStyle name="40% - Accent1 8 10 2" xfId="32866"/>
    <cellStyle name="40% - Accent1 8 11" xfId="23875"/>
    <cellStyle name="40% - Accent1 8 2" xfId="4534"/>
    <cellStyle name="40% - Accent1 8 2 2" xfId="4535"/>
    <cellStyle name="40% - Accent1 8 2 2 2" xfId="4536"/>
    <cellStyle name="40% - Accent1 8 2 2 2 2" xfId="15639"/>
    <cellStyle name="40% - Accent1 8 2 2 2 2 2" xfId="29031"/>
    <cellStyle name="40% - Accent1 8 2 2 2 3" xfId="19590"/>
    <cellStyle name="40% - Accent1 8 2 2 2 3 2" xfId="32869"/>
    <cellStyle name="40% - Accent1 8 2 2 2 4" xfId="23878"/>
    <cellStyle name="40% - Accent1 8 2 2 3" xfId="4537"/>
    <cellStyle name="40% - Accent1 8 2 2 3 2" xfId="15640"/>
    <cellStyle name="40% - Accent1 8 2 2 3 2 2" xfId="29032"/>
    <cellStyle name="40% - Accent1 8 2 2 3 3" xfId="19591"/>
    <cellStyle name="40% - Accent1 8 2 2 3 3 2" xfId="32870"/>
    <cellStyle name="40% - Accent1 8 2 2 3 4" xfId="23879"/>
    <cellStyle name="40% - Accent1 8 2 2 4" xfId="15638"/>
    <cellStyle name="40% - Accent1 8 2 2 4 2" xfId="29030"/>
    <cellStyle name="40% - Accent1 8 2 2 5" xfId="19589"/>
    <cellStyle name="40% - Accent1 8 2 2 5 2" xfId="32868"/>
    <cellStyle name="40% - Accent1 8 2 2 6" xfId="23877"/>
    <cellStyle name="40% - Accent1 8 2 3" xfId="4538"/>
    <cellStyle name="40% - Accent1 8 2 3 2" xfId="4539"/>
    <cellStyle name="40% - Accent1 8 2 3 2 2" xfId="15642"/>
    <cellStyle name="40% - Accent1 8 2 3 2 2 2" xfId="29034"/>
    <cellStyle name="40% - Accent1 8 2 3 2 3" xfId="19593"/>
    <cellStyle name="40% - Accent1 8 2 3 2 3 2" xfId="32872"/>
    <cellStyle name="40% - Accent1 8 2 3 2 4" xfId="23881"/>
    <cellStyle name="40% - Accent1 8 2 3 3" xfId="4540"/>
    <cellStyle name="40% - Accent1 8 2 3 3 2" xfId="15643"/>
    <cellStyle name="40% - Accent1 8 2 3 3 2 2" xfId="29035"/>
    <cellStyle name="40% - Accent1 8 2 3 3 3" xfId="19594"/>
    <cellStyle name="40% - Accent1 8 2 3 3 3 2" xfId="32873"/>
    <cellStyle name="40% - Accent1 8 2 3 3 4" xfId="23882"/>
    <cellStyle name="40% - Accent1 8 2 3 4" xfId="15641"/>
    <cellStyle name="40% - Accent1 8 2 3 4 2" xfId="29033"/>
    <cellStyle name="40% - Accent1 8 2 3 5" xfId="19592"/>
    <cellStyle name="40% - Accent1 8 2 3 5 2" xfId="32871"/>
    <cellStyle name="40% - Accent1 8 2 3 6" xfId="23880"/>
    <cellStyle name="40% - Accent1 8 2 4" xfId="4541"/>
    <cellStyle name="40% - Accent1 8 2 4 2" xfId="4542"/>
    <cellStyle name="40% - Accent1 8 2 4 2 2" xfId="15645"/>
    <cellStyle name="40% - Accent1 8 2 4 2 2 2" xfId="29037"/>
    <cellStyle name="40% - Accent1 8 2 4 2 3" xfId="19596"/>
    <cellStyle name="40% - Accent1 8 2 4 2 3 2" xfId="32875"/>
    <cellStyle name="40% - Accent1 8 2 4 2 4" xfId="23884"/>
    <cellStyle name="40% - Accent1 8 2 4 3" xfId="4543"/>
    <cellStyle name="40% - Accent1 8 2 4 3 2" xfId="15646"/>
    <cellStyle name="40% - Accent1 8 2 4 3 2 2" xfId="29038"/>
    <cellStyle name="40% - Accent1 8 2 4 3 3" xfId="19597"/>
    <cellStyle name="40% - Accent1 8 2 4 3 3 2" xfId="32876"/>
    <cellStyle name="40% - Accent1 8 2 4 3 4" xfId="23885"/>
    <cellStyle name="40% - Accent1 8 2 4 4" xfId="15644"/>
    <cellStyle name="40% - Accent1 8 2 4 4 2" xfId="29036"/>
    <cellStyle name="40% - Accent1 8 2 4 5" xfId="19595"/>
    <cellStyle name="40% - Accent1 8 2 4 5 2" xfId="32874"/>
    <cellStyle name="40% - Accent1 8 2 4 6" xfId="23883"/>
    <cellStyle name="40% - Accent1 8 2 5" xfId="4544"/>
    <cellStyle name="40% - Accent1 8 2 5 2" xfId="15647"/>
    <cellStyle name="40% - Accent1 8 2 5 2 2" xfId="29039"/>
    <cellStyle name="40% - Accent1 8 2 5 3" xfId="19598"/>
    <cellStyle name="40% - Accent1 8 2 5 3 2" xfId="32877"/>
    <cellStyle name="40% - Accent1 8 2 5 4" xfId="23886"/>
    <cellStyle name="40% - Accent1 8 2 6" xfId="4545"/>
    <cellStyle name="40% - Accent1 8 2 6 2" xfId="15648"/>
    <cellStyle name="40% - Accent1 8 2 6 2 2" xfId="29040"/>
    <cellStyle name="40% - Accent1 8 2 6 3" xfId="19599"/>
    <cellStyle name="40% - Accent1 8 2 6 3 2" xfId="32878"/>
    <cellStyle name="40% - Accent1 8 2 6 4" xfId="23887"/>
    <cellStyle name="40% - Accent1 8 2 7" xfId="15637"/>
    <cellStyle name="40% - Accent1 8 2 7 2" xfId="29029"/>
    <cellStyle name="40% - Accent1 8 2 8" xfId="19588"/>
    <cellStyle name="40% - Accent1 8 2 8 2" xfId="32867"/>
    <cellStyle name="40% - Accent1 8 2 9" xfId="23876"/>
    <cellStyle name="40% - Accent1 8 2_Volatility" xfId="4546"/>
    <cellStyle name="40% - Accent1 8 3" xfId="4547"/>
    <cellStyle name="40% - Accent1 8 3 2" xfId="4548"/>
    <cellStyle name="40% - Accent1 8 3 2 2" xfId="4549"/>
    <cellStyle name="40% - Accent1 8 3 2 2 2" xfId="15651"/>
    <cellStyle name="40% - Accent1 8 3 2 2 2 2" xfId="29043"/>
    <cellStyle name="40% - Accent1 8 3 2 2 3" xfId="19602"/>
    <cellStyle name="40% - Accent1 8 3 2 2 3 2" xfId="32881"/>
    <cellStyle name="40% - Accent1 8 3 2 2 4" xfId="23890"/>
    <cellStyle name="40% - Accent1 8 3 2 3" xfId="4550"/>
    <cellStyle name="40% - Accent1 8 3 2 3 2" xfId="15652"/>
    <cellStyle name="40% - Accent1 8 3 2 3 2 2" xfId="29044"/>
    <cellStyle name="40% - Accent1 8 3 2 3 3" xfId="19603"/>
    <cellStyle name="40% - Accent1 8 3 2 3 3 2" xfId="32882"/>
    <cellStyle name="40% - Accent1 8 3 2 3 4" xfId="23891"/>
    <cellStyle name="40% - Accent1 8 3 2 4" xfId="15650"/>
    <cellStyle name="40% - Accent1 8 3 2 4 2" xfId="29042"/>
    <cellStyle name="40% - Accent1 8 3 2 5" xfId="19601"/>
    <cellStyle name="40% - Accent1 8 3 2 5 2" xfId="32880"/>
    <cellStyle name="40% - Accent1 8 3 2 6" xfId="23889"/>
    <cellStyle name="40% - Accent1 8 3 3" xfId="4551"/>
    <cellStyle name="40% - Accent1 8 3 3 2" xfId="4552"/>
    <cellStyle name="40% - Accent1 8 3 3 2 2" xfId="15654"/>
    <cellStyle name="40% - Accent1 8 3 3 2 2 2" xfId="29046"/>
    <cellStyle name="40% - Accent1 8 3 3 2 3" xfId="19605"/>
    <cellStyle name="40% - Accent1 8 3 3 2 3 2" xfId="32884"/>
    <cellStyle name="40% - Accent1 8 3 3 2 4" xfId="23893"/>
    <cellStyle name="40% - Accent1 8 3 3 3" xfId="4553"/>
    <cellStyle name="40% - Accent1 8 3 3 3 2" xfId="15655"/>
    <cellStyle name="40% - Accent1 8 3 3 3 2 2" xfId="29047"/>
    <cellStyle name="40% - Accent1 8 3 3 3 3" xfId="19606"/>
    <cellStyle name="40% - Accent1 8 3 3 3 3 2" xfId="32885"/>
    <cellStyle name="40% - Accent1 8 3 3 3 4" xfId="23894"/>
    <cellStyle name="40% - Accent1 8 3 3 4" xfId="15653"/>
    <cellStyle name="40% - Accent1 8 3 3 4 2" xfId="29045"/>
    <cellStyle name="40% - Accent1 8 3 3 5" xfId="19604"/>
    <cellStyle name="40% - Accent1 8 3 3 5 2" xfId="32883"/>
    <cellStyle name="40% - Accent1 8 3 3 6" xfId="23892"/>
    <cellStyle name="40% - Accent1 8 3 4" xfId="4554"/>
    <cellStyle name="40% - Accent1 8 3 4 2" xfId="15656"/>
    <cellStyle name="40% - Accent1 8 3 4 2 2" xfId="29048"/>
    <cellStyle name="40% - Accent1 8 3 4 3" xfId="19607"/>
    <cellStyle name="40% - Accent1 8 3 4 3 2" xfId="32886"/>
    <cellStyle name="40% - Accent1 8 3 4 4" xfId="23895"/>
    <cellStyle name="40% - Accent1 8 3 5" xfId="4555"/>
    <cellStyle name="40% - Accent1 8 3 5 2" xfId="15657"/>
    <cellStyle name="40% - Accent1 8 3 5 2 2" xfId="29049"/>
    <cellStyle name="40% - Accent1 8 3 5 3" xfId="19608"/>
    <cellStyle name="40% - Accent1 8 3 5 3 2" xfId="32887"/>
    <cellStyle name="40% - Accent1 8 3 5 4" xfId="23896"/>
    <cellStyle name="40% - Accent1 8 3 6" xfId="15649"/>
    <cellStyle name="40% - Accent1 8 3 6 2" xfId="29041"/>
    <cellStyle name="40% - Accent1 8 3 7" xfId="19600"/>
    <cellStyle name="40% - Accent1 8 3 7 2" xfId="32879"/>
    <cellStyle name="40% - Accent1 8 3 8" xfId="23888"/>
    <cellStyle name="40% - Accent1 8 3_Volatility" xfId="4556"/>
    <cellStyle name="40% - Accent1 8 4" xfId="4557"/>
    <cellStyle name="40% - Accent1 8 4 2" xfId="4558"/>
    <cellStyle name="40% - Accent1 8 4 2 2" xfId="15659"/>
    <cellStyle name="40% - Accent1 8 4 2 2 2" xfId="29051"/>
    <cellStyle name="40% - Accent1 8 4 2 3" xfId="19610"/>
    <cellStyle name="40% - Accent1 8 4 2 3 2" xfId="32889"/>
    <cellStyle name="40% - Accent1 8 4 2 4" xfId="23898"/>
    <cellStyle name="40% - Accent1 8 4 3" xfId="4559"/>
    <cellStyle name="40% - Accent1 8 4 3 2" xfId="15660"/>
    <cellStyle name="40% - Accent1 8 4 3 2 2" xfId="29052"/>
    <cellStyle name="40% - Accent1 8 4 3 3" xfId="19611"/>
    <cellStyle name="40% - Accent1 8 4 3 3 2" xfId="32890"/>
    <cellStyle name="40% - Accent1 8 4 3 4" xfId="23899"/>
    <cellStyle name="40% - Accent1 8 4 4" xfId="15658"/>
    <cellStyle name="40% - Accent1 8 4 4 2" xfId="29050"/>
    <cellStyle name="40% - Accent1 8 4 5" xfId="19609"/>
    <cellStyle name="40% - Accent1 8 4 5 2" xfId="32888"/>
    <cellStyle name="40% - Accent1 8 4 6" xfId="23897"/>
    <cellStyle name="40% - Accent1 8 5" xfId="4560"/>
    <cellStyle name="40% - Accent1 8 5 2" xfId="4561"/>
    <cellStyle name="40% - Accent1 8 5 2 2" xfId="15662"/>
    <cellStyle name="40% - Accent1 8 5 2 2 2" xfId="29054"/>
    <cellStyle name="40% - Accent1 8 5 2 3" xfId="19613"/>
    <cellStyle name="40% - Accent1 8 5 2 3 2" xfId="32892"/>
    <cellStyle name="40% - Accent1 8 5 2 4" xfId="23901"/>
    <cellStyle name="40% - Accent1 8 5 3" xfId="4562"/>
    <cellStyle name="40% - Accent1 8 5 3 2" xfId="15663"/>
    <cellStyle name="40% - Accent1 8 5 3 2 2" xfId="29055"/>
    <cellStyle name="40% - Accent1 8 5 3 3" xfId="19614"/>
    <cellStyle name="40% - Accent1 8 5 3 3 2" xfId="32893"/>
    <cellStyle name="40% - Accent1 8 5 3 4" xfId="23902"/>
    <cellStyle name="40% - Accent1 8 5 4" xfId="15661"/>
    <cellStyle name="40% - Accent1 8 5 4 2" xfId="29053"/>
    <cellStyle name="40% - Accent1 8 5 5" xfId="19612"/>
    <cellStyle name="40% - Accent1 8 5 5 2" xfId="32891"/>
    <cellStyle name="40% - Accent1 8 5 6" xfId="23900"/>
    <cellStyle name="40% - Accent1 8 6" xfId="4563"/>
    <cellStyle name="40% - Accent1 8 6 2" xfId="4564"/>
    <cellStyle name="40% - Accent1 8 6 2 2" xfId="15665"/>
    <cellStyle name="40% - Accent1 8 6 2 2 2" xfId="29057"/>
    <cellStyle name="40% - Accent1 8 6 2 3" xfId="19616"/>
    <cellStyle name="40% - Accent1 8 6 2 3 2" xfId="32895"/>
    <cellStyle name="40% - Accent1 8 6 2 4" xfId="23904"/>
    <cellStyle name="40% - Accent1 8 6 3" xfId="4565"/>
    <cellStyle name="40% - Accent1 8 6 3 2" xfId="15666"/>
    <cellStyle name="40% - Accent1 8 6 3 2 2" xfId="29058"/>
    <cellStyle name="40% - Accent1 8 6 3 3" xfId="19617"/>
    <cellStyle name="40% - Accent1 8 6 3 3 2" xfId="32896"/>
    <cellStyle name="40% - Accent1 8 6 3 4" xfId="23905"/>
    <cellStyle name="40% - Accent1 8 6 4" xfId="15664"/>
    <cellStyle name="40% - Accent1 8 6 4 2" xfId="29056"/>
    <cellStyle name="40% - Accent1 8 6 5" xfId="19615"/>
    <cellStyle name="40% - Accent1 8 6 5 2" xfId="32894"/>
    <cellStyle name="40% - Accent1 8 6 6" xfId="23903"/>
    <cellStyle name="40% - Accent1 8 7" xfId="4566"/>
    <cellStyle name="40% - Accent1 8 7 2" xfId="15667"/>
    <cellStyle name="40% - Accent1 8 7 2 2" xfId="29059"/>
    <cellStyle name="40% - Accent1 8 7 3" xfId="19618"/>
    <cellStyle name="40% - Accent1 8 7 3 2" xfId="32897"/>
    <cellStyle name="40% - Accent1 8 7 4" xfId="23906"/>
    <cellStyle name="40% - Accent1 8 8" xfId="4567"/>
    <cellStyle name="40% - Accent1 8 8 2" xfId="15668"/>
    <cellStyle name="40% - Accent1 8 8 2 2" xfId="29060"/>
    <cellStyle name="40% - Accent1 8 8 3" xfId="19619"/>
    <cellStyle name="40% - Accent1 8 8 3 2" xfId="32898"/>
    <cellStyle name="40% - Accent1 8 8 4" xfId="23907"/>
    <cellStyle name="40% - Accent1 8 9" xfId="15636"/>
    <cellStyle name="40% - Accent1 8 9 2" xfId="29028"/>
    <cellStyle name="40% - Accent1 8_Volatility" xfId="4568"/>
    <cellStyle name="40% - Accent1 9" xfId="4569"/>
    <cellStyle name="40% - Accent1 9 10" xfId="19620"/>
    <cellStyle name="40% - Accent1 9 10 2" xfId="32899"/>
    <cellStyle name="40% - Accent1 9 11" xfId="23908"/>
    <cellStyle name="40% - Accent1 9 2" xfId="4570"/>
    <cellStyle name="40% - Accent1 9 2 2" xfId="4571"/>
    <cellStyle name="40% - Accent1 9 2 2 2" xfId="4572"/>
    <cellStyle name="40% - Accent1 9 2 2 2 2" xfId="15672"/>
    <cellStyle name="40% - Accent1 9 2 2 2 2 2" xfId="29064"/>
    <cellStyle name="40% - Accent1 9 2 2 2 3" xfId="19623"/>
    <cellStyle name="40% - Accent1 9 2 2 2 3 2" xfId="32902"/>
    <cellStyle name="40% - Accent1 9 2 2 2 4" xfId="23911"/>
    <cellStyle name="40% - Accent1 9 2 2 3" xfId="4573"/>
    <cellStyle name="40% - Accent1 9 2 2 3 2" xfId="15673"/>
    <cellStyle name="40% - Accent1 9 2 2 3 2 2" xfId="29065"/>
    <cellStyle name="40% - Accent1 9 2 2 3 3" xfId="19624"/>
    <cellStyle name="40% - Accent1 9 2 2 3 3 2" xfId="32903"/>
    <cellStyle name="40% - Accent1 9 2 2 3 4" xfId="23912"/>
    <cellStyle name="40% - Accent1 9 2 2 4" xfId="15671"/>
    <cellStyle name="40% - Accent1 9 2 2 4 2" xfId="29063"/>
    <cellStyle name="40% - Accent1 9 2 2 5" xfId="19622"/>
    <cellStyle name="40% - Accent1 9 2 2 5 2" xfId="32901"/>
    <cellStyle name="40% - Accent1 9 2 2 6" xfId="23910"/>
    <cellStyle name="40% - Accent1 9 2 3" xfId="4574"/>
    <cellStyle name="40% - Accent1 9 2 3 2" xfId="4575"/>
    <cellStyle name="40% - Accent1 9 2 3 2 2" xfId="15675"/>
    <cellStyle name="40% - Accent1 9 2 3 2 2 2" xfId="29067"/>
    <cellStyle name="40% - Accent1 9 2 3 2 3" xfId="19626"/>
    <cellStyle name="40% - Accent1 9 2 3 2 3 2" xfId="32905"/>
    <cellStyle name="40% - Accent1 9 2 3 2 4" xfId="23914"/>
    <cellStyle name="40% - Accent1 9 2 3 3" xfId="4576"/>
    <cellStyle name="40% - Accent1 9 2 3 3 2" xfId="15676"/>
    <cellStyle name="40% - Accent1 9 2 3 3 2 2" xfId="29068"/>
    <cellStyle name="40% - Accent1 9 2 3 3 3" xfId="19627"/>
    <cellStyle name="40% - Accent1 9 2 3 3 3 2" xfId="32906"/>
    <cellStyle name="40% - Accent1 9 2 3 3 4" xfId="23915"/>
    <cellStyle name="40% - Accent1 9 2 3 4" xfId="15674"/>
    <cellStyle name="40% - Accent1 9 2 3 4 2" xfId="29066"/>
    <cellStyle name="40% - Accent1 9 2 3 5" xfId="19625"/>
    <cellStyle name="40% - Accent1 9 2 3 5 2" xfId="32904"/>
    <cellStyle name="40% - Accent1 9 2 3 6" xfId="23913"/>
    <cellStyle name="40% - Accent1 9 2 4" xfId="4577"/>
    <cellStyle name="40% - Accent1 9 2 4 2" xfId="4578"/>
    <cellStyle name="40% - Accent1 9 2 4 2 2" xfId="15678"/>
    <cellStyle name="40% - Accent1 9 2 4 2 2 2" xfId="29070"/>
    <cellStyle name="40% - Accent1 9 2 4 2 3" xfId="19629"/>
    <cellStyle name="40% - Accent1 9 2 4 2 3 2" xfId="32908"/>
    <cellStyle name="40% - Accent1 9 2 4 2 4" xfId="23917"/>
    <cellStyle name="40% - Accent1 9 2 4 3" xfId="4579"/>
    <cellStyle name="40% - Accent1 9 2 4 3 2" xfId="15679"/>
    <cellStyle name="40% - Accent1 9 2 4 3 2 2" xfId="29071"/>
    <cellStyle name="40% - Accent1 9 2 4 3 3" xfId="19630"/>
    <cellStyle name="40% - Accent1 9 2 4 3 3 2" xfId="32909"/>
    <cellStyle name="40% - Accent1 9 2 4 3 4" xfId="23918"/>
    <cellStyle name="40% - Accent1 9 2 4 4" xfId="15677"/>
    <cellStyle name="40% - Accent1 9 2 4 4 2" xfId="29069"/>
    <cellStyle name="40% - Accent1 9 2 4 5" xfId="19628"/>
    <cellStyle name="40% - Accent1 9 2 4 5 2" xfId="32907"/>
    <cellStyle name="40% - Accent1 9 2 4 6" xfId="23916"/>
    <cellStyle name="40% - Accent1 9 2 5" xfId="4580"/>
    <cellStyle name="40% - Accent1 9 2 5 2" xfId="15680"/>
    <cellStyle name="40% - Accent1 9 2 5 2 2" xfId="29072"/>
    <cellStyle name="40% - Accent1 9 2 5 3" xfId="19631"/>
    <cellStyle name="40% - Accent1 9 2 5 3 2" xfId="32910"/>
    <cellStyle name="40% - Accent1 9 2 5 4" xfId="23919"/>
    <cellStyle name="40% - Accent1 9 2 6" xfId="4581"/>
    <cellStyle name="40% - Accent1 9 2 6 2" xfId="15681"/>
    <cellStyle name="40% - Accent1 9 2 6 2 2" xfId="29073"/>
    <cellStyle name="40% - Accent1 9 2 6 3" xfId="19632"/>
    <cellStyle name="40% - Accent1 9 2 6 3 2" xfId="32911"/>
    <cellStyle name="40% - Accent1 9 2 6 4" xfId="23920"/>
    <cellStyle name="40% - Accent1 9 2 7" xfId="15670"/>
    <cellStyle name="40% - Accent1 9 2 7 2" xfId="29062"/>
    <cellStyle name="40% - Accent1 9 2 8" xfId="19621"/>
    <cellStyle name="40% - Accent1 9 2 8 2" xfId="32900"/>
    <cellStyle name="40% - Accent1 9 2 9" xfId="23909"/>
    <cellStyle name="40% - Accent1 9 2_Volatility" xfId="4582"/>
    <cellStyle name="40% - Accent1 9 3" xfId="4583"/>
    <cellStyle name="40% - Accent1 9 3 2" xfId="4584"/>
    <cellStyle name="40% - Accent1 9 3 2 2" xfId="4585"/>
    <cellStyle name="40% - Accent1 9 3 2 2 2" xfId="15684"/>
    <cellStyle name="40% - Accent1 9 3 2 2 2 2" xfId="29076"/>
    <cellStyle name="40% - Accent1 9 3 2 2 3" xfId="19635"/>
    <cellStyle name="40% - Accent1 9 3 2 2 3 2" xfId="32914"/>
    <cellStyle name="40% - Accent1 9 3 2 2 4" xfId="23923"/>
    <cellStyle name="40% - Accent1 9 3 2 3" xfId="4586"/>
    <cellStyle name="40% - Accent1 9 3 2 3 2" xfId="15685"/>
    <cellStyle name="40% - Accent1 9 3 2 3 2 2" xfId="29077"/>
    <cellStyle name="40% - Accent1 9 3 2 3 3" xfId="19636"/>
    <cellStyle name="40% - Accent1 9 3 2 3 3 2" xfId="32915"/>
    <cellStyle name="40% - Accent1 9 3 2 3 4" xfId="23924"/>
    <cellStyle name="40% - Accent1 9 3 2 4" xfId="15683"/>
    <cellStyle name="40% - Accent1 9 3 2 4 2" xfId="29075"/>
    <cellStyle name="40% - Accent1 9 3 2 5" xfId="19634"/>
    <cellStyle name="40% - Accent1 9 3 2 5 2" xfId="32913"/>
    <cellStyle name="40% - Accent1 9 3 2 6" xfId="23922"/>
    <cellStyle name="40% - Accent1 9 3 3" xfId="4587"/>
    <cellStyle name="40% - Accent1 9 3 3 2" xfId="4588"/>
    <cellStyle name="40% - Accent1 9 3 3 2 2" xfId="15687"/>
    <cellStyle name="40% - Accent1 9 3 3 2 2 2" xfId="29079"/>
    <cellStyle name="40% - Accent1 9 3 3 2 3" xfId="19638"/>
    <cellStyle name="40% - Accent1 9 3 3 2 3 2" xfId="32917"/>
    <cellStyle name="40% - Accent1 9 3 3 2 4" xfId="23926"/>
    <cellStyle name="40% - Accent1 9 3 3 3" xfId="4589"/>
    <cellStyle name="40% - Accent1 9 3 3 3 2" xfId="15688"/>
    <cellStyle name="40% - Accent1 9 3 3 3 2 2" xfId="29080"/>
    <cellStyle name="40% - Accent1 9 3 3 3 3" xfId="19639"/>
    <cellStyle name="40% - Accent1 9 3 3 3 3 2" xfId="32918"/>
    <cellStyle name="40% - Accent1 9 3 3 3 4" xfId="23927"/>
    <cellStyle name="40% - Accent1 9 3 3 4" xfId="15686"/>
    <cellStyle name="40% - Accent1 9 3 3 4 2" xfId="29078"/>
    <cellStyle name="40% - Accent1 9 3 3 5" xfId="19637"/>
    <cellStyle name="40% - Accent1 9 3 3 5 2" xfId="32916"/>
    <cellStyle name="40% - Accent1 9 3 3 6" xfId="23925"/>
    <cellStyle name="40% - Accent1 9 3 4" xfId="4590"/>
    <cellStyle name="40% - Accent1 9 3 4 2" xfId="15689"/>
    <cellStyle name="40% - Accent1 9 3 4 2 2" xfId="29081"/>
    <cellStyle name="40% - Accent1 9 3 4 3" xfId="19640"/>
    <cellStyle name="40% - Accent1 9 3 4 3 2" xfId="32919"/>
    <cellStyle name="40% - Accent1 9 3 4 4" xfId="23928"/>
    <cellStyle name="40% - Accent1 9 3 5" xfId="4591"/>
    <cellStyle name="40% - Accent1 9 3 5 2" xfId="15690"/>
    <cellStyle name="40% - Accent1 9 3 5 2 2" xfId="29082"/>
    <cellStyle name="40% - Accent1 9 3 5 3" xfId="19641"/>
    <cellStyle name="40% - Accent1 9 3 5 3 2" xfId="32920"/>
    <cellStyle name="40% - Accent1 9 3 5 4" xfId="23929"/>
    <cellStyle name="40% - Accent1 9 3 6" xfId="15682"/>
    <cellStyle name="40% - Accent1 9 3 6 2" xfId="29074"/>
    <cellStyle name="40% - Accent1 9 3 7" xfId="19633"/>
    <cellStyle name="40% - Accent1 9 3 7 2" xfId="32912"/>
    <cellStyle name="40% - Accent1 9 3 8" xfId="23921"/>
    <cellStyle name="40% - Accent1 9 3_Volatility" xfId="4592"/>
    <cellStyle name="40% - Accent1 9 4" xfId="4593"/>
    <cellStyle name="40% - Accent1 9 4 2" xfId="4594"/>
    <cellStyle name="40% - Accent1 9 4 2 2" xfId="15692"/>
    <cellStyle name="40% - Accent1 9 4 2 2 2" xfId="29084"/>
    <cellStyle name="40% - Accent1 9 4 2 3" xfId="19643"/>
    <cellStyle name="40% - Accent1 9 4 2 3 2" xfId="32922"/>
    <cellStyle name="40% - Accent1 9 4 2 4" xfId="23931"/>
    <cellStyle name="40% - Accent1 9 4 3" xfId="4595"/>
    <cellStyle name="40% - Accent1 9 4 3 2" xfId="15693"/>
    <cellStyle name="40% - Accent1 9 4 3 2 2" xfId="29085"/>
    <cellStyle name="40% - Accent1 9 4 3 3" xfId="19644"/>
    <cellStyle name="40% - Accent1 9 4 3 3 2" xfId="32923"/>
    <cellStyle name="40% - Accent1 9 4 3 4" xfId="23932"/>
    <cellStyle name="40% - Accent1 9 4 4" xfId="15691"/>
    <cellStyle name="40% - Accent1 9 4 4 2" xfId="29083"/>
    <cellStyle name="40% - Accent1 9 4 5" xfId="19642"/>
    <cellStyle name="40% - Accent1 9 4 5 2" xfId="32921"/>
    <cellStyle name="40% - Accent1 9 4 6" xfId="23930"/>
    <cellStyle name="40% - Accent1 9 5" xfId="4596"/>
    <cellStyle name="40% - Accent1 9 5 2" xfId="4597"/>
    <cellStyle name="40% - Accent1 9 5 2 2" xfId="15695"/>
    <cellStyle name="40% - Accent1 9 5 2 2 2" xfId="29087"/>
    <cellStyle name="40% - Accent1 9 5 2 3" xfId="19646"/>
    <cellStyle name="40% - Accent1 9 5 2 3 2" xfId="32925"/>
    <cellStyle name="40% - Accent1 9 5 2 4" xfId="23934"/>
    <cellStyle name="40% - Accent1 9 5 3" xfId="4598"/>
    <cellStyle name="40% - Accent1 9 5 3 2" xfId="15696"/>
    <cellStyle name="40% - Accent1 9 5 3 2 2" xfId="29088"/>
    <cellStyle name="40% - Accent1 9 5 3 3" xfId="19647"/>
    <cellStyle name="40% - Accent1 9 5 3 3 2" xfId="32926"/>
    <cellStyle name="40% - Accent1 9 5 3 4" xfId="23935"/>
    <cellStyle name="40% - Accent1 9 5 4" xfId="15694"/>
    <cellStyle name="40% - Accent1 9 5 4 2" xfId="29086"/>
    <cellStyle name="40% - Accent1 9 5 5" xfId="19645"/>
    <cellStyle name="40% - Accent1 9 5 5 2" xfId="32924"/>
    <cellStyle name="40% - Accent1 9 5 6" xfId="23933"/>
    <cellStyle name="40% - Accent1 9 6" xfId="4599"/>
    <cellStyle name="40% - Accent1 9 6 2" xfId="4600"/>
    <cellStyle name="40% - Accent1 9 6 2 2" xfId="15698"/>
    <cellStyle name="40% - Accent1 9 6 2 2 2" xfId="29090"/>
    <cellStyle name="40% - Accent1 9 6 2 3" xfId="19649"/>
    <cellStyle name="40% - Accent1 9 6 2 3 2" xfId="32928"/>
    <cellStyle name="40% - Accent1 9 6 2 4" xfId="23937"/>
    <cellStyle name="40% - Accent1 9 6 3" xfId="4601"/>
    <cellStyle name="40% - Accent1 9 6 3 2" xfId="15699"/>
    <cellStyle name="40% - Accent1 9 6 3 2 2" xfId="29091"/>
    <cellStyle name="40% - Accent1 9 6 3 3" xfId="19650"/>
    <cellStyle name="40% - Accent1 9 6 3 3 2" xfId="32929"/>
    <cellStyle name="40% - Accent1 9 6 3 4" xfId="23938"/>
    <cellStyle name="40% - Accent1 9 6 4" xfId="15697"/>
    <cellStyle name="40% - Accent1 9 6 4 2" xfId="29089"/>
    <cellStyle name="40% - Accent1 9 6 5" xfId="19648"/>
    <cellStyle name="40% - Accent1 9 6 5 2" xfId="32927"/>
    <cellStyle name="40% - Accent1 9 6 6" xfId="23936"/>
    <cellStyle name="40% - Accent1 9 7" xfId="4602"/>
    <cellStyle name="40% - Accent1 9 7 2" xfId="15700"/>
    <cellStyle name="40% - Accent1 9 7 2 2" xfId="29092"/>
    <cellStyle name="40% - Accent1 9 7 3" xfId="19651"/>
    <cellStyle name="40% - Accent1 9 7 3 2" xfId="32930"/>
    <cellStyle name="40% - Accent1 9 7 4" xfId="23939"/>
    <cellStyle name="40% - Accent1 9 8" xfId="4603"/>
    <cellStyle name="40% - Accent1 9 8 2" xfId="15701"/>
    <cellStyle name="40% - Accent1 9 8 2 2" xfId="29093"/>
    <cellStyle name="40% - Accent1 9 8 3" xfId="19652"/>
    <cellStyle name="40% - Accent1 9 8 3 2" xfId="32931"/>
    <cellStyle name="40% - Accent1 9 8 4" xfId="23940"/>
    <cellStyle name="40% - Accent1 9 9" xfId="15669"/>
    <cellStyle name="40% - Accent1 9 9 2" xfId="29061"/>
    <cellStyle name="40% - Accent1 9_Volatility" xfId="4604"/>
    <cellStyle name="40% - Accent2 10" xfId="4605"/>
    <cellStyle name="40% - Accent2 10 10" xfId="19653"/>
    <cellStyle name="40% - Accent2 10 10 2" xfId="32932"/>
    <cellStyle name="40% - Accent2 10 11" xfId="23941"/>
    <cellStyle name="40% - Accent2 10 2" xfId="4606"/>
    <cellStyle name="40% - Accent2 10 2 2" xfId="4607"/>
    <cellStyle name="40% - Accent2 10 2 2 2" xfId="4608"/>
    <cellStyle name="40% - Accent2 10 2 2 2 2" xfId="15705"/>
    <cellStyle name="40% - Accent2 10 2 2 2 2 2" xfId="29097"/>
    <cellStyle name="40% - Accent2 10 2 2 2 3" xfId="19656"/>
    <cellStyle name="40% - Accent2 10 2 2 2 3 2" xfId="32935"/>
    <cellStyle name="40% - Accent2 10 2 2 2 4" xfId="23944"/>
    <cellStyle name="40% - Accent2 10 2 2 3" xfId="4609"/>
    <cellStyle name="40% - Accent2 10 2 2 3 2" xfId="15706"/>
    <cellStyle name="40% - Accent2 10 2 2 3 2 2" xfId="29098"/>
    <cellStyle name="40% - Accent2 10 2 2 3 3" xfId="19657"/>
    <cellStyle name="40% - Accent2 10 2 2 3 3 2" xfId="32936"/>
    <cellStyle name="40% - Accent2 10 2 2 3 4" xfId="23945"/>
    <cellStyle name="40% - Accent2 10 2 2 4" xfId="15704"/>
    <cellStyle name="40% - Accent2 10 2 2 4 2" xfId="29096"/>
    <cellStyle name="40% - Accent2 10 2 2 5" xfId="19655"/>
    <cellStyle name="40% - Accent2 10 2 2 5 2" xfId="32934"/>
    <cellStyle name="40% - Accent2 10 2 2 6" xfId="23943"/>
    <cellStyle name="40% - Accent2 10 2 3" xfId="4610"/>
    <cellStyle name="40% - Accent2 10 2 3 2" xfId="4611"/>
    <cellStyle name="40% - Accent2 10 2 3 2 2" xfId="15708"/>
    <cellStyle name="40% - Accent2 10 2 3 2 2 2" xfId="29100"/>
    <cellStyle name="40% - Accent2 10 2 3 2 3" xfId="19659"/>
    <cellStyle name="40% - Accent2 10 2 3 2 3 2" xfId="32938"/>
    <cellStyle name="40% - Accent2 10 2 3 2 4" xfId="23947"/>
    <cellStyle name="40% - Accent2 10 2 3 3" xfId="4612"/>
    <cellStyle name="40% - Accent2 10 2 3 3 2" xfId="15709"/>
    <cellStyle name="40% - Accent2 10 2 3 3 2 2" xfId="29101"/>
    <cellStyle name="40% - Accent2 10 2 3 3 3" xfId="19660"/>
    <cellStyle name="40% - Accent2 10 2 3 3 3 2" xfId="32939"/>
    <cellStyle name="40% - Accent2 10 2 3 3 4" xfId="23948"/>
    <cellStyle name="40% - Accent2 10 2 3 4" xfId="15707"/>
    <cellStyle name="40% - Accent2 10 2 3 4 2" xfId="29099"/>
    <cellStyle name="40% - Accent2 10 2 3 5" xfId="19658"/>
    <cellStyle name="40% - Accent2 10 2 3 5 2" xfId="32937"/>
    <cellStyle name="40% - Accent2 10 2 3 6" xfId="23946"/>
    <cellStyle name="40% - Accent2 10 2 4" xfId="4613"/>
    <cellStyle name="40% - Accent2 10 2 4 2" xfId="4614"/>
    <cellStyle name="40% - Accent2 10 2 4 2 2" xfId="15711"/>
    <cellStyle name="40% - Accent2 10 2 4 2 2 2" xfId="29103"/>
    <cellStyle name="40% - Accent2 10 2 4 2 3" xfId="19662"/>
    <cellStyle name="40% - Accent2 10 2 4 2 3 2" xfId="32941"/>
    <cellStyle name="40% - Accent2 10 2 4 2 4" xfId="23950"/>
    <cellStyle name="40% - Accent2 10 2 4 3" xfId="4615"/>
    <cellStyle name="40% - Accent2 10 2 4 3 2" xfId="15712"/>
    <cellStyle name="40% - Accent2 10 2 4 3 2 2" xfId="29104"/>
    <cellStyle name="40% - Accent2 10 2 4 3 3" xfId="19663"/>
    <cellStyle name="40% - Accent2 10 2 4 3 3 2" xfId="32942"/>
    <cellStyle name="40% - Accent2 10 2 4 3 4" xfId="23951"/>
    <cellStyle name="40% - Accent2 10 2 4 4" xfId="15710"/>
    <cellStyle name="40% - Accent2 10 2 4 4 2" xfId="29102"/>
    <cellStyle name="40% - Accent2 10 2 4 5" xfId="19661"/>
    <cellStyle name="40% - Accent2 10 2 4 5 2" xfId="32940"/>
    <cellStyle name="40% - Accent2 10 2 4 6" xfId="23949"/>
    <cellStyle name="40% - Accent2 10 2 5" xfId="4616"/>
    <cellStyle name="40% - Accent2 10 2 5 2" xfId="15713"/>
    <cellStyle name="40% - Accent2 10 2 5 2 2" xfId="29105"/>
    <cellStyle name="40% - Accent2 10 2 5 3" xfId="19664"/>
    <cellStyle name="40% - Accent2 10 2 5 3 2" xfId="32943"/>
    <cellStyle name="40% - Accent2 10 2 5 4" xfId="23952"/>
    <cellStyle name="40% - Accent2 10 2 6" xfId="4617"/>
    <cellStyle name="40% - Accent2 10 2 6 2" xfId="15714"/>
    <cellStyle name="40% - Accent2 10 2 6 2 2" xfId="29106"/>
    <cellStyle name="40% - Accent2 10 2 6 3" xfId="19665"/>
    <cellStyle name="40% - Accent2 10 2 6 3 2" xfId="32944"/>
    <cellStyle name="40% - Accent2 10 2 6 4" xfId="23953"/>
    <cellStyle name="40% - Accent2 10 2 7" xfId="15703"/>
    <cellStyle name="40% - Accent2 10 2 7 2" xfId="29095"/>
    <cellStyle name="40% - Accent2 10 2 8" xfId="19654"/>
    <cellStyle name="40% - Accent2 10 2 8 2" xfId="32933"/>
    <cellStyle name="40% - Accent2 10 2 9" xfId="23942"/>
    <cellStyle name="40% - Accent2 10 2_Volatility" xfId="4618"/>
    <cellStyle name="40% - Accent2 10 3" xfId="4619"/>
    <cellStyle name="40% - Accent2 10 3 2" xfId="4620"/>
    <cellStyle name="40% - Accent2 10 3 2 2" xfId="4621"/>
    <cellStyle name="40% - Accent2 10 3 2 2 2" xfId="15717"/>
    <cellStyle name="40% - Accent2 10 3 2 2 2 2" xfId="29109"/>
    <cellStyle name="40% - Accent2 10 3 2 2 3" xfId="19668"/>
    <cellStyle name="40% - Accent2 10 3 2 2 3 2" xfId="32947"/>
    <cellStyle name="40% - Accent2 10 3 2 2 4" xfId="23956"/>
    <cellStyle name="40% - Accent2 10 3 2 3" xfId="4622"/>
    <cellStyle name="40% - Accent2 10 3 2 3 2" xfId="15718"/>
    <cellStyle name="40% - Accent2 10 3 2 3 2 2" xfId="29110"/>
    <cellStyle name="40% - Accent2 10 3 2 3 3" xfId="19669"/>
    <cellStyle name="40% - Accent2 10 3 2 3 3 2" xfId="32948"/>
    <cellStyle name="40% - Accent2 10 3 2 3 4" xfId="23957"/>
    <cellStyle name="40% - Accent2 10 3 2 4" xfId="15716"/>
    <cellStyle name="40% - Accent2 10 3 2 4 2" xfId="29108"/>
    <cellStyle name="40% - Accent2 10 3 2 5" xfId="19667"/>
    <cellStyle name="40% - Accent2 10 3 2 5 2" xfId="32946"/>
    <cellStyle name="40% - Accent2 10 3 2 6" xfId="23955"/>
    <cellStyle name="40% - Accent2 10 3 3" xfId="4623"/>
    <cellStyle name="40% - Accent2 10 3 3 2" xfId="4624"/>
    <cellStyle name="40% - Accent2 10 3 3 2 2" xfId="15720"/>
    <cellStyle name="40% - Accent2 10 3 3 2 2 2" xfId="29112"/>
    <cellStyle name="40% - Accent2 10 3 3 2 3" xfId="19671"/>
    <cellStyle name="40% - Accent2 10 3 3 2 3 2" xfId="32950"/>
    <cellStyle name="40% - Accent2 10 3 3 2 4" xfId="23959"/>
    <cellStyle name="40% - Accent2 10 3 3 3" xfId="4625"/>
    <cellStyle name="40% - Accent2 10 3 3 3 2" xfId="15721"/>
    <cellStyle name="40% - Accent2 10 3 3 3 2 2" xfId="29113"/>
    <cellStyle name="40% - Accent2 10 3 3 3 3" xfId="19672"/>
    <cellStyle name="40% - Accent2 10 3 3 3 3 2" xfId="32951"/>
    <cellStyle name="40% - Accent2 10 3 3 3 4" xfId="23960"/>
    <cellStyle name="40% - Accent2 10 3 3 4" xfId="15719"/>
    <cellStyle name="40% - Accent2 10 3 3 4 2" xfId="29111"/>
    <cellStyle name="40% - Accent2 10 3 3 5" xfId="19670"/>
    <cellStyle name="40% - Accent2 10 3 3 5 2" xfId="32949"/>
    <cellStyle name="40% - Accent2 10 3 3 6" xfId="23958"/>
    <cellStyle name="40% - Accent2 10 3 4" xfId="4626"/>
    <cellStyle name="40% - Accent2 10 3 4 2" xfId="15722"/>
    <cellStyle name="40% - Accent2 10 3 4 2 2" xfId="29114"/>
    <cellStyle name="40% - Accent2 10 3 4 3" xfId="19673"/>
    <cellStyle name="40% - Accent2 10 3 4 3 2" xfId="32952"/>
    <cellStyle name="40% - Accent2 10 3 4 4" xfId="23961"/>
    <cellStyle name="40% - Accent2 10 3 5" xfId="4627"/>
    <cellStyle name="40% - Accent2 10 3 5 2" xfId="15723"/>
    <cellStyle name="40% - Accent2 10 3 5 2 2" xfId="29115"/>
    <cellStyle name="40% - Accent2 10 3 5 3" xfId="19674"/>
    <cellStyle name="40% - Accent2 10 3 5 3 2" xfId="32953"/>
    <cellStyle name="40% - Accent2 10 3 5 4" xfId="23962"/>
    <cellStyle name="40% - Accent2 10 3 6" xfId="15715"/>
    <cellStyle name="40% - Accent2 10 3 6 2" xfId="29107"/>
    <cellStyle name="40% - Accent2 10 3 7" xfId="19666"/>
    <cellStyle name="40% - Accent2 10 3 7 2" xfId="32945"/>
    <cellStyle name="40% - Accent2 10 3 8" xfId="23954"/>
    <cellStyle name="40% - Accent2 10 3_Volatility" xfId="4628"/>
    <cellStyle name="40% - Accent2 10 4" xfId="4629"/>
    <cellStyle name="40% - Accent2 10 4 2" xfId="4630"/>
    <cellStyle name="40% - Accent2 10 4 2 2" xfId="15725"/>
    <cellStyle name="40% - Accent2 10 4 2 2 2" xfId="29117"/>
    <cellStyle name="40% - Accent2 10 4 2 3" xfId="19676"/>
    <cellStyle name="40% - Accent2 10 4 2 3 2" xfId="32955"/>
    <cellStyle name="40% - Accent2 10 4 2 4" xfId="23964"/>
    <cellStyle name="40% - Accent2 10 4 3" xfId="4631"/>
    <cellStyle name="40% - Accent2 10 4 3 2" xfId="15726"/>
    <cellStyle name="40% - Accent2 10 4 3 2 2" xfId="29118"/>
    <cellStyle name="40% - Accent2 10 4 3 3" xfId="19677"/>
    <cellStyle name="40% - Accent2 10 4 3 3 2" xfId="32956"/>
    <cellStyle name="40% - Accent2 10 4 3 4" xfId="23965"/>
    <cellStyle name="40% - Accent2 10 4 4" xfId="15724"/>
    <cellStyle name="40% - Accent2 10 4 4 2" xfId="29116"/>
    <cellStyle name="40% - Accent2 10 4 5" xfId="19675"/>
    <cellStyle name="40% - Accent2 10 4 5 2" xfId="32954"/>
    <cellStyle name="40% - Accent2 10 4 6" xfId="23963"/>
    <cellStyle name="40% - Accent2 10 5" xfId="4632"/>
    <cellStyle name="40% - Accent2 10 5 2" xfId="4633"/>
    <cellStyle name="40% - Accent2 10 5 2 2" xfId="15728"/>
    <cellStyle name="40% - Accent2 10 5 2 2 2" xfId="29120"/>
    <cellStyle name="40% - Accent2 10 5 2 3" xfId="19679"/>
    <cellStyle name="40% - Accent2 10 5 2 3 2" xfId="32958"/>
    <cellStyle name="40% - Accent2 10 5 2 4" xfId="23967"/>
    <cellStyle name="40% - Accent2 10 5 3" xfId="4634"/>
    <cellStyle name="40% - Accent2 10 5 3 2" xfId="15729"/>
    <cellStyle name="40% - Accent2 10 5 3 2 2" xfId="29121"/>
    <cellStyle name="40% - Accent2 10 5 3 3" xfId="19680"/>
    <cellStyle name="40% - Accent2 10 5 3 3 2" xfId="32959"/>
    <cellStyle name="40% - Accent2 10 5 3 4" xfId="23968"/>
    <cellStyle name="40% - Accent2 10 5 4" xfId="15727"/>
    <cellStyle name="40% - Accent2 10 5 4 2" xfId="29119"/>
    <cellStyle name="40% - Accent2 10 5 5" xfId="19678"/>
    <cellStyle name="40% - Accent2 10 5 5 2" xfId="32957"/>
    <cellStyle name="40% - Accent2 10 5 6" xfId="23966"/>
    <cellStyle name="40% - Accent2 10 6" xfId="4635"/>
    <cellStyle name="40% - Accent2 10 6 2" xfId="4636"/>
    <cellStyle name="40% - Accent2 10 6 2 2" xfId="15731"/>
    <cellStyle name="40% - Accent2 10 6 2 2 2" xfId="29123"/>
    <cellStyle name="40% - Accent2 10 6 2 3" xfId="19682"/>
    <cellStyle name="40% - Accent2 10 6 2 3 2" xfId="32961"/>
    <cellStyle name="40% - Accent2 10 6 2 4" xfId="23970"/>
    <cellStyle name="40% - Accent2 10 6 3" xfId="4637"/>
    <cellStyle name="40% - Accent2 10 6 3 2" xfId="15732"/>
    <cellStyle name="40% - Accent2 10 6 3 2 2" xfId="29124"/>
    <cellStyle name="40% - Accent2 10 6 3 3" xfId="19683"/>
    <cellStyle name="40% - Accent2 10 6 3 3 2" xfId="32962"/>
    <cellStyle name="40% - Accent2 10 6 3 4" xfId="23971"/>
    <cellStyle name="40% - Accent2 10 6 4" xfId="15730"/>
    <cellStyle name="40% - Accent2 10 6 4 2" xfId="29122"/>
    <cellStyle name="40% - Accent2 10 6 5" xfId="19681"/>
    <cellStyle name="40% - Accent2 10 6 5 2" xfId="32960"/>
    <cellStyle name="40% - Accent2 10 6 6" xfId="23969"/>
    <cellStyle name="40% - Accent2 10 7" xfId="4638"/>
    <cellStyle name="40% - Accent2 10 7 2" xfId="15733"/>
    <cellStyle name="40% - Accent2 10 7 2 2" xfId="29125"/>
    <cellStyle name="40% - Accent2 10 7 3" xfId="19684"/>
    <cellStyle name="40% - Accent2 10 7 3 2" xfId="32963"/>
    <cellStyle name="40% - Accent2 10 7 4" xfId="23972"/>
    <cellStyle name="40% - Accent2 10 8" xfId="4639"/>
    <cellStyle name="40% - Accent2 10 8 2" xfId="15734"/>
    <cellStyle name="40% - Accent2 10 8 2 2" xfId="29126"/>
    <cellStyle name="40% - Accent2 10 8 3" xfId="19685"/>
    <cellStyle name="40% - Accent2 10 8 3 2" xfId="32964"/>
    <cellStyle name="40% - Accent2 10 8 4" xfId="23973"/>
    <cellStyle name="40% - Accent2 10 9" xfId="15702"/>
    <cellStyle name="40% - Accent2 10 9 2" xfId="29094"/>
    <cellStyle name="40% - Accent2 10_Volatility" xfId="4640"/>
    <cellStyle name="40% - Accent2 11" xfId="4641"/>
    <cellStyle name="40% - Accent2 11 10" xfId="19686"/>
    <cellStyle name="40% - Accent2 11 10 2" xfId="32965"/>
    <cellStyle name="40% - Accent2 11 11" xfId="23974"/>
    <cellStyle name="40% - Accent2 11 2" xfId="4642"/>
    <cellStyle name="40% - Accent2 11 2 2" xfId="4643"/>
    <cellStyle name="40% - Accent2 11 2 2 2" xfId="4644"/>
    <cellStyle name="40% - Accent2 11 2 2 2 2" xfId="15738"/>
    <cellStyle name="40% - Accent2 11 2 2 2 2 2" xfId="29130"/>
    <cellStyle name="40% - Accent2 11 2 2 2 3" xfId="19689"/>
    <cellStyle name="40% - Accent2 11 2 2 2 3 2" xfId="32968"/>
    <cellStyle name="40% - Accent2 11 2 2 2 4" xfId="23977"/>
    <cellStyle name="40% - Accent2 11 2 2 3" xfId="4645"/>
    <cellStyle name="40% - Accent2 11 2 2 3 2" xfId="15739"/>
    <cellStyle name="40% - Accent2 11 2 2 3 2 2" xfId="29131"/>
    <cellStyle name="40% - Accent2 11 2 2 3 3" xfId="19690"/>
    <cellStyle name="40% - Accent2 11 2 2 3 3 2" xfId="32969"/>
    <cellStyle name="40% - Accent2 11 2 2 3 4" xfId="23978"/>
    <cellStyle name="40% - Accent2 11 2 2 4" xfId="15737"/>
    <cellStyle name="40% - Accent2 11 2 2 4 2" xfId="29129"/>
    <cellStyle name="40% - Accent2 11 2 2 5" xfId="19688"/>
    <cellStyle name="40% - Accent2 11 2 2 5 2" xfId="32967"/>
    <cellStyle name="40% - Accent2 11 2 2 6" xfId="23976"/>
    <cellStyle name="40% - Accent2 11 2 3" xfId="4646"/>
    <cellStyle name="40% - Accent2 11 2 3 2" xfId="4647"/>
    <cellStyle name="40% - Accent2 11 2 3 2 2" xfId="15741"/>
    <cellStyle name="40% - Accent2 11 2 3 2 2 2" xfId="29133"/>
    <cellStyle name="40% - Accent2 11 2 3 2 3" xfId="19692"/>
    <cellStyle name="40% - Accent2 11 2 3 2 3 2" xfId="32971"/>
    <cellStyle name="40% - Accent2 11 2 3 2 4" xfId="23980"/>
    <cellStyle name="40% - Accent2 11 2 3 3" xfId="4648"/>
    <cellStyle name="40% - Accent2 11 2 3 3 2" xfId="15742"/>
    <cellStyle name="40% - Accent2 11 2 3 3 2 2" xfId="29134"/>
    <cellStyle name="40% - Accent2 11 2 3 3 3" xfId="19693"/>
    <cellStyle name="40% - Accent2 11 2 3 3 3 2" xfId="32972"/>
    <cellStyle name="40% - Accent2 11 2 3 3 4" xfId="23981"/>
    <cellStyle name="40% - Accent2 11 2 3 4" xfId="15740"/>
    <cellStyle name="40% - Accent2 11 2 3 4 2" xfId="29132"/>
    <cellStyle name="40% - Accent2 11 2 3 5" xfId="19691"/>
    <cellStyle name="40% - Accent2 11 2 3 5 2" xfId="32970"/>
    <cellStyle name="40% - Accent2 11 2 3 6" xfId="23979"/>
    <cellStyle name="40% - Accent2 11 2 4" xfId="4649"/>
    <cellStyle name="40% - Accent2 11 2 4 2" xfId="4650"/>
    <cellStyle name="40% - Accent2 11 2 4 2 2" xfId="15744"/>
    <cellStyle name="40% - Accent2 11 2 4 2 2 2" xfId="29136"/>
    <cellStyle name="40% - Accent2 11 2 4 2 3" xfId="19695"/>
    <cellStyle name="40% - Accent2 11 2 4 2 3 2" xfId="32974"/>
    <cellStyle name="40% - Accent2 11 2 4 2 4" xfId="23983"/>
    <cellStyle name="40% - Accent2 11 2 4 3" xfId="4651"/>
    <cellStyle name="40% - Accent2 11 2 4 3 2" xfId="15745"/>
    <cellStyle name="40% - Accent2 11 2 4 3 2 2" xfId="29137"/>
    <cellStyle name="40% - Accent2 11 2 4 3 3" xfId="19696"/>
    <cellStyle name="40% - Accent2 11 2 4 3 3 2" xfId="32975"/>
    <cellStyle name="40% - Accent2 11 2 4 3 4" xfId="23984"/>
    <cellStyle name="40% - Accent2 11 2 4 4" xfId="15743"/>
    <cellStyle name="40% - Accent2 11 2 4 4 2" xfId="29135"/>
    <cellStyle name="40% - Accent2 11 2 4 5" xfId="19694"/>
    <cellStyle name="40% - Accent2 11 2 4 5 2" xfId="32973"/>
    <cellStyle name="40% - Accent2 11 2 4 6" xfId="23982"/>
    <cellStyle name="40% - Accent2 11 2 5" xfId="4652"/>
    <cellStyle name="40% - Accent2 11 2 5 2" xfId="15746"/>
    <cellStyle name="40% - Accent2 11 2 5 2 2" xfId="29138"/>
    <cellStyle name="40% - Accent2 11 2 5 3" xfId="19697"/>
    <cellStyle name="40% - Accent2 11 2 5 3 2" xfId="32976"/>
    <cellStyle name="40% - Accent2 11 2 5 4" xfId="23985"/>
    <cellStyle name="40% - Accent2 11 2 6" xfId="4653"/>
    <cellStyle name="40% - Accent2 11 2 6 2" xfId="15747"/>
    <cellStyle name="40% - Accent2 11 2 6 2 2" xfId="29139"/>
    <cellStyle name="40% - Accent2 11 2 6 3" xfId="19698"/>
    <cellStyle name="40% - Accent2 11 2 6 3 2" xfId="32977"/>
    <cellStyle name="40% - Accent2 11 2 6 4" xfId="23986"/>
    <cellStyle name="40% - Accent2 11 2 7" xfId="15736"/>
    <cellStyle name="40% - Accent2 11 2 7 2" xfId="29128"/>
    <cellStyle name="40% - Accent2 11 2 8" xfId="19687"/>
    <cellStyle name="40% - Accent2 11 2 8 2" xfId="32966"/>
    <cellStyle name="40% - Accent2 11 2 9" xfId="23975"/>
    <cellStyle name="40% - Accent2 11 2_Volatility" xfId="4654"/>
    <cellStyle name="40% - Accent2 11 3" xfId="4655"/>
    <cellStyle name="40% - Accent2 11 3 2" xfId="4656"/>
    <cellStyle name="40% - Accent2 11 3 2 2" xfId="4657"/>
    <cellStyle name="40% - Accent2 11 3 2 2 2" xfId="15750"/>
    <cellStyle name="40% - Accent2 11 3 2 2 2 2" xfId="29142"/>
    <cellStyle name="40% - Accent2 11 3 2 2 3" xfId="19701"/>
    <cellStyle name="40% - Accent2 11 3 2 2 3 2" xfId="32980"/>
    <cellStyle name="40% - Accent2 11 3 2 2 4" xfId="23989"/>
    <cellStyle name="40% - Accent2 11 3 2 3" xfId="4658"/>
    <cellStyle name="40% - Accent2 11 3 2 3 2" xfId="15751"/>
    <cellStyle name="40% - Accent2 11 3 2 3 2 2" xfId="29143"/>
    <cellStyle name="40% - Accent2 11 3 2 3 3" xfId="19702"/>
    <cellStyle name="40% - Accent2 11 3 2 3 3 2" xfId="32981"/>
    <cellStyle name="40% - Accent2 11 3 2 3 4" xfId="23990"/>
    <cellStyle name="40% - Accent2 11 3 2 4" xfId="15749"/>
    <cellStyle name="40% - Accent2 11 3 2 4 2" xfId="29141"/>
    <cellStyle name="40% - Accent2 11 3 2 5" xfId="19700"/>
    <cellStyle name="40% - Accent2 11 3 2 5 2" xfId="32979"/>
    <cellStyle name="40% - Accent2 11 3 2 6" xfId="23988"/>
    <cellStyle name="40% - Accent2 11 3 3" xfId="4659"/>
    <cellStyle name="40% - Accent2 11 3 3 2" xfId="4660"/>
    <cellStyle name="40% - Accent2 11 3 3 2 2" xfId="15753"/>
    <cellStyle name="40% - Accent2 11 3 3 2 2 2" xfId="29145"/>
    <cellStyle name="40% - Accent2 11 3 3 2 3" xfId="19704"/>
    <cellStyle name="40% - Accent2 11 3 3 2 3 2" xfId="32983"/>
    <cellStyle name="40% - Accent2 11 3 3 2 4" xfId="23992"/>
    <cellStyle name="40% - Accent2 11 3 3 3" xfId="4661"/>
    <cellStyle name="40% - Accent2 11 3 3 3 2" xfId="15754"/>
    <cellStyle name="40% - Accent2 11 3 3 3 2 2" xfId="29146"/>
    <cellStyle name="40% - Accent2 11 3 3 3 3" xfId="19705"/>
    <cellStyle name="40% - Accent2 11 3 3 3 3 2" xfId="32984"/>
    <cellStyle name="40% - Accent2 11 3 3 3 4" xfId="23993"/>
    <cellStyle name="40% - Accent2 11 3 3 4" xfId="15752"/>
    <cellStyle name="40% - Accent2 11 3 3 4 2" xfId="29144"/>
    <cellStyle name="40% - Accent2 11 3 3 5" xfId="19703"/>
    <cellStyle name="40% - Accent2 11 3 3 5 2" xfId="32982"/>
    <cellStyle name="40% - Accent2 11 3 3 6" xfId="23991"/>
    <cellStyle name="40% - Accent2 11 3 4" xfId="4662"/>
    <cellStyle name="40% - Accent2 11 3 4 2" xfId="15755"/>
    <cellStyle name="40% - Accent2 11 3 4 2 2" xfId="29147"/>
    <cellStyle name="40% - Accent2 11 3 4 3" xfId="19706"/>
    <cellStyle name="40% - Accent2 11 3 4 3 2" xfId="32985"/>
    <cellStyle name="40% - Accent2 11 3 4 4" xfId="23994"/>
    <cellStyle name="40% - Accent2 11 3 5" xfId="4663"/>
    <cellStyle name="40% - Accent2 11 3 5 2" xfId="15756"/>
    <cellStyle name="40% - Accent2 11 3 5 2 2" xfId="29148"/>
    <cellStyle name="40% - Accent2 11 3 5 3" xfId="19707"/>
    <cellStyle name="40% - Accent2 11 3 5 3 2" xfId="32986"/>
    <cellStyle name="40% - Accent2 11 3 5 4" xfId="23995"/>
    <cellStyle name="40% - Accent2 11 3 6" xfId="15748"/>
    <cellStyle name="40% - Accent2 11 3 6 2" xfId="29140"/>
    <cellStyle name="40% - Accent2 11 3 7" xfId="19699"/>
    <cellStyle name="40% - Accent2 11 3 7 2" xfId="32978"/>
    <cellStyle name="40% - Accent2 11 3 8" xfId="23987"/>
    <cellStyle name="40% - Accent2 11 3_Volatility" xfId="4664"/>
    <cellStyle name="40% - Accent2 11 4" xfId="4665"/>
    <cellStyle name="40% - Accent2 11 4 2" xfId="4666"/>
    <cellStyle name="40% - Accent2 11 4 2 2" xfId="15758"/>
    <cellStyle name="40% - Accent2 11 4 2 2 2" xfId="29150"/>
    <cellStyle name="40% - Accent2 11 4 2 3" xfId="19709"/>
    <cellStyle name="40% - Accent2 11 4 2 3 2" xfId="32988"/>
    <cellStyle name="40% - Accent2 11 4 2 4" xfId="23997"/>
    <cellStyle name="40% - Accent2 11 4 3" xfId="4667"/>
    <cellStyle name="40% - Accent2 11 4 3 2" xfId="15759"/>
    <cellStyle name="40% - Accent2 11 4 3 2 2" xfId="29151"/>
    <cellStyle name="40% - Accent2 11 4 3 3" xfId="19710"/>
    <cellStyle name="40% - Accent2 11 4 3 3 2" xfId="32989"/>
    <cellStyle name="40% - Accent2 11 4 3 4" xfId="23998"/>
    <cellStyle name="40% - Accent2 11 4 4" xfId="15757"/>
    <cellStyle name="40% - Accent2 11 4 4 2" xfId="29149"/>
    <cellStyle name="40% - Accent2 11 4 5" xfId="19708"/>
    <cellStyle name="40% - Accent2 11 4 5 2" xfId="32987"/>
    <cellStyle name="40% - Accent2 11 4 6" xfId="23996"/>
    <cellStyle name="40% - Accent2 11 5" xfId="4668"/>
    <cellStyle name="40% - Accent2 11 5 2" xfId="4669"/>
    <cellStyle name="40% - Accent2 11 5 2 2" xfId="15761"/>
    <cellStyle name="40% - Accent2 11 5 2 2 2" xfId="29153"/>
    <cellStyle name="40% - Accent2 11 5 2 3" xfId="19712"/>
    <cellStyle name="40% - Accent2 11 5 2 3 2" xfId="32991"/>
    <cellStyle name="40% - Accent2 11 5 2 4" xfId="24000"/>
    <cellStyle name="40% - Accent2 11 5 3" xfId="4670"/>
    <cellStyle name="40% - Accent2 11 5 3 2" xfId="15762"/>
    <cellStyle name="40% - Accent2 11 5 3 2 2" xfId="29154"/>
    <cellStyle name="40% - Accent2 11 5 3 3" xfId="19713"/>
    <cellStyle name="40% - Accent2 11 5 3 3 2" xfId="32992"/>
    <cellStyle name="40% - Accent2 11 5 3 4" xfId="24001"/>
    <cellStyle name="40% - Accent2 11 5 4" xfId="15760"/>
    <cellStyle name="40% - Accent2 11 5 4 2" xfId="29152"/>
    <cellStyle name="40% - Accent2 11 5 5" xfId="19711"/>
    <cellStyle name="40% - Accent2 11 5 5 2" xfId="32990"/>
    <cellStyle name="40% - Accent2 11 5 6" xfId="23999"/>
    <cellStyle name="40% - Accent2 11 6" xfId="4671"/>
    <cellStyle name="40% - Accent2 11 6 2" xfId="4672"/>
    <cellStyle name="40% - Accent2 11 6 2 2" xfId="15764"/>
    <cellStyle name="40% - Accent2 11 6 2 2 2" xfId="29156"/>
    <cellStyle name="40% - Accent2 11 6 2 3" xfId="19715"/>
    <cellStyle name="40% - Accent2 11 6 2 3 2" xfId="32994"/>
    <cellStyle name="40% - Accent2 11 6 2 4" xfId="24003"/>
    <cellStyle name="40% - Accent2 11 6 3" xfId="4673"/>
    <cellStyle name="40% - Accent2 11 6 3 2" xfId="15765"/>
    <cellStyle name="40% - Accent2 11 6 3 2 2" xfId="29157"/>
    <cellStyle name="40% - Accent2 11 6 3 3" xfId="19716"/>
    <cellStyle name="40% - Accent2 11 6 3 3 2" xfId="32995"/>
    <cellStyle name="40% - Accent2 11 6 3 4" xfId="24004"/>
    <cellStyle name="40% - Accent2 11 6 4" xfId="15763"/>
    <cellStyle name="40% - Accent2 11 6 4 2" xfId="29155"/>
    <cellStyle name="40% - Accent2 11 6 5" xfId="19714"/>
    <cellStyle name="40% - Accent2 11 6 5 2" xfId="32993"/>
    <cellStyle name="40% - Accent2 11 6 6" xfId="24002"/>
    <cellStyle name="40% - Accent2 11 7" xfId="4674"/>
    <cellStyle name="40% - Accent2 11 7 2" xfId="15766"/>
    <cellStyle name="40% - Accent2 11 7 2 2" xfId="29158"/>
    <cellStyle name="40% - Accent2 11 7 3" xfId="19717"/>
    <cellStyle name="40% - Accent2 11 7 3 2" xfId="32996"/>
    <cellStyle name="40% - Accent2 11 7 4" xfId="24005"/>
    <cellStyle name="40% - Accent2 11 8" xfId="4675"/>
    <cellStyle name="40% - Accent2 11 8 2" xfId="15767"/>
    <cellStyle name="40% - Accent2 11 8 2 2" xfId="29159"/>
    <cellStyle name="40% - Accent2 11 8 3" xfId="19718"/>
    <cellStyle name="40% - Accent2 11 8 3 2" xfId="32997"/>
    <cellStyle name="40% - Accent2 11 8 4" xfId="24006"/>
    <cellStyle name="40% - Accent2 11 9" xfId="15735"/>
    <cellStyle name="40% - Accent2 11 9 2" xfId="29127"/>
    <cellStyle name="40% - Accent2 11_Volatility" xfId="4676"/>
    <cellStyle name="40% - Accent2 12" xfId="4677"/>
    <cellStyle name="40% - Accent2 12 10" xfId="19719"/>
    <cellStyle name="40% - Accent2 12 10 2" xfId="32998"/>
    <cellStyle name="40% - Accent2 12 11" xfId="24007"/>
    <cellStyle name="40% - Accent2 12 2" xfId="4678"/>
    <cellStyle name="40% - Accent2 12 2 2" xfId="4679"/>
    <cellStyle name="40% - Accent2 12 2 2 2" xfId="4680"/>
    <cellStyle name="40% - Accent2 12 2 2 2 2" xfId="15771"/>
    <cellStyle name="40% - Accent2 12 2 2 2 2 2" xfId="29163"/>
    <cellStyle name="40% - Accent2 12 2 2 2 3" xfId="19722"/>
    <cellStyle name="40% - Accent2 12 2 2 2 3 2" xfId="33001"/>
    <cellStyle name="40% - Accent2 12 2 2 2 4" xfId="24010"/>
    <cellStyle name="40% - Accent2 12 2 2 3" xfId="4681"/>
    <cellStyle name="40% - Accent2 12 2 2 3 2" xfId="15772"/>
    <cellStyle name="40% - Accent2 12 2 2 3 2 2" xfId="29164"/>
    <cellStyle name="40% - Accent2 12 2 2 3 3" xfId="19723"/>
    <cellStyle name="40% - Accent2 12 2 2 3 3 2" xfId="33002"/>
    <cellStyle name="40% - Accent2 12 2 2 3 4" xfId="24011"/>
    <cellStyle name="40% - Accent2 12 2 2 4" xfId="15770"/>
    <cellStyle name="40% - Accent2 12 2 2 4 2" xfId="29162"/>
    <cellStyle name="40% - Accent2 12 2 2 5" xfId="19721"/>
    <cellStyle name="40% - Accent2 12 2 2 5 2" xfId="33000"/>
    <cellStyle name="40% - Accent2 12 2 2 6" xfId="24009"/>
    <cellStyle name="40% - Accent2 12 2 3" xfId="4682"/>
    <cellStyle name="40% - Accent2 12 2 3 2" xfId="4683"/>
    <cellStyle name="40% - Accent2 12 2 3 2 2" xfId="15774"/>
    <cellStyle name="40% - Accent2 12 2 3 2 2 2" xfId="29166"/>
    <cellStyle name="40% - Accent2 12 2 3 2 3" xfId="19725"/>
    <cellStyle name="40% - Accent2 12 2 3 2 3 2" xfId="33004"/>
    <cellStyle name="40% - Accent2 12 2 3 2 4" xfId="24013"/>
    <cellStyle name="40% - Accent2 12 2 3 3" xfId="4684"/>
    <cellStyle name="40% - Accent2 12 2 3 3 2" xfId="15775"/>
    <cellStyle name="40% - Accent2 12 2 3 3 2 2" xfId="29167"/>
    <cellStyle name="40% - Accent2 12 2 3 3 3" xfId="19726"/>
    <cellStyle name="40% - Accent2 12 2 3 3 3 2" xfId="33005"/>
    <cellStyle name="40% - Accent2 12 2 3 3 4" xfId="24014"/>
    <cellStyle name="40% - Accent2 12 2 3 4" xfId="15773"/>
    <cellStyle name="40% - Accent2 12 2 3 4 2" xfId="29165"/>
    <cellStyle name="40% - Accent2 12 2 3 5" xfId="19724"/>
    <cellStyle name="40% - Accent2 12 2 3 5 2" xfId="33003"/>
    <cellStyle name="40% - Accent2 12 2 3 6" xfId="24012"/>
    <cellStyle name="40% - Accent2 12 2 4" xfId="4685"/>
    <cellStyle name="40% - Accent2 12 2 4 2" xfId="4686"/>
    <cellStyle name="40% - Accent2 12 2 4 2 2" xfId="15777"/>
    <cellStyle name="40% - Accent2 12 2 4 2 2 2" xfId="29169"/>
    <cellStyle name="40% - Accent2 12 2 4 2 3" xfId="19728"/>
    <cellStyle name="40% - Accent2 12 2 4 2 3 2" xfId="33007"/>
    <cellStyle name="40% - Accent2 12 2 4 2 4" xfId="24016"/>
    <cellStyle name="40% - Accent2 12 2 4 3" xfId="4687"/>
    <cellStyle name="40% - Accent2 12 2 4 3 2" xfId="15778"/>
    <cellStyle name="40% - Accent2 12 2 4 3 2 2" xfId="29170"/>
    <cellStyle name="40% - Accent2 12 2 4 3 3" xfId="19729"/>
    <cellStyle name="40% - Accent2 12 2 4 3 3 2" xfId="33008"/>
    <cellStyle name="40% - Accent2 12 2 4 3 4" xfId="24017"/>
    <cellStyle name="40% - Accent2 12 2 4 4" xfId="15776"/>
    <cellStyle name="40% - Accent2 12 2 4 4 2" xfId="29168"/>
    <cellStyle name="40% - Accent2 12 2 4 5" xfId="19727"/>
    <cellStyle name="40% - Accent2 12 2 4 5 2" xfId="33006"/>
    <cellStyle name="40% - Accent2 12 2 4 6" xfId="24015"/>
    <cellStyle name="40% - Accent2 12 2 5" xfId="4688"/>
    <cellStyle name="40% - Accent2 12 2 5 2" xfId="15779"/>
    <cellStyle name="40% - Accent2 12 2 5 2 2" xfId="29171"/>
    <cellStyle name="40% - Accent2 12 2 5 3" xfId="19730"/>
    <cellStyle name="40% - Accent2 12 2 5 3 2" xfId="33009"/>
    <cellStyle name="40% - Accent2 12 2 5 4" xfId="24018"/>
    <cellStyle name="40% - Accent2 12 2 6" xfId="4689"/>
    <cellStyle name="40% - Accent2 12 2 6 2" xfId="15780"/>
    <cellStyle name="40% - Accent2 12 2 6 2 2" xfId="29172"/>
    <cellStyle name="40% - Accent2 12 2 6 3" xfId="19731"/>
    <cellStyle name="40% - Accent2 12 2 6 3 2" xfId="33010"/>
    <cellStyle name="40% - Accent2 12 2 6 4" xfId="24019"/>
    <cellStyle name="40% - Accent2 12 2 7" xfId="15769"/>
    <cellStyle name="40% - Accent2 12 2 7 2" xfId="29161"/>
    <cellStyle name="40% - Accent2 12 2 8" xfId="19720"/>
    <cellStyle name="40% - Accent2 12 2 8 2" xfId="32999"/>
    <cellStyle name="40% - Accent2 12 2 9" xfId="24008"/>
    <cellStyle name="40% - Accent2 12 2_Volatility" xfId="4690"/>
    <cellStyle name="40% - Accent2 12 3" xfId="4691"/>
    <cellStyle name="40% - Accent2 12 3 2" xfId="4692"/>
    <cellStyle name="40% - Accent2 12 3 2 2" xfId="4693"/>
    <cellStyle name="40% - Accent2 12 3 2 2 2" xfId="15783"/>
    <cellStyle name="40% - Accent2 12 3 2 2 2 2" xfId="29175"/>
    <cellStyle name="40% - Accent2 12 3 2 2 3" xfId="19734"/>
    <cellStyle name="40% - Accent2 12 3 2 2 3 2" xfId="33013"/>
    <cellStyle name="40% - Accent2 12 3 2 2 4" xfId="24022"/>
    <cellStyle name="40% - Accent2 12 3 2 3" xfId="4694"/>
    <cellStyle name="40% - Accent2 12 3 2 3 2" xfId="15784"/>
    <cellStyle name="40% - Accent2 12 3 2 3 2 2" xfId="29176"/>
    <cellStyle name="40% - Accent2 12 3 2 3 3" xfId="19735"/>
    <cellStyle name="40% - Accent2 12 3 2 3 3 2" xfId="33014"/>
    <cellStyle name="40% - Accent2 12 3 2 3 4" xfId="24023"/>
    <cellStyle name="40% - Accent2 12 3 2 4" xfId="15782"/>
    <cellStyle name="40% - Accent2 12 3 2 4 2" xfId="29174"/>
    <cellStyle name="40% - Accent2 12 3 2 5" xfId="19733"/>
    <cellStyle name="40% - Accent2 12 3 2 5 2" xfId="33012"/>
    <cellStyle name="40% - Accent2 12 3 2 6" xfId="24021"/>
    <cellStyle name="40% - Accent2 12 3 3" xfId="4695"/>
    <cellStyle name="40% - Accent2 12 3 3 2" xfId="4696"/>
    <cellStyle name="40% - Accent2 12 3 3 2 2" xfId="15786"/>
    <cellStyle name="40% - Accent2 12 3 3 2 2 2" xfId="29178"/>
    <cellStyle name="40% - Accent2 12 3 3 2 3" xfId="19737"/>
    <cellStyle name="40% - Accent2 12 3 3 2 3 2" xfId="33016"/>
    <cellStyle name="40% - Accent2 12 3 3 2 4" xfId="24025"/>
    <cellStyle name="40% - Accent2 12 3 3 3" xfId="4697"/>
    <cellStyle name="40% - Accent2 12 3 3 3 2" xfId="15787"/>
    <cellStyle name="40% - Accent2 12 3 3 3 2 2" xfId="29179"/>
    <cellStyle name="40% - Accent2 12 3 3 3 3" xfId="19738"/>
    <cellStyle name="40% - Accent2 12 3 3 3 3 2" xfId="33017"/>
    <cellStyle name="40% - Accent2 12 3 3 3 4" xfId="24026"/>
    <cellStyle name="40% - Accent2 12 3 3 4" xfId="15785"/>
    <cellStyle name="40% - Accent2 12 3 3 4 2" xfId="29177"/>
    <cellStyle name="40% - Accent2 12 3 3 5" xfId="19736"/>
    <cellStyle name="40% - Accent2 12 3 3 5 2" xfId="33015"/>
    <cellStyle name="40% - Accent2 12 3 3 6" xfId="24024"/>
    <cellStyle name="40% - Accent2 12 3 4" xfId="4698"/>
    <cellStyle name="40% - Accent2 12 3 4 2" xfId="15788"/>
    <cellStyle name="40% - Accent2 12 3 4 2 2" xfId="29180"/>
    <cellStyle name="40% - Accent2 12 3 4 3" xfId="19739"/>
    <cellStyle name="40% - Accent2 12 3 4 3 2" xfId="33018"/>
    <cellStyle name="40% - Accent2 12 3 4 4" xfId="24027"/>
    <cellStyle name="40% - Accent2 12 3 5" xfId="4699"/>
    <cellStyle name="40% - Accent2 12 3 5 2" xfId="15789"/>
    <cellStyle name="40% - Accent2 12 3 5 2 2" xfId="29181"/>
    <cellStyle name="40% - Accent2 12 3 5 3" xfId="19740"/>
    <cellStyle name="40% - Accent2 12 3 5 3 2" xfId="33019"/>
    <cellStyle name="40% - Accent2 12 3 5 4" xfId="24028"/>
    <cellStyle name="40% - Accent2 12 3 6" xfId="15781"/>
    <cellStyle name="40% - Accent2 12 3 6 2" xfId="29173"/>
    <cellStyle name="40% - Accent2 12 3 7" xfId="19732"/>
    <cellStyle name="40% - Accent2 12 3 7 2" xfId="33011"/>
    <cellStyle name="40% - Accent2 12 3 8" xfId="24020"/>
    <cellStyle name="40% - Accent2 12 3_Volatility" xfId="4700"/>
    <cellStyle name="40% - Accent2 12 4" xfId="4701"/>
    <cellStyle name="40% - Accent2 12 4 2" xfId="4702"/>
    <cellStyle name="40% - Accent2 12 4 2 2" xfId="15791"/>
    <cellStyle name="40% - Accent2 12 4 2 2 2" xfId="29183"/>
    <cellStyle name="40% - Accent2 12 4 2 3" xfId="19742"/>
    <cellStyle name="40% - Accent2 12 4 2 3 2" xfId="33021"/>
    <cellStyle name="40% - Accent2 12 4 2 4" xfId="24030"/>
    <cellStyle name="40% - Accent2 12 4 3" xfId="4703"/>
    <cellStyle name="40% - Accent2 12 4 3 2" xfId="15792"/>
    <cellStyle name="40% - Accent2 12 4 3 2 2" xfId="29184"/>
    <cellStyle name="40% - Accent2 12 4 3 3" xfId="19743"/>
    <cellStyle name="40% - Accent2 12 4 3 3 2" xfId="33022"/>
    <cellStyle name="40% - Accent2 12 4 3 4" xfId="24031"/>
    <cellStyle name="40% - Accent2 12 4 4" xfId="15790"/>
    <cellStyle name="40% - Accent2 12 4 4 2" xfId="29182"/>
    <cellStyle name="40% - Accent2 12 4 5" xfId="19741"/>
    <cellStyle name="40% - Accent2 12 4 5 2" xfId="33020"/>
    <cellStyle name="40% - Accent2 12 4 6" xfId="24029"/>
    <cellStyle name="40% - Accent2 12 5" xfId="4704"/>
    <cellStyle name="40% - Accent2 12 5 2" xfId="4705"/>
    <cellStyle name="40% - Accent2 12 5 2 2" xfId="15794"/>
    <cellStyle name="40% - Accent2 12 5 2 2 2" xfId="29186"/>
    <cellStyle name="40% - Accent2 12 5 2 3" xfId="19745"/>
    <cellStyle name="40% - Accent2 12 5 2 3 2" xfId="33024"/>
    <cellStyle name="40% - Accent2 12 5 2 4" xfId="24033"/>
    <cellStyle name="40% - Accent2 12 5 3" xfId="4706"/>
    <cellStyle name="40% - Accent2 12 5 3 2" xfId="15795"/>
    <cellStyle name="40% - Accent2 12 5 3 2 2" xfId="29187"/>
    <cellStyle name="40% - Accent2 12 5 3 3" xfId="19746"/>
    <cellStyle name="40% - Accent2 12 5 3 3 2" xfId="33025"/>
    <cellStyle name="40% - Accent2 12 5 3 4" xfId="24034"/>
    <cellStyle name="40% - Accent2 12 5 4" xfId="15793"/>
    <cellStyle name="40% - Accent2 12 5 4 2" xfId="29185"/>
    <cellStyle name="40% - Accent2 12 5 5" xfId="19744"/>
    <cellStyle name="40% - Accent2 12 5 5 2" xfId="33023"/>
    <cellStyle name="40% - Accent2 12 5 6" xfId="24032"/>
    <cellStyle name="40% - Accent2 12 6" xfId="4707"/>
    <cellStyle name="40% - Accent2 12 6 2" xfId="4708"/>
    <cellStyle name="40% - Accent2 12 6 2 2" xfId="15797"/>
    <cellStyle name="40% - Accent2 12 6 2 2 2" xfId="29189"/>
    <cellStyle name="40% - Accent2 12 6 2 3" xfId="19748"/>
    <cellStyle name="40% - Accent2 12 6 2 3 2" xfId="33027"/>
    <cellStyle name="40% - Accent2 12 6 2 4" xfId="24036"/>
    <cellStyle name="40% - Accent2 12 6 3" xfId="4709"/>
    <cellStyle name="40% - Accent2 12 6 3 2" xfId="15798"/>
    <cellStyle name="40% - Accent2 12 6 3 2 2" xfId="29190"/>
    <cellStyle name="40% - Accent2 12 6 3 3" xfId="19749"/>
    <cellStyle name="40% - Accent2 12 6 3 3 2" xfId="33028"/>
    <cellStyle name="40% - Accent2 12 6 3 4" xfId="24037"/>
    <cellStyle name="40% - Accent2 12 6 4" xfId="15796"/>
    <cellStyle name="40% - Accent2 12 6 4 2" xfId="29188"/>
    <cellStyle name="40% - Accent2 12 6 5" xfId="19747"/>
    <cellStyle name="40% - Accent2 12 6 5 2" xfId="33026"/>
    <cellStyle name="40% - Accent2 12 6 6" xfId="24035"/>
    <cellStyle name="40% - Accent2 12 7" xfId="4710"/>
    <cellStyle name="40% - Accent2 12 7 2" xfId="15799"/>
    <cellStyle name="40% - Accent2 12 7 2 2" xfId="29191"/>
    <cellStyle name="40% - Accent2 12 7 3" xfId="19750"/>
    <cellStyle name="40% - Accent2 12 7 3 2" xfId="33029"/>
    <cellStyle name="40% - Accent2 12 7 4" xfId="24038"/>
    <cellStyle name="40% - Accent2 12 8" xfId="4711"/>
    <cellStyle name="40% - Accent2 12 8 2" xfId="15800"/>
    <cellStyle name="40% - Accent2 12 8 2 2" xfId="29192"/>
    <cellStyle name="40% - Accent2 12 8 3" xfId="19751"/>
    <cellStyle name="40% - Accent2 12 8 3 2" xfId="33030"/>
    <cellStyle name="40% - Accent2 12 8 4" xfId="24039"/>
    <cellStyle name="40% - Accent2 12 9" xfId="15768"/>
    <cellStyle name="40% - Accent2 12 9 2" xfId="29160"/>
    <cellStyle name="40% - Accent2 12_Volatility" xfId="4712"/>
    <cellStyle name="40% - Accent2 13" xfId="4713"/>
    <cellStyle name="40% - Accent2 13 10" xfId="19752"/>
    <cellStyle name="40% - Accent2 13 10 2" xfId="33031"/>
    <cellStyle name="40% - Accent2 13 11" xfId="24040"/>
    <cellStyle name="40% - Accent2 13 2" xfId="4714"/>
    <cellStyle name="40% - Accent2 13 2 2" xfId="4715"/>
    <cellStyle name="40% - Accent2 13 2 2 2" xfId="4716"/>
    <cellStyle name="40% - Accent2 13 2 2 2 2" xfId="15804"/>
    <cellStyle name="40% - Accent2 13 2 2 2 2 2" xfId="29196"/>
    <cellStyle name="40% - Accent2 13 2 2 2 3" xfId="19755"/>
    <cellStyle name="40% - Accent2 13 2 2 2 3 2" xfId="33034"/>
    <cellStyle name="40% - Accent2 13 2 2 2 4" xfId="24043"/>
    <cellStyle name="40% - Accent2 13 2 2 3" xfId="4717"/>
    <cellStyle name="40% - Accent2 13 2 2 3 2" xfId="15805"/>
    <cellStyle name="40% - Accent2 13 2 2 3 2 2" xfId="29197"/>
    <cellStyle name="40% - Accent2 13 2 2 3 3" xfId="19756"/>
    <cellStyle name="40% - Accent2 13 2 2 3 3 2" xfId="33035"/>
    <cellStyle name="40% - Accent2 13 2 2 3 4" xfId="24044"/>
    <cellStyle name="40% - Accent2 13 2 2 4" xfId="15803"/>
    <cellStyle name="40% - Accent2 13 2 2 4 2" xfId="29195"/>
    <cellStyle name="40% - Accent2 13 2 2 5" xfId="19754"/>
    <cellStyle name="40% - Accent2 13 2 2 5 2" xfId="33033"/>
    <cellStyle name="40% - Accent2 13 2 2 6" xfId="24042"/>
    <cellStyle name="40% - Accent2 13 2 3" xfId="4718"/>
    <cellStyle name="40% - Accent2 13 2 3 2" xfId="4719"/>
    <cellStyle name="40% - Accent2 13 2 3 2 2" xfId="15807"/>
    <cellStyle name="40% - Accent2 13 2 3 2 2 2" xfId="29199"/>
    <cellStyle name="40% - Accent2 13 2 3 2 3" xfId="19758"/>
    <cellStyle name="40% - Accent2 13 2 3 2 3 2" xfId="33037"/>
    <cellStyle name="40% - Accent2 13 2 3 2 4" xfId="24046"/>
    <cellStyle name="40% - Accent2 13 2 3 3" xfId="4720"/>
    <cellStyle name="40% - Accent2 13 2 3 3 2" xfId="15808"/>
    <cellStyle name="40% - Accent2 13 2 3 3 2 2" xfId="29200"/>
    <cellStyle name="40% - Accent2 13 2 3 3 3" xfId="19759"/>
    <cellStyle name="40% - Accent2 13 2 3 3 3 2" xfId="33038"/>
    <cellStyle name="40% - Accent2 13 2 3 3 4" xfId="24047"/>
    <cellStyle name="40% - Accent2 13 2 3 4" xfId="15806"/>
    <cellStyle name="40% - Accent2 13 2 3 4 2" xfId="29198"/>
    <cellStyle name="40% - Accent2 13 2 3 5" xfId="19757"/>
    <cellStyle name="40% - Accent2 13 2 3 5 2" xfId="33036"/>
    <cellStyle name="40% - Accent2 13 2 3 6" xfId="24045"/>
    <cellStyle name="40% - Accent2 13 2 4" xfId="4721"/>
    <cellStyle name="40% - Accent2 13 2 4 2" xfId="4722"/>
    <cellStyle name="40% - Accent2 13 2 4 2 2" xfId="15810"/>
    <cellStyle name="40% - Accent2 13 2 4 2 2 2" xfId="29202"/>
    <cellStyle name="40% - Accent2 13 2 4 2 3" xfId="19761"/>
    <cellStyle name="40% - Accent2 13 2 4 2 3 2" xfId="33040"/>
    <cellStyle name="40% - Accent2 13 2 4 2 4" xfId="24049"/>
    <cellStyle name="40% - Accent2 13 2 4 3" xfId="4723"/>
    <cellStyle name="40% - Accent2 13 2 4 3 2" xfId="15811"/>
    <cellStyle name="40% - Accent2 13 2 4 3 2 2" xfId="29203"/>
    <cellStyle name="40% - Accent2 13 2 4 3 3" xfId="19762"/>
    <cellStyle name="40% - Accent2 13 2 4 3 3 2" xfId="33041"/>
    <cellStyle name="40% - Accent2 13 2 4 3 4" xfId="24050"/>
    <cellStyle name="40% - Accent2 13 2 4 4" xfId="15809"/>
    <cellStyle name="40% - Accent2 13 2 4 4 2" xfId="29201"/>
    <cellStyle name="40% - Accent2 13 2 4 5" xfId="19760"/>
    <cellStyle name="40% - Accent2 13 2 4 5 2" xfId="33039"/>
    <cellStyle name="40% - Accent2 13 2 4 6" xfId="24048"/>
    <cellStyle name="40% - Accent2 13 2 5" xfId="4724"/>
    <cellStyle name="40% - Accent2 13 2 5 2" xfId="15812"/>
    <cellStyle name="40% - Accent2 13 2 5 2 2" xfId="29204"/>
    <cellStyle name="40% - Accent2 13 2 5 3" xfId="19763"/>
    <cellStyle name="40% - Accent2 13 2 5 3 2" xfId="33042"/>
    <cellStyle name="40% - Accent2 13 2 5 4" xfId="24051"/>
    <cellStyle name="40% - Accent2 13 2 6" xfId="4725"/>
    <cellStyle name="40% - Accent2 13 2 6 2" xfId="15813"/>
    <cellStyle name="40% - Accent2 13 2 6 2 2" xfId="29205"/>
    <cellStyle name="40% - Accent2 13 2 6 3" xfId="19764"/>
    <cellStyle name="40% - Accent2 13 2 6 3 2" xfId="33043"/>
    <cellStyle name="40% - Accent2 13 2 6 4" xfId="24052"/>
    <cellStyle name="40% - Accent2 13 2 7" xfId="15802"/>
    <cellStyle name="40% - Accent2 13 2 7 2" xfId="29194"/>
    <cellStyle name="40% - Accent2 13 2 8" xfId="19753"/>
    <cellStyle name="40% - Accent2 13 2 8 2" xfId="33032"/>
    <cellStyle name="40% - Accent2 13 2 9" xfId="24041"/>
    <cellStyle name="40% - Accent2 13 2_Volatility" xfId="4726"/>
    <cellStyle name="40% - Accent2 13 3" xfId="4727"/>
    <cellStyle name="40% - Accent2 13 3 2" xfId="4728"/>
    <cellStyle name="40% - Accent2 13 3 2 2" xfId="4729"/>
    <cellStyle name="40% - Accent2 13 3 2 2 2" xfId="15816"/>
    <cellStyle name="40% - Accent2 13 3 2 2 2 2" xfId="29208"/>
    <cellStyle name="40% - Accent2 13 3 2 2 3" xfId="19767"/>
    <cellStyle name="40% - Accent2 13 3 2 2 3 2" xfId="33046"/>
    <cellStyle name="40% - Accent2 13 3 2 2 4" xfId="24055"/>
    <cellStyle name="40% - Accent2 13 3 2 3" xfId="4730"/>
    <cellStyle name="40% - Accent2 13 3 2 3 2" xfId="15817"/>
    <cellStyle name="40% - Accent2 13 3 2 3 2 2" xfId="29209"/>
    <cellStyle name="40% - Accent2 13 3 2 3 3" xfId="19768"/>
    <cellStyle name="40% - Accent2 13 3 2 3 3 2" xfId="33047"/>
    <cellStyle name="40% - Accent2 13 3 2 3 4" xfId="24056"/>
    <cellStyle name="40% - Accent2 13 3 2 4" xfId="15815"/>
    <cellStyle name="40% - Accent2 13 3 2 4 2" xfId="29207"/>
    <cellStyle name="40% - Accent2 13 3 2 5" xfId="19766"/>
    <cellStyle name="40% - Accent2 13 3 2 5 2" xfId="33045"/>
    <cellStyle name="40% - Accent2 13 3 2 6" xfId="24054"/>
    <cellStyle name="40% - Accent2 13 3 3" xfId="4731"/>
    <cellStyle name="40% - Accent2 13 3 3 2" xfId="4732"/>
    <cellStyle name="40% - Accent2 13 3 3 2 2" xfId="15819"/>
    <cellStyle name="40% - Accent2 13 3 3 2 2 2" xfId="29211"/>
    <cellStyle name="40% - Accent2 13 3 3 2 3" xfId="19770"/>
    <cellStyle name="40% - Accent2 13 3 3 2 3 2" xfId="33049"/>
    <cellStyle name="40% - Accent2 13 3 3 2 4" xfId="24058"/>
    <cellStyle name="40% - Accent2 13 3 3 3" xfId="4733"/>
    <cellStyle name="40% - Accent2 13 3 3 3 2" xfId="15820"/>
    <cellStyle name="40% - Accent2 13 3 3 3 2 2" xfId="29212"/>
    <cellStyle name="40% - Accent2 13 3 3 3 3" xfId="19771"/>
    <cellStyle name="40% - Accent2 13 3 3 3 3 2" xfId="33050"/>
    <cellStyle name="40% - Accent2 13 3 3 3 4" xfId="24059"/>
    <cellStyle name="40% - Accent2 13 3 3 4" xfId="15818"/>
    <cellStyle name="40% - Accent2 13 3 3 4 2" xfId="29210"/>
    <cellStyle name="40% - Accent2 13 3 3 5" xfId="19769"/>
    <cellStyle name="40% - Accent2 13 3 3 5 2" xfId="33048"/>
    <cellStyle name="40% - Accent2 13 3 3 6" xfId="24057"/>
    <cellStyle name="40% - Accent2 13 3 4" xfId="4734"/>
    <cellStyle name="40% - Accent2 13 3 4 2" xfId="15821"/>
    <cellStyle name="40% - Accent2 13 3 4 2 2" xfId="29213"/>
    <cellStyle name="40% - Accent2 13 3 4 3" xfId="19772"/>
    <cellStyle name="40% - Accent2 13 3 4 3 2" xfId="33051"/>
    <cellStyle name="40% - Accent2 13 3 4 4" xfId="24060"/>
    <cellStyle name="40% - Accent2 13 3 5" xfId="4735"/>
    <cellStyle name="40% - Accent2 13 3 5 2" xfId="15822"/>
    <cellStyle name="40% - Accent2 13 3 5 2 2" xfId="29214"/>
    <cellStyle name="40% - Accent2 13 3 5 3" xfId="19773"/>
    <cellStyle name="40% - Accent2 13 3 5 3 2" xfId="33052"/>
    <cellStyle name="40% - Accent2 13 3 5 4" xfId="24061"/>
    <cellStyle name="40% - Accent2 13 3 6" xfId="15814"/>
    <cellStyle name="40% - Accent2 13 3 6 2" xfId="29206"/>
    <cellStyle name="40% - Accent2 13 3 7" xfId="19765"/>
    <cellStyle name="40% - Accent2 13 3 7 2" xfId="33044"/>
    <cellStyle name="40% - Accent2 13 3 8" xfId="24053"/>
    <cellStyle name="40% - Accent2 13 3_Volatility" xfId="4736"/>
    <cellStyle name="40% - Accent2 13 4" xfId="4737"/>
    <cellStyle name="40% - Accent2 13 4 2" xfId="4738"/>
    <cellStyle name="40% - Accent2 13 4 2 2" xfId="15824"/>
    <cellStyle name="40% - Accent2 13 4 2 2 2" xfId="29216"/>
    <cellStyle name="40% - Accent2 13 4 2 3" xfId="19775"/>
    <cellStyle name="40% - Accent2 13 4 2 3 2" xfId="33054"/>
    <cellStyle name="40% - Accent2 13 4 2 4" xfId="24063"/>
    <cellStyle name="40% - Accent2 13 4 3" xfId="4739"/>
    <cellStyle name="40% - Accent2 13 4 3 2" xfId="15825"/>
    <cellStyle name="40% - Accent2 13 4 3 2 2" xfId="29217"/>
    <cellStyle name="40% - Accent2 13 4 3 3" xfId="19776"/>
    <cellStyle name="40% - Accent2 13 4 3 3 2" xfId="33055"/>
    <cellStyle name="40% - Accent2 13 4 3 4" xfId="24064"/>
    <cellStyle name="40% - Accent2 13 4 4" xfId="15823"/>
    <cellStyle name="40% - Accent2 13 4 4 2" xfId="29215"/>
    <cellStyle name="40% - Accent2 13 4 5" xfId="19774"/>
    <cellStyle name="40% - Accent2 13 4 5 2" xfId="33053"/>
    <cellStyle name="40% - Accent2 13 4 6" xfId="24062"/>
    <cellStyle name="40% - Accent2 13 5" xfId="4740"/>
    <cellStyle name="40% - Accent2 13 5 2" xfId="4741"/>
    <cellStyle name="40% - Accent2 13 5 2 2" xfId="15827"/>
    <cellStyle name="40% - Accent2 13 5 2 2 2" xfId="29219"/>
    <cellStyle name="40% - Accent2 13 5 2 3" xfId="19778"/>
    <cellStyle name="40% - Accent2 13 5 2 3 2" xfId="33057"/>
    <cellStyle name="40% - Accent2 13 5 2 4" xfId="24066"/>
    <cellStyle name="40% - Accent2 13 5 3" xfId="4742"/>
    <cellStyle name="40% - Accent2 13 5 3 2" xfId="15828"/>
    <cellStyle name="40% - Accent2 13 5 3 2 2" xfId="29220"/>
    <cellStyle name="40% - Accent2 13 5 3 3" xfId="19779"/>
    <cellStyle name="40% - Accent2 13 5 3 3 2" xfId="33058"/>
    <cellStyle name="40% - Accent2 13 5 3 4" xfId="24067"/>
    <cellStyle name="40% - Accent2 13 5 4" xfId="15826"/>
    <cellStyle name="40% - Accent2 13 5 4 2" xfId="29218"/>
    <cellStyle name="40% - Accent2 13 5 5" xfId="19777"/>
    <cellStyle name="40% - Accent2 13 5 5 2" xfId="33056"/>
    <cellStyle name="40% - Accent2 13 5 6" xfId="24065"/>
    <cellStyle name="40% - Accent2 13 6" xfId="4743"/>
    <cellStyle name="40% - Accent2 13 6 2" xfId="4744"/>
    <cellStyle name="40% - Accent2 13 6 2 2" xfId="15830"/>
    <cellStyle name="40% - Accent2 13 6 2 2 2" xfId="29222"/>
    <cellStyle name="40% - Accent2 13 6 2 3" xfId="19781"/>
    <cellStyle name="40% - Accent2 13 6 2 3 2" xfId="33060"/>
    <cellStyle name="40% - Accent2 13 6 2 4" xfId="24069"/>
    <cellStyle name="40% - Accent2 13 6 3" xfId="4745"/>
    <cellStyle name="40% - Accent2 13 6 3 2" xfId="15831"/>
    <cellStyle name="40% - Accent2 13 6 3 2 2" xfId="29223"/>
    <cellStyle name="40% - Accent2 13 6 3 3" xfId="19782"/>
    <cellStyle name="40% - Accent2 13 6 3 3 2" xfId="33061"/>
    <cellStyle name="40% - Accent2 13 6 3 4" xfId="24070"/>
    <cellStyle name="40% - Accent2 13 6 4" xfId="15829"/>
    <cellStyle name="40% - Accent2 13 6 4 2" xfId="29221"/>
    <cellStyle name="40% - Accent2 13 6 5" xfId="19780"/>
    <cellStyle name="40% - Accent2 13 6 5 2" xfId="33059"/>
    <cellStyle name="40% - Accent2 13 6 6" xfId="24068"/>
    <cellStyle name="40% - Accent2 13 7" xfId="4746"/>
    <cellStyle name="40% - Accent2 13 7 2" xfId="15832"/>
    <cellStyle name="40% - Accent2 13 7 2 2" xfId="29224"/>
    <cellStyle name="40% - Accent2 13 7 3" xfId="19783"/>
    <cellStyle name="40% - Accent2 13 7 3 2" xfId="33062"/>
    <cellStyle name="40% - Accent2 13 7 4" xfId="24071"/>
    <cellStyle name="40% - Accent2 13 8" xfId="4747"/>
    <cellStyle name="40% - Accent2 13 8 2" xfId="15833"/>
    <cellStyle name="40% - Accent2 13 8 2 2" xfId="29225"/>
    <cellStyle name="40% - Accent2 13 8 3" xfId="19784"/>
    <cellStyle name="40% - Accent2 13 8 3 2" xfId="33063"/>
    <cellStyle name="40% - Accent2 13 8 4" xfId="24072"/>
    <cellStyle name="40% - Accent2 13 9" xfId="15801"/>
    <cellStyle name="40% - Accent2 13 9 2" xfId="29193"/>
    <cellStyle name="40% - Accent2 13_Volatility" xfId="4748"/>
    <cellStyle name="40% - Accent2 14" xfId="4749"/>
    <cellStyle name="40% - Accent2 14 10" xfId="19785"/>
    <cellStyle name="40% - Accent2 14 10 2" xfId="33064"/>
    <cellStyle name="40% - Accent2 14 11" xfId="24073"/>
    <cellStyle name="40% - Accent2 14 2" xfId="4750"/>
    <cellStyle name="40% - Accent2 14 2 2" xfId="4751"/>
    <cellStyle name="40% - Accent2 14 2 2 2" xfId="4752"/>
    <cellStyle name="40% - Accent2 14 2 2 2 2" xfId="15837"/>
    <cellStyle name="40% - Accent2 14 2 2 2 2 2" xfId="29229"/>
    <cellStyle name="40% - Accent2 14 2 2 2 3" xfId="19788"/>
    <cellStyle name="40% - Accent2 14 2 2 2 3 2" xfId="33067"/>
    <cellStyle name="40% - Accent2 14 2 2 2 4" xfId="24076"/>
    <cellStyle name="40% - Accent2 14 2 2 3" xfId="4753"/>
    <cellStyle name="40% - Accent2 14 2 2 3 2" xfId="15838"/>
    <cellStyle name="40% - Accent2 14 2 2 3 2 2" xfId="29230"/>
    <cellStyle name="40% - Accent2 14 2 2 3 3" xfId="19789"/>
    <cellStyle name="40% - Accent2 14 2 2 3 3 2" xfId="33068"/>
    <cellStyle name="40% - Accent2 14 2 2 3 4" xfId="24077"/>
    <cellStyle name="40% - Accent2 14 2 2 4" xfId="15836"/>
    <cellStyle name="40% - Accent2 14 2 2 4 2" xfId="29228"/>
    <cellStyle name="40% - Accent2 14 2 2 5" xfId="19787"/>
    <cellStyle name="40% - Accent2 14 2 2 5 2" xfId="33066"/>
    <cellStyle name="40% - Accent2 14 2 2 6" xfId="24075"/>
    <cellStyle name="40% - Accent2 14 2 3" xfId="4754"/>
    <cellStyle name="40% - Accent2 14 2 3 2" xfId="4755"/>
    <cellStyle name="40% - Accent2 14 2 3 2 2" xfId="15840"/>
    <cellStyle name="40% - Accent2 14 2 3 2 2 2" xfId="29232"/>
    <cellStyle name="40% - Accent2 14 2 3 2 3" xfId="19791"/>
    <cellStyle name="40% - Accent2 14 2 3 2 3 2" xfId="33070"/>
    <cellStyle name="40% - Accent2 14 2 3 2 4" xfId="24079"/>
    <cellStyle name="40% - Accent2 14 2 3 3" xfId="4756"/>
    <cellStyle name="40% - Accent2 14 2 3 3 2" xfId="15841"/>
    <cellStyle name="40% - Accent2 14 2 3 3 2 2" xfId="29233"/>
    <cellStyle name="40% - Accent2 14 2 3 3 3" xfId="19792"/>
    <cellStyle name="40% - Accent2 14 2 3 3 3 2" xfId="33071"/>
    <cellStyle name="40% - Accent2 14 2 3 3 4" xfId="24080"/>
    <cellStyle name="40% - Accent2 14 2 3 4" xfId="15839"/>
    <cellStyle name="40% - Accent2 14 2 3 4 2" xfId="29231"/>
    <cellStyle name="40% - Accent2 14 2 3 5" xfId="19790"/>
    <cellStyle name="40% - Accent2 14 2 3 5 2" xfId="33069"/>
    <cellStyle name="40% - Accent2 14 2 3 6" xfId="24078"/>
    <cellStyle name="40% - Accent2 14 2 4" xfId="4757"/>
    <cellStyle name="40% - Accent2 14 2 4 2" xfId="4758"/>
    <cellStyle name="40% - Accent2 14 2 4 2 2" xfId="15843"/>
    <cellStyle name="40% - Accent2 14 2 4 2 2 2" xfId="29235"/>
    <cellStyle name="40% - Accent2 14 2 4 2 3" xfId="19794"/>
    <cellStyle name="40% - Accent2 14 2 4 2 3 2" xfId="33073"/>
    <cellStyle name="40% - Accent2 14 2 4 2 4" xfId="24082"/>
    <cellStyle name="40% - Accent2 14 2 4 3" xfId="4759"/>
    <cellStyle name="40% - Accent2 14 2 4 3 2" xfId="15844"/>
    <cellStyle name="40% - Accent2 14 2 4 3 2 2" xfId="29236"/>
    <cellStyle name="40% - Accent2 14 2 4 3 3" xfId="19795"/>
    <cellStyle name="40% - Accent2 14 2 4 3 3 2" xfId="33074"/>
    <cellStyle name="40% - Accent2 14 2 4 3 4" xfId="24083"/>
    <cellStyle name="40% - Accent2 14 2 4 4" xfId="15842"/>
    <cellStyle name="40% - Accent2 14 2 4 4 2" xfId="29234"/>
    <cellStyle name="40% - Accent2 14 2 4 5" xfId="19793"/>
    <cellStyle name="40% - Accent2 14 2 4 5 2" xfId="33072"/>
    <cellStyle name="40% - Accent2 14 2 4 6" xfId="24081"/>
    <cellStyle name="40% - Accent2 14 2 5" xfId="4760"/>
    <cellStyle name="40% - Accent2 14 2 5 2" xfId="15845"/>
    <cellStyle name="40% - Accent2 14 2 5 2 2" xfId="29237"/>
    <cellStyle name="40% - Accent2 14 2 5 3" xfId="19796"/>
    <cellStyle name="40% - Accent2 14 2 5 3 2" xfId="33075"/>
    <cellStyle name="40% - Accent2 14 2 5 4" xfId="24084"/>
    <cellStyle name="40% - Accent2 14 2 6" xfId="4761"/>
    <cellStyle name="40% - Accent2 14 2 6 2" xfId="15846"/>
    <cellStyle name="40% - Accent2 14 2 6 2 2" xfId="29238"/>
    <cellStyle name="40% - Accent2 14 2 6 3" xfId="19797"/>
    <cellStyle name="40% - Accent2 14 2 6 3 2" xfId="33076"/>
    <cellStyle name="40% - Accent2 14 2 6 4" xfId="24085"/>
    <cellStyle name="40% - Accent2 14 2 7" xfId="15835"/>
    <cellStyle name="40% - Accent2 14 2 7 2" xfId="29227"/>
    <cellStyle name="40% - Accent2 14 2 8" xfId="19786"/>
    <cellStyle name="40% - Accent2 14 2 8 2" xfId="33065"/>
    <cellStyle name="40% - Accent2 14 2 9" xfId="24074"/>
    <cellStyle name="40% - Accent2 14 2_Volatility" xfId="4762"/>
    <cellStyle name="40% - Accent2 14 3" xfId="4763"/>
    <cellStyle name="40% - Accent2 14 3 2" xfId="4764"/>
    <cellStyle name="40% - Accent2 14 3 2 2" xfId="4765"/>
    <cellStyle name="40% - Accent2 14 3 2 2 2" xfId="15849"/>
    <cellStyle name="40% - Accent2 14 3 2 2 2 2" xfId="29241"/>
    <cellStyle name="40% - Accent2 14 3 2 2 3" xfId="19800"/>
    <cellStyle name="40% - Accent2 14 3 2 2 3 2" xfId="33079"/>
    <cellStyle name="40% - Accent2 14 3 2 2 4" xfId="24088"/>
    <cellStyle name="40% - Accent2 14 3 2 3" xfId="4766"/>
    <cellStyle name="40% - Accent2 14 3 2 3 2" xfId="15850"/>
    <cellStyle name="40% - Accent2 14 3 2 3 2 2" xfId="29242"/>
    <cellStyle name="40% - Accent2 14 3 2 3 3" xfId="19801"/>
    <cellStyle name="40% - Accent2 14 3 2 3 3 2" xfId="33080"/>
    <cellStyle name="40% - Accent2 14 3 2 3 4" xfId="24089"/>
    <cellStyle name="40% - Accent2 14 3 2 4" xfId="15848"/>
    <cellStyle name="40% - Accent2 14 3 2 4 2" xfId="29240"/>
    <cellStyle name="40% - Accent2 14 3 2 5" xfId="19799"/>
    <cellStyle name="40% - Accent2 14 3 2 5 2" xfId="33078"/>
    <cellStyle name="40% - Accent2 14 3 2 6" xfId="24087"/>
    <cellStyle name="40% - Accent2 14 3 3" xfId="4767"/>
    <cellStyle name="40% - Accent2 14 3 3 2" xfId="4768"/>
    <cellStyle name="40% - Accent2 14 3 3 2 2" xfId="15852"/>
    <cellStyle name="40% - Accent2 14 3 3 2 2 2" xfId="29244"/>
    <cellStyle name="40% - Accent2 14 3 3 2 3" xfId="19803"/>
    <cellStyle name="40% - Accent2 14 3 3 2 3 2" xfId="33082"/>
    <cellStyle name="40% - Accent2 14 3 3 2 4" xfId="24091"/>
    <cellStyle name="40% - Accent2 14 3 3 3" xfId="4769"/>
    <cellStyle name="40% - Accent2 14 3 3 3 2" xfId="15853"/>
    <cellStyle name="40% - Accent2 14 3 3 3 2 2" xfId="29245"/>
    <cellStyle name="40% - Accent2 14 3 3 3 3" xfId="19804"/>
    <cellStyle name="40% - Accent2 14 3 3 3 3 2" xfId="33083"/>
    <cellStyle name="40% - Accent2 14 3 3 3 4" xfId="24092"/>
    <cellStyle name="40% - Accent2 14 3 3 4" xfId="15851"/>
    <cellStyle name="40% - Accent2 14 3 3 4 2" xfId="29243"/>
    <cellStyle name="40% - Accent2 14 3 3 5" xfId="19802"/>
    <cellStyle name="40% - Accent2 14 3 3 5 2" xfId="33081"/>
    <cellStyle name="40% - Accent2 14 3 3 6" xfId="24090"/>
    <cellStyle name="40% - Accent2 14 3 4" xfId="4770"/>
    <cellStyle name="40% - Accent2 14 3 4 2" xfId="15854"/>
    <cellStyle name="40% - Accent2 14 3 4 2 2" xfId="29246"/>
    <cellStyle name="40% - Accent2 14 3 4 3" xfId="19805"/>
    <cellStyle name="40% - Accent2 14 3 4 3 2" xfId="33084"/>
    <cellStyle name="40% - Accent2 14 3 4 4" xfId="24093"/>
    <cellStyle name="40% - Accent2 14 3 5" xfId="4771"/>
    <cellStyle name="40% - Accent2 14 3 5 2" xfId="15855"/>
    <cellStyle name="40% - Accent2 14 3 5 2 2" xfId="29247"/>
    <cellStyle name="40% - Accent2 14 3 5 3" xfId="19806"/>
    <cellStyle name="40% - Accent2 14 3 5 3 2" xfId="33085"/>
    <cellStyle name="40% - Accent2 14 3 5 4" xfId="24094"/>
    <cellStyle name="40% - Accent2 14 3 6" xfId="15847"/>
    <cellStyle name="40% - Accent2 14 3 6 2" xfId="29239"/>
    <cellStyle name="40% - Accent2 14 3 7" xfId="19798"/>
    <cellStyle name="40% - Accent2 14 3 7 2" xfId="33077"/>
    <cellStyle name="40% - Accent2 14 3 8" xfId="24086"/>
    <cellStyle name="40% - Accent2 14 3_Volatility" xfId="4772"/>
    <cellStyle name="40% - Accent2 14 4" xfId="4773"/>
    <cellStyle name="40% - Accent2 14 4 2" xfId="4774"/>
    <cellStyle name="40% - Accent2 14 4 2 2" xfId="15857"/>
    <cellStyle name="40% - Accent2 14 4 2 2 2" xfId="29249"/>
    <cellStyle name="40% - Accent2 14 4 2 3" xfId="19808"/>
    <cellStyle name="40% - Accent2 14 4 2 3 2" xfId="33087"/>
    <cellStyle name="40% - Accent2 14 4 2 4" xfId="24096"/>
    <cellStyle name="40% - Accent2 14 4 3" xfId="4775"/>
    <cellStyle name="40% - Accent2 14 4 3 2" xfId="15858"/>
    <cellStyle name="40% - Accent2 14 4 3 2 2" xfId="29250"/>
    <cellStyle name="40% - Accent2 14 4 3 3" xfId="19809"/>
    <cellStyle name="40% - Accent2 14 4 3 3 2" xfId="33088"/>
    <cellStyle name="40% - Accent2 14 4 3 4" xfId="24097"/>
    <cellStyle name="40% - Accent2 14 4 4" xfId="15856"/>
    <cellStyle name="40% - Accent2 14 4 4 2" xfId="29248"/>
    <cellStyle name="40% - Accent2 14 4 5" xfId="19807"/>
    <cellStyle name="40% - Accent2 14 4 5 2" xfId="33086"/>
    <cellStyle name="40% - Accent2 14 4 6" xfId="24095"/>
    <cellStyle name="40% - Accent2 14 5" xfId="4776"/>
    <cellStyle name="40% - Accent2 14 5 2" xfId="4777"/>
    <cellStyle name="40% - Accent2 14 5 2 2" xfId="15860"/>
    <cellStyle name="40% - Accent2 14 5 2 2 2" xfId="29252"/>
    <cellStyle name="40% - Accent2 14 5 2 3" xfId="19811"/>
    <cellStyle name="40% - Accent2 14 5 2 3 2" xfId="33090"/>
    <cellStyle name="40% - Accent2 14 5 2 4" xfId="24099"/>
    <cellStyle name="40% - Accent2 14 5 3" xfId="4778"/>
    <cellStyle name="40% - Accent2 14 5 3 2" xfId="15861"/>
    <cellStyle name="40% - Accent2 14 5 3 2 2" xfId="29253"/>
    <cellStyle name="40% - Accent2 14 5 3 3" xfId="19812"/>
    <cellStyle name="40% - Accent2 14 5 3 3 2" xfId="33091"/>
    <cellStyle name="40% - Accent2 14 5 3 4" xfId="24100"/>
    <cellStyle name="40% - Accent2 14 5 4" xfId="15859"/>
    <cellStyle name="40% - Accent2 14 5 4 2" xfId="29251"/>
    <cellStyle name="40% - Accent2 14 5 5" xfId="19810"/>
    <cellStyle name="40% - Accent2 14 5 5 2" xfId="33089"/>
    <cellStyle name="40% - Accent2 14 5 6" xfId="24098"/>
    <cellStyle name="40% - Accent2 14 6" xfId="4779"/>
    <cellStyle name="40% - Accent2 14 6 2" xfId="4780"/>
    <cellStyle name="40% - Accent2 14 6 2 2" xfId="15863"/>
    <cellStyle name="40% - Accent2 14 6 2 2 2" xfId="29255"/>
    <cellStyle name="40% - Accent2 14 6 2 3" xfId="19814"/>
    <cellStyle name="40% - Accent2 14 6 2 3 2" xfId="33093"/>
    <cellStyle name="40% - Accent2 14 6 2 4" xfId="24102"/>
    <cellStyle name="40% - Accent2 14 6 3" xfId="4781"/>
    <cellStyle name="40% - Accent2 14 6 3 2" xfId="15864"/>
    <cellStyle name="40% - Accent2 14 6 3 2 2" xfId="29256"/>
    <cellStyle name="40% - Accent2 14 6 3 3" xfId="19815"/>
    <cellStyle name="40% - Accent2 14 6 3 3 2" xfId="33094"/>
    <cellStyle name="40% - Accent2 14 6 3 4" xfId="24103"/>
    <cellStyle name="40% - Accent2 14 6 4" xfId="15862"/>
    <cellStyle name="40% - Accent2 14 6 4 2" xfId="29254"/>
    <cellStyle name="40% - Accent2 14 6 5" xfId="19813"/>
    <cellStyle name="40% - Accent2 14 6 5 2" xfId="33092"/>
    <cellStyle name="40% - Accent2 14 6 6" xfId="24101"/>
    <cellStyle name="40% - Accent2 14 7" xfId="4782"/>
    <cellStyle name="40% - Accent2 14 7 2" xfId="15865"/>
    <cellStyle name="40% - Accent2 14 7 2 2" xfId="29257"/>
    <cellStyle name="40% - Accent2 14 7 3" xfId="19816"/>
    <cellStyle name="40% - Accent2 14 7 3 2" xfId="33095"/>
    <cellStyle name="40% - Accent2 14 7 4" xfId="24104"/>
    <cellStyle name="40% - Accent2 14 8" xfId="4783"/>
    <cellStyle name="40% - Accent2 14 8 2" xfId="15866"/>
    <cellStyle name="40% - Accent2 14 8 2 2" xfId="29258"/>
    <cellStyle name="40% - Accent2 14 8 3" xfId="19817"/>
    <cellStyle name="40% - Accent2 14 8 3 2" xfId="33096"/>
    <cellStyle name="40% - Accent2 14 8 4" xfId="24105"/>
    <cellStyle name="40% - Accent2 14 9" xfId="15834"/>
    <cellStyle name="40% - Accent2 14 9 2" xfId="29226"/>
    <cellStyle name="40% - Accent2 14_Volatility" xfId="4784"/>
    <cellStyle name="40% - Accent2 15" xfId="4785"/>
    <cellStyle name="40% - Accent2 15 10" xfId="19818"/>
    <cellStyle name="40% - Accent2 15 10 2" xfId="33097"/>
    <cellStyle name="40% - Accent2 15 11" xfId="24106"/>
    <cellStyle name="40% - Accent2 15 2" xfId="4786"/>
    <cellStyle name="40% - Accent2 15 2 2" xfId="4787"/>
    <cellStyle name="40% - Accent2 15 2 2 2" xfId="4788"/>
    <cellStyle name="40% - Accent2 15 2 2 2 2" xfId="15870"/>
    <cellStyle name="40% - Accent2 15 2 2 2 2 2" xfId="29262"/>
    <cellStyle name="40% - Accent2 15 2 2 2 3" xfId="19821"/>
    <cellStyle name="40% - Accent2 15 2 2 2 3 2" xfId="33100"/>
    <cellStyle name="40% - Accent2 15 2 2 2 4" xfId="24109"/>
    <cellStyle name="40% - Accent2 15 2 2 3" xfId="4789"/>
    <cellStyle name="40% - Accent2 15 2 2 3 2" xfId="15871"/>
    <cellStyle name="40% - Accent2 15 2 2 3 2 2" xfId="29263"/>
    <cellStyle name="40% - Accent2 15 2 2 3 3" xfId="19822"/>
    <cellStyle name="40% - Accent2 15 2 2 3 3 2" xfId="33101"/>
    <cellStyle name="40% - Accent2 15 2 2 3 4" xfId="24110"/>
    <cellStyle name="40% - Accent2 15 2 2 4" xfId="15869"/>
    <cellStyle name="40% - Accent2 15 2 2 4 2" xfId="29261"/>
    <cellStyle name="40% - Accent2 15 2 2 5" xfId="19820"/>
    <cellStyle name="40% - Accent2 15 2 2 5 2" xfId="33099"/>
    <cellStyle name="40% - Accent2 15 2 2 6" xfId="24108"/>
    <cellStyle name="40% - Accent2 15 2 3" xfId="4790"/>
    <cellStyle name="40% - Accent2 15 2 3 2" xfId="4791"/>
    <cellStyle name="40% - Accent2 15 2 3 2 2" xfId="15873"/>
    <cellStyle name="40% - Accent2 15 2 3 2 2 2" xfId="29265"/>
    <cellStyle name="40% - Accent2 15 2 3 2 3" xfId="19824"/>
    <cellStyle name="40% - Accent2 15 2 3 2 3 2" xfId="33103"/>
    <cellStyle name="40% - Accent2 15 2 3 2 4" xfId="24112"/>
    <cellStyle name="40% - Accent2 15 2 3 3" xfId="4792"/>
    <cellStyle name="40% - Accent2 15 2 3 3 2" xfId="15874"/>
    <cellStyle name="40% - Accent2 15 2 3 3 2 2" xfId="29266"/>
    <cellStyle name="40% - Accent2 15 2 3 3 3" xfId="19825"/>
    <cellStyle name="40% - Accent2 15 2 3 3 3 2" xfId="33104"/>
    <cellStyle name="40% - Accent2 15 2 3 3 4" xfId="24113"/>
    <cellStyle name="40% - Accent2 15 2 3 4" xfId="15872"/>
    <cellStyle name="40% - Accent2 15 2 3 4 2" xfId="29264"/>
    <cellStyle name="40% - Accent2 15 2 3 5" xfId="19823"/>
    <cellStyle name="40% - Accent2 15 2 3 5 2" xfId="33102"/>
    <cellStyle name="40% - Accent2 15 2 3 6" xfId="24111"/>
    <cellStyle name="40% - Accent2 15 2 4" xfId="4793"/>
    <cellStyle name="40% - Accent2 15 2 4 2" xfId="4794"/>
    <cellStyle name="40% - Accent2 15 2 4 2 2" xfId="15876"/>
    <cellStyle name="40% - Accent2 15 2 4 2 2 2" xfId="29268"/>
    <cellStyle name="40% - Accent2 15 2 4 2 3" xfId="19827"/>
    <cellStyle name="40% - Accent2 15 2 4 2 3 2" xfId="33106"/>
    <cellStyle name="40% - Accent2 15 2 4 2 4" xfId="24115"/>
    <cellStyle name="40% - Accent2 15 2 4 3" xfId="4795"/>
    <cellStyle name="40% - Accent2 15 2 4 3 2" xfId="15877"/>
    <cellStyle name="40% - Accent2 15 2 4 3 2 2" xfId="29269"/>
    <cellStyle name="40% - Accent2 15 2 4 3 3" xfId="19828"/>
    <cellStyle name="40% - Accent2 15 2 4 3 3 2" xfId="33107"/>
    <cellStyle name="40% - Accent2 15 2 4 3 4" xfId="24116"/>
    <cellStyle name="40% - Accent2 15 2 4 4" xfId="15875"/>
    <cellStyle name="40% - Accent2 15 2 4 4 2" xfId="29267"/>
    <cellStyle name="40% - Accent2 15 2 4 5" xfId="19826"/>
    <cellStyle name="40% - Accent2 15 2 4 5 2" xfId="33105"/>
    <cellStyle name="40% - Accent2 15 2 4 6" xfId="24114"/>
    <cellStyle name="40% - Accent2 15 2 5" xfId="4796"/>
    <cellStyle name="40% - Accent2 15 2 5 2" xfId="15878"/>
    <cellStyle name="40% - Accent2 15 2 5 2 2" xfId="29270"/>
    <cellStyle name="40% - Accent2 15 2 5 3" xfId="19829"/>
    <cellStyle name="40% - Accent2 15 2 5 3 2" xfId="33108"/>
    <cellStyle name="40% - Accent2 15 2 5 4" xfId="24117"/>
    <cellStyle name="40% - Accent2 15 2 6" xfId="4797"/>
    <cellStyle name="40% - Accent2 15 2 6 2" xfId="15879"/>
    <cellStyle name="40% - Accent2 15 2 6 2 2" xfId="29271"/>
    <cellStyle name="40% - Accent2 15 2 6 3" xfId="19830"/>
    <cellStyle name="40% - Accent2 15 2 6 3 2" xfId="33109"/>
    <cellStyle name="40% - Accent2 15 2 6 4" xfId="24118"/>
    <cellStyle name="40% - Accent2 15 2 7" xfId="15868"/>
    <cellStyle name="40% - Accent2 15 2 7 2" xfId="29260"/>
    <cellStyle name="40% - Accent2 15 2 8" xfId="19819"/>
    <cellStyle name="40% - Accent2 15 2 8 2" xfId="33098"/>
    <cellStyle name="40% - Accent2 15 2 9" xfId="24107"/>
    <cellStyle name="40% - Accent2 15 2_Volatility" xfId="4798"/>
    <cellStyle name="40% - Accent2 15 3" xfId="4799"/>
    <cellStyle name="40% - Accent2 15 3 2" xfId="4800"/>
    <cellStyle name="40% - Accent2 15 3 2 2" xfId="4801"/>
    <cellStyle name="40% - Accent2 15 3 2 2 2" xfId="15882"/>
    <cellStyle name="40% - Accent2 15 3 2 2 2 2" xfId="29274"/>
    <cellStyle name="40% - Accent2 15 3 2 2 3" xfId="19833"/>
    <cellStyle name="40% - Accent2 15 3 2 2 3 2" xfId="33112"/>
    <cellStyle name="40% - Accent2 15 3 2 2 4" xfId="24121"/>
    <cellStyle name="40% - Accent2 15 3 2 3" xfId="4802"/>
    <cellStyle name="40% - Accent2 15 3 2 3 2" xfId="15883"/>
    <cellStyle name="40% - Accent2 15 3 2 3 2 2" xfId="29275"/>
    <cellStyle name="40% - Accent2 15 3 2 3 3" xfId="19834"/>
    <cellStyle name="40% - Accent2 15 3 2 3 3 2" xfId="33113"/>
    <cellStyle name="40% - Accent2 15 3 2 3 4" xfId="24122"/>
    <cellStyle name="40% - Accent2 15 3 2 4" xfId="15881"/>
    <cellStyle name="40% - Accent2 15 3 2 4 2" xfId="29273"/>
    <cellStyle name="40% - Accent2 15 3 2 5" xfId="19832"/>
    <cellStyle name="40% - Accent2 15 3 2 5 2" xfId="33111"/>
    <cellStyle name="40% - Accent2 15 3 2 6" xfId="24120"/>
    <cellStyle name="40% - Accent2 15 3 3" xfId="4803"/>
    <cellStyle name="40% - Accent2 15 3 3 2" xfId="4804"/>
    <cellStyle name="40% - Accent2 15 3 3 2 2" xfId="15885"/>
    <cellStyle name="40% - Accent2 15 3 3 2 2 2" xfId="29277"/>
    <cellStyle name="40% - Accent2 15 3 3 2 3" xfId="19836"/>
    <cellStyle name="40% - Accent2 15 3 3 2 3 2" xfId="33115"/>
    <cellStyle name="40% - Accent2 15 3 3 2 4" xfId="24124"/>
    <cellStyle name="40% - Accent2 15 3 3 3" xfId="4805"/>
    <cellStyle name="40% - Accent2 15 3 3 3 2" xfId="15886"/>
    <cellStyle name="40% - Accent2 15 3 3 3 2 2" xfId="29278"/>
    <cellStyle name="40% - Accent2 15 3 3 3 3" xfId="19837"/>
    <cellStyle name="40% - Accent2 15 3 3 3 3 2" xfId="33116"/>
    <cellStyle name="40% - Accent2 15 3 3 3 4" xfId="24125"/>
    <cellStyle name="40% - Accent2 15 3 3 4" xfId="15884"/>
    <cellStyle name="40% - Accent2 15 3 3 4 2" xfId="29276"/>
    <cellStyle name="40% - Accent2 15 3 3 5" xfId="19835"/>
    <cellStyle name="40% - Accent2 15 3 3 5 2" xfId="33114"/>
    <cellStyle name="40% - Accent2 15 3 3 6" xfId="24123"/>
    <cellStyle name="40% - Accent2 15 3 4" xfId="4806"/>
    <cellStyle name="40% - Accent2 15 3 4 2" xfId="15887"/>
    <cellStyle name="40% - Accent2 15 3 4 2 2" xfId="29279"/>
    <cellStyle name="40% - Accent2 15 3 4 3" xfId="19838"/>
    <cellStyle name="40% - Accent2 15 3 4 3 2" xfId="33117"/>
    <cellStyle name="40% - Accent2 15 3 4 4" xfId="24126"/>
    <cellStyle name="40% - Accent2 15 3 5" xfId="4807"/>
    <cellStyle name="40% - Accent2 15 3 5 2" xfId="15888"/>
    <cellStyle name="40% - Accent2 15 3 5 2 2" xfId="29280"/>
    <cellStyle name="40% - Accent2 15 3 5 3" xfId="19839"/>
    <cellStyle name="40% - Accent2 15 3 5 3 2" xfId="33118"/>
    <cellStyle name="40% - Accent2 15 3 5 4" xfId="24127"/>
    <cellStyle name="40% - Accent2 15 3 6" xfId="15880"/>
    <cellStyle name="40% - Accent2 15 3 6 2" xfId="29272"/>
    <cellStyle name="40% - Accent2 15 3 7" xfId="19831"/>
    <cellStyle name="40% - Accent2 15 3 7 2" xfId="33110"/>
    <cellStyle name="40% - Accent2 15 3 8" xfId="24119"/>
    <cellStyle name="40% - Accent2 15 3_Volatility" xfId="4808"/>
    <cellStyle name="40% - Accent2 15 4" xfId="4809"/>
    <cellStyle name="40% - Accent2 15 4 2" xfId="4810"/>
    <cellStyle name="40% - Accent2 15 4 2 2" xfId="15890"/>
    <cellStyle name="40% - Accent2 15 4 2 2 2" xfId="29282"/>
    <cellStyle name="40% - Accent2 15 4 2 3" xfId="19841"/>
    <cellStyle name="40% - Accent2 15 4 2 3 2" xfId="33120"/>
    <cellStyle name="40% - Accent2 15 4 2 4" xfId="24129"/>
    <cellStyle name="40% - Accent2 15 4 3" xfId="4811"/>
    <cellStyle name="40% - Accent2 15 4 3 2" xfId="15891"/>
    <cellStyle name="40% - Accent2 15 4 3 2 2" xfId="29283"/>
    <cellStyle name="40% - Accent2 15 4 3 3" xfId="19842"/>
    <cellStyle name="40% - Accent2 15 4 3 3 2" xfId="33121"/>
    <cellStyle name="40% - Accent2 15 4 3 4" xfId="24130"/>
    <cellStyle name="40% - Accent2 15 4 4" xfId="15889"/>
    <cellStyle name="40% - Accent2 15 4 4 2" xfId="29281"/>
    <cellStyle name="40% - Accent2 15 4 5" xfId="19840"/>
    <cellStyle name="40% - Accent2 15 4 5 2" xfId="33119"/>
    <cellStyle name="40% - Accent2 15 4 6" xfId="24128"/>
    <cellStyle name="40% - Accent2 15 5" xfId="4812"/>
    <cellStyle name="40% - Accent2 15 5 2" xfId="4813"/>
    <cellStyle name="40% - Accent2 15 5 2 2" xfId="15893"/>
    <cellStyle name="40% - Accent2 15 5 2 2 2" xfId="29285"/>
    <cellStyle name="40% - Accent2 15 5 2 3" xfId="19844"/>
    <cellStyle name="40% - Accent2 15 5 2 3 2" xfId="33123"/>
    <cellStyle name="40% - Accent2 15 5 2 4" xfId="24132"/>
    <cellStyle name="40% - Accent2 15 5 3" xfId="4814"/>
    <cellStyle name="40% - Accent2 15 5 3 2" xfId="15894"/>
    <cellStyle name="40% - Accent2 15 5 3 2 2" xfId="29286"/>
    <cellStyle name="40% - Accent2 15 5 3 3" xfId="19845"/>
    <cellStyle name="40% - Accent2 15 5 3 3 2" xfId="33124"/>
    <cellStyle name="40% - Accent2 15 5 3 4" xfId="24133"/>
    <cellStyle name="40% - Accent2 15 5 4" xfId="15892"/>
    <cellStyle name="40% - Accent2 15 5 4 2" xfId="29284"/>
    <cellStyle name="40% - Accent2 15 5 5" xfId="19843"/>
    <cellStyle name="40% - Accent2 15 5 5 2" xfId="33122"/>
    <cellStyle name="40% - Accent2 15 5 6" xfId="24131"/>
    <cellStyle name="40% - Accent2 15 6" xfId="4815"/>
    <cellStyle name="40% - Accent2 15 6 2" xfId="4816"/>
    <cellStyle name="40% - Accent2 15 6 2 2" xfId="15896"/>
    <cellStyle name="40% - Accent2 15 6 2 2 2" xfId="29288"/>
    <cellStyle name="40% - Accent2 15 6 2 3" xfId="19847"/>
    <cellStyle name="40% - Accent2 15 6 2 3 2" xfId="33126"/>
    <cellStyle name="40% - Accent2 15 6 2 4" xfId="24135"/>
    <cellStyle name="40% - Accent2 15 6 3" xfId="4817"/>
    <cellStyle name="40% - Accent2 15 6 3 2" xfId="15897"/>
    <cellStyle name="40% - Accent2 15 6 3 2 2" xfId="29289"/>
    <cellStyle name="40% - Accent2 15 6 3 3" xfId="19848"/>
    <cellStyle name="40% - Accent2 15 6 3 3 2" xfId="33127"/>
    <cellStyle name="40% - Accent2 15 6 3 4" xfId="24136"/>
    <cellStyle name="40% - Accent2 15 6 4" xfId="15895"/>
    <cellStyle name="40% - Accent2 15 6 4 2" xfId="29287"/>
    <cellStyle name="40% - Accent2 15 6 5" xfId="19846"/>
    <cellStyle name="40% - Accent2 15 6 5 2" xfId="33125"/>
    <cellStyle name="40% - Accent2 15 6 6" xfId="24134"/>
    <cellStyle name="40% - Accent2 15 7" xfId="4818"/>
    <cellStyle name="40% - Accent2 15 7 2" xfId="15898"/>
    <cellStyle name="40% - Accent2 15 7 2 2" xfId="29290"/>
    <cellStyle name="40% - Accent2 15 7 3" xfId="19849"/>
    <cellStyle name="40% - Accent2 15 7 3 2" xfId="33128"/>
    <cellStyle name="40% - Accent2 15 7 4" xfId="24137"/>
    <cellStyle name="40% - Accent2 15 8" xfId="4819"/>
    <cellStyle name="40% - Accent2 15 8 2" xfId="15899"/>
    <cellStyle name="40% - Accent2 15 8 2 2" xfId="29291"/>
    <cellStyle name="40% - Accent2 15 8 3" xfId="19850"/>
    <cellStyle name="40% - Accent2 15 8 3 2" xfId="33129"/>
    <cellStyle name="40% - Accent2 15 8 4" xfId="24138"/>
    <cellStyle name="40% - Accent2 15 9" xfId="15867"/>
    <cellStyle name="40% - Accent2 15 9 2" xfId="29259"/>
    <cellStyle name="40% - Accent2 15_Volatility" xfId="4820"/>
    <cellStyle name="40% - Accent2 16" xfId="4821"/>
    <cellStyle name="40% - Accent2 16 2" xfId="15900"/>
    <cellStyle name="40% - Accent2 16 2 2" xfId="29292"/>
    <cellStyle name="40% - Accent2 16 3" xfId="19851"/>
    <cellStyle name="40% - Accent2 16 3 2" xfId="33130"/>
    <cellStyle name="40% - Accent2 16 4" xfId="24139"/>
    <cellStyle name="40% - Accent2 17" xfId="4822"/>
    <cellStyle name="40% - Accent2 17 2" xfId="15901"/>
    <cellStyle name="40% - Accent2 17 2 2" xfId="29293"/>
    <cellStyle name="40% - Accent2 17 3" xfId="19852"/>
    <cellStyle name="40% - Accent2 17 3 2" xfId="33131"/>
    <cellStyle name="40% - Accent2 17 4" xfId="24140"/>
    <cellStyle name="40% - Accent2 18" xfId="4823"/>
    <cellStyle name="40% - Accent2 18 2" xfId="15902"/>
    <cellStyle name="40% - Accent2 18 2 2" xfId="29294"/>
    <cellStyle name="40% - Accent2 18 3" xfId="19853"/>
    <cellStyle name="40% - Accent2 18 3 2" xfId="33132"/>
    <cellStyle name="40% - Accent2 18 4" xfId="24141"/>
    <cellStyle name="40% - Accent2 19" xfId="4824"/>
    <cellStyle name="40% - Accent2 19 2" xfId="15903"/>
    <cellStyle name="40% - Accent2 19 2 2" xfId="29295"/>
    <cellStyle name="40% - Accent2 19 3" xfId="19854"/>
    <cellStyle name="40% - Accent2 19 3 2" xfId="33133"/>
    <cellStyle name="40% - Accent2 19 4" xfId="24142"/>
    <cellStyle name="40% - Accent2 2" xfId="4825"/>
    <cellStyle name="40% - Accent2 2 10" xfId="19855"/>
    <cellStyle name="40% - Accent2 2 10 2" xfId="33134"/>
    <cellStyle name="40% - Accent2 2 11" xfId="24143"/>
    <cellStyle name="40% - Accent2 2 2" xfId="4826"/>
    <cellStyle name="40% - Accent2 2 2 2" xfId="4827"/>
    <cellStyle name="40% - Accent2 2 2 2 2" xfId="4828"/>
    <cellStyle name="40% - Accent2 2 2 2 2 2" xfId="15907"/>
    <cellStyle name="40% - Accent2 2 2 2 2 2 2" xfId="29299"/>
    <cellStyle name="40% - Accent2 2 2 2 2 3" xfId="19858"/>
    <cellStyle name="40% - Accent2 2 2 2 2 3 2" xfId="33137"/>
    <cellStyle name="40% - Accent2 2 2 2 2 4" xfId="24146"/>
    <cellStyle name="40% - Accent2 2 2 2 3" xfId="4829"/>
    <cellStyle name="40% - Accent2 2 2 2 3 2" xfId="15908"/>
    <cellStyle name="40% - Accent2 2 2 2 3 2 2" xfId="29300"/>
    <cellStyle name="40% - Accent2 2 2 2 3 3" xfId="19859"/>
    <cellStyle name="40% - Accent2 2 2 2 3 3 2" xfId="33138"/>
    <cellStyle name="40% - Accent2 2 2 2 3 4" xfId="24147"/>
    <cellStyle name="40% - Accent2 2 2 2 4" xfId="15906"/>
    <cellStyle name="40% - Accent2 2 2 2 4 2" xfId="29298"/>
    <cellStyle name="40% - Accent2 2 2 2 5" xfId="19857"/>
    <cellStyle name="40% - Accent2 2 2 2 5 2" xfId="33136"/>
    <cellStyle name="40% - Accent2 2 2 2 6" xfId="24145"/>
    <cellStyle name="40% - Accent2 2 2 3" xfId="4830"/>
    <cellStyle name="40% - Accent2 2 2 3 2" xfId="4831"/>
    <cellStyle name="40% - Accent2 2 2 3 2 2" xfId="15910"/>
    <cellStyle name="40% - Accent2 2 2 3 2 2 2" xfId="29302"/>
    <cellStyle name="40% - Accent2 2 2 3 2 3" xfId="19861"/>
    <cellStyle name="40% - Accent2 2 2 3 2 3 2" xfId="33140"/>
    <cellStyle name="40% - Accent2 2 2 3 2 4" xfId="24149"/>
    <cellStyle name="40% - Accent2 2 2 3 3" xfId="4832"/>
    <cellStyle name="40% - Accent2 2 2 3 3 2" xfId="15911"/>
    <cellStyle name="40% - Accent2 2 2 3 3 2 2" xfId="29303"/>
    <cellStyle name="40% - Accent2 2 2 3 3 3" xfId="19862"/>
    <cellStyle name="40% - Accent2 2 2 3 3 3 2" xfId="33141"/>
    <cellStyle name="40% - Accent2 2 2 3 3 4" xfId="24150"/>
    <cellStyle name="40% - Accent2 2 2 3 4" xfId="15909"/>
    <cellStyle name="40% - Accent2 2 2 3 4 2" xfId="29301"/>
    <cellStyle name="40% - Accent2 2 2 3 5" xfId="19860"/>
    <cellStyle name="40% - Accent2 2 2 3 5 2" xfId="33139"/>
    <cellStyle name="40% - Accent2 2 2 3 6" xfId="24148"/>
    <cellStyle name="40% - Accent2 2 2 4" xfId="4833"/>
    <cellStyle name="40% - Accent2 2 2 4 2" xfId="4834"/>
    <cellStyle name="40% - Accent2 2 2 4 2 2" xfId="15913"/>
    <cellStyle name="40% - Accent2 2 2 4 2 2 2" xfId="29305"/>
    <cellStyle name="40% - Accent2 2 2 4 2 3" xfId="19864"/>
    <cellStyle name="40% - Accent2 2 2 4 2 3 2" xfId="33143"/>
    <cellStyle name="40% - Accent2 2 2 4 2 4" xfId="24152"/>
    <cellStyle name="40% - Accent2 2 2 4 3" xfId="4835"/>
    <cellStyle name="40% - Accent2 2 2 4 3 2" xfId="15914"/>
    <cellStyle name="40% - Accent2 2 2 4 3 2 2" xfId="29306"/>
    <cellStyle name="40% - Accent2 2 2 4 3 3" xfId="19865"/>
    <cellStyle name="40% - Accent2 2 2 4 3 3 2" xfId="33144"/>
    <cellStyle name="40% - Accent2 2 2 4 3 4" xfId="24153"/>
    <cellStyle name="40% - Accent2 2 2 4 4" xfId="15912"/>
    <cellStyle name="40% - Accent2 2 2 4 4 2" xfId="29304"/>
    <cellStyle name="40% - Accent2 2 2 4 5" xfId="19863"/>
    <cellStyle name="40% - Accent2 2 2 4 5 2" xfId="33142"/>
    <cellStyle name="40% - Accent2 2 2 4 6" xfId="24151"/>
    <cellStyle name="40% - Accent2 2 2 5" xfId="4836"/>
    <cellStyle name="40% - Accent2 2 2 5 2" xfId="15915"/>
    <cellStyle name="40% - Accent2 2 2 5 2 2" xfId="29307"/>
    <cellStyle name="40% - Accent2 2 2 5 3" xfId="19866"/>
    <cellStyle name="40% - Accent2 2 2 5 3 2" xfId="33145"/>
    <cellStyle name="40% - Accent2 2 2 5 4" xfId="24154"/>
    <cellStyle name="40% - Accent2 2 2 6" xfId="4837"/>
    <cellStyle name="40% - Accent2 2 2 6 2" xfId="15916"/>
    <cellStyle name="40% - Accent2 2 2 6 2 2" xfId="29308"/>
    <cellStyle name="40% - Accent2 2 2 6 3" xfId="19867"/>
    <cellStyle name="40% - Accent2 2 2 6 3 2" xfId="33146"/>
    <cellStyle name="40% - Accent2 2 2 6 4" xfId="24155"/>
    <cellStyle name="40% - Accent2 2 2 7" xfId="15905"/>
    <cellStyle name="40% - Accent2 2 2 7 2" xfId="29297"/>
    <cellStyle name="40% - Accent2 2 2 8" xfId="19856"/>
    <cellStyle name="40% - Accent2 2 2 8 2" xfId="33135"/>
    <cellStyle name="40% - Accent2 2 2 9" xfId="24144"/>
    <cellStyle name="40% - Accent2 2 2_Volatility" xfId="4838"/>
    <cellStyle name="40% - Accent2 2 3" xfId="4839"/>
    <cellStyle name="40% - Accent2 2 3 2" xfId="4840"/>
    <cellStyle name="40% - Accent2 2 3 2 2" xfId="4841"/>
    <cellStyle name="40% - Accent2 2 3 2 2 2" xfId="15919"/>
    <cellStyle name="40% - Accent2 2 3 2 2 2 2" xfId="29311"/>
    <cellStyle name="40% - Accent2 2 3 2 2 3" xfId="19870"/>
    <cellStyle name="40% - Accent2 2 3 2 2 3 2" xfId="33149"/>
    <cellStyle name="40% - Accent2 2 3 2 2 4" xfId="24158"/>
    <cellStyle name="40% - Accent2 2 3 2 3" xfId="4842"/>
    <cellStyle name="40% - Accent2 2 3 2 3 2" xfId="15920"/>
    <cellStyle name="40% - Accent2 2 3 2 3 2 2" xfId="29312"/>
    <cellStyle name="40% - Accent2 2 3 2 3 3" xfId="19871"/>
    <cellStyle name="40% - Accent2 2 3 2 3 3 2" xfId="33150"/>
    <cellStyle name="40% - Accent2 2 3 2 3 4" xfId="24159"/>
    <cellStyle name="40% - Accent2 2 3 2 4" xfId="15918"/>
    <cellStyle name="40% - Accent2 2 3 2 4 2" xfId="29310"/>
    <cellStyle name="40% - Accent2 2 3 2 5" xfId="19869"/>
    <cellStyle name="40% - Accent2 2 3 2 5 2" xfId="33148"/>
    <cellStyle name="40% - Accent2 2 3 2 6" xfId="24157"/>
    <cellStyle name="40% - Accent2 2 3 3" xfId="4843"/>
    <cellStyle name="40% - Accent2 2 3 3 2" xfId="4844"/>
    <cellStyle name="40% - Accent2 2 3 3 2 2" xfId="15922"/>
    <cellStyle name="40% - Accent2 2 3 3 2 2 2" xfId="29314"/>
    <cellStyle name="40% - Accent2 2 3 3 2 3" xfId="19873"/>
    <cellStyle name="40% - Accent2 2 3 3 2 3 2" xfId="33152"/>
    <cellStyle name="40% - Accent2 2 3 3 2 4" xfId="24161"/>
    <cellStyle name="40% - Accent2 2 3 3 3" xfId="4845"/>
    <cellStyle name="40% - Accent2 2 3 3 3 2" xfId="15923"/>
    <cellStyle name="40% - Accent2 2 3 3 3 2 2" xfId="29315"/>
    <cellStyle name="40% - Accent2 2 3 3 3 3" xfId="19874"/>
    <cellStyle name="40% - Accent2 2 3 3 3 3 2" xfId="33153"/>
    <cellStyle name="40% - Accent2 2 3 3 3 4" xfId="24162"/>
    <cellStyle name="40% - Accent2 2 3 3 4" xfId="15921"/>
    <cellStyle name="40% - Accent2 2 3 3 4 2" xfId="29313"/>
    <cellStyle name="40% - Accent2 2 3 3 5" xfId="19872"/>
    <cellStyle name="40% - Accent2 2 3 3 5 2" xfId="33151"/>
    <cellStyle name="40% - Accent2 2 3 3 6" xfId="24160"/>
    <cellStyle name="40% - Accent2 2 3 4" xfId="4846"/>
    <cellStyle name="40% - Accent2 2 3 4 2" xfId="15924"/>
    <cellStyle name="40% - Accent2 2 3 4 2 2" xfId="29316"/>
    <cellStyle name="40% - Accent2 2 3 4 3" xfId="19875"/>
    <cellStyle name="40% - Accent2 2 3 4 3 2" xfId="33154"/>
    <cellStyle name="40% - Accent2 2 3 4 4" xfId="24163"/>
    <cellStyle name="40% - Accent2 2 3 5" xfId="4847"/>
    <cellStyle name="40% - Accent2 2 3 5 2" xfId="15925"/>
    <cellStyle name="40% - Accent2 2 3 5 2 2" xfId="29317"/>
    <cellStyle name="40% - Accent2 2 3 5 3" xfId="19876"/>
    <cellStyle name="40% - Accent2 2 3 5 3 2" xfId="33155"/>
    <cellStyle name="40% - Accent2 2 3 5 4" xfId="24164"/>
    <cellStyle name="40% - Accent2 2 3 6" xfId="15917"/>
    <cellStyle name="40% - Accent2 2 3 6 2" xfId="29309"/>
    <cellStyle name="40% - Accent2 2 3 7" xfId="19868"/>
    <cellStyle name="40% - Accent2 2 3 7 2" xfId="33147"/>
    <cellStyle name="40% - Accent2 2 3 8" xfId="24156"/>
    <cellStyle name="40% - Accent2 2 3_Volatility" xfId="4848"/>
    <cellStyle name="40% - Accent2 2 4" xfId="4849"/>
    <cellStyle name="40% - Accent2 2 4 2" xfId="4850"/>
    <cellStyle name="40% - Accent2 2 4 2 2" xfId="15927"/>
    <cellStyle name="40% - Accent2 2 4 2 2 2" xfId="29319"/>
    <cellStyle name="40% - Accent2 2 4 2 3" xfId="19878"/>
    <cellStyle name="40% - Accent2 2 4 2 3 2" xfId="33157"/>
    <cellStyle name="40% - Accent2 2 4 2 4" xfId="24166"/>
    <cellStyle name="40% - Accent2 2 4 3" xfId="4851"/>
    <cellStyle name="40% - Accent2 2 4 3 2" xfId="15928"/>
    <cellStyle name="40% - Accent2 2 4 3 2 2" xfId="29320"/>
    <cellStyle name="40% - Accent2 2 4 3 3" xfId="19879"/>
    <cellStyle name="40% - Accent2 2 4 3 3 2" xfId="33158"/>
    <cellStyle name="40% - Accent2 2 4 3 4" xfId="24167"/>
    <cellStyle name="40% - Accent2 2 4 4" xfId="15926"/>
    <cellStyle name="40% - Accent2 2 4 4 2" xfId="29318"/>
    <cellStyle name="40% - Accent2 2 4 5" xfId="19877"/>
    <cellStyle name="40% - Accent2 2 4 5 2" xfId="33156"/>
    <cellStyle name="40% - Accent2 2 4 6" xfId="24165"/>
    <cellStyle name="40% - Accent2 2 5" xfId="4852"/>
    <cellStyle name="40% - Accent2 2 5 2" xfId="4853"/>
    <cellStyle name="40% - Accent2 2 5 2 2" xfId="15930"/>
    <cellStyle name="40% - Accent2 2 5 2 2 2" xfId="29322"/>
    <cellStyle name="40% - Accent2 2 5 2 3" xfId="19881"/>
    <cellStyle name="40% - Accent2 2 5 2 3 2" xfId="33160"/>
    <cellStyle name="40% - Accent2 2 5 2 4" xfId="24169"/>
    <cellStyle name="40% - Accent2 2 5 3" xfId="4854"/>
    <cellStyle name="40% - Accent2 2 5 3 2" xfId="15931"/>
    <cellStyle name="40% - Accent2 2 5 3 2 2" xfId="29323"/>
    <cellStyle name="40% - Accent2 2 5 3 3" xfId="19882"/>
    <cellStyle name="40% - Accent2 2 5 3 3 2" xfId="33161"/>
    <cellStyle name="40% - Accent2 2 5 3 4" xfId="24170"/>
    <cellStyle name="40% - Accent2 2 5 4" xfId="15929"/>
    <cellStyle name="40% - Accent2 2 5 4 2" xfId="29321"/>
    <cellStyle name="40% - Accent2 2 5 5" xfId="19880"/>
    <cellStyle name="40% - Accent2 2 5 5 2" xfId="33159"/>
    <cellStyle name="40% - Accent2 2 5 6" xfId="24168"/>
    <cellStyle name="40% - Accent2 2 6" xfId="4855"/>
    <cellStyle name="40% - Accent2 2 6 2" xfId="4856"/>
    <cellStyle name="40% - Accent2 2 6 3" xfId="4857"/>
    <cellStyle name="40% - Accent2 2 6 4" xfId="15932"/>
    <cellStyle name="40% - Accent2 2 6 4 2" xfId="29324"/>
    <cellStyle name="40% - Accent2 2 6 5" xfId="19883"/>
    <cellStyle name="40% - Accent2 2 6 5 2" xfId="33162"/>
    <cellStyle name="40% - Accent2 2 6 6" xfId="24171"/>
    <cellStyle name="40% - Accent2 2 7" xfId="4858"/>
    <cellStyle name="40% - Accent2 2 8" xfId="4859"/>
    <cellStyle name="40% - Accent2 2 9" xfId="15904"/>
    <cellStyle name="40% - Accent2 2 9 2" xfId="29296"/>
    <cellStyle name="40% - Accent2 2_Volatility" xfId="4860"/>
    <cellStyle name="40% - Accent2 3" xfId="4861"/>
    <cellStyle name="40% - Accent2 3 2" xfId="4862"/>
    <cellStyle name="40% - Accent2 3 2 2" xfId="4863"/>
    <cellStyle name="40% - Accent2 3 2 2 2" xfId="4864"/>
    <cellStyle name="40% - Accent2 3 2 2 3" xfId="4865"/>
    <cellStyle name="40% - Accent2 3 2 3" xfId="4866"/>
    <cellStyle name="40% - Accent2 3 2 3 2" xfId="4867"/>
    <cellStyle name="40% - Accent2 3 2 3 3" xfId="4868"/>
    <cellStyle name="40% - Accent2 3 2 4" xfId="4869"/>
    <cellStyle name="40% - Accent2 3 2 4 2" xfId="4870"/>
    <cellStyle name="40% - Accent2 3 2 4 3" xfId="4871"/>
    <cellStyle name="40% - Accent2 3 2 5" xfId="4872"/>
    <cellStyle name="40% - Accent2 3 2 6" xfId="4873"/>
    <cellStyle name="40% - Accent2 3 2_Volatility" xfId="4874"/>
    <cellStyle name="40% - Accent2 3 3" xfId="4875"/>
    <cellStyle name="40% - Accent2 3 3 2" xfId="4876"/>
    <cellStyle name="40% - Accent2 3 3 2 2" xfId="4877"/>
    <cellStyle name="40% - Accent2 3 3 2 3" xfId="4878"/>
    <cellStyle name="40% - Accent2 3 3 3" xfId="4879"/>
    <cellStyle name="40% - Accent2 3 3 3 2" xfId="4880"/>
    <cellStyle name="40% - Accent2 3 3 3 3" xfId="4881"/>
    <cellStyle name="40% - Accent2 3 3 4" xfId="4882"/>
    <cellStyle name="40% - Accent2 3 3 5" xfId="4883"/>
    <cellStyle name="40% - Accent2 3 3_Volatility" xfId="4884"/>
    <cellStyle name="40% - Accent2 3 4" xfId="4885"/>
    <cellStyle name="40% - Accent2 3 4 2" xfId="4886"/>
    <cellStyle name="40% - Accent2 3 4 3" xfId="4887"/>
    <cellStyle name="40% - Accent2 3 5" xfId="4888"/>
    <cellStyle name="40% - Accent2 3 5 2" xfId="4889"/>
    <cellStyle name="40% - Accent2 3 5 3" xfId="4890"/>
    <cellStyle name="40% - Accent2 3 6" xfId="4891"/>
    <cellStyle name="40% - Accent2 3 6 2" xfId="4892"/>
    <cellStyle name="40% - Accent2 3 6 3" xfId="4893"/>
    <cellStyle name="40% - Accent2 3 7" xfId="4894"/>
    <cellStyle name="40% - Accent2 3 8" xfId="4895"/>
    <cellStyle name="40% - Accent2 3_Volatility" xfId="4896"/>
    <cellStyle name="40% - Accent2 4" xfId="4897"/>
    <cellStyle name="40% - Accent2 4 2" xfId="4898"/>
    <cellStyle name="40% - Accent2 4 2 2" xfId="4899"/>
    <cellStyle name="40% - Accent2 4 2 2 2" xfId="4900"/>
    <cellStyle name="40% - Accent2 4 2 2 3" xfId="4901"/>
    <cellStyle name="40% - Accent2 4 2 3" xfId="4902"/>
    <cellStyle name="40% - Accent2 4 2 3 2" xfId="4903"/>
    <cellStyle name="40% - Accent2 4 2 3 3" xfId="4904"/>
    <cellStyle name="40% - Accent2 4 2 4" xfId="4905"/>
    <cellStyle name="40% - Accent2 4 2 4 2" xfId="4906"/>
    <cellStyle name="40% - Accent2 4 2 4 3" xfId="4907"/>
    <cellStyle name="40% - Accent2 4 2 5" xfId="4908"/>
    <cellStyle name="40% - Accent2 4 2 6" xfId="4909"/>
    <cellStyle name="40% - Accent2 4 2_Volatility" xfId="4910"/>
    <cellStyle name="40% - Accent2 4 3" xfId="4911"/>
    <cellStyle name="40% - Accent2 4 3 2" xfId="4912"/>
    <cellStyle name="40% - Accent2 4 3 2 2" xfId="4913"/>
    <cellStyle name="40% - Accent2 4 3 2 3" xfId="4914"/>
    <cellStyle name="40% - Accent2 4 3 3" xfId="4915"/>
    <cellStyle name="40% - Accent2 4 3 3 2" xfId="4916"/>
    <cellStyle name="40% - Accent2 4 3 3 3" xfId="4917"/>
    <cellStyle name="40% - Accent2 4 3 4" xfId="4918"/>
    <cellStyle name="40% - Accent2 4 3 5" xfId="4919"/>
    <cellStyle name="40% - Accent2 4 3_Volatility" xfId="4920"/>
    <cellStyle name="40% - Accent2 4 4" xfId="4921"/>
    <cellStyle name="40% - Accent2 4 4 2" xfId="4922"/>
    <cellStyle name="40% - Accent2 4 4 3" xfId="4923"/>
    <cellStyle name="40% - Accent2 4 5" xfId="4924"/>
    <cellStyle name="40% - Accent2 4 5 2" xfId="4925"/>
    <cellStyle name="40% - Accent2 4 5 3" xfId="4926"/>
    <cellStyle name="40% - Accent2 4 6" xfId="4927"/>
    <cellStyle name="40% - Accent2 4 6 2" xfId="4928"/>
    <cellStyle name="40% - Accent2 4 6 3" xfId="4929"/>
    <cellStyle name="40% - Accent2 4 7" xfId="4930"/>
    <cellStyle name="40% - Accent2 4 8" xfId="4931"/>
    <cellStyle name="40% - Accent2 4_Volatility" xfId="4932"/>
    <cellStyle name="40% - Accent2 5" xfId="4933"/>
    <cellStyle name="40% - Accent2 5 2" xfId="4934"/>
    <cellStyle name="40% - Accent2 5 2 2" xfId="4935"/>
    <cellStyle name="40% - Accent2 5 2 2 2" xfId="4936"/>
    <cellStyle name="40% - Accent2 5 2 2 3" xfId="4937"/>
    <cellStyle name="40% - Accent2 5 2 3" xfId="4938"/>
    <cellStyle name="40% - Accent2 5 2 3 2" xfId="4939"/>
    <cellStyle name="40% - Accent2 5 2 3 3" xfId="4940"/>
    <cellStyle name="40% - Accent2 5 2 4" xfId="4941"/>
    <cellStyle name="40% - Accent2 5 2 4 2" xfId="4942"/>
    <cellStyle name="40% - Accent2 5 2 4 3" xfId="4943"/>
    <cellStyle name="40% - Accent2 5 2 5" xfId="4944"/>
    <cellStyle name="40% - Accent2 5 2 6" xfId="4945"/>
    <cellStyle name="40% - Accent2 5 2_Volatility" xfId="4946"/>
    <cellStyle name="40% - Accent2 5 3" xfId="4947"/>
    <cellStyle name="40% - Accent2 5 3 2" xfId="4948"/>
    <cellStyle name="40% - Accent2 5 3 2 2" xfId="4949"/>
    <cellStyle name="40% - Accent2 5 3 2 3" xfId="4950"/>
    <cellStyle name="40% - Accent2 5 3 3" xfId="4951"/>
    <cellStyle name="40% - Accent2 5 3 3 2" xfId="4952"/>
    <cellStyle name="40% - Accent2 5 3 3 3" xfId="4953"/>
    <cellStyle name="40% - Accent2 5 3 4" xfId="4954"/>
    <cellStyle name="40% - Accent2 5 3 5" xfId="4955"/>
    <cellStyle name="40% - Accent2 5 3_Volatility" xfId="4956"/>
    <cellStyle name="40% - Accent2 5 4" xfId="4957"/>
    <cellStyle name="40% - Accent2 5 4 2" xfId="4958"/>
    <cellStyle name="40% - Accent2 5 4 3" xfId="4959"/>
    <cellStyle name="40% - Accent2 5 5" xfId="4960"/>
    <cellStyle name="40% - Accent2 5 5 2" xfId="4961"/>
    <cellStyle name="40% - Accent2 5 5 3" xfId="4962"/>
    <cellStyle name="40% - Accent2 5 6" xfId="4963"/>
    <cellStyle name="40% - Accent2 5 6 2" xfId="4964"/>
    <cellStyle name="40% - Accent2 5 6 3" xfId="4965"/>
    <cellStyle name="40% - Accent2 5 7" xfId="4966"/>
    <cellStyle name="40% - Accent2 5 8" xfId="4967"/>
    <cellStyle name="40% - Accent2 5_Volatility" xfId="4968"/>
    <cellStyle name="40% - Accent2 6" xfId="4969"/>
    <cellStyle name="40% - Accent2 6 2" xfId="4970"/>
    <cellStyle name="40% - Accent2 6 2 2" xfId="4971"/>
    <cellStyle name="40% - Accent2 6 2 2 2" xfId="4972"/>
    <cellStyle name="40% - Accent2 6 2 2 3" xfId="4973"/>
    <cellStyle name="40% - Accent2 6 2 3" xfId="4974"/>
    <cellStyle name="40% - Accent2 6 2 3 2" xfId="4975"/>
    <cellStyle name="40% - Accent2 6 2 3 3" xfId="4976"/>
    <cellStyle name="40% - Accent2 6 2 4" xfId="4977"/>
    <cellStyle name="40% - Accent2 6 2 4 2" xfId="4978"/>
    <cellStyle name="40% - Accent2 6 2 4 3" xfId="4979"/>
    <cellStyle name="40% - Accent2 6 2 5" xfId="4980"/>
    <cellStyle name="40% - Accent2 6 2 6" xfId="4981"/>
    <cellStyle name="40% - Accent2 6 2_Volatility" xfId="4982"/>
    <cellStyle name="40% - Accent2 6 3" xfId="4983"/>
    <cellStyle name="40% - Accent2 6 3 2" xfId="4984"/>
    <cellStyle name="40% - Accent2 6 3 2 2" xfId="4985"/>
    <cellStyle name="40% - Accent2 6 3 2 3" xfId="4986"/>
    <cellStyle name="40% - Accent2 6 3 3" xfId="4987"/>
    <cellStyle name="40% - Accent2 6 3 3 2" xfId="4988"/>
    <cellStyle name="40% - Accent2 6 3 3 3" xfId="4989"/>
    <cellStyle name="40% - Accent2 6 3 4" xfId="4990"/>
    <cellStyle name="40% - Accent2 6 3 5" xfId="4991"/>
    <cellStyle name="40% - Accent2 6 3_Volatility" xfId="4992"/>
    <cellStyle name="40% - Accent2 6 4" xfId="4993"/>
    <cellStyle name="40% - Accent2 6 4 2" xfId="4994"/>
    <cellStyle name="40% - Accent2 6 4 3" xfId="4995"/>
    <cellStyle name="40% - Accent2 6 5" xfId="4996"/>
    <cellStyle name="40% - Accent2 6 5 2" xfId="4997"/>
    <cellStyle name="40% - Accent2 6 5 3" xfId="4998"/>
    <cellStyle name="40% - Accent2 6 6" xfId="4999"/>
    <cellStyle name="40% - Accent2 6 6 2" xfId="5000"/>
    <cellStyle name="40% - Accent2 6 6 3" xfId="5001"/>
    <cellStyle name="40% - Accent2 6 7" xfId="5002"/>
    <cellStyle name="40% - Accent2 6 8" xfId="5003"/>
    <cellStyle name="40% - Accent2 6_Volatility" xfId="5004"/>
    <cellStyle name="40% - Accent2 7" xfId="5005"/>
    <cellStyle name="40% - Accent2 7 2" xfId="5006"/>
    <cellStyle name="40% - Accent2 7 2 2" xfId="5007"/>
    <cellStyle name="40% - Accent2 7 2 2 2" xfId="5008"/>
    <cellStyle name="40% - Accent2 7 2 2 3" xfId="5009"/>
    <cellStyle name="40% - Accent2 7 2 3" xfId="5010"/>
    <cellStyle name="40% - Accent2 7 2 3 2" xfId="5011"/>
    <cellStyle name="40% - Accent2 7 2 3 3" xfId="5012"/>
    <cellStyle name="40% - Accent2 7 2 4" xfId="5013"/>
    <cellStyle name="40% - Accent2 7 2 4 2" xfId="5014"/>
    <cellStyle name="40% - Accent2 7 2 4 3" xfId="5015"/>
    <cellStyle name="40% - Accent2 7 2 5" xfId="5016"/>
    <cellStyle name="40% - Accent2 7 2 6" xfId="5017"/>
    <cellStyle name="40% - Accent2 7 2_Volatility" xfId="5018"/>
    <cellStyle name="40% - Accent2 7 3" xfId="5019"/>
    <cellStyle name="40% - Accent2 7 3 2" xfId="5020"/>
    <cellStyle name="40% - Accent2 7 3 2 2" xfId="5021"/>
    <cellStyle name="40% - Accent2 7 3 2 3" xfId="5022"/>
    <cellStyle name="40% - Accent2 7 3 3" xfId="5023"/>
    <cellStyle name="40% - Accent2 7 3 3 2" xfId="5024"/>
    <cellStyle name="40% - Accent2 7 3 3 3" xfId="5025"/>
    <cellStyle name="40% - Accent2 7 3 4" xfId="5026"/>
    <cellStyle name="40% - Accent2 7 3 5" xfId="5027"/>
    <cellStyle name="40% - Accent2 7 3_Volatility" xfId="5028"/>
    <cellStyle name="40% - Accent2 7 4" xfId="5029"/>
    <cellStyle name="40% - Accent2 7 4 2" xfId="5030"/>
    <cellStyle name="40% - Accent2 7 4 3" xfId="5031"/>
    <cellStyle name="40% - Accent2 7 5" xfId="5032"/>
    <cellStyle name="40% - Accent2 7 5 2" xfId="5033"/>
    <cellStyle name="40% - Accent2 7 5 3" xfId="5034"/>
    <cellStyle name="40% - Accent2 7 6" xfId="5035"/>
    <cellStyle name="40% - Accent2 7 6 2" xfId="5036"/>
    <cellStyle name="40% - Accent2 7 6 3" xfId="5037"/>
    <cellStyle name="40% - Accent2 7 7" xfId="5038"/>
    <cellStyle name="40% - Accent2 7 8" xfId="5039"/>
    <cellStyle name="40% - Accent2 7_Volatility" xfId="5040"/>
    <cellStyle name="40% - Accent2 8" xfId="5041"/>
    <cellStyle name="40% - Accent2 8 2" xfId="5042"/>
    <cellStyle name="40% - Accent2 8 2 2" xfId="5043"/>
    <cellStyle name="40% - Accent2 8 2 2 2" xfId="5044"/>
    <cellStyle name="40% - Accent2 8 2 2 3" xfId="5045"/>
    <cellStyle name="40% - Accent2 8 2 3" xfId="5046"/>
    <cellStyle name="40% - Accent2 8 2 3 2" xfId="5047"/>
    <cellStyle name="40% - Accent2 8 2 3 3" xfId="5048"/>
    <cellStyle name="40% - Accent2 8 2 4" xfId="5049"/>
    <cellStyle name="40% - Accent2 8 2 4 2" xfId="5050"/>
    <cellStyle name="40% - Accent2 8 2 4 3" xfId="5051"/>
    <cellStyle name="40% - Accent2 8 2 5" xfId="5052"/>
    <cellStyle name="40% - Accent2 8 2 6" xfId="5053"/>
    <cellStyle name="40% - Accent2 8 2_Volatility" xfId="5054"/>
    <cellStyle name="40% - Accent2 8 3" xfId="5055"/>
    <cellStyle name="40% - Accent2 8 3 2" xfId="5056"/>
    <cellStyle name="40% - Accent2 8 3 2 2" xfId="5057"/>
    <cellStyle name="40% - Accent2 8 3 2 3" xfId="5058"/>
    <cellStyle name="40% - Accent2 8 3 3" xfId="5059"/>
    <cellStyle name="40% - Accent2 8 3 3 2" xfId="5060"/>
    <cellStyle name="40% - Accent2 8 3 3 3" xfId="5061"/>
    <cellStyle name="40% - Accent2 8 3 4" xfId="5062"/>
    <cellStyle name="40% - Accent2 8 3 5" xfId="5063"/>
    <cellStyle name="40% - Accent2 8 3_Volatility" xfId="5064"/>
    <cellStyle name="40% - Accent2 8 4" xfId="5065"/>
    <cellStyle name="40% - Accent2 8 4 2" xfId="5066"/>
    <cellStyle name="40% - Accent2 8 4 3" xfId="5067"/>
    <cellStyle name="40% - Accent2 8 5" xfId="5068"/>
    <cellStyle name="40% - Accent2 8 5 2" xfId="5069"/>
    <cellStyle name="40% - Accent2 8 5 3" xfId="5070"/>
    <cellStyle name="40% - Accent2 8 6" xfId="5071"/>
    <cellStyle name="40% - Accent2 8 6 2" xfId="5072"/>
    <cellStyle name="40% - Accent2 8 6 3" xfId="5073"/>
    <cellStyle name="40% - Accent2 8 7" xfId="5074"/>
    <cellStyle name="40% - Accent2 8 8" xfId="5075"/>
    <cellStyle name="40% - Accent2 8_Volatility" xfId="5076"/>
    <cellStyle name="40% - Accent2 9" xfId="5077"/>
    <cellStyle name="40% - Accent2 9 2" xfId="5078"/>
    <cellStyle name="40% - Accent2 9 2 2" xfId="5079"/>
    <cellStyle name="40% - Accent2 9 2 2 2" xfId="5080"/>
    <cellStyle name="40% - Accent2 9 2 2 3" xfId="5081"/>
    <cellStyle name="40% - Accent2 9 2 3" xfId="5082"/>
    <cellStyle name="40% - Accent2 9 2 3 2" xfId="5083"/>
    <cellStyle name="40% - Accent2 9 2 3 3" xfId="5084"/>
    <cellStyle name="40% - Accent2 9 2 4" xfId="5085"/>
    <cellStyle name="40% - Accent2 9 2 4 2" xfId="5086"/>
    <cellStyle name="40% - Accent2 9 2 4 3" xfId="5087"/>
    <cellStyle name="40% - Accent2 9 2 5" xfId="5088"/>
    <cellStyle name="40% - Accent2 9 2 6" xfId="5089"/>
    <cellStyle name="40% - Accent2 9 2_Volatility" xfId="5090"/>
    <cellStyle name="40% - Accent2 9 3" xfId="5091"/>
    <cellStyle name="40% - Accent2 9 3 2" xfId="5092"/>
    <cellStyle name="40% - Accent2 9 3 2 2" xfId="5093"/>
    <cellStyle name="40% - Accent2 9 3 2 3" xfId="5094"/>
    <cellStyle name="40% - Accent2 9 3 3" xfId="5095"/>
    <cellStyle name="40% - Accent2 9 3 3 2" xfId="5096"/>
    <cellStyle name="40% - Accent2 9 3 3 3" xfId="5097"/>
    <cellStyle name="40% - Accent2 9 3 4" xfId="5098"/>
    <cellStyle name="40% - Accent2 9 3 5" xfId="5099"/>
    <cellStyle name="40% - Accent2 9 3_Volatility" xfId="5100"/>
    <cellStyle name="40% - Accent2 9 4" xfId="5101"/>
    <cellStyle name="40% - Accent2 9 4 2" xfId="5102"/>
    <cellStyle name="40% - Accent2 9 4 3" xfId="5103"/>
    <cellStyle name="40% - Accent2 9 5" xfId="5104"/>
    <cellStyle name="40% - Accent2 9 5 2" xfId="5105"/>
    <cellStyle name="40% - Accent2 9 5 3" xfId="5106"/>
    <cellStyle name="40% - Accent2 9 6" xfId="5107"/>
    <cellStyle name="40% - Accent2 9 6 2" xfId="5108"/>
    <cellStyle name="40% - Accent2 9 6 3" xfId="5109"/>
    <cellStyle name="40% - Accent2 9 7" xfId="5110"/>
    <cellStyle name="40% - Accent2 9 8" xfId="5111"/>
    <cellStyle name="40% - Accent2 9_Volatility" xfId="5112"/>
    <cellStyle name="40% - Accent3 10" xfId="5113"/>
    <cellStyle name="40% - Accent3 10 2" xfId="5114"/>
    <cellStyle name="40% - Accent3 10 2 2" xfId="5115"/>
    <cellStyle name="40% - Accent3 10 2 2 2" xfId="5116"/>
    <cellStyle name="40% - Accent3 10 2 2 3" xfId="5117"/>
    <cellStyle name="40% - Accent3 10 2 3" xfId="5118"/>
    <cellStyle name="40% - Accent3 10 2 3 2" xfId="5119"/>
    <cellStyle name="40% - Accent3 10 2 3 3" xfId="5120"/>
    <cellStyle name="40% - Accent3 10 2 4" xfId="5121"/>
    <cellStyle name="40% - Accent3 10 2 4 2" xfId="5122"/>
    <cellStyle name="40% - Accent3 10 2 4 3" xfId="5123"/>
    <cellStyle name="40% - Accent3 10 2 5" xfId="5124"/>
    <cellStyle name="40% - Accent3 10 2 6" xfId="5125"/>
    <cellStyle name="40% - Accent3 10 2_Volatility" xfId="5126"/>
    <cellStyle name="40% - Accent3 10 3" xfId="5127"/>
    <cellStyle name="40% - Accent3 10 3 2" xfId="5128"/>
    <cellStyle name="40% - Accent3 10 3 2 2" xfId="5129"/>
    <cellStyle name="40% - Accent3 10 3 2 3" xfId="5130"/>
    <cellStyle name="40% - Accent3 10 3 3" xfId="5131"/>
    <cellStyle name="40% - Accent3 10 3 3 2" xfId="5132"/>
    <cellStyle name="40% - Accent3 10 3 3 3" xfId="5133"/>
    <cellStyle name="40% - Accent3 10 3 4" xfId="5134"/>
    <cellStyle name="40% - Accent3 10 3 5" xfId="5135"/>
    <cellStyle name="40% - Accent3 10 3_Volatility" xfId="5136"/>
    <cellStyle name="40% - Accent3 10 4" xfId="5137"/>
    <cellStyle name="40% - Accent3 10 4 2" xfId="5138"/>
    <cellStyle name="40% - Accent3 10 4 3" xfId="5139"/>
    <cellStyle name="40% - Accent3 10 5" xfId="5140"/>
    <cellStyle name="40% - Accent3 10 5 2" xfId="5141"/>
    <cellStyle name="40% - Accent3 10 5 3" xfId="5142"/>
    <cellStyle name="40% - Accent3 10 6" xfId="5143"/>
    <cellStyle name="40% - Accent3 10 6 2" xfId="5144"/>
    <cellStyle name="40% - Accent3 10 6 3" xfId="5145"/>
    <cellStyle name="40% - Accent3 10 7" xfId="5146"/>
    <cellStyle name="40% - Accent3 10 8" xfId="5147"/>
    <cellStyle name="40% - Accent3 10_Volatility" xfId="5148"/>
    <cellStyle name="40% - Accent3 11" xfId="5149"/>
    <cellStyle name="40% - Accent3 11 2" xfId="5150"/>
    <cellStyle name="40% - Accent3 11 2 2" xfId="5151"/>
    <cellStyle name="40% - Accent3 11 2 2 2" xfId="5152"/>
    <cellStyle name="40% - Accent3 11 2 2 3" xfId="5153"/>
    <cellStyle name="40% - Accent3 11 2 3" xfId="5154"/>
    <cellStyle name="40% - Accent3 11 2 3 2" xfId="5155"/>
    <cellStyle name="40% - Accent3 11 2 3 3" xfId="5156"/>
    <cellStyle name="40% - Accent3 11 2 4" xfId="5157"/>
    <cellStyle name="40% - Accent3 11 2 4 2" xfId="5158"/>
    <cellStyle name="40% - Accent3 11 2 4 3" xfId="5159"/>
    <cellStyle name="40% - Accent3 11 2 5" xfId="5160"/>
    <cellStyle name="40% - Accent3 11 2 6" xfId="5161"/>
    <cellStyle name="40% - Accent3 11 2_Volatility" xfId="5162"/>
    <cellStyle name="40% - Accent3 11 3" xfId="5163"/>
    <cellStyle name="40% - Accent3 11 3 2" xfId="5164"/>
    <cellStyle name="40% - Accent3 11 3 2 2" xfId="5165"/>
    <cellStyle name="40% - Accent3 11 3 2 3" xfId="5166"/>
    <cellStyle name="40% - Accent3 11 3 3" xfId="5167"/>
    <cellStyle name="40% - Accent3 11 3 3 2" xfId="5168"/>
    <cellStyle name="40% - Accent3 11 3 3 3" xfId="5169"/>
    <cellStyle name="40% - Accent3 11 3 4" xfId="5170"/>
    <cellStyle name="40% - Accent3 11 3 5" xfId="5171"/>
    <cellStyle name="40% - Accent3 11 3_Volatility" xfId="5172"/>
    <cellStyle name="40% - Accent3 11 4" xfId="5173"/>
    <cellStyle name="40% - Accent3 11 4 2" xfId="5174"/>
    <cellStyle name="40% - Accent3 11 4 3" xfId="5175"/>
    <cellStyle name="40% - Accent3 11 5" xfId="5176"/>
    <cellStyle name="40% - Accent3 11 5 2" xfId="5177"/>
    <cellStyle name="40% - Accent3 11 5 3" xfId="5178"/>
    <cellStyle name="40% - Accent3 11 6" xfId="5179"/>
    <cellStyle name="40% - Accent3 11 6 2" xfId="5180"/>
    <cellStyle name="40% - Accent3 11 6 3" xfId="5181"/>
    <cellStyle name="40% - Accent3 11 7" xfId="5182"/>
    <cellStyle name="40% - Accent3 11 8" xfId="5183"/>
    <cellStyle name="40% - Accent3 11_Volatility" xfId="5184"/>
    <cellStyle name="40% - Accent3 12" xfId="5185"/>
    <cellStyle name="40% - Accent3 12 2" xfId="5186"/>
    <cellStyle name="40% - Accent3 12 2 2" xfId="5187"/>
    <cellStyle name="40% - Accent3 12 2 2 2" xfId="5188"/>
    <cellStyle name="40% - Accent3 12 2 2 3" xfId="5189"/>
    <cellStyle name="40% - Accent3 12 2 3" xfId="5190"/>
    <cellStyle name="40% - Accent3 12 2 3 2" xfId="5191"/>
    <cellStyle name="40% - Accent3 12 2 3 3" xfId="5192"/>
    <cellStyle name="40% - Accent3 12 2 4" xfId="5193"/>
    <cellStyle name="40% - Accent3 12 2 4 2" xfId="5194"/>
    <cellStyle name="40% - Accent3 12 2 4 3" xfId="5195"/>
    <cellStyle name="40% - Accent3 12 2 5" xfId="5196"/>
    <cellStyle name="40% - Accent3 12 2 6" xfId="5197"/>
    <cellStyle name="40% - Accent3 12 2_Volatility" xfId="5198"/>
    <cellStyle name="40% - Accent3 12 3" xfId="5199"/>
    <cellStyle name="40% - Accent3 12 3 2" xfId="5200"/>
    <cellStyle name="40% - Accent3 12 3 2 2" xfId="5201"/>
    <cellStyle name="40% - Accent3 12 3 2 3" xfId="5202"/>
    <cellStyle name="40% - Accent3 12 3 3" xfId="5203"/>
    <cellStyle name="40% - Accent3 12 3 3 2" xfId="5204"/>
    <cellStyle name="40% - Accent3 12 3 3 3" xfId="5205"/>
    <cellStyle name="40% - Accent3 12 3 4" xfId="5206"/>
    <cellStyle name="40% - Accent3 12 3 5" xfId="5207"/>
    <cellStyle name="40% - Accent3 12 3_Volatility" xfId="5208"/>
    <cellStyle name="40% - Accent3 12 4" xfId="5209"/>
    <cellStyle name="40% - Accent3 12 4 2" xfId="5210"/>
    <cellStyle name="40% - Accent3 12 4 3" xfId="5211"/>
    <cellStyle name="40% - Accent3 12 5" xfId="5212"/>
    <cellStyle name="40% - Accent3 12 5 2" xfId="5213"/>
    <cellStyle name="40% - Accent3 12 5 3" xfId="5214"/>
    <cellStyle name="40% - Accent3 12 6" xfId="5215"/>
    <cellStyle name="40% - Accent3 12 6 2" xfId="5216"/>
    <cellStyle name="40% - Accent3 12 6 3" xfId="5217"/>
    <cellStyle name="40% - Accent3 12 7" xfId="5218"/>
    <cellStyle name="40% - Accent3 12 8" xfId="5219"/>
    <cellStyle name="40% - Accent3 12_Volatility" xfId="5220"/>
    <cellStyle name="40% - Accent3 13" xfId="5221"/>
    <cellStyle name="40% - Accent3 13 2" xfId="5222"/>
    <cellStyle name="40% - Accent3 13 2 2" xfId="5223"/>
    <cellStyle name="40% - Accent3 13 2 2 2" xfId="5224"/>
    <cellStyle name="40% - Accent3 13 2 2 3" xfId="5225"/>
    <cellStyle name="40% - Accent3 13 2 3" xfId="5226"/>
    <cellStyle name="40% - Accent3 13 2 3 2" xfId="5227"/>
    <cellStyle name="40% - Accent3 13 2 3 3" xfId="5228"/>
    <cellStyle name="40% - Accent3 13 2 4" xfId="5229"/>
    <cellStyle name="40% - Accent3 13 2 4 2" xfId="5230"/>
    <cellStyle name="40% - Accent3 13 2 4 3" xfId="5231"/>
    <cellStyle name="40% - Accent3 13 2 5" xfId="5232"/>
    <cellStyle name="40% - Accent3 13 2 6" xfId="5233"/>
    <cellStyle name="40% - Accent3 13 2_Volatility" xfId="5234"/>
    <cellStyle name="40% - Accent3 13 3" xfId="5235"/>
    <cellStyle name="40% - Accent3 13 3 2" xfId="5236"/>
    <cellStyle name="40% - Accent3 13 3 2 2" xfId="5237"/>
    <cellStyle name="40% - Accent3 13 3 2 3" xfId="5238"/>
    <cellStyle name="40% - Accent3 13 3 3" xfId="5239"/>
    <cellStyle name="40% - Accent3 13 3 3 2" xfId="5240"/>
    <cellStyle name="40% - Accent3 13 3 3 3" xfId="5241"/>
    <cellStyle name="40% - Accent3 13 3 4" xfId="5242"/>
    <cellStyle name="40% - Accent3 13 3 5" xfId="5243"/>
    <cellStyle name="40% - Accent3 13 3_Volatility" xfId="5244"/>
    <cellStyle name="40% - Accent3 13 4" xfId="5245"/>
    <cellStyle name="40% - Accent3 13 4 2" xfId="5246"/>
    <cellStyle name="40% - Accent3 13 4 3" xfId="5247"/>
    <cellStyle name="40% - Accent3 13 5" xfId="5248"/>
    <cellStyle name="40% - Accent3 13 5 2" xfId="5249"/>
    <cellStyle name="40% - Accent3 13 5 3" xfId="5250"/>
    <cellStyle name="40% - Accent3 13 6" xfId="5251"/>
    <cellStyle name="40% - Accent3 13 6 2" xfId="5252"/>
    <cellStyle name="40% - Accent3 13 6 3" xfId="5253"/>
    <cellStyle name="40% - Accent3 13 7" xfId="5254"/>
    <cellStyle name="40% - Accent3 13 8" xfId="5255"/>
    <cellStyle name="40% - Accent3 13_Volatility" xfId="5256"/>
    <cellStyle name="40% - Accent3 14" xfId="5257"/>
    <cellStyle name="40% - Accent3 14 2" xfId="5258"/>
    <cellStyle name="40% - Accent3 14 2 2" xfId="5259"/>
    <cellStyle name="40% - Accent3 14 2 2 2" xfId="5260"/>
    <cellStyle name="40% - Accent3 14 2 2 3" xfId="5261"/>
    <cellStyle name="40% - Accent3 14 2 3" xfId="5262"/>
    <cellStyle name="40% - Accent3 14 2 3 2" xfId="5263"/>
    <cellStyle name="40% - Accent3 14 2 3 3" xfId="5264"/>
    <cellStyle name="40% - Accent3 14 2 4" xfId="5265"/>
    <cellStyle name="40% - Accent3 14 2 4 2" xfId="5266"/>
    <cellStyle name="40% - Accent3 14 2 4 3" xfId="5267"/>
    <cellStyle name="40% - Accent3 14 2 5" xfId="5268"/>
    <cellStyle name="40% - Accent3 14 2 6" xfId="5269"/>
    <cellStyle name="40% - Accent3 14 2_Volatility" xfId="5270"/>
    <cellStyle name="40% - Accent3 14 3" xfId="5271"/>
    <cellStyle name="40% - Accent3 14 3 2" xfId="5272"/>
    <cellStyle name="40% - Accent3 14 3 2 2" xfId="5273"/>
    <cellStyle name="40% - Accent3 14 3 2 3" xfId="5274"/>
    <cellStyle name="40% - Accent3 14 3 3" xfId="5275"/>
    <cellStyle name="40% - Accent3 14 3 3 2" xfId="5276"/>
    <cellStyle name="40% - Accent3 14 3 3 3" xfId="5277"/>
    <cellStyle name="40% - Accent3 14 3 4" xfId="5278"/>
    <cellStyle name="40% - Accent3 14 3 5" xfId="5279"/>
    <cellStyle name="40% - Accent3 14 3_Volatility" xfId="5280"/>
    <cellStyle name="40% - Accent3 14 4" xfId="5281"/>
    <cellStyle name="40% - Accent3 14 4 2" xfId="5282"/>
    <cellStyle name="40% - Accent3 14 4 3" xfId="5283"/>
    <cellStyle name="40% - Accent3 14 5" xfId="5284"/>
    <cellStyle name="40% - Accent3 14 5 2" xfId="5285"/>
    <cellStyle name="40% - Accent3 14 5 3" xfId="5286"/>
    <cellStyle name="40% - Accent3 14 6" xfId="5287"/>
    <cellStyle name="40% - Accent3 14 6 2" xfId="5288"/>
    <cellStyle name="40% - Accent3 14 6 3" xfId="5289"/>
    <cellStyle name="40% - Accent3 14 7" xfId="5290"/>
    <cellStyle name="40% - Accent3 14 8" xfId="5291"/>
    <cellStyle name="40% - Accent3 14_Volatility" xfId="5292"/>
    <cellStyle name="40% - Accent3 15" xfId="5293"/>
    <cellStyle name="40% - Accent3 15 2" xfId="5294"/>
    <cellStyle name="40% - Accent3 15 2 2" xfId="5295"/>
    <cellStyle name="40% - Accent3 15 2 2 2" xfId="5296"/>
    <cellStyle name="40% - Accent3 15 2 2 3" xfId="5297"/>
    <cellStyle name="40% - Accent3 15 2 3" xfId="5298"/>
    <cellStyle name="40% - Accent3 15 2 3 2" xfId="5299"/>
    <cellStyle name="40% - Accent3 15 2 3 3" xfId="5300"/>
    <cellStyle name="40% - Accent3 15 2 4" xfId="5301"/>
    <cellStyle name="40% - Accent3 15 2 4 2" xfId="5302"/>
    <cellStyle name="40% - Accent3 15 2 4 3" xfId="5303"/>
    <cellStyle name="40% - Accent3 15 2 5" xfId="5304"/>
    <cellStyle name="40% - Accent3 15 2 6" xfId="5305"/>
    <cellStyle name="40% - Accent3 15 2_Volatility" xfId="5306"/>
    <cellStyle name="40% - Accent3 15 3" xfId="5307"/>
    <cellStyle name="40% - Accent3 15 3 2" xfId="5308"/>
    <cellStyle name="40% - Accent3 15 3 2 2" xfId="5309"/>
    <cellStyle name="40% - Accent3 15 3 2 3" xfId="5310"/>
    <cellStyle name="40% - Accent3 15 3 3" xfId="5311"/>
    <cellStyle name="40% - Accent3 15 3 3 2" xfId="5312"/>
    <cellStyle name="40% - Accent3 15 3 3 3" xfId="5313"/>
    <cellStyle name="40% - Accent3 15 3 4" xfId="5314"/>
    <cellStyle name="40% - Accent3 15 3 5" xfId="5315"/>
    <cellStyle name="40% - Accent3 15 3_Volatility" xfId="5316"/>
    <cellStyle name="40% - Accent3 15 4" xfId="5317"/>
    <cellStyle name="40% - Accent3 15 4 2" xfId="5318"/>
    <cellStyle name="40% - Accent3 15 4 3" xfId="5319"/>
    <cellStyle name="40% - Accent3 15 5" xfId="5320"/>
    <cellStyle name="40% - Accent3 15 5 2" xfId="5321"/>
    <cellStyle name="40% - Accent3 15 5 3" xfId="5322"/>
    <cellStyle name="40% - Accent3 15 6" xfId="5323"/>
    <cellStyle name="40% - Accent3 15 6 2" xfId="5324"/>
    <cellStyle name="40% - Accent3 15 6 3" xfId="5325"/>
    <cellStyle name="40% - Accent3 15 7" xfId="5326"/>
    <cellStyle name="40% - Accent3 15 8" xfId="5327"/>
    <cellStyle name="40% - Accent3 15_Volatility" xfId="5328"/>
    <cellStyle name="40% - Accent3 16" xfId="5329"/>
    <cellStyle name="40% - Accent3 16 2" xfId="15933"/>
    <cellStyle name="40% - Accent3 16 2 2" xfId="29325"/>
    <cellStyle name="40% - Accent3 16 3" xfId="19884"/>
    <cellStyle name="40% - Accent3 16 3 2" xfId="33163"/>
    <cellStyle name="40% - Accent3 16 4" xfId="24191"/>
    <cellStyle name="40% - Accent3 17" xfId="5330"/>
    <cellStyle name="40% - Accent3 17 2" xfId="15934"/>
    <cellStyle name="40% - Accent3 17 2 2" xfId="29326"/>
    <cellStyle name="40% - Accent3 17 3" xfId="19885"/>
    <cellStyle name="40% - Accent3 17 3 2" xfId="33164"/>
    <cellStyle name="40% - Accent3 17 4" xfId="24192"/>
    <cellStyle name="40% - Accent3 18" xfId="5331"/>
    <cellStyle name="40% - Accent3 18 2" xfId="15935"/>
    <cellStyle name="40% - Accent3 18 2 2" xfId="29327"/>
    <cellStyle name="40% - Accent3 18 3" xfId="19886"/>
    <cellStyle name="40% - Accent3 18 3 2" xfId="33165"/>
    <cellStyle name="40% - Accent3 18 4" xfId="24193"/>
    <cellStyle name="40% - Accent3 19" xfId="5332"/>
    <cellStyle name="40% - Accent3 19 2" xfId="15936"/>
    <cellStyle name="40% - Accent3 19 2 2" xfId="29328"/>
    <cellStyle name="40% - Accent3 19 3" xfId="19887"/>
    <cellStyle name="40% - Accent3 19 3 2" xfId="33166"/>
    <cellStyle name="40% - Accent3 19 4" xfId="24194"/>
    <cellStyle name="40% - Accent3 2" xfId="5333"/>
    <cellStyle name="40% - Accent3 2 2" xfId="5334"/>
    <cellStyle name="40% - Accent3 2 2 2" xfId="5335"/>
    <cellStyle name="40% - Accent3 2 2 2 2" xfId="5336"/>
    <cellStyle name="40% - Accent3 2 2 2 3" xfId="5337"/>
    <cellStyle name="40% - Accent3 2 2 3" xfId="5338"/>
    <cellStyle name="40% - Accent3 2 2 3 2" xfId="5339"/>
    <cellStyle name="40% - Accent3 2 2 3 3" xfId="5340"/>
    <cellStyle name="40% - Accent3 2 2 4" xfId="5341"/>
    <cellStyle name="40% - Accent3 2 2 4 2" xfId="5342"/>
    <cellStyle name="40% - Accent3 2 2 4 3" xfId="5343"/>
    <cellStyle name="40% - Accent3 2 2 5" xfId="5344"/>
    <cellStyle name="40% - Accent3 2 2 6" xfId="5345"/>
    <cellStyle name="40% - Accent3 2 2_Volatility" xfId="5346"/>
    <cellStyle name="40% - Accent3 2 3" xfId="5347"/>
    <cellStyle name="40% - Accent3 2 3 2" xfId="5348"/>
    <cellStyle name="40% - Accent3 2 3 2 2" xfId="5349"/>
    <cellStyle name="40% - Accent3 2 3 2 3" xfId="5350"/>
    <cellStyle name="40% - Accent3 2 3 3" xfId="5351"/>
    <cellStyle name="40% - Accent3 2 3 3 2" xfId="5352"/>
    <cellStyle name="40% - Accent3 2 3 3 3" xfId="5353"/>
    <cellStyle name="40% - Accent3 2 3 4" xfId="5354"/>
    <cellStyle name="40% - Accent3 2 3 5" xfId="5355"/>
    <cellStyle name="40% - Accent3 2 3_Volatility" xfId="5356"/>
    <cellStyle name="40% - Accent3 2 4" xfId="5357"/>
    <cellStyle name="40% - Accent3 2 4 2" xfId="5358"/>
    <cellStyle name="40% - Accent3 2 4 3" xfId="5359"/>
    <cellStyle name="40% - Accent3 2 5" xfId="5360"/>
    <cellStyle name="40% - Accent3 2 5 2" xfId="5361"/>
    <cellStyle name="40% - Accent3 2 5 3" xfId="5362"/>
    <cellStyle name="40% - Accent3 2 6" xfId="5363"/>
    <cellStyle name="40% - Accent3 2 6 2" xfId="5364"/>
    <cellStyle name="40% - Accent3 2 6 3" xfId="5365"/>
    <cellStyle name="40% - Accent3 2 7" xfId="5366"/>
    <cellStyle name="40% - Accent3 2 8" xfId="5367"/>
    <cellStyle name="40% - Accent3 2_Volatility" xfId="5368"/>
    <cellStyle name="40% - Accent3 3" xfId="5369"/>
    <cellStyle name="40% - Accent3 3 2" xfId="5370"/>
    <cellStyle name="40% - Accent3 3 2 2" xfId="5371"/>
    <cellStyle name="40% - Accent3 3 2 2 2" xfId="5372"/>
    <cellStyle name="40% - Accent3 3 2 2 3" xfId="5373"/>
    <cellStyle name="40% - Accent3 3 2 3" xfId="5374"/>
    <cellStyle name="40% - Accent3 3 2 3 2" xfId="5375"/>
    <cellStyle name="40% - Accent3 3 2 3 3" xfId="5376"/>
    <cellStyle name="40% - Accent3 3 2 4" xfId="5377"/>
    <cellStyle name="40% - Accent3 3 2 4 2" xfId="5378"/>
    <cellStyle name="40% - Accent3 3 2 4 3" xfId="5379"/>
    <cellStyle name="40% - Accent3 3 2 5" xfId="5380"/>
    <cellStyle name="40% - Accent3 3 2 6" xfId="5381"/>
    <cellStyle name="40% - Accent3 3 2_Volatility" xfId="5382"/>
    <cellStyle name="40% - Accent3 3 3" xfId="5383"/>
    <cellStyle name="40% - Accent3 3 3 2" xfId="5384"/>
    <cellStyle name="40% - Accent3 3 3 2 2" xfId="5385"/>
    <cellStyle name="40% - Accent3 3 3 2 3" xfId="5386"/>
    <cellStyle name="40% - Accent3 3 3 3" xfId="5387"/>
    <cellStyle name="40% - Accent3 3 3 3 2" xfId="5388"/>
    <cellStyle name="40% - Accent3 3 3 3 3" xfId="5389"/>
    <cellStyle name="40% - Accent3 3 3 4" xfId="5390"/>
    <cellStyle name="40% - Accent3 3 3 5" xfId="5391"/>
    <cellStyle name="40% - Accent3 3 3_Volatility" xfId="5392"/>
    <cellStyle name="40% - Accent3 3 4" xfId="5393"/>
    <cellStyle name="40% - Accent3 3 4 2" xfId="5394"/>
    <cellStyle name="40% - Accent3 3 4 3" xfId="5395"/>
    <cellStyle name="40% - Accent3 3 5" xfId="5396"/>
    <cellStyle name="40% - Accent3 3 5 2" xfId="5397"/>
    <cellStyle name="40% - Accent3 3 5 3" xfId="5398"/>
    <cellStyle name="40% - Accent3 3 6" xfId="5399"/>
    <cellStyle name="40% - Accent3 3 6 2" xfId="5400"/>
    <cellStyle name="40% - Accent3 3 6 3" xfId="5401"/>
    <cellStyle name="40% - Accent3 3 7" xfId="5402"/>
    <cellStyle name="40% - Accent3 3 8" xfId="5403"/>
    <cellStyle name="40% - Accent3 3_Volatility" xfId="5404"/>
    <cellStyle name="40% - Accent3 4" xfId="5405"/>
    <cellStyle name="40% - Accent3 4 2" xfId="5406"/>
    <cellStyle name="40% - Accent3 4 2 2" xfId="5407"/>
    <cellStyle name="40% - Accent3 4 2 2 2" xfId="5408"/>
    <cellStyle name="40% - Accent3 4 2 2 3" xfId="5409"/>
    <cellStyle name="40% - Accent3 4 2 3" xfId="5410"/>
    <cellStyle name="40% - Accent3 4 2 3 2" xfId="5411"/>
    <cellStyle name="40% - Accent3 4 2 3 3" xfId="5412"/>
    <cellStyle name="40% - Accent3 4 2 4" xfId="5413"/>
    <cellStyle name="40% - Accent3 4 2 4 2" xfId="5414"/>
    <cellStyle name="40% - Accent3 4 2 4 3" xfId="5415"/>
    <cellStyle name="40% - Accent3 4 2 5" xfId="5416"/>
    <cellStyle name="40% - Accent3 4 2 6" xfId="5417"/>
    <cellStyle name="40% - Accent3 4 2_Volatility" xfId="5418"/>
    <cellStyle name="40% - Accent3 4 3" xfId="5419"/>
    <cellStyle name="40% - Accent3 4 3 2" xfId="5420"/>
    <cellStyle name="40% - Accent3 4 3 2 2" xfId="5421"/>
    <cellStyle name="40% - Accent3 4 3 2 3" xfId="5422"/>
    <cellStyle name="40% - Accent3 4 3 3" xfId="5423"/>
    <cellStyle name="40% - Accent3 4 3 3 2" xfId="5424"/>
    <cellStyle name="40% - Accent3 4 3 3 3" xfId="5425"/>
    <cellStyle name="40% - Accent3 4 3 4" xfId="5426"/>
    <cellStyle name="40% - Accent3 4 3 5" xfId="5427"/>
    <cellStyle name="40% - Accent3 4 3_Volatility" xfId="5428"/>
    <cellStyle name="40% - Accent3 4 4" xfId="5429"/>
    <cellStyle name="40% - Accent3 4 4 2" xfId="5430"/>
    <cellStyle name="40% - Accent3 4 4 3" xfId="5431"/>
    <cellStyle name="40% - Accent3 4 5" xfId="5432"/>
    <cellStyle name="40% - Accent3 4 5 2" xfId="5433"/>
    <cellStyle name="40% - Accent3 4 5 3" xfId="5434"/>
    <cellStyle name="40% - Accent3 4 6" xfId="5435"/>
    <cellStyle name="40% - Accent3 4 6 2" xfId="5436"/>
    <cellStyle name="40% - Accent3 4 6 3" xfId="5437"/>
    <cellStyle name="40% - Accent3 4 7" xfId="5438"/>
    <cellStyle name="40% - Accent3 4 8" xfId="5439"/>
    <cellStyle name="40% - Accent3 4_Volatility" xfId="5440"/>
    <cellStyle name="40% - Accent3 5" xfId="5441"/>
    <cellStyle name="40% - Accent3 5 2" xfId="5442"/>
    <cellStyle name="40% - Accent3 5 2 2" xfId="5443"/>
    <cellStyle name="40% - Accent3 5 2 2 2" xfId="5444"/>
    <cellStyle name="40% - Accent3 5 2 2 3" xfId="5445"/>
    <cellStyle name="40% - Accent3 5 2 3" xfId="5446"/>
    <cellStyle name="40% - Accent3 5 2 3 2" xfId="5447"/>
    <cellStyle name="40% - Accent3 5 2 3 3" xfId="5448"/>
    <cellStyle name="40% - Accent3 5 2 4" xfId="5449"/>
    <cellStyle name="40% - Accent3 5 2 4 2" xfId="5450"/>
    <cellStyle name="40% - Accent3 5 2 4 3" xfId="5451"/>
    <cellStyle name="40% - Accent3 5 2 5" xfId="5452"/>
    <cellStyle name="40% - Accent3 5 2 6" xfId="5453"/>
    <cellStyle name="40% - Accent3 5 2_Volatility" xfId="5454"/>
    <cellStyle name="40% - Accent3 5 3" xfId="5455"/>
    <cellStyle name="40% - Accent3 5 3 2" xfId="5456"/>
    <cellStyle name="40% - Accent3 5 3 2 2" xfId="5457"/>
    <cellStyle name="40% - Accent3 5 3 2 3" xfId="5458"/>
    <cellStyle name="40% - Accent3 5 3 3" xfId="5459"/>
    <cellStyle name="40% - Accent3 5 3 3 2" xfId="5460"/>
    <cellStyle name="40% - Accent3 5 3 3 3" xfId="5461"/>
    <cellStyle name="40% - Accent3 5 3 4" xfId="5462"/>
    <cellStyle name="40% - Accent3 5 3 5" xfId="5463"/>
    <cellStyle name="40% - Accent3 5 3_Volatility" xfId="5464"/>
    <cellStyle name="40% - Accent3 5 4" xfId="5465"/>
    <cellStyle name="40% - Accent3 5 4 2" xfId="5466"/>
    <cellStyle name="40% - Accent3 5 4 3" xfId="5467"/>
    <cellStyle name="40% - Accent3 5 5" xfId="5468"/>
    <cellStyle name="40% - Accent3 5 5 2" xfId="5469"/>
    <cellStyle name="40% - Accent3 5 5 3" xfId="5470"/>
    <cellStyle name="40% - Accent3 5 6" xfId="5471"/>
    <cellStyle name="40% - Accent3 5 6 2" xfId="5472"/>
    <cellStyle name="40% - Accent3 5 6 3" xfId="5473"/>
    <cellStyle name="40% - Accent3 5 7" xfId="5474"/>
    <cellStyle name="40% - Accent3 5 8" xfId="5475"/>
    <cellStyle name="40% - Accent3 5_Volatility" xfId="5476"/>
    <cellStyle name="40% - Accent3 6" xfId="5477"/>
    <cellStyle name="40% - Accent3 6 2" xfId="5478"/>
    <cellStyle name="40% - Accent3 6 2 2" xfId="5479"/>
    <cellStyle name="40% - Accent3 6 2 2 2" xfId="5480"/>
    <cellStyle name="40% - Accent3 6 2 2 3" xfId="5481"/>
    <cellStyle name="40% - Accent3 6 2 3" xfId="5482"/>
    <cellStyle name="40% - Accent3 6 2 3 2" xfId="5483"/>
    <cellStyle name="40% - Accent3 6 2 3 3" xfId="5484"/>
    <cellStyle name="40% - Accent3 6 2 4" xfId="5485"/>
    <cellStyle name="40% - Accent3 6 2 4 2" xfId="5486"/>
    <cellStyle name="40% - Accent3 6 2 4 3" xfId="5487"/>
    <cellStyle name="40% - Accent3 6 2 5" xfId="5488"/>
    <cellStyle name="40% - Accent3 6 2 6" xfId="5489"/>
    <cellStyle name="40% - Accent3 6 2_Volatility" xfId="5490"/>
    <cellStyle name="40% - Accent3 6 3" xfId="5491"/>
    <cellStyle name="40% - Accent3 6 3 2" xfId="5492"/>
    <cellStyle name="40% - Accent3 6 3 2 2" xfId="5493"/>
    <cellStyle name="40% - Accent3 6 3 2 3" xfId="5494"/>
    <cellStyle name="40% - Accent3 6 3 3" xfId="5495"/>
    <cellStyle name="40% - Accent3 6 3 3 2" xfId="5496"/>
    <cellStyle name="40% - Accent3 6 3 3 3" xfId="5497"/>
    <cellStyle name="40% - Accent3 6 3 4" xfId="5498"/>
    <cellStyle name="40% - Accent3 6 3 5" xfId="5499"/>
    <cellStyle name="40% - Accent3 6 3_Volatility" xfId="5500"/>
    <cellStyle name="40% - Accent3 6 4" xfId="5501"/>
    <cellStyle name="40% - Accent3 6 4 2" xfId="5502"/>
    <cellStyle name="40% - Accent3 6 4 3" xfId="5503"/>
    <cellStyle name="40% - Accent3 6 5" xfId="5504"/>
    <cellStyle name="40% - Accent3 6 5 2" xfId="5505"/>
    <cellStyle name="40% - Accent3 6 5 3" xfId="5506"/>
    <cellStyle name="40% - Accent3 6 6" xfId="5507"/>
    <cellStyle name="40% - Accent3 6 6 2" xfId="5508"/>
    <cellStyle name="40% - Accent3 6 6 3" xfId="5509"/>
    <cellStyle name="40% - Accent3 6 7" xfId="5510"/>
    <cellStyle name="40% - Accent3 6 8" xfId="5511"/>
    <cellStyle name="40% - Accent3 6_Volatility" xfId="5512"/>
    <cellStyle name="40% - Accent3 7" xfId="5513"/>
    <cellStyle name="40% - Accent3 7 2" xfId="5514"/>
    <cellStyle name="40% - Accent3 7 2 2" xfId="5515"/>
    <cellStyle name="40% - Accent3 7 2 2 2" xfId="5516"/>
    <cellStyle name="40% - Accent3 7 2 2 3" xfId="5517"/>
    <cellStyle name="40% - Accent3 7 2 3" xfId="5518"/>
    <cellStyle name="40% - Accent3 7 2 3 2" xfId="5519"/>
    <cellStyle name="40% - Accent3 7 2 3 3" xfId="5520"/>
    <cellStyle name="40% - Accent3 7 2 4" xfId="5521"/>
    <cellStyle name="40% - Accent3 7 2 4 2" xfId="5522"/>
    <cellStyle name="40% - Accent3 7 2 4 3" xfId="5523"/>
    <cellStyle name="40% - Accent3 7 2 5" xfId="5524"/>
    <cellStyle name="40% - Accent3 7 2 6" xfId="5525"/>
    <cellStyle name="40% - Accent3 7 2_Volatility" xfId="5526"/>
    <cellStyle name="40% - Accent3 7 3" xfId="5527"/>
    <cellStyle name="40% - Accent3 7 3 2" xfId="5528"/>
    <cellStyle name="40% - Accent3 7 3 2 2" xfId="5529"/>
    <cellStyle name="40% - Accent3 7 3 2 3" xfId="5530"/>
    <cellStyle name="40% - Accent3 7 3 3" xfId="5531"/>
    <cellStyle name="40% - Accent3 7 3 3 2" xfId="5532"/>
    <cellStyle name="40% - Accent3 7 3 3 3" xfId="5533"/>
    <cellStyle name="40% - Accent3 7 3 4" xfId="5534"/>
    <cellStyle name="40% - Accent3 7 3 5" xfId="5535"/>
    <cellStyle name="40% - Accent3 7 3_Volatility" xfId="5536"/>
    <cellStyle name="40% - Accent3 7 4" xfId="5537"/>
    <cellStyle name="40% - Accent3 7 4 2" xfId="5538"/>
    <cellStyle name="40% - Accent3 7 4 3" xfId="5539"/>
    <cellStyle name="40% - Accent3 7 5" xfId="5540"/>
    <cellStyle name="40% - Accent3 7 5 2" xfId="5541"/>
    <cellStyle name="40% - Accent3 7 5 3" xfId="5542"/>
    <cellStyle name="40% - Accent3 7 6" xfId="5543"/>
    <cellStyle name="40% - Accent3 7 6 2" xfId="5544"/>
    <cellStyle name="40% - Accent3 7 6 3" xfId="5545"/>
    <cellStyle name="40% - Accent3 7 7" xfId="5546"/>
    <cellStyle name="40% - Accent3 7 8" xfId="5547"/>
    <cellStyle name="40% - Accent3 7_Volatility" xfId="5548"/>
    <cellStyle name="40% - Accent3 8" xfId="5549"/>
    <cellStyle name="40% - Accent3 8 2" xfId="5550"/>
    <cellStyle name="40% - Accent3 8 2 2" xfId="5551"/>
    <cellStyle name="40% - Accent3 8 2 2 2" xfId="5552"/>
    <cellStyle name="40% - Accent3 8 2 2 3" xfId="5553"/>
    <cellStyle name="40% - Accent3 8 2 3" xfId="5554"/>
    <cellStyle name="40% - Accent3 8 2 3 2" xfId="5555"/>
    <cellStyle name="40% - Accent3 8 2 3 3" xfId="5556"/>
    <cellStyle name="40% - Accent3 8 2 4" xfId="5557"/>
    <cellStyle name="40% - Accent3 8 2 4 2" xfId="5558"/>
    <cellStyle name="40% - Accent3 8 2 4 3" xfId="5559"/>
    <cellStyle name="40% - Accent3 8 2 5" xfId="5560"/>
    <cellStyle name="40% - Accent3 8 2 6" xfId="5561"/>
    <cellStyle name="40% - Accent3 8 2_Volatility" xfId="5562"/>
    <cellStyle name="40% - Accent3 8 3" xfId="5563"/>
    <cellStyle name="40% - Accent3 8 3 2" xfId="5564"/>
    <cellStyle name="40% - Accent3 8 3 2 2" xfId="5565"/>
    <cellStyle name="40% - Accent3 8 3 2 3" xfId="5566"/>
    <cellStyle name="40% - Accent3 8 3 3" xfId="5567"/>
    <cellStyle name="40% - Accent3 8 3 3 2" xfId="5568"/>
    <cellStyle name="40% - Accent3 8 3 3 3" xfId="5569"/>
    <cellStyle name="40% - Accent3 8 3 4" xfId="5570"/>
    <cellStyle name="40% - Accent3 8 3 5" xfId="5571"/>
    <cellStyle name="40% - Accent3 8 3_Volatility" xfId="5572"/>
    <cellStyle name="40% - Accent3 8 4" xfId="5573"/>
    <cellStyle name="40% - Accent3 8 4 2" xfId="5574"/>
    <cellStyle name="40% - Accent3 8 4 3" xfId="5575"/>
    <cellStyle name="40% - Accent3 8 5" xfId="5576"/>
    <cellStyle name="40% - Accent3 8 5 2" xfId="5577"/>
    <cellStyle name="40% - Accent3 8 5 3" xfId="5578"/>
    <cellStyle name="40% - Accent3 8 6" xfId="5579"/>
    <cellStyle name="40% - Accent3 8 6 2" xfId="5580"/>
    <cellStyle name="40% - Accent3 8 6 3" xfId="5581"/>
    <cellStyle name="40% - Accent3 8 7" xfId="5582"/>
    <cellStyle name="40% - Accent3 8 8" xfId="5583"/>
    <cellStyle name="40% - Accent3 8_Volatility" xfId="5584"/>
    <cellStyle name="40% - Accent3 9" xfId="5585"/>
    <cellStyle name="40% - Accent3 9 2" xfId="5586"/>
    <cellStyle name="40% - Accent3 9 2 2" xfId="5587"/>
    <cellStyle name="40% - Accent3 9 2 2 2" xfId="5588"/>
    <cellStyle name="40% - Accent3 9 2 2 3" xfId="5589"/>
    <cellStyle name="40% - Accent3 9 2 3" xfId="5590"/>
    <cellStyle name="40% - Accent3 9 2 3 2" xfId="5591"/>
    <cellStyle name="40% - Accent3 9 2 3 3" xfId="5592"/>
    <cellStyle name="40% - Accent3 9 2 4" xfId="5593"/>
    <cellStyle name="40% - Accent3 9 2 4 2" xfId="5594"/>
    <cellStyle name="40% - Accent3 9 2 4 3" xfId="5595"/>
    <cellStyle name="40% - Accent3 9 2 5" xfId="5596"/>
    <cellStyle name="40% - Accent3 9 2 6" xfId="5597"/>
    <cellStyle name="40% - Accent3 9 2_Volatility" xfId="5598"/>
    <cellStyle name="40% - Accent3 9 3" xfId="5599"/>
    <cellStyle name="40% - Accent3 9 3 2" xfId="5600"/>
    <cellStyle name="40% - Accent3 9 3 2 2" xfId="5601"/>
    <cellStyle name="40% - Accent3 9 3 2 3" xfId="5602"/>
    <cellStyle name="40% - Accent3 9 3 3" xfId="5603"/>
    <cellStyle name="40% - Accent3 9 3 3 2" xfId="5604"/>
    <cellStyle name="40% - Accent3 9 3 3 3" xfId="5605"/>
    <cellStyle name="40% - Accent3 9 3 4" xfId="5606"/>
    <cellStyle name="40% - Accent3 9 3 5" xfId="5607"/>
    <cellStyle name="40% - Accent3 9 3_Volatility" xfId="5608"/>
    <cellStyle name="40% - Accent3 9 4" xfId="5609"/>
    <cellStyle name="40% - Accent3 9 4 2" xfId="5610"/>
    <cellStyle name="40% - Accent3 9 4 3" xfId="5611"/>
    <cellStyle name="40% - Accent3 9 5" xfId="5612"/>
    <cellStyle name="40% - Accent3 9 5 2" xfId="5613"/>
    <cellStyle name="40% - Accent3 9 5 3" xfId="5614"/>
    <cellStyle name="40% - Accent3 9 6" xfId="5615"/>
    <cellStyle name="40% - Accent3 9 6 2" xfId="5616"/>
    <cellStyle name="40% - Accent3 9 6 3" xfId="5617"/>
    <cellStyle name="40% - Accent3 9 7" xfId="5618"/>
    <cellStyle name="40% - Accent3 9 8" xfId="5619"/>
    <cellStyle name="40% - Accent3 9_Volatility" xfId="5620"/>
    <cellStyle name="40% - Accent4 10" xfId="5621"/>
    <cellStyle name="40% - Accent4 10 2" xfId="5622"/>
    <cellStyle name="40% - Accent4 10 2 2" xfId="5623"/>
    <cellStyle name="40% - Accent4 10 2 2 2" xfId="5624"/>
    <cellStyle name="40% - Accent4 10 2 2 3" xfId="5625"/>
    <cellStyle name="40% - Accent4 10 2 3" xfId="5626"/>
    <cellStyle name="40% - Accent4 10 2 3 2" xfId="5627"/>
    <cellStyle name="40% - Accent4 10 2 3 3" xfId="5628"/>
    <cellStyle name="40% - Accent4 10 2 4" xfId="5629"/>
    <cellStyle name="40% - Accent4 10 2 4 2" xfId="5630"/>
    <cellStyle name="40% - Accent4 10 2 4 3" xfId="5631"/>
    <cellStyle name="40% - Accent4 10 2 5" xfId="5632"/>
    <cellStyle name="40% - Accent4 10 2 6" xfId="5633"/>
    <cellStyle name="40% - Accent4 10 2_Volatility" xfId="5634"/>
    <cellStyle name="40% - Accent4 10 3" xfId="5635"/>
    <cellStyle name="40% - Accent4 10 3 2" xfId="5636"/>
    <cellStyle name="40% - Accent4 10 3 2 2" xfId="5637"/>
    <cellStyle name="40% - Accent4 10 3 2 3" xfId="5638"/>
    <cellStyle name="40% - Accent4 10 3 3" xfId="5639"/>
    <cellStyle name="40% - Accent4 10 3 3 2" xfId="5640"/>
    <cellStyle name="40% - Accent4 10 3 3 3" xfId="5641"/>
    <cellStyle name="40% - Accent4 10 3 4" xfId="5642"/>
    <cellStyle name="40% - Accent4 10 3 5" xfId="5643"/>
    <cellStyle name="40% - Accent4 10 3_Volatility" xfId="5644"/>
    <cellStyle name="40% - Accent4 10 4" xfId="5645"/>
    <cellStyle name="40% - Accent4 10 4 2" xfId="5646"/>
    <cellStyle name="40% - Accent4 10 4 3" xfId="5647"/>
    <cellStyle name="40% - Accent4 10 5" xfId="5648"/>
    <cellStyle name="40% - Accent4 10 5 2" xfId="5649"/>
    <cellStyle name="40% - Accent4 10 5 3" xfId="5650"/>
    <cellStyle name="40% - Accent4 10 6" xfId="5651"/>
    <cellStyle name="40% - Accent4 10 6 2" xfId="5652"/>
    <cellStyle name="40% - Accent4 10 6 3" xfId="5653"/>
    <cellStyle name="40% - Accent4 10 7" xfId="5654"/>
    <cellStyle name="40% - Accent4 10 8" xfId="5655"/>
    <cellStyle name="40% - Accent4 10_Volatility" xfId="5656"/>
    <cellStyle name="40% - Accent4 11" xfId="5657"/>
    <cellStyle name="40% - Accent4 11 2" xfId="5658"/>
    <cellStyle name="40% - Accent4 11 2 2" xfId="5659"/>
    <cellStyle name="40% - Accent4 11 2 2 2" xfId="5660"/>
    <cellStyle name="40% - Accent4 11 2 2 3" xfId="5661"/>
    <cellStyle name="40% - Accent4 11 2 3" xfId="5662"/>
    <cellStyle name="40% - Accent4 11 2 3 2" xfId="5663"/>
    <cellStyle name="40% - Accent4 11 2 3 3" xfId="5664"/>
    <cellStyle name="40% - Accent4 11 2 4" xfId="5665"/>
    <cellStyle name="40% - Accent4 11 2 4 2" xfId="5666"/>
    <cellStyle name="40% - Accent4 11 2 4 3" xfId="5667"/>
    <cellStyle name="40% - Accent4 11 2 5" xfId="5668"/>
    <cellStyle name="40% - Accent4 11 2 6" xfId="5669"/>
    <cellStyle name="40% - Accent4 11 2_Volatility" xfId="5670"/>
    <cellStyle name="40% - Accent4 11 3" xfId="5671"/>
    <cellStyle name="40% - Accent4 11 3 2" xfId="5672"/>
    <cellStyle name="40% - Accent4 11 3 2 2" xfId="5673"/>
    <cellStyle name="40% - Accent4 11 3 2 3" xfId="5674"/>
    <cellStyle name="40% - Accent4 11 3 3" xfId="5675"/>
    <cellStyle name="40% - Accent4 11 3 3 2" xfId="5676"/>
    <cellStyle name="40% - Accent4 11 3 3 3" xfId="5677"/>
    <cellStyle name="40% - Accent4 11 3 4" xfId="5678"/>
    <cellStyle name="40% - Accent4 11 3 5" xfId="5679"/>
    <cellStyle name="40% - Accent4 11 3_Volatility" xfId="5680"/>
    <cellStyle name="40% - Accent4 11 4" xfId="5681"/>
    <cellStyle name="40% - Accent4 11 4 2" xfId="5682"/>
    <cellStyle name="40% - Accent4 11 4 3" xfId="5683"/>
    <cellStyle name="40% - Accent4 11 5" xfId="5684"/>
    <cellStyle name="40% - Accent4 11 5 2" xfId="5685"/>
    <cellStyle name="40% - Accent4 11 5 3" xfId="5686"/>
    <cellStyle name="40% - Accent4 11 6" xfId="5687"/>
    <cellStyle name="40% - Accent4 11 6 2" xfId="5688"/>
    <cellStyle name="40% - Accent4 11 6 3" xfId="5689"/>
    <cellStyle name="40% - Accent4 11 7" xfId="5690"/>
    <cellStyle name="40% - Accent4 11 8" xfId="5691"/>
    <cellStyle name="40% - Accent4 11_Volatility" xfId="5692"/>
    <cellStyle name="40% - Accent4 12" xfId="5693"/>
    <cellStyle name="40% - Accent4 12 2" xfId="5694"/>
    <cellStyle name="40% - Accent4 12 2 2" xfId="5695"/>
    <cellStyle name="40% - Accent4 12 2 2 2" xfId="5696"/>
    <cellStyle name="40% - Accent4 12 2 2 3" xfId="5697"/>
    <cellStyle name="40% - Accent4 12 2 3" xfId="5698"/>
    <cellStyle name="40% - Accent4 12 2 3 2" xfId="5699"/>
    <cellStyle name="40% - Accent4 12 2 3 3" xfId="5700"/>
    <cellStyle name="40% - Accent4 12 2 4" xfId="5701"/>
    <cellStyle name="40% - Accent4 12 2 4 2" xfId="5702"/>
    <cellStyle name="40% - Accent4 12 2 4 3" xfId="5703"/>
    <cellStyle name="40% - Accent4 12 2 5" xfId="5704"/>
    <cellStyle name="40% - Accent4 12 2 6" xfId="5705"/>
    <cellStyle name="40% - Accent4 12 2_Volatility" xfId="5706"/>
    <cellStyle name="40% - Accent4 12 3" xfId="5707"/>
    <cellStyle name="40% - Accent4 12 3 2" xfId="5708"/>
    <cellStyle name="40% - Accent4 12 3 2 2" xfId="5709"/>
    <cellStyle name="40% - Accent4 12 3 2 3" xfId="5710"/>
    <cellStyle name="40% - Accent4 12 3 3" xfId="5711"/>
    <cellStyle name="40% - Accent4 12 3 3 2" xfId="5712"/>
    <cellStyle name="40% - Accent4 12 3 3 3" xfId="5713"/>
    <cellStyle name="40% - Accent4 12 3 4" xfId="5714"/>
    <cellStyle name="40% - Accent4 12 3 5" xfId="5715"/>
    <cellStyle name="40% - Accent4 12 3_Volatility" xfId="5716"/>
    <cellStyle name="40% - Accent4 12 4" xfId="5717"/>
    <cellStyle name="40% - Accent4 12 4 2" xfId="5718"/>
    <cellStyle name="40% - Accent4 12 4 3" xfId="5719"/>
    <cellStyle name="40% - Accent4 12 5" xfId="5720"/>
    <cellStyle name="40% - Accent4 12 5 2" xfId="5721"/>
    <cellStyle name="40% - Accent4 12 5 3" xfId="5722"/>
    <cellStyle name="40% - Accent4 12 6" xfId="5723"/>
    <cellStyle name="40% - Accent4 12 6 2" xfId="5724"/>
    <cellStyle name="40% - Accent4 12 6 3" xfId="5725"/>
    <cellStyle name="40% - Accent4 12 7" xfId="5726"/>
    <cellStyle name="40% - Accent4 12 8" xfId="5727"/>
    <cellStyle name="40% - Accent4 12_Volatility" xfId="5728"/>
    <cellStyle name="40% - Accent4 13" xfId="5729"/>
    <cellStyle name="40% - Accent4 13 2" xfId="5730"/>
    <cellStyle name="40% - Accent4 13 2 2" xfId="5731"/>
    <cellStyle name="40% - Accent4 13 2 2 2" xfId="5732"/>
    <cellStyle name="40% - Accent4 13 2 2 3" xfId="5733"/>
    <cellStyle name="40% - Accent4 13 2 3" xfId="5734"/>
    <cellStyle name="40% - Accent4 13 2 3 2" xfId="5735"/>
    <cellStyle name="40% - Accent4 13 2 3 3" xfId="5736"/>
    <cellStyle name="40% - Accent4 13 2 4" xfId="5737"/>
    <cellStyle name="40% - Accent4 13 2 4 2" xfId="5738"/>
    <cellStyle name="40% - Accent4 13 2 4 3" xfId="5739"/>
    <cellStyle name="40% - Accent4 13 2 5" xfId="5740"/>
    <cellStyle name="40% - Accent4 13 2 6" xfId="5741"/>
    <cellStyle name="40% - Accent4 13 2_Volatility" xfId="5742"/>
    <cellStyle name="40% - Accent4 13 3" xfId="5743"/>
    <cellStyle name="40% - Accent4 13 3 2" xfId="5744"/>
    <cellStyle name="40% - Accent4 13 3 2 2" xfId="5745"/>
    <cellStyle name="40% - Accent4 13 3 2 3" xfId="5746"/>
    <cellStyle name="40% - Accent4 13 3 3" xfId="5747"/>
    <cellStyle name="40% - Accent4 13 3 3 2" xfId="5748"/>
    <cellStyle name="40% - Accent4 13 3 3 3" xfId="5749"/>
    <cellStyle name="40% - Accent4 13 3 4" xfId="5750"/>
    <cellStyle name="40% - Accent4 13 3 5" xfId="5751"/>
    <cellStyle name="40% - Accent4 13 3_Volatility" xfId="5752"/>
    <cellStyle name="40% - Accent4 13 4" xfId="5753"/>
    <cellStyle name="40% - Accent4 13 4 2" xfId="5754"/>
    <cellStyle name="40% - Accent4 13 4 3" xfId="5755"/>
    <cellStyle name="40% - Accent4 13 5" xfId="5756"/>
    <cellStyle name="40% - Accent4 13 5 2" xfId="5757"/>
    <cellStyle name="40% - Accent4 13 5 3" xfId="5758"/>
    <cellStyle name="40% - Accent4 13 6" xfId="5759"/>
    <cellStyle name="40% - Accent4 13 6 2" xfId="5760"/>
    <cellStyle name="40% - Accent4 13 6 3" xfId="5761"/>
    <cellStyle name="40% - Accent4 13 7" xfId="5762"/>
    <cellStyle name="40% - Accent4 13 8" xfId="5763"/>
    <cellStyle name="40% - Accent4 13_Volatility" xfId="5764"/>
    <cellStyle name="40% - Accent4 14" xfId="5765"/>
    <cellStyle name="40% - Accent4 14 2" xfId="5766"/>
    <cellStyle name="40% - Accent4 14 2 2" xfId="5767"/>
    <cellStyle name="40% - Accent4 14 2 2 2" xfId="5768"/>
    <cellStyle name="40% - Accent4 14 2 2 3" xfId="5769"/>
    <cellStyle name="40% - Accent4 14 2 3" xfId="5770"/>
    <cellStyle name="40% - Accent4 14 2 3 2" xfId="5771"/>
    <cellStyle name="40% - Accent4 14 2 3 3" xfId="5772"/>
    <cellStyle name="40% - Accent4 14 2 4" xfId="5773"/>
    <cellStyle name="40% - Accent4 14 2 4 2" xfId="5774"/>
    <cellStyle name="40% - Accent4 14 2 4 3" xfId="5775"/>
    <cellStyle name="40% - Accent4 14 2 5" xfId="5776"/>
    <cellStyle name="40% - Accent4 14 2 6" xfId="5777"/>
    <cellStyle name="40% - Accent4 14 2_Volatility" xfId="5778"/>
    <cellStyle name="40% - Accent4 14 3" xfId="5779"/>
    <cellStyle name="40% - Accent4 14 3 2" xfId="5780"/>
    <cellStyle name="40% - Accent4 14 3 2 2" xfId="5781"/>
    <cellStyle name="40% - Accent4 14 3 2 3" xfId="5782"/>
    <cellStyle name="40% - Accent4 14 3 3" xfId="5783"/>
    <cellStyle name="40% - Accent4 14 3 3 2" xfId="5784"/>
    <cellStyle name="40% - Accent4 14 3 3 3" xfId="5785"/>
    <cellStyle name="40% - Accent4 14 3 4" xfId="5786"/>
    <cellStyle name="40% - Accent4 14 3 5" xfId="5787"/>
    <cellStyle name="40% - Accent4 14 3_Volatility" xfId="5788"/>
    <cellStyle name="40% - Accent4 14 4" xfId="5789"/>
    <cellStyle name="40% - Accent4 14 4 2" xfId="5790"/>
    <cellStyle name="40% - Accent4 14 4 3" xfId="5791"/>
    <cellStyle name="40% - Accent4 14 5" xfId="5792"/>
    <cellStyle name="40% - Accent4 14 5 2" xfId="5793"/>
    <cellStyle name="40% - Accent4 14 5 3" xfId="5794"/>
    <cellStyle name="40% - Accent4 14 6" xfId="5795"/>
    <cellStyle name="40% - Accent4 14 6 2" xfId="5796"/>
    <cellStyle name="40% - Accent4 14 6 3" xfId="5797"/>
    <cellStyle name="40% - Accent4 14 7" xfId="5798"/>
    <cellStyle name="40% - Accent4 14 8" xfId="5799"/>
    <cellStyle name="40% - Accent4 14_Volatility" xfId="5800"/>
    <cellStyle name="40% - Accent4 15" xfId="5801"/>
    <cellStyle name="40% - Accent4 15 2" xfId="5802"/>
    <cellStyle name="40% - Accent4 15 2 2" xfId="5803"/>
    <cellStyle name="40% - Accent4 15 2 2 2" xfId="5804"/>
    <cellStyle name="40% - Accent4 15 2 2 3" xfId="5805"/>
    <cellStyle name="40% - Accent4 15 2 3" xfId="5806"/>
    <cellStyle name="40% - Accent4 15 2 3 2" xfId="5807"/>
    <cellStyle name="40% - Accent4 15 2 3 3" xfId="5808"/>
    <cellStyle name="40% - Accent4 15 2 4" xfId="5809"/>
    <cellStyle name="40% - Accent4 15 2 4 2" xfId="5810"/>
    <cellStyle name="40% - Accent4 15 2 4 3" xfId="5811"/>
    <cellStyle name="40% - Accent4 15 2 5" xfId="5812"/>
    <cellStyle name="40% - Accent4 15 2 6" xfId="5813"/>
    <cellStyle name="40% - Accent4 15 2_Volatility" xfId="5814"/>
    <cellStyle name="40% - Accent4 15 3" xfId="5815"/>
    <cellStyle name="40% - Accent4 15 3 2" xfId="5816"/>
    <cellStyle name="40% - Accent4 15 3 2 2" xfId="5817"/>
    <cellStyle name="40% - Accent4 15 3 2 3" xfId="5818"/>
    <cellStyle name="40% - Accent4 15 3 3" xfId="5819"/>
    <cellStyle name="40% - Accent4 15 3 3 2" xfId="5820"/>
    <cellStyle name="40% - Accent4 15 3 3 3" xfId="5821"/>
    <cellStyle name="40% - Accent4 15 3 4" xfId="5822"/>
    <cellStyle name="40% - Accent4 15 3 5" xfId="5823"/>
    <cellStyle name="40% - Accent4 15 3_Volatility" xfId="5824"/>
    <cellStyle name="40% - Accent4 15 4" xfId="5825"/>
    <cellStyle name="40% - Accent4 15 4 2" xfId="5826"/>
    <cellStyle name="40% - Accent4 15 4 3" xfId="5827"/>
    <cellStyle name="40% - Accent4 15 5" xfId="5828"/>
    <cellStyle name="40% - Accent4 15 5 2" xfId="5829"/>
    <cellStyle name="40% - Accent4 15 5 3" xfId="5830"/>
    <cellStyle name="40% - Accent4 15 6" xfId="5831"/>
    <cellStyle name="40% - Accent4 15 6 2" xfId="5832"/>
    <cellStyle name="40% - Accent4 15 6 3" xfId="5833"/>
    <cellStyle name="40% - Accent4 15 7" xfId="5834"/>
    <cellStyle name="40% - Accent4 15 8" xfId="5835"/>
    <cellStyle name="40% - Accent4 15_Volatility" xfId="5836"/>
    <cellStyle name="40% - Accent4 16" xfId="5837"/>
    <cellStyle name="40% - Accent4 16 2" xfId="15937"/>
    <cellStyle name="40% - Accent4 16 2 2" xfId="29329"/>
    <cellStyle name="40% - Accent4 16 3" xfId="19888"/>
    <cellStyle name="40% - Accent4 16 3 2" xfId="33167"/>
    <cellStyle name="40% - Accent4 16 4" xfId="24195"/>
    <cellStyle name="40% - Accent4 17" xfId="5838"/>
    <cellStyle name="40% - Accent4 17 2" xfId="15938"/>
    <cellStyle name="40% - Accent4 17 2 2" xfId="29330"/>
    <cellStyle name="40% - Accent4 17 3" xfId="19889"/>
    <cellStyle name="40% - Accent4 17 3 2" xfId="33168"/>
    <cellStyle name="40% - Accent4 17 4" xfId="24196"/>
    <cellStyle name="40% - Accent4 18" xfId="5839"/>
    <cellStyle name="40% - Accent4 18 2" xfId="15939"/>
    <cellStyle name="40% - Accent4 18 2 2" xfId="29331"/>
    <cellStyle name="40% - Accent4 18 3" xfId="19890"/>
    <cellStyle name="40% - Accent4 18 3 2" xfId="33169"/>
    <cellStyle name="40% - Accent4 18 4" xfId="24197"/>
    <cellStyle name="40% - Accent4 19" xfId="5840"/>
    <cellStyle name="40% - Accent4 19 2" xfId="15940"/>
    <cellStyle name="40% - Accent4 19 2 2" xfId="29332"/>
    <cellStyle name="40% - Accent4 19 3" xfId="19891"/>
    <cellStyle name="40% - Accent4 19 3 2" xfId="33170"/>
    <cellStyle name="40% - Accent4 19 4" xfId="24198"/>
    <cellStyle name="40% - Accent4 2" xfId="5841"/>
    <cellStyle name="40% - Accent4 2 2" xfId="5842"/>
    <cellStyle name="40% - Accent4 2 2 2" xfId="5843"/>
    <cellStyle name="40% - Accent4 2 2 2 2" xfId="5844"/>
    <cellStyle name="40% - Accent4 2 2 2 3" xfId="5845"/>
    <cellStyle name="40% - Accent4 2 2 3" xfId="5846"/>
    <cellStyle name="40% - Accent4 2 2 3 2" xfId="5847"/>
    <cellStyle name="40% - Accent4 2 2 3 3" xfId="5848"/>
    <cellStyle name="40% - Accent4 2 2 4" xfId="5849"/>
    <cellStyle name="40% - Accent4 2 2 4 2" xfId="5850"/>
    <cellStyle name="40% - Accent4 2 2 4 3" xfId="5851"/>
    <cellStyle name="40% - Accent4 2 2 5" xfId="5852"/>
    <cellStyle name="40% - Accent4 2 2 6" xfId="5853"/>
    <cellStyle name="40% - Accent4 2 2_Volatility" xfId="5854"/>
    <cellStyle name="40% - Accent4 2 3" xfId="5855"/>
    <cellStyle name="40% - Accent4 2 3 2" xfId="5856"/>
    <cellStyle name="40% - Accent4 2 3 2 2" xfId="5857"/>
    <cellStyle name="40% - Accent4 2 3 2 3" xfId="5858"/>
    <cellStyle name="40% - Accent4 2 3 3" xfId="5859"/>
    <cellStyle name="40% - Accent4 2 3 3 2" xfId="5860"/>
    <cellStyle name="40% - Accent4 2 3 3 3" xfId="5861"/>
    <cellStyle name="40% - Accent4 2 3 4" xfId="5862"/>
    <cellStyle name="40% - Accent4 2 3 5" xfId="5863"/>
    <cellStyle name="40% - Accent4 2 3_Volatility" xfId="5864"/>
    <cellStyle name="40% - Accent4 2 4" xfId="5865"/>
    <cellStyle name="40% - Accent4 2 4 2" xfId="5866"/>
    <cellStyle name="40% - Accent4 2 4 3" xfId="5867"/>
    <cellStyle name="40% - Accent4 2 5" xfId="5868"/>
    <cellStyle name="40% - Accent4 2 5 2" xfId="5869"/>
    <cellStyle name="40% - Accent4 2 5 3" xfId="5870"/>
    <cellStyle name="40% - Accent4 2 6" xfId="5871"/>
    <cellStyle name="40% - Accent4 2 6 2" xfId="5872"/>
    <cellStyle name="40% - Accent4 2 6 3" xfId="5873"/>
    <cellStyle name="40% - Accent4 2 7" xfId="5874"/>
    <cellStyle name="40% - Accent4 2 8" xfId="5875"/>
    <cellStyle name="40% - Accent4 2_Volatility" xfId="5876"/>
    <cellStyle name="40% - Accent4 3" xfId="5877"/>
    <cellStyle name="40% - Accent4 3 2" xfId="5878"/>
    <cellStyle name="40% - Accent4 3 2 2" xfId="5879"/>
    <cellStyle name="40% - Accent4 3 2 2 2" xfId="5880"/>
    <cellStyle name="40% - Accent4 3 2 2 3" xfId="5881"/>
    <cellStyle name="40% - Accent4 3 2 3" xfId="5882"/>
    <cellStyle name="40% - Accent4 3 2 3 2" xfId="5883"/>
    <cellStyle name="40% - Accent4 3 2 3 3" xfId="5884"/>
    <cellStyle name="40% - Accent4 3 2 4" xfId="5885"/>
    <cellStyle name="40% - Accent4 3 2 4 2" xfId="5886"/>
    <cellStyle name="40% - Accent4 3 2 4 3" xfId="5887"/>
    <cellStyle name="40% - Accent4 3 2 5" xfId="5888"/>
    <cellStyle name="40% - Accent4 3 2 6" xfId="5889"/>
    <cellStyle name="40% - Accent4 3 2_Volatility" xfId="5890"/>
    <cellStyle name="40% - Accent4 3 3" xfId="5891"/>
    <cellStyle name="40% - Accent4 3 3 2" xfId="5892"/>
    <cellStyle name="40% - Accent4 3 3 2 2" xfId="5893"/>
    <cellStyle name="40% - Accent4 3 3 2 3" xfId="5894"/>
    <cellStyle name="40% - Accent4 3 3 3" xfId="5895"/>
    <cellStyle name="40% - Accent4 3 3 3 2" xfId="5896"/>
    <cellStyle name="40% - Accent4 3 3 3 3" xfId="5897"/>
    <cellStyle name="40% - Accent4 3 3 4" xfId="5898"/>
    <cellStyle name="40% - Accent4 3 3 5" xfId="5899"/>
    <cellStyle name="40% - Accent4 3 3_Volatility" xfId="5900"/>
    <cellStyle name="40% - Accent4 3 4" xfId="5901"/>
    <cellStyle name="40% - Accent4 3 4 2" xfId="5902"/>
    <cellStyle name="40% - Accent4 3 4 3" xfId="5903"/>
    <cellStyle name="40% - Accent4 3 5" xfId="5904"/>
    <cellStyle name="40% - Accent4 3 5 2" xfId="5905"/>
    <cellStyle name="40% - Accent4 3 5 3" xfId="5906"/>
    <cellStyle name="40% - Accent4 3 6" xfId="5907"/>
    <cellStyle name="40% - Accent4 3 6 2" xfId="5908"/>
    <cellStyle name="40% - Accent4 3 6 3" xfId="5909"/>
    <cellStyle name="40% - Accent4 3 7" xfId="5910"/>
    <cellStyle name="40% - Accent4 3 8" xfId="5911"/>
    <cellStyle name="40% - Accent4 3_Volatility" xfId="5912"/>
    <cellStyle name="40% - Accent4 4" xfId="5913"/>
    <cellStyle name="40% - Accent4 4 2" xfId="5914"/>
    <cellStyle name="40% - Accent4 4 2 2" xfId="5915"/>
    <cellStyle name="40% - Accent4 4 2 2 2" xfId="5916"/>
    <cellStyle name="40% - Accent4 4 2 2 3" xfId="5917"/>
    <cellStyle name="40% - Accent4 4 2 3" xfId="5918"/>
    <cellStyle name="40% - Accent4 4 2 3 2" xfId="5919"/>
    <cellStyle name="40% - Accent4 4 2 3 3" xfId="5920"/>
    <cellStyle name="40% - Accent4 4 2 4" xfId="5921"/>
    <cellStyle name="40% - Accent4 4 2 4 2" xfId="5922"/>
    <cellStyle name="40% - Accent4 4 2 4 3" xfId="5923"/>
    <cellStyle name="40% - Accent4 4 2 5" xfId="5924"/>
    <cellStyle name="40% - Accent4 4 2 6" xfId="5925"/>
    <cellStyle name="40% - Accent4 4 2_Volatility" xfId="5926"/>
    <cellStyle name="40% - Accent4 4 3" xfId="5927"/>
    <cellStyle name="40% - Accent4 4 3 2" xfId="5928"/>
    <cellStyle name="40% - Accent4 4 3 2 2" xfId="5929"/>
    <cellStyle name="40% - Accent4 4 3 2 3" xfId="5930"/>
    <cellStyle name="40% - Accent4 4 3 3" xfId="5931"/>
    <cellStyle name="40% - Accent4 4 3 3 2" xfId="5932"/>
    <cellStyle name="40% - Accent4 4 3 3 3" xfId="5933"/>
    <cellStyle name="40% - Accent4 4 3 4" xfId="5934"/>
    <cellStyle name="40% - Accent4 4 3 5" xfId="5935"/>
    <cellStyle name="40% - Accent4 4 3_Volatility" xfId="5936"/>
    <cellStyle name="40% - Accent4 4 4" xfId="5937"/>
    <cellStyle name="40% - Accent4 4 4 2" xfId="5938"/>
    <cellStyle name="40% - Accent4 4 4 3" xfId="5939"/>
    <cellStyle name="40% - Accent4 4 5" xfId="5940"/>
    <cellStyle name="40% - Accent4 4 5 2" xfId="5941"/>
    <cellStyle name="40% - Accent4 4 5 3" xfId="5942"/>
    <cellStyle name="40% - Accent4 4 6" xfId="5943"/>
    <cellStyle name="40% - Accent4 4 6 2" xfId="5944"/>
    <cellStyle name="40% - Accent4 4 6 3" xfId="5945"/>
    <cellStyle name="40% - Accent4 4 7" xfId="5946"/>
    <cellStyle name="40% - Accent4 4 8" xfId="5947"/>
    <cellStyle name="40% - Accent4 4_Volatility" xfId="5948"/>
    <cellStyle name="40% - Accent4 5" xfId="5949"/>
    <cellStyle name="40% - Accent4 5 2" xfId="5950"/>
    <cellStyle name="40% - Accent4 5 2 2" xfId="5951"/>
    <cellStyle name="40% - Accent4 5 2 2 2" xfId="5952"/>
    <cellStyle name="40% - Accent4 5 2 2 3" xfId="5953"/>
    <cellStyle name="40% - Accent4 5 2 3" xfId="5954"/>
    <cellStyle name="40% - Accent4 5 2 3 2" xfId="5955"/>
    <cellStyle name="40% - Accent4 5 2 3 3" xfId="5956"/>
    <cellStyle name="40% - Accent4 5 2 4" xfId="5957"/>
    <cellStyle name="40% - Accent4 5 2 4 2" xfId="5958"/>
    <cellStyle name="40% - Accent4 5 2 4 3" xfId="5959"/>
    <cellStyle name="40% - Accent4 5 2 5" xfId="5960"/>
    <cellStyle name="40% - Accent4 5 2 6" xfId="5961"/>
    <cellStyle name="40% - Accent4 5 2_Volatility" xfId="5962"/>
    <cellStyle name="40% - Accent4 5 3" xfId="5963"/>
    <cellStyle name="40% - Accent4 5 3 2" xfId="5964"/>
    <cellStyle name="40% - Accent4 5 3 2 2" xfId="5965"/>
    <cellStyle name="40% - Accent4 5 3 2 3" xfId="5966"/>
    <cellStyle name="40% - Accent4 5 3 3" xfId="5967"/>
    <cellStyle name="40% - Accent4 5 3 3 2" xfId="5968"/>
    <cellStyle name="40% - Accent4 5 3 3 3" xfId="5969"/>
    <cellStyle name="40% - Accent4 5 3 4" xfId="5970"/>
    <cellStyle name="40% - Accent4 5 3 5" xfId="5971"/>
    <cellStyle name="40% - Accent4 5 3_Volatility" xfId="5972"/>
    <cellStyle name="40% - Accent4 5 4" xfId="5973"/>
    <cellStyle name="40% - Accent4 5 4 2" xfId="5974"/>
    <cellStyle name="40% - Accent4 5 4 3" xfId="5975"/>
    <cellStyle name="40% - Accent4 5 5" xfId="5976"/>
    <cellStyle name="40% - Accent4 5 5 2" xfId="5977"/>
    <cellStyle name="40% - Accent4 5 5 3" xfId="5978"/>
    <cellStyle name="40% - Accent4 5 6" xfId="5979"/>
    <cellStyle name="40% - Accent4 5 6 2" xfId="5980"/>
    <cellStyle name="40% - Accent4 5 6 3" xfId="5981"/>
    <cellStyle name="40% - Accent4 5 7" xfId="5982"/>
    <cellStyle name="40% - Accent4 5 8" xfId="5983"/>
    <cellStyle name="40% - Accent4 5_Volatility" xfId="5984"/>
    <cellStyle name="40% - Accent4 6" xfId="5985"/>
    <cellStyle name="40% - Accent4 6 2" xfId="5986"/>
    <cellStyle name="40% - Accent4 6 2 2" xfId="5987"/>
    <cellStyle name="40% - Accent4 6 2 2 2" xfId="5988"/>
    <cellStyle name="40% - Accent4 6 2 2 3" xfId="5989"/>
    <cellStyle name="40% - Accent4 6 2 3" xfId="5990"/>
    <cellStyle name="40% - Accent4 6 2 3 2" xfId="5991"/>
    <cellStyle name="40% - Accent4 6 2 3 3" xfId="5992"/>
    <cellStyle name="40% - Accent4 6 2 4" xfId="5993"/>
    <cellStyle name="40% - Accent4 6 2 4 2" xfId="5994"/>
    <cellStyle name="40% - Accent4 6 2 4 3" xfId="5995"/>
    <cellStyle name="40% - Accent4 6 2 5" xfId="5996"/>
    <cellStyle name="40% - Accent4 6 2 6" xfId="5997"/>
    <cellStyle name="40% - Accent4 6 2_Volatility" xfId="5998"/>
    <cellStyle name="40% - Accent4 6 3" xfId="5999"/>
    <cellStyle name="40% - Accent4 6 3 2" xfId="6000"/>
    <cellStyle name="40% - Accent4 6 3 2 2" xfId="6001"/>
    <cellStyle name="40% - Accent4 6 3 2 3" xfId="6002"/>
    <cellStyle name="40% - Accent4 6 3 3" xfId="6003"/>
    <cellStyle name="40% - Accent4 6 3 3 2" xfId="6004"/>
    <cellStyle name="40% - Accent4 6 3 3 3" xfId="6005"/>
    <cellStyle name="40% - Accent4 6 3 4" xfId="6006"/>
    <cellStyle name="40% - Accent4 6 3 5" xfId="6007"/>
    <cellStyle name="40% - Accent4 6 3_Volatility" xfId="6008"/>
    <cellStyle name="40% - Accent4 6 4" xfId="6009"/>
    <cellStyle name="40% - Accent4 6 4 2" xfId="6010"/>
    <cellStyle name="40% - Accent4 6 4 3" xfId="6011"/>
    <cellStyle name="40% - Accent4 6 5" xfId="6012"/>
    <cellStyle name="40% - Accent4 6 5 2" xfId="6013"/>
    <cellStyle name="40% - Accent4 6 5 3" xfId="6014"/>
    <cellStyle name="40% - Accent4 6 6" xfId="6015"/>
    <cellStyle name="40% - Accent4 6 6 2" xfId="6016"/>
    <cellStyle name="40% - Accent4 6 6 3" xfId="6017"/>
    <cellStyle name="40% - Accent4 6 7" xfId="6018"/>
    <cellStyle name="40% - Accent4 6 8" xfId="6019"/>
    <cellStyle name="40% - Accent4 6_Volatility" xfId="6020"/>
    <cellStyle name="40% - Accent4 7" xfId="6021"/>
    <cellStyle name="40% - Accent4 7 2" xfId="6022"/>
    <cellStyle name="40% - Accent4 7 2 2" xfId="6023"/>
    <cellStyle name="40% - Accent4 7 2 2 2" xfId="6024"/>
    <cellStyle name="40% - Accent4 7 2 2 3" xfId="6025"/>
    <cellStyle name="40% - Accent4 7 2 3" xfId="6026"/>
    <cellStyle name="40% - Accent4 7 2 3 2" xfId="6027"/>
    <cellStyle name="40% - Accent4 7 2 3 3" xfId="6028"/>
    <cellStyle name="40% - Accent4 7 2 4" xfId="6029"/>
    <cellStyle name="40% - Accent4 7 2 4 2" xfId="6030"/>
    <cellStyle name="40% - Accent4 7 2 4 3" xfId="6031"/>
    <cellStyle name="40% - Accent4 7 2 5" xfId="6032"/>
    <cellStyle name="40% - Accent4 7 2 6" xfId="6033"/>
    <cellStyle name="40% - Accent4 7 2_Volatility" xfId="6034"/>
    <cellStyle name="40% - Accent4 7 3" xfId="6035"/>
    <cellStyle name="40% - Accent4 7 3 2" xfId="6036"/>
    <cellStyle name="40% - Accent4 7 3 2 2" xfId="6037"/>
    <cellStyle name="40% - Accent4 7 3 2 3" xfId="6038"/>
    <cellStyle name="40% - Accent4 7 3 3" xfId="6039"/>
    <cellStyle name="40% - Accent4 7 3 3 2" xfId="6040"/>
    <cellStyle name="40% - Accent4 7 3 3 3" xfId="6041"/>
    <cellStyle name="40% - Accent4 7 3 4" xfId="6042"/>
    <cellStyle name="40% - Accent4 7 3 5" xfId="6043"/>
    <cellStyle name="40% - Accent4 7 3_Volatility" xfId="6044"/>
    <cellStyle name="40% - Accent4 7 4" xfId="6045"/>
    <cellStyle name="40% - Accent4 7 4 2" xfId="6046"/>
    <cellStyle name="40% - Accent4 7 4 3" xfId="6047"/>
    <cellStyle name="40% - Accent4 7 5" xfId="6048"/>
    <cellStyle name="40% - Accent4 7 5 2" xfId="6049"/>
    <cellStyle name="40% - Accent4 7 5 3" xfId="6050"/>
    <cellStyle name="40% - Accent4 7 6" xfId="6051"/>
    <cellStyle name="40% - Accent4 7 6 2" xfId="6052"/>
    <cellStyle name="40% - Accent4 7 6 3" xfId="6053"/>
    <cellStyle name="40% - Accent4 7 7" xfId="6054"/>
    <cellStyle name="40% - Accent4 7 8" xfId="6055"/>
    <cellStyle name="40% - Accent4 7_Volatility" xfId="6056"/>
    <cellStyle name="40% - Accent4 8" xfId="6057"/>
    <cellStyle name="40% - Accent4 8 2" xfId="6058"/>
    <cellStyle name="40% - Accent4 8 2 2" xfId="6059"/>
    <cellStyle name="40% - Accent4 8 2 2 2" xfId="6060"/>
    <cellStyle name="40% - Accent4 8 2 2 3" xfId="6061"/>
    <cellStyle name="40% - Accent4 8 2 3" xfId="6062"/>
    <cellStyle name="40% - Accent4 8 2 3 2" xfId="6063"/>
    <cellStyle name="40% - Accent4 8 2 3 3" xfId="6064"/>
    <cellStyle name="40% - Accent4 8 2 4" xfId="6065"/>
    <cellStyle name="40% - Accent4 8 2 4 2" xfId="6066"/>
    <cellStyle name="40% - Accent4 8 2 4 3" xfId="6067"/>
    <cellStyle name="40% - Accent4 8 2 5" xfId="6068"/>
    <cellStyle name="40% - Accent4 8 2 6" xfId="6069"/>
    <cellStyle name="40% - Accent4 8 2_Volatility" xfId="6070"/>
    <cellStyle name="40% - Accent4 8 3" xfId="6071"/>
    <cellStyle name="40% - Accent4 8 3 2" xfId="6072"/>
    <cellStyle name="40% - Accent4 8 3 2 2" xfId="6073"/>
    <cellStyle name="40% - Accent4 8 3 2 3" xfId="6074"/>
    <cellStyle name="40% - Accent4 8 3 3" xfId="6075"/>
    <cellStyle name="40% - Accent4 8 3 3 2" xfId="6076"/>
    <cellStyle name="40% - Accent4 8 3 3 3" xfId="6077"/>
    <cellStyle name="40% - Accent4 8 3 4" xfId="6078"/>
    <cellStyle name="40% - Accent4 8 3 5" xfId="6079"/>
    <cellStyle name="40% - Accent4 8 3_Volatility" xfId="6080"/>
    <cellStyle name="40% - Accent4 8 4" xfId="6081"/>
    <cellStyle name="40% - Accent4 8 4 2" xfId="6082"/>
    <cellStyle name="40% - Accent4 8 4 3" xfId="6083"/>
    <cellStyle name="40% - Accent4 8 5" xfId="6084"/>
    <cellStyle name="40% - Accent4 8 5 2" xfId="6085"/>
    <cellStyle name="40% - Accent4 8 5 3" xfId="6086"/>
    <cellStyle name="40% - Accent4 8 6" xfId="6087"/>
    <cellStyle name="40% - Accent4 8 6 2" xfId="6088"/>
    <cellStyle name="40% - Accent4 8 6 3" xfId="6089"/>
    <cellStyle name="40% - Accent4 8 7" xfId="6090"/>
    <cellStyle name="40% - Accent4 8 8" xfId="6091"/>
    <cellStyle name="40% - Accent4 8_Volatility" xfId="6092"/>
    <cellStyle name="40% - Accent4 9" xfId="6093"/>
    <cellStyle name="40% - Accent4 9 2" xfId="6094"/>
    <cellStyle name="40% - Accent4 9 2 2" xfId="6095"/>
    <cellStyle name="40% - Accent4 9 2 2 2" xfId="6096"/>
    <cellStyle name="40% - Accent4 9 2 2 3" xfId="6097"/>
    <cellStyle name="40% - Accent4 9 2 3" xfId="6098"/>
    <cellStyle name="40% - Accent4 9 2 3 2" xfId="6099"/>
    <cellStyle name="40% - Accent4 9 2 3 3" xfId="6100"/>
    <cellStyle name="40% - Accent4 9 2 4" xfId="6101"/>
    <cellStyle name="40% - Accent4 9 2 4 2" xfId="6102"/>
    <cellStyle name="40% - Accent4 9 2 4 3" xfId="6103"/>
    <cellStyle name="40% - Accent4 9 2 5" xfId="6104"/>
    <cellStyle name="40% - Accent4 9 2 6" xfId="6105"/>
    <cellStyle name="40% - Accent4 9 2_Volatility" xfId="6106"/>
    <cellStyle name="40% - Accent4 9 3" xfId="6107"/>
    <cellStyle name="40% - Accent4 9 3 2" xfId="6108"/>
    <cellStyle name="40% - Accent4 9 3 2 2" xfId="6109"/>
    <cellStyle name="40% - Accent4 9 3 2 3" xfId="6110"/>
    <cellStyle name="40% - Accent4 9 3 3" xfId="6111"/>
    <cellStyle name="40% - Accent4 9 3 3 2" xfId="6112"/>
    <cellStyle name="40% - Accent4 9 3 3 3" xfId="6113"/>
    <cellStyle name="40% - Accent4 9 3 4" xfId="6114"/>
    <cellStyle name="40% - Accent4 9 3 5" xfId="6115"/>
    <cellStyle name="40% - Accent4 9 3_Volatility" xfId="6116"/>
    <cellStyle name="40% - Accent4 9 4" xfId="6117"/>
    <cellStyle name="40% - Accent4 9 4 2" xfId="6118"/>
    <cellStyle name="40% - Accent4 9 4 3" xfId="6119"/>
    <cellStyle name="40% - Accent4 9 5" xfId="6120"/>
    <cellStyle name="40% - Accent4 9 5 2" xfId="6121"/>
    <cellStyle name="40% - Accent4 9 5 3" xfId="6122"/>
    <cellStyle name="40% - Accent4 9 6" xfId="6123"/>
    <cellStyle name="40% - Accent4 9 6 2" xfId="6124"/>
    <cellStyle name="40% - Accent4 9 6 3" xfId="6125"/>
    <cellStyle name="40% - Accent4 9 7" xfId="6126"/>
    <cellStyle name="40% - Accent4 9 8" xfId="6127"/>
    <cellStyle name="40% - Accent4 9_Volatility" xfId="6128"/>
    <cellStyle name="40% - Accent5 10" xfId="6129"/>
    <cellStyle name="40% - Accent5 10 2" xfId="6130"/>
    <cellStyle name="40% - Accent5 10 2 2" xfId="6131"/>
    <cellStyle name="40% - Accent5 10 2 2 2" xfId="6132"/>
    <cellStyle name="40% - Accent5 10 2 2 3" xfId="6133"/>
    <cellStyle name="40% - Accent5 10 2 3" xfId="6134"/>
    <cellStyle name="40% - Accent5 10 2 3 2" xfId="6135"/>
    <cellStyle name="40% - Accent5 10 2 3 3" xfId="6136"/>
    <cellStyle name="40% - Accent5 10 2 4" xfId="6137"/>
    <cellStyle name="40% - Accent5 10 2 4 2" xfId="6138"/>
    <cellStyle name="40% - Accent5 10 2 4 3" xfId="6139"/>
    <cellStyle name="40% - Accent5 10 2 5" xfId="6140"/>
    <cellStyle name="40% - Accent5 10 2 6" xfId="6141"/>
    <cellStyle name="40% - Accent5 10 2_Volatility" xfId="6142"/>
    <cellStyle name="40% - Accent5 10 3" xfId="6143"/>
    <cellStyle name="40% - Accent5 10 3 2" xfId="6144"/>
    <cellStyle name="40% - Accent5 10 3 2 2" xfId="6145"/>
    <cellStyle name="40% - Accent5 10 3 2 3" xfId="6146"/>
    <cellStyle name="40% - Accent5 10 3 3" xfId="6147"/>
    <cellStyle name="40% - Accent5 10 3 3 2" xfId="6148"/>
    <cellStyle name="40% - Accent5 10 3 3 3" xfId="6149"/>
    <cellStyle name="40% - Accent5 10 3 4" xfId="6150"/>
    <cellStyle name="40% - Accent5 10 3 5" xfId="6151"/>
    <cellStyle name="40% - Accent5 10 3_Volatility" xfId="6152"/>
    <cellStyle name="40% - Accent5 10 4" xfId="6153"/>
    <cellStyle name="40% - Accent5 10 4 2" xfId="6154"/>
    <cellStyle name="40% - Accent5 10 4 3" xfId="6155"/>
    <cellStyle name="40% - Accent5 10 5" xfId="6156"/>
    <cellStyle name="40% - Accent5 10 5 2" xfId="6157"/>
    <cellStyle name="40% - Accent5 10 5 3" xfId="6158"/>
    <cellStyle name="40% - Accent5 10 6" xfId="6159"/>
    <cellStyle name="40% - Accent5 10 6 2" xfId="6160"/>
    <cellStyle name="40% - Accent5 10 6 3" xfId="6161"/>
    <cellStyle name="40% - Accent5 10 7" xfId="6162"/>
    <cellStyle name="40% - Accent5 10 8" xfId="6163"/>
    <cellStyle name="40% - Accent5 10_Volatility" xfId="6164"/>
    <cellStyle name="40% - Accent5 11" xfId="6165"/>
    <cellStyle name="40% - Accent5 11 2" xfId="6166"/>
    <cellStyle name="40% - Accent5 11 2 2" xfId="6167"/>
    <cellStyle name="40% - Accent5 11 2 2 2" xfId="6168"/>
    <cellStyle name="40% - Accent5 11 2 2 3" xfId="6169"/>
    <cellStyle name="40% - Accent5 11 2 3" xfId="6170"/>
    <cellStyle name="40% - Accent5 11 2 3 2" xfId="6171"/>
    <cellStyle name="40% - Accent5 11 2 3 3" xfId="6172"/>
    <cellStyle name="40% - Accent5 11 2 4" xfId="6173"/>
    <cellStyle name="40% - Accent5 11 2 4 2" xfId="6174"/>
    <cellStyle name="40% - Accent5 11 2 4 3" xfId="6175"/>
    <cellStyle name="40% - Accent5 11 2 5" xfId="6176"/>
    <cellStyle name="40% - Accent5 11 2 6" xfId="6177"/>
    <cellStyle name="40% - Accent5 11 2_Volatility" xfId="6178"/>
    <cellStyle name="40% - Accent5 11 3" xfId="6179"/>
    <cellStyle name="40% - Accent5 11 3 2" xfId="6180"/>
    <cellStyle name="40% - Accent5 11 3 2 2" xfId="6181"/>
    <cellStyle name="40% - Accent5 11 3 2 3" xfId="6182"/>
    <cellStyle name="40% - Accent5 11 3 3" xfId="6183"/>
    <cellStyle name="40% - Accent5 11 3 3 2" xfId="6184"/>
    <cellStyle name="40% - Accent5 11 3 3 3" xfId="6185"/>
    <cellStyle name="40% - Accent5 11 3 4" xfId="6186"/>
    <cellStyle name="40% - Accent5 11 3 5" xfId="6187"/>
    <cellStyle name="40% - Accent5 11 3_Volatility" xfId="6188"/>
    <cellStyle name="40% - Accent5 11 4" xfId="6189"/>
    <cellStyle name="40% - Accent5 11 4 2" xfId="6190"/>
    <cellStyle name="40% - Accent5 11 4 3" xfId="6191"/>
    <cellStyle name="40% - Accent5 11 5" xfId="6192"/>
    <cellStyle name="40% - Accent5 11 5 2" xfId="6193"/>
    <cellStyle name="40% - Accent5 11 5 3" xfId="6194"/>
    <cellStyle name="40% - Accent5 11 6" xfId="6195"/>
    <cellStyle name="40% - Accent5 11 6 2" xfId="6196"/>
    <cellStyle name="40% - Accent5 11 6 3" xfId="6197"/>
    <cellStyle name="40% - Accent5 11 7" xfId="6198"/>
    <cellStyle name="40% - Accent5 11 8" xfId="6199"/>
    <cellStyle name="40% - Accent5 11_Volatility" xfId="6200"/>
    <cellStyle name="40% - Accent5 12" xfId="6201"/>
    <cellStyle name="40% - Accent5 12 2" xfId="6202"/>
    <cellStyle name="40% - Accent5 12 2 2" xfId="6203"/>
    <cellStyle name="40% - Accent5 12 2 2 2" xfId="6204"/>
    <cellStyle name="40% - Accent5 12 2 2 3" xfId="6205"/>
    <cellStyle name="40% - Accent5 12 2 3" xfId="6206"/>
    <cellStyle name="40% - Accent5 12 2 3 2" xfId="6207"/>
    <cellStyle name="40% - Accent5 12 2 3 3" xfId="6208"/>
    <cellStyle name="40% - Accent5 12 2 4" xfId="6209"/>
    <cellStyle name="40% - Accent5 12 2 4 2" xfId="6210"/>
    <cellStyle name="40% - Accent5 12 2 4 3" xfId="6211"/>
    <cellStyle name="40% - Accent5 12 2 5" xfId="6212"/>
    <cellStyle name="40% - Accent5 12 2 6" xfId="6213"/>
    <cellStyle name="40% - Accent5 12 2_Volatility" xfId="6214"/>
    <cellStyle name="40% - Accent5 12 3" xfId="6215"/>
    <cellStyle name="40% - Accent5 12 3 2" xfId="6216"/>
    <cellStyle name="40% - Accent5 12 3 2 2" xfId="6217"/>
    <cellStyle name="40% - Accent5 12 3 2 3" xfId="6218"/>
    <cellStyle name="40% - Accent5 12 3 3" xfId="6219"/>
    <cellStyle name="40% - Accent5 12 3 3 2" xfId="6220"/>
    <cellStyle name="40% - Accent5 12 3 3 3" xfId="6221"/>
    <cellStyle name="40% - Accent5 12 3 4" xfId="6222"/>
    <cellStyle name="40% - Accent5 12 3 5" xfId="6223"/>
    <cellStyle name="40% - Accent5 12 3_Volatility" xfId="6224"/>
    <cellStyle name="40% - Accent5 12 4" xfId="6225"/>
    <cellStyle name="40% - Accent5 12 4 2" xfId="6226"/>
    <cellStyle name="40% - Accent5 12 4 3" xfId="6227"/>
    <cellStyle name="40% - Accent5 12 5" xfId="6228"/>
    <cellStyle name="40% - Accent5 12 5 2" xfId="6229"/>
    <cellStyle name="40% - Accent5 12 5 3" xfId="6230"/>
    <cellStyle name="40% - Accent5 12 6" xfId="6231"/>
    <cellStyle name="40% - Accent5 12 6 2" xfId="6232"/>
    <cellStyle name="40% - Accent5 12 6 3" xfId="6233"/>
    <cellStyle name="40% - Accent5 12 7" xfId="6234"/>
    <cellStyle name="40% - Accent5 12 8" xfId="6235"/>
    <cellStyle name="40% - Accent5 12_Volatility" xfId="6236"/>
    <cellStyle name="40% - Accent5 13" xfId="6237"/>
    <cellStyle name="40% - Accent5 13 2" xfId="6238"/>
    <cellStyle name="40% - Accent5 13 2 2" xfId="6239"/>
    <cellStyle name="40% - Accent5 13 2 2 2" xfId="6240"/>
    <cellStyle name="40% - Accent5 13 2 2 3" xfId="6241"/>
    <cellStyle name="40% - Accent5 13 2 3" xfId="6242"/>
    <cellStyle name="40% - Accent5 13 2 3 2" xfId="6243"/>
    <cellStyle name="40% - Accent5 13 2 3 3" xfId="6244"/>
    <cellStyle name="40% - Accent5 13 2 4" xfId="6245"/>
    <cellStyle name="40% - Accent5 13 2 4 2" xfId="6246"/>
    <cellStyle name="40% - Accent5 13 2 4 3" xfId="6247"/>
    <cellStyle name="40% - Accent5 13 2 5" xfId="6248"/>
    <cellStyle name="40% - Accent5 13 2 6" xfId="6249"/>
    <cellStyle name="40% - Accent5 13 2_Volatility" xfId="6250"/>
    <cellStyle name="40% - Accent5 13 3" xfId="6251"/>
    <cellStyle name="40% - Accent5 13 3 2" xfId="6252"/>
    <cellStyle name="40% - Accent5 13 3 2 2" xfId="6253"/>
    <cellStyle name="40% - Accent5 13 3 2 3" xfId="6254"/>
    <cellStyle name="40% - Accent5 13 3 3" xfId="6255"/>
    <cellStyle name="40% - Accent5 13 3 3 2" xfId="6256"/>
    <cellStyle name="40% - Accent5 13 3 3 3" xfId="6257"/>
    <cellStyle name="40% - Accent5 13 3 4" xfId="6258"/>
    <cellStyle name="40% - Accent5 13 3 5" xfId="6259"/>
    <cellStyle name="40% - Accent5 13 3_Volatility" xfId="6260"/>
    <cellStyle name="40% - Accent5 13 4" xfId="6261"/>
    <cellStyle name="40% - Accent5 13 4 2" xfId="6262"/>
    <cellStyle name="40% - Accent5 13 4 3" xfId="6263"/>
    <cellStyle name="40% - Accent5 13 5" xfId="6264"/>
    <cellStyle name="40% - Accent5 13 5 2" xfId="6265"/>
    <cellStyle name="40% - Accent5 13 5 3" xfId="6266"/>
    <cellStyle name="40% - Accent5 13 6" xfId="6267"/>
    <cellStyle name="40% - Accent5 13 6 2" xfId="6268"/>
    <cellStyle name="40% - Accent5 13 6 3" xfId="6269"/>
    <cellStyle name="40% - Accent5 13 7" xfId="6270"/>
    <cellStyle name="40% - Accent5 13 8" xfId="6271"/>
    <cellStyle name="40% - Accent5 13_Volatility" xfId="6272"/>
    <cellStyle name="40% - Accent5 14" xfId="6273"/>
    <cellStyle name="40% - Accent5 14 2" xfId="6274"/>
    <cellStyle name="40% - Accent5 14 2 2" xfId="6275"/>
    <cellStyle name="40% - Accent5 14 2 2 2" xfId="6276"/>
    <cellStyle name="40% - Accent5 14 2 2 3" xfId="6277"/>
    <cellStyle name="40% - Accent5 14 2 3" xfId="6278"/>
    <cellStyle name="40% - Accent5 14 2 3 2" xfId="6279"/>
    <cellStyle name="40% - Accent5 14 2 3 3" xfId="6280"/>
    <cellStyle name="40% - Accent5 14 2 4" xfId="6281"/>
    <cellStyle name="40% - Accent5 14 2 4 2" xfId="6282"/>
    <cellStyle name="40% - Accent5 14 2 4 3" xfId="6283"/>
    <cellStyle name="40% - Accent5 14 2 5" xfId="6284"/>
    <cellStyle name="40% - Accent5 14 2 6" xfId="6285"/>
    <cellStyle name="40% - Accent5 14 2_Volatility" xfId="6286"/>
    <cellStyle name="40% - Accent5 14 3" xfId="6287"/>
    <cellStyle name="40% - Accent5 14 3 2" xfId="6288"/>
    <cellStyle name="40% - Accent5 14 3 2 2" xfId="6289"/>
    <cellStyle name="40% - Accent5 14 3 2 3" xfId="6290"/>
    <cellStyle name="40% - Accent5 14 3 3" xfId="6291"/>
    <cellStyle name="40% - Accent5 14 3 3 2" xfId="6292"/>
    <cellStyle name="40% - Accent5 14 3 3 3" xfId="6293"/>
    <cellStyle name="40% - Accent5 14 3 4" xfId="6294"/>
    <cellStyle name="40% - Accent5 14 3 5" xfId="6295"/>
    <cellStyle name="40% - Accent5 14 3_Volatility" xfId="6296"/>
    <cellStyle name="40% - Accent5 14 4" xfId="6297"/>
    <cellStyle name="40% - Accent5 14 4 2" xfId="6298"/>
    <cellStyle name="40% - Accent5 14 4 3" xfId="6299"/>
    <cellStyle name="40% - Accent5 14 5" xfId="6300"/>
    <cellStyle name="40% - Accent5 14 5 2" xfId="6301"/>
    <cellStyle name="40% - Accent5 14 5 3" xfId="6302"/>
    <cellStyle name="40% - Accent5 14 6" xfId="6303"/>
    <cellStyle name="40% - Accent5 14 6 2" xfId="6304"/>
    <cellStyle name="40% - Accent5 14 6 3" xfId="6305"/>
    <cellStyle name="40% - Accent5 14 7" xfId="6306"/>
    <cellStyle name="40% - Accent5 14 8" xfId="6307"/>
    <cellStyle name="40% - Accent5 14_Volatility" xfId="6308"/>
    <cellStyle name="40% - Accent5 15" xfId="6309"/>
    <cellStyle name="40% - Accent5 15 2" xfId="6310"/>
    <cellStyle name="40% - Accent5 15 2 2" xfId="6311"/>
    <cellStyle name="40% - Accent5 15 2 2 2" xfId="6312"/>
    <cellStyle name="40% - Accent5 15 2 2 3" xfId="6313"/>
    <cellStyle name="40% - Accent5 15 2 3" xfId="6314"/>
    <cellStyle name="40% - Accent5 15 2 3 2" xfId="6315"/>
    <cellStyle name="40% - Accent5 15 2 3 3" xfId="6316"/>
    <cellStyle name="40% - Accent5 15 2 4" xfId="6317"/>
    <cellStyle name="40% - Accent5 15 2 4 2" xfId="6318"/>
    <cellStyle name="40% - Accent5 15 2 4 3" xfId="6319"/>
    <cellStyle name="40% - Accent5 15 2 5" xfId="6320"/>
    <cellStyle name="40% - Accent5 15 2 6" xfId="6321"/>
    <cellStyle name="40% - Accent5 15 2_Volatility" xfId="6322"/>
    <cellStyle name="40% - Accent5 15 3" xfId="6323"/>
    <cellStyle name="40% - Accent5 15 3 2" xfId="6324"/>
    <cellStyle name="40% - Accent5 15 3 2 2" xfId="6325"/>
    <cellStyle name="40% - Accent5 15 3 2 3" xfId="6326"/>
    <cellStyle name="40% - Accent5 15 3 3" xfId="6327"/>
    <cellStyle name="40% - Accent5 15 3 3 2" xfId="6328"/>
    <cellStyle name="40% - Accent5 15 3 3 3" xfId="6329"/>
    <cellStyle name="40% - Accent5 15 3 4" xfId="6330"/>
    <cellStyle name="40% - Accent5 15 3 5" xfId="6331"/>
    <cellStyle name="40% - Accent5 15 3_Volatility" xfId="6332"/>
    <cellStyle name="40% - Accent5 15 4" xfId="6333"/>
    <cellStyle name="40% - Accent5 15 4 2" xfId="6334"/>
    <cellStyle name="40% - Accent5 15 4 3" xfId="6335"/>
    <cellStyle name="40% - Accent5 15 5" xfId="6336"/>
    <cellStyle name="40% - Accent5 15 5 2" xfId="6337"/>
    <cellStyle name="40% - Accent5 15 5 3" xfId="6338"/>
    <cellStyle name="40% - Accent5 15 6" xfId="6339"/>
    <cellStyle name="40% - Accent5 15 6 2" xfId="6340"/>
    <cellStyle name="40% - Accent5 15 6 3" xfId="6341"/>
    <cellStyle name="40% - Accent5 15 7" xfId="6342"/>
    <cellStyle name="40% - Accent5 15 8" xfId="6343"/>
    <cellStyle name="40% - Accent5 15_Volatility" xfId="6344"/>
    <cellStyle name="40% - Accent5 16" xfId="6345"/>
    <cellStyle name="40% - Accent5 16 2" xfId="15941"/>
    <cellStyle name="40% - Accent5 16 2 2" xfId="29333"/>
    <cellStyle name="40% - Accent5 16 3" xfId="19892"/>
    <cellStyle name="40% - Accent5 16 3 2" xfId="33171"/>
    <cellStyle name="40% - Accent5 16 4" xfId="24199"/>
    <cellStyle name="40% - Accent5 17" xfId="6346"/>
    <cellStyle name="40% - Accent5 17 2" xfId="15942"/>
    <cellStyle name="40% - Accent5 17 2 2" xfId="29334"/>
    <cellStyle name="40% - Accent5 17 3" xfId="19893"/>
    <cellStyle name="40% - Accent5 17 3 2" xfId="33172"/>
    <cellStyle name="40% - Accent5 17 4" xfId="24200"/>
    <cellStyle name="40% - Accent5 18" xfId="6347"/>
    <cellStyle name="40% - Accent5 18 2" xfId="15943"/>
    <cellStyle name="40% - Accent5 18 2 2" xfId="29335"/>
    <cellStyle name="40% - Accent5 18 3" xfId="19894"/>
    <cellStyle name="40% - Accent5 18 3 2" xfId="33173"/>
    <cellStyle name="40% - Accent5 18 4" xfId="24201"/>
    <cellStyle name="40% - Accent5 19" xfId="6348"/>
    <cellStyle name="40% - Accent5 19 2" xfId="15944"/>
    <cellStyle name="40% - Accent5 19 2 2" xfId="29336"/>
    <cellStyle name="40% - Accent5 19 3" xfId="19895"/>
    <cellStyle name="40% - Accent5 19 3 2" xfId="33174"/>
    <cellStyle name="40% - Accent5 19 4" xfId="24202"/>
    <cellStyle name="40% - Accent5 2" xfId="6349"/>
    <cellStyle name="40% - Accent5 2 2" xfId="6350"/>
    <cellStyle name="40% - Accent5 2 2 2" xfId="6351"/>
    <cellStyle name="40% - Accent5 2 2 2 2" xfId="6352"/>
    <cellStyle name="40% - Accent5 2 2 2 3" xfId="6353"/>
    <cellStyle name="40% - Accent5 2 2 3" xfId="6354"/>
    <cellStyle name="40% - Accent5 2 2 3 2" xfId="6355"/>
    <cellStyle name="40% - Accent5 2 2 3 3" xfId="6356"/>
    <cellStyle name="40% - Accent5 2 2 4" xfId="6357"/>
    <cellStyle name="40% - Accent5 2 2 4 2" xfId="6358"/>
    <cellStyle name="40% - Accent5 2 2 4 3" xfId="6359"/>
    <cellStyle name="40% - Accent5 2 2 5" xfId="6360"/>
    <cellStyle name="40% - Accent5 2 2 6" xfId="6361"/>
    <cellStyle name="40% - Accent5 2 2_Volatility" xfId="6362"/>
    <cellStyle name="40% - Accent5 2 3" xfId="6363"/>
    <cellStyle name="40% - Accent5 2 3 2" xfId="6364"/>
    <cellStyle name="40% - Accent5 2 3 2 2" xfId="6365"/>
    <cellStyle name="40% - Accent5 2 3 2 3" xfId="6366"/>
    <cellStyle name="40% - Accent5 2 3 3" xfId="6367"/>
    <cellStyle name="40% - Accent5 2 3 3 2" xfId="6368"/>
    <cellStyle name="40% - Accent5 2 3 3 3" xfId="6369"/>
    <cellStyle name="40% - Accent5 2 3 4" xfId="6370"/>
    <cellStyle name="40% - Accent5 2 3 5" xfId="6371"/>
    <cellStyle name="40% - Accent5 2 3_Volatility" xfId="6372"/>
    <cellStyle name="40% - Accent5 2 4" xfId="6373"/>
    <cellStyle name="40% - Accent5 2 4 2" xfId="6374"/>
    <cellStyle name="40% - Accent5 2 4 3" xfId="6375"/>
    <cellStyle name="40% - Accent5 2 5" xfId="6376"/>
    <cellStyle name="40% - Accent5 2 5 2" xfId="6377"/>
    <cellStyle name="40% - Accent5 2 5 3" xfId="6378"/>
    <cellStyle name="40% - Accent5 2 6" xfId="6379"/>
    <cellStyle name="40% - Accent5 2 6 2" xfId="6380"/>
    <cellStyle name="40% - Accent5 2 6 3" xfId="6381"/>
    <cellStyle name="40% - Accent5 2 7" xfId="6382"/>
    <cellStyle name="40% - Accent5 2 8" xfId="6383"/>
    <cellStyle name="40% - Accent5 2_Volatility" xfId="6384"/>
    <cellStyle name="40% - Accent5 3" xfId="6385"/>
    <cellStyle name="40% - Accent5 3 2" xfId="6386"/>
    <cellStyle name="40% - Accent5 3 2 2" xfId="6387"/>
    <cellStyle name="40% - Accent5 3 2 2 2" xfId="6388"/>
    <cellStyle name="40% - Accent5 3 2 2 3" xfId="6389"/>
    <cellStyle name="40% - Accent5 3 2 3" xfId="6390"/>
    <cellStyle name="40% - Accent5 3 2 3 2" xfId="6391"/>
    <cellStyle name="40% - Accent5 3 2 3 3" xfId="6392"/>
    <cellStyle name="40% - Accent5 3 2 4" xfId="6393"/>
    <cellStyle name="40% - Accent5 3 2 4 2" xfId="6394"/>
    <cellStyle name="40% - Accent5 3 2 4 3" xfId="6395"/>
    <cellStyle name="40% - Accent5 3 2 5" xfId="6396"/>
    <cellStyle name="40% - Accent5 3 2 6" xfId="6397"/>
    <cellStyle name="40% - Accent5 3 2_Volatility" xfId="6398"/>
    <cellStyle name="40% - Accent5 3 3" xfId="6399"/>
    <cellStyle name="40% - Accent5 3 3 2" xfId="6400"/>
    <cellStyle name="40% - Accent5 3 3 2 2" xfId="6401"/>
    <cellStyle name="40% - Accent5 3 3 2 3" xfId="6402"/>
    <cellStyle name="40% - Accent5 3 3 3" xfId="6403"/>
    <cellStyle name="40% - Accent5 3 3 3 2" xfId="6404"/>
    <cellStyle name="40% - Accent5 3 3 3 3" xfId="6405"/>
    <cellStyle name="40% - Accent5 3 3 4" xfId="6406"/>
    <cellStyle name="40% - Accent5 3 3 5" xfId="6407"/>
    <cellStyle name="40% - Accent5 3 3_Volatility" xfId="6408"/>
    <cellStyle name="40% - Accent5 3 4" xfId="6409"/>
    <cellStyle name="40% - Accent5 3 4 2" xfId="6410"/>
    <cellStyle name="40% - Accent5 3 4 3" xfId="6411"/>
    <cellStyle name="40% - Accent5 3 5" xfId="6412"/>
    <cellStyle name="40% - Accent5 3 5 2" xfId="6413"/>
    <cellStyle name="40% - Accent5 3 5 3" xfId="6414"/>
    <cellStyle name="40% - Accent5 3 6" xfId="6415"/>
    <cellStyle name="40% - Accent5 3 6 2" xfId="6416"/>
    <cellStyle name="40% - Accent5 3 6 3" xfId="6417"/>
    <cellStyle name="40% - Accent5 3 7" xfId="6418"/>
    <cellStyle name="40% - Accent5 3 8" xfId="6419"/>
    <cellStyle name="40% - Accent5 3_Volatility" xfId="6420"/>
    <cellStyle name="40% - Accent5 4" xfId="6421"/>
    <cellStyle name="40% - Accent5 4 2" xfId="6422"/>
    <cellStyle name="40% - Accent5 4 2 2" xfId="6423"/>
    <cellStyle name="40% - Accent5 4 2 2 2" xfId="6424"/>
    <cellStyle name="40% - Accent5 4 2 2 3" xfId="6425"/>
    <cellStyle name="40% - Accent5 4 2 3" xfId="6426"/>
    <cellStyle name="40% - Accent5 4 2 3 2" xfId="6427"/>
    <cellStyle name="40% - Accent5 4 2 3 3" xfId="6428"/>
    <cellStyle name="40% - Accent5 4 2 4" xfId="6429"/>
    <cellStyle name="40% - Accent5 4 2 4 2" xfId="6430"/>
    <cellStyle name="40% - Accent5 4 2 4 3" xfId="6431"/>
    <cellStyle name="40% - Accent5 4 2 5" xfId="6432"/>
    <cellStyle name="40% - Accent5 4 2 6" xfId="6433"/>
    <cellStyle name="40% - Accent5 4 2_Volatility" xfId="6434"/>
    <cellStyle name="40% - Accent5 4 3" xfId="6435"/>
    <cellStyle name="40% - Accent5 4 3 2" xfId="6436"/>
    <cellStyle name="40% - Accent5 4 3 2 2" xfId="6437"/>
    <cellStyle name="40% - Accent5 4 3 2 3" xfId="6438"/>
    <cellStyle name="40% - Accent5 4 3 3" xfId="6439"/>
    <cellStyle name="40% - Accent5 4 3 3 2" xfId="6440"/>
    <cellStyle name="40% - Accent5 4 3 3 3" xfId="6441"/>
    <cellStyle name="40% - Accent5 4 3 4" xfId="6442"/>
    <cellStyle name="40% - Accent5 4 3 5" xfId="6443"/>
    <cellStyle name="40% - Accent5 4 3_Volatility" xfId="6444"/>
    <cellStyle name="40% - Accent5 4 4" xfId="6445"/>
    <cellStyle name="40% - Accent5 4 4 2" xfId="6446"/>
    <cellStyle name="40% - Accent5 4 4 3" xfId="6447"/>
    <cellStyle name="40% - Accent5 4 5" xfId="6448"/>
    <cellStyle name="40% - Accent5 4 5 2" xfId="6449"/>
    <cellStyle name="40% - Accent5 4 5 3" xfId="6450"/>
    <cellStyle name="40% - Accent5 4 6" xfId="6451"/>
    <cellStyle name="40% - Accent5 4 6 2" xfId="6452"/>
    <cellStyle name="40% - Accent5 4 6 3" xfId="6453"/>
    <cellStyle name="40% - Accent5 4 7" xfId="6454"/>
    <cellStyle name="40% - Accent5 4 8" xfId="6455"/>
    <cellStyle name="40% - Accent5 4_Volatility" xfId="6456"/>
    <cellStyle name="40% - Accent5 5" xfId="6457"/>
    <cellStyle name="40% - Accent5 5 2" xfId="6458"/>
    <cellStyle name="40% - Accent5 5 2 2" xfId="6459"/>
    <cellStyle name="40% - Accent5 5 2 2 2" xfId="6460"/>
    <cellStyle name="40% - Accent5 5 2 2 3" xfId="6461"/>
    <cellStyle name="40% - Accent5 5 2 3" xfId="6462"/>
    <cellStyle name="40% - Accent5 5 2 3 2" xfId="6463"/>
    <cellStyle name="40% - Accent5 5 2 3 3" xfId="6464"/>
    <cellStyle name="40% - Accent5 5 2 4" xfId="6465"/>
    <cellStyle name="40% - Accent5 5 2 4 2" xfId="6466"/>
    <cellStyle name="40% - Accent5 5 2 4 3" xfId="6467"/>
    <cellStyle name="40% - Accent5 5 2 5" xfId="6468"/>
    <cellStyle name="40% - Accent5 5 2 6" xfId="6469"/>
    <cellStyle name="40% - Accent5 5 2_Volatility" xfId="6470"/>
    <cellStyle name="40% - Accent5 5 3" xfId="6471"/>
    <cellStyle name="40% - Accent5 5 3 2" xfId="6472"/>
    <cellStyle name="40% - Accent5 5 3 2 2" xfId="6473"/>
    <cellStyle name="40% - Accent5 5 3 2 3" xfId="6474"/>
    <cellStyle name="40% - Accent5 5 3 3" xfId="6475"/>
    <cellStyle name="40% - Accent5 5 3 3 2" xfId="6476"/>
    <cellStyle name="40% - Accent5 5 3 3 3" xfId="6477"/>
    <cellStyle name="40% - Accent5 5 3 4" xfId="6478"/>
    <cellStyle name="40% - Accent5 5 3 5" xfId="6479"/>
    <cellStyle name="40% - Accent5 5 3_Volatility" xfId="6480"/>
    <cellStyle name="40% - Accent5 5 4" xfId="6481"/>
    <cellStyle name="40% - Accent5 5 4 2" xfId="6482"/>
    <cellStyle name="40% - Accent5 5 4 3" xfId="6483"/>
    <cellStyle name="40% - Accent5 5 5" xfId="6484"/>
    <cellStyle name="40% - Accent5 5 5 2" xfId="6485"/>
    <cellStyle name="40% - Accent5 5 5 3" xfId="6486"/>
    <cellStyle name="40% - Accent5 5 6" xfId="6487"/>
    <cellStyle name="40% - Accent5 5 6 2" xfId="6488"/>
    <cellStyle name="40% - Accent5 5 6 3" xfId="6489"/>
    <cellStyle name="40% - Accent5 5 7" xfId="6490"/>
    <cellStyle name="40% - Accent5 5 8" xfId="6491"/>
    <cellStyle name="40% - Accent5 5_Volatility" xfId="6492"/>
    <cellStyle name="40% - Accent5 6" xfId="6493"/>
    <cellStyle name="40% - Accent5 6 2" xfId="6494"/>
    <cellStyle name="40% - Accent5 6 2 2" xfId="6495"/>
    <cellStyle name="40% - Accent5 6 2 2 2" xfId="6496"/>
    <cellStyle name="40% - Accent5 6 2 2 3" xfId="6497"/>
    <cellStyle name="40% - Accent5 6 2 3" xfId="6498"/>
    <cellStyle name="40% - Accent5 6 2 3 2" xfId="6499"/>
    <cellStyle name="40% - Accent5 6 2 3 3" xfId="6500"/>
    <cellStyle name="40% - Accent5 6 2 4" xfId="6501"/>
    <cellStyle name="40% - Accent5 6 2 4 2" xfId="6502"/>
    <cellStyle name="40% - Accent5 6 2 4 3" xfId="6503"/>
    <cellStyle name="40% - Accent5 6 2 5" xfId="6504"/>
    <cellStyle name="40% - Accent5 6 2 6" xfId="6505"/>
    <cellStyle name="40% - Accent5 6 2_Volatility" xfId="6506"/>
    <cellStyle name="40% - Accent5 6 3" xfId="6507"/>
    <cellStyle name="40% - Accent5 6 3 2" xfId="6508"/>
    <cellStyle name="40% - Accent5 6 3 2 2" xfId="6509"/>
    <cellStyle name="40% - Accent5 6 3 2 3" xfId="6510"/>
    <cellStyle name="40% - Accent5 6 3 3" xfId="6511"/>
    <cellStyle name="40% - Accent5 6 3 3 2" xfId="6512"/>
    <cellStyle name="40% - Accent5 6 3 3 3" xfId="6513"/>
    <cellStyle name="40% - Accent5 6 3 4" xfId="6514"/>
    <cellStyle name="40% - Accent5 6 3 5" xfId="6515"/>
    <cellStyle name="40% - Accent5 6 3_Volatility" xfId="6516"/>
    <cellStyle name="40% - Accent5 6 4" xfId="6517"/>
    <cellStyle name="40% - Accent5 6 4 2" xfId="6518"/>
    <cellStyle name="40% - Accent5 6 4 3" xfId="6519"/>
    <cellStyle name="40% - Accent5 6 5" xfId="6520"/>
    <cellStyle name="40% - Accent5 6 5 2" xfId="6521"/>
    <cellStyle name="40% - Accent5 6 5 3" xfId="6522"/>
    <cellStyle name="40% - Accent5 6 6" xfId="6523"/>
    <cellStyle name="40% - Accent5 6 6 2" xfId="6524"/>
    <cellStyle name="40% - Accent5 6 6 3" xfId="6525"/>
    <cellStyle name="40% - Accent5 6 7" xfId="6526"/>
    <cellStyle name="40% - Accent5 6 8" xfId="6527"/>
    <cellStyle name="40% - Accent5 6_Volatility" xfId="6528"/>
    <cellStyle name="40% - Accent5 7" xfId="6529"/>
    <cellStyle name="40% - Accent5 7 2" xfId="6530"/>
    <cellStyle name="40% - Accent5 7 2 2" xfId="6531"/>
    <cellStyle name="40% - Accent5 7 2 2 2" xfId="6532"/>
    <cellStyle name="40% - Accent5 7 2 2 3" xfId="6533"/>
    <cellStyle name="40% - Accent5 7 2 3" xfId="6534"/>
    <cellStyle name="40% - Accent5 7 2 3 2" xfId="6535"/>
    <cellStyle name="40% - Accent5 7 2 3 3" xfId="6536"/>
    <cellStyle name="40% - Accent5 7 2 4" xfId="6537"/>
    <cellStyle name="40% - Accent5 7 2 4 2" xfId="6538"/>
    <cellStyle name="40% - Accent5 7 2 4 3" xfId="6539"/>
    <cellStyle name="40% - Accent5 7 2 5" xfId="6540"/>
    <cellStyle name="40% - Accent5 7 2 6" xfId="6541"/>
    <cellStyle name="40% - Accent5 7 2_Volatility" xfId="6542"/>
    <cellStyle name="40% - Accent5 7 3" xfId="6543"/>
    <cellStyle name="40% - Accent5 7 3 2" xfId="6544"/>
    <cellStyle name="40% - Accent5 7 3 2 2" xfId="6545"/>
    <cellStyle name="40% - Accent5 7 3 2 3" xfId="6546"/>
    <cellStyle name="40% - Accent5 7 3 3" xfId="6547"/>
    <cellStyle name="40% - Accent5 7 3 3 2" xfId="6548"/>
    <cellStyle name="40% - Accent5 7 3 3 3" xfId="6549"/>
    <cellStyle name="40% - Accent5 7 3 4" xfId="6550"/>
    <cellStyle name="40% - Accent5 7 3 5" xfId="6551"/>
    <cellStyle name="40% - Accent5 7 3_Volatility" xfId="6552"/>
    <cellStyle name="40% - Accent5 7 4" xfId="6553"/>
    <cellStyle name="40% - Accent5 7 4 2" xfId="6554"/>
    <cellStyle name="40% - Accent5 7 4 3" xfId="6555"/>
    <cellStyle name="40% - Accent5 7 5" xfId="6556"/>
    <cellStyle name="40% - Accent5 7 5 2" xfId="6557"/>
    <cellStyle name="40% - Accent5 7 5 3" xfId="6558"/>
    <cellStyle name="40% - Accent5 7 6" xfId="6559"/>
    <cellStyle name="40% - Accent5 7 6 2" xfId="6560"/>
    <cellStyle name="40% - Accent5 7 6 3" xfId="6561"/>
    <cellStyle name="40% - Accent5 7 7" xfId="6562"/>
    <cellStyle name="40% - Accent5 7 8" xfId="6563"/>
    <cellStyle name="40% - Accent5 7_Volatility" xfId="6564"/>
    <cellStyle name="40% - Accent5 8" xfId="6565"/>
    <cellStyle name="40% - Accent5 8 2" xfId="6566"/>
    <cellStyle name="40% - Accent5 8 2 2" xfId="6567"/>
    <cellStyle name="40% - Accent5 8 2 2 2" xfId="6568"/>
    <cellStyle name="40% - Accent5 8 2 2 3" xfId="6569"/>
    <cellStyle name="40% - Accent5 8 2 3" xfId="6570"/>
    <cellStyle name="40% - Accent5 8 2 3 2" xfId="6571"/>
    <cellStyle name="40% - Accent5 8 2 3 3" xfId="6572"/>
    <cellStyle name="40% - Accent5 8 2 4" xfId="6573"/>
    <cellStyle name="40% - Accent5 8 2 4 2" xfId="6574"/>
    <cellStyle name="40% - Accent5 8 2 4 3" xfId="6575"/>
    <cellStyle name="40% - Accent5 8 2 5" xfId="6576"/>
    <cellStyle name="40% - Accent5 8 2 6" xfId="6577"/>
    <cellStyle name="40% - Accent5 8 2_Volatility" xfId="6578"/>
    <cellStyle name="40% - Accent5 8 3" xfId="6579"/>
    <cellStyle name="40% - Accent5 8 3 2" xfId="6580"/>
    <cellStyle name="40% - Accent5 8 3 2 2" xfId="6581"/>
    <cellStyle name="40% - Accent5 8 3 2 3" xfId="6582"/>
    <cellStyle name="40% - Accent5 8 3 3" xfId="6583"/>
    <cellStyle name="40% - Accent5 8 3 3 2" xfId="6584"/>
    <cellStyle name="40% - Accent5 8 3 3 3" xfId="6585"/>
    <cellStyle name="40% - Accent5 8 3 4" xfId="6586"/>
    <cellStyle name="40% - Accent5 8 3 5" xfId="6587"/>
    <cellStyle name="40% - Accent5 8 3_Volatility" xfId="6588"/>
    <cellStyle name="40% - Accent5 8 4" xfId="6589"/>
    <cellStyle name="40% - Accent5 8 4 2" xfId="6590"/>
    <cellStyle name="40% - Accent5 8 4 3" xfId="6591"/>
    <cellStyle name="40% - Accent5 8 5" xfId="6592"/>
    <cellStyle name="40% - Accent5 8 5 2" xfId="6593"/>
    <cellStyle name="40% - Accent5 8 5 3" xfId="6594"/>
    <cellStyle name="40% - Accent5 8 6" xfId="6595"/>
    <cellStyle name="40% - Accent5 8 6 2" xfId="6596"/>
    <cellStyle name="40% - Accent5 8 6 3" xfId="6597"/>
    <cellStyle name="40% - Accent5 8 7" xfId="6598"/>
    <cellStyle name="40% - Accent5 8 8" xfId="6599"/>
    <cellStyle name="40% - Accent5 8_Volatility" xfId="6600"/>
    <cellStyle name="40% - Accent5 9" xfId="6601"/>
    <cellStyle name="40% - Accent5 9 2" xfId="6602"/>
    <cellStyle name="40% - Accent5 9 2 2" xfId="6603"/>
    <cellStyle name="40% - Accent5 9 2 2 2" xfId="6604"/>
    <cellStyle name="40% - Accent5 9 2 2 3" xfId="6605"/>
    <cellStyle name="40% - Accent5 9 2 3" xfId="6606"/>
    <cellStyle name="40% - Accent5 9 2 3 2" xfId="6607"/>
    <cellStyle name="40% - Accent5 9 2 3 3" xfId="6608"/>
    <cellStyle name="40% - Accent5 9 2 4" xfId="6609"/>
    <cellStyle name="40% - Accent5 9 2 4 2" xfId="6610"/>
    <cellStyle name="40% - Accent5 9 2 4 3" xfId="6611"/>
    <cellStyle name="40% - Accent5 9 2 5" xfId="6612"/>
    <cellStyle name="40% - Accent5 9 2 6" xfId="6613"/>
    <cellStyle name="40% - Accent5 9 2_Volatility" xfId="6614"/>
    <cellStyle name="40% - Accent5 9 3" xfId="6615"/>
    <cellStyle name="40% - Accent5 9 3 2" xfId="6616"/>
    <cellStyle name="40% - Accent5 9 3 2 2" xfId="6617"/>
    <cellStyle name="40% - Accent5 9 3 2 3" xfId="6618"/>
    <cellStyle name="40% - Accent5 9 3 3" xfId="6619"/>
    <cellStyle name="40% - Accent5 9 3 3 2" xfId="6620"/>
    <cellStyle name="40% - Accent5 9 3 3 3" xfId="6621"/>
    <cellStyle name="40% - Accent5 9 3 4" xfId="6622"/>
    <cellStyle name="40% - Accent5 9 3 5" xfId="6623"/>
    <cellStyle name="40% - Accent5 9 3_Volatility" xfId="6624"/>
    <cellStyle name="40% - Accent5 9 4" xfId="6625"/>
    <cellStyle name="40% - Accent5 9 4 2" xfId="6626"/>
    <cellStyle name="40% - Accent5 9 4 3" xfId="6627"/>
    <cellStyle name="40% - Accent5 9 5" xfId="6628"/>
    <cellStyle name="40% - Accent5 9 5 2" xfId="6629"/>
    <cellStyle name="40% - Accent5 9 5 3" xfId="6630"/>
    <cellStyle name="40% - Accent5 9 6" xfId="6631"/>
    <cellStyle name="40% - Accent5 9 6 2" xfId="6632"/>
    <cellStyle name="40% - Accent5 9 6 3" xfId="6633"/>
    <cellStyle name="40% - Accent5 9 7" xfId="6634"/>
    <cellStyle name="40% - Accent5 9 8" xfId="6635"/>
    <cellStyle name="40% - Accent5 9_Volatility" xfId="6636"/>
    <cellStyle name="40% - Accent6 10" xfId="6637"/>
    <cellStyle name="40% - Accent6 10 2" xfId="6638"/>
    <cellStyle name="40% - Accent6 10 2 2" xfId="6639"/>
    <cellStyle name="40% - Accent6 10 2 2 2" xfId="6640"/>
    <cellStyle name="40% - Accent6 10 2 2 3" xfId="6641"/>
    <cellStyle name="40% - Accent6 10 2 3" xfId="6642"/>
    <cellStyle name="40% - Accent6 10 2 3 2" xfId="6643"/>
    <cellStyle name="40% - Accent6 10 2 3 3" xfId="6644"/>
    <cellStyle name="40% - Accent6 10 2 4" xfId="6645"/>
    <cellStyle name="40% - Accent6 10 2 4 2" xfId="6646"/>
    <cellStyle name="40% - Accent6 10 2 4 3" xfId="6647"/>
    <cellStyle name="40% - Accent6 10 2 5" xfId="6648"/>
    <cellStyle name="40% - Accent6 10 2 6" xfId="6649"/>
    <cellStyle name="40% - Accent6 10 2_Volatility" xfId="6650"/>
    <cellStyle name="40% - Accent6 10 3" xfId="6651"/>
    <cellStyle name="40% - Accent6 10 3 2" xfId="6652"/>
    <cellStyle name="40% - Accent6 10 3 2 2" xfId="6653"/>
    <cellStyle name="40% - Accent6 10 3 2 3" xfId="6654"/>
    <cellStyle name="40% - Accent6 10 3 3" xfId="6655"/>
    <cellStyle name="40% - Accent6 10 3 3 2" xfId="6656"/>
    <cellStyle name="40% - Accent6 10 3 3 3" xfId="6657"/>
    <cellStyle name="40% - Accent6 10 3 4" xfId="6658"/>
    <cellStyle name="40% - Accent6 10 3 5" xfId="6659"/>
    <cellStyle name="40% - Accent6 10 3_Volatility" xfId="6660"/>
    <cellStyle name="40% - Accent6 10 4" xfId="6661"/>
    <cellStyle name="40% - Accent6 10 4 2" xfId="6662"/>
    <cellStyle name="40% - Accent6 10 4 3" xfId="6663"/>
    <cellStyle name="40% - Accent6 10 5" xfId="6664"/>
    <cellStyle name="40% - Accent6 10 5 2" xfId="6665"/>
    <cellStyle name="40% - Accent6 10 5 3" xfId="6666"/>
    <cellStyle name="40% - Accent6 10 6" xfId="6667"/>
    <cellStyle name="40% - Accent6 10 6 2" xfId="6668"/>
    <cellStyle name="40% - Accent6 10 6 3" xfId="6669"/>
    <cellStyle name="40% - Accent6 10 7" xfId="6670"/>
    <cellStyle name="40% - Accent6 10 8" xfId="6671"/>
    <cellStyle name="40% - Accent6 10_Volatility" xfId="6672"/>
    <cellStyle name="40% - Accent6 11" xfId="6673"/>
    <cellStyle name="40% - Accent6 11 2" xfId="6674"/>
    <cellStyle name="40% - Accent6 11 2 2" xfId="6675"/>
    <cellStyle name="40% - Accent6 11 2 2 2" xfId="6676"/>
    <cellStyle name="40% - Accent6 11 2 2 3" xfId="6677"/>
    <cellStyle name="40% - Accent6 11 2 3" xfId="6678"/>
    <cellStyle name="40% - Accent6 11 2 3 2" xfId="6679"/>
    <cellStyle name="40% - Accent6 11 2 3 3" xfId="6680"/>
    <cellStyle name="40% - Accent6 11 2 4" xfId="6681"/>
    <cellStyle name="40% - Accent6 11 2 4 2" xfId="6682"/>
    <cellStyle name="40% - Accent6 11 2 4 3" xfId="6683"/>
    <cellStyle name="40% - Accent6 11 2 5" xfId="6684"/>
    <cellStyle name="40% - Accent6 11 2 6" xfId="6685"/>
    <cellStyle name="40% - Accent6 11 2_Volatility" xfId="6686"/>
    <cellStyle name="40% - Accent6 11 3" xfId="6687"/>
    <cellStyle name="40% - Accent6 11 3 2" xfId="6688"/>
    <cellStyle name="40% - Accent6 11 3 2 2" xfId="6689"/>
    <cellStyle name="40% - Accent6 11 3 2 3" xfId="6690"/>
    <cellStyle name="40% - Accent6 11 3 3" xfId="6691"/>
    <cellStyle name="40% - Accent6 11 3 3 2" xfId="6692"/>
    <cellStyle name="40% - Accent6 11 3 3 3" xfId="6693"/>
    <cellStyle name="40% - Accent6 11 3 4" xfId="6694"/>
    <cellStyle name="40% - Accent6 11 3 5" xfId="6695"/>
    <cellStyle name="40% - Accent6 11 3_Volatility" xfId="6696"/>
    <cellStyle name="40% - Accent6 11 4" xfId="6697"/>
    <cellStyle name="40% - Accent6 11 4 2" xfId="6698"/>
    <cellStyle name="40% - Accent6 11 4 3" xfId="6699"/>
    <cellStyle name="40% - Accent6 11 5" xfId="6700"/>
    <cellStyle name="40% - Accent6 11 5 2" xfId="6701"/>
    <cellStyle name="40% - Accent6 11 5 3" xfId="6702"/>
    <cellStyle name="40% - Accent6 11 6" xfId="6703"/>
    <cellStyle name="40% - Accent6 11 6 2" xfId="6704"/>
    <cellStyle name="40% - Accent6 11 6 3" xfId="6705"/>
    <cellStyle name="40% - Accent6 11 7" xfId="6706"/>
    <cellStyle name="40% - Accent6 11 8" xfId="6707"/>
    <cellStyle name="40% - Accent6 11_Volatility" xfId="6708"/>
    <cellStyle name="40% - Accent6 12" xfId="6709"/>
    <cellStyle name="40% - Accent6 12 2" xfId="6710"/>
    <cellStyle name="40% - Accent6 12 2 2" xfId="6711"/>
    <cellStyle name="40% - Accent6 12 2 2 2" xfId="6712"/>
    <cellStyle name="40% - Accent6 12 2 2 3" xfId="6713"/>
    <cellStyle name="40% - Accent6 12 2 3" xfId="6714"/>
    <cellStyle name="40% - Accent6 12 2 3 2" xfId="6715"/>
    <cellStyle name="40% - Accent6 12 2 3 3" xfId="6716"/>
    <cellStyle name="40% - Accent6 12 2 4" xfId="6717"/>
    <cellStyle name="40% - Accent6 12 2 4 2" xfId="6718"/>
    <cellStyle name="40% - Accent6 12 2 4 3" xfId="6719"/>
    <cellStyle name="40% - Accent6 12 2 5" xfId="6720"/>
    <cellStyle name="40% - Accent6 12 2 6" xfId="6721"/>
    <cellStyle name="40% - Accent6 12 2_Volatility" xfId="6722"/>
    <cellStyle name="40% - Accent6 12 3" xfId="6723"/>
    <cellStyle name="40% - Accent6 12 3 2" xfId="6724"/>
    <cellStyle name="40% - Accent6 12 3 2 2" xfId="6725"/>
    <cellStyle name="40% - Accent6 12 3 2 3" xfId="6726"/>
    <cellStyle name="40% - Accent6 12 3 3" xfId="6727"/>
    <cellStyle name="40% - Accent6 12 3 3 2" xfId="6728"/>
    <cellStyle name="40% - Accent6 12 3 3 3" xfId="6729"/>
    <cellStyle name="40% - Accent6 12 3 4" xfId="6730"/>
    <cellStyle name="40% - Accent6 12 3 5" xfId="6731"/>
    <cellStyle name="40% - Accent6 12 3_Volatility" xfId="6732"/>
    <cellStyle name="40% - Accent6 12 4" xfId="6733"/>
    <cellStyle name="40% - Accent6 12 4 2" xfId="6734"/>
    <cellStyle name="40% - Accent6 12 4 3" xfId="6735"/>
    <cellStyle name="40% - Accent6 12 5" xfId="6736"/>
    <cellStyle name="40% - Accent6 12 5 2" xfId="6737"/>
    <cellStyle name="40% - Accent6 12 5 3" xfId="6738"/>
    <cellStyle name="40% - Accent6 12 6" xfId="6739"/>
    <cellStyle name="40% - Accent6 12 6 2" xfId="6740"/>
    <cellStyle name="40% - Accent6 12 6 3" xfId="6741"/>
    <cellStyle name="40% - Accent6 12 7" xfId="6742"/>
    <cellStyle name="40% - Accent6 12 8" xfId="6743"/>
    <cellStyle name="40% - Accent6 12_Volatility" xfId="6744"/>
    <cellStyle name="40% - Accent6 13" xfId="6745"/>
    <cellStyle name="40% - Accent6 13 2" xfId="6746"/>
    <cellStyle name="40% - Accent6 13 2 2" xfId="6747"/>
    <cellStyle name="40% - Accent6 13 2 2 2" xfId="6748"/>
    <cellStyle name="40% - Accent6 13 2 2 3" xfId="6749"/>
    <cellStyle name="40% - Accent6 13 2 3" xfId="6750"/>
    <cellStyle name="40% - Accent6 13 2 3 2" xfId="6751"/>
    <cellStyle name="40% - Accent6 13 2 3 3" xfId="6752"/>
    <cellStyle name="40% - Accent6 13 2 4" xfId="6753"/>
    <cellStyle name="40% - Accent6 13 2 4 2" xfId="6754"/>
    <cellStyle name="40% - Accent6 13 2 4 3" xfId="6755"/>
    <cellStyle name="40% - Accent6 13 2 5" xfId="6756"/>
    <cellStyle name="40% - Accent6 13 2 6" xfId="6757"/>
    <cellStyle name="40% - Accent6 13 2_Volatility" xfId="6758"/>
    <cellStyle name="40% - Accent6 13 3" xfId="6759"/>
    <cellStyle name="40% - Accent6 13 3 2" xfId="6760"/>
    <cellStyle name="40% - Accent6 13 3 2 2" xfId="6761"/>
    <cellStyle name="40% - Accent6 13 3 2 3" xfId="6762"/>
    <cellStyle name="40% - Accent6 13 3 3" xfId="6763"/>
    <cellStyle name="40% - Accent6 13 3 3 2" xfId="6764"/>
    <cellStyle name="40% - Accent6 13 3 3 3" xfId="6765"/>
    <cellStyle name="40% - Accent6 13 3 4" xfId="6766"/>
    <cellStyle name="40% - Accent6 13 3 5" xfId="6767"/>
    <cellStyle name="40% - Accent6 13 3_Volatility" xfId="6768"/>
    <cellStyle name="40% - Accent6 13 4" xfId="6769"/>
    <cellStyle name="40% - Accent6 13 4 2" xfId="6770"/>
    <cellStyle name="40% - Accent6 13 4 3" xfId="6771"/>
    <cellStyle name="40% - Accent6 13 5" xfId="6772"/>
    <cellStyle name="40% - Accent6 13 5 2" xfId="6773"/>
    <cellStyle name="40% - Accent6 13 5 3" xfId="6774"/>
    <cellStyle name="40% - Accent6 13 6" xfId="6775"/>
    <cellStyle name="40% - Accent6 13 6 2" xfId="6776"/>
    <cellStyle name="40% - Accent6 13 6 3" xfId="6777"/>
    <cellStyle name="40% - Accent6 13 7" xfId="6778"/>
    <cellStyle name="40% - Accent6 13 8" xfId="6779"/>
    <cellStyle name="40% - Accent6 13_Volatility" xfId="6780"/>
    <cellStyle name="40% - Accent6 14" xfId="6781"/>
    <cellStyle name="40% - Accent6 14 2" xfId="6782"/>
    <cellStyle name="40% - Accent6 14 2 2" xfId="6783"/>
    <cellStyle name="40% - Accent6 14 2 2 2" xfId="6784"/>
    <cellStyle name="40% - Accent6 14 2 2 3" xfId="6785"/>
    <cellStyle name="40% - Accent6 14 2 3" xfId="6786"/>
    <cellStyle name="40% - Accent6 14 2 3 2" xfId="6787"/>
    <cellStyle name="40% - Accent6 14 2 3 3" xfId="6788"/>
    <cellStyle name="40% - Accent6 14 2 4" xfId="6789"/>
    <cellStyle name="40% - Accent6 14 2 4 2" xfId="6790"/>
    <cellStyle name="40% - Accent6 14 2 4 3" xfId="6791"/>
    <cellStyle name="40% - Accent6 14 2 5" xfId="6792"/>
    <cellStyle name="40% - Accent6 14 2 6" xfId="6793"/>
    <cellStyle name="40% - Accent6 14 2_Volatility" xfId="6794"/>
    <cellStyle name="40% - Accent6 14 3" xfId="6795"/>
    <cellStyle name="40% - Accent6 14 3 2" xfId="6796"/>
    <cellStyle name="40% - Accent6 14 3 2 2" xfId="6797"/>
    <cellStyle name="40% - Accent6 14 3 2 3" xfId="6798"/>
    <cellStyle name="40% - Accent6 14 3 3" xfId="6799"/>
    <cellStyle name="40% - Accent6 14 3 3 2" xfId="6800"/>
    <cellStyle name="40% - Accent6 14 3 3 3" xfId="6801"/>
    <cellStyle name="40% - Accent6 14 3 4" xfId="6802"/>
    <cellStyle name="40% - Accent6 14 3 5" xfId="6803"/>
    <cellStyle name="40% - Accent6 14 3_Volatility" xfId="6804"/>
    <cellStyle name="40% - Accent6 14 4" xfId="6805"/>
    <cellStyle name="40% - Accent6 14 4 2" xfId="6806"/>
    <cellStyle name="40% - Accent6 14 4 3" xfId="6807"/>
    <cellStyle name="40% - Accent6 14 5" xfId="6808"/>
    <cellStyle name="40% - Accent6 14 5 2" xfId="6809"/>
    <cellStyle name="40% - Accent6 14 5 3" xfId="6810"/>
    <cellStyle name="40% - Accent6 14 6" xfId="6811"/>
    <cellStyle name="40% - Accent6 14 6 2" xfId="6812"/>
    <cellStyle name="40% - Accent6 14 6 3" xfId="6813"/>
    <cellStyle name="40% - Accent6 14 7" xfId="6814"/>
    <cellStyle name="40% - Accent6 14 8" xfId="6815"/>
    <cellStyle name="40% - Accent6 14_Volatility" xfId="6816"/>
    <cellStyle name="40% - Accent6 15" xfId="6817"/>
    <cellStyle name="40% - Accent6 15 2" xfId="6818"/>
    <cellStyle name="40% - Accent6 15 2 2" xfId="6819"/>
    <cellStyle name="40% - Accent6 15 2 2 2" xfId="6820"/>
    <cellStyle name="40% - Accent6 15 2 2 3" xfId="6821"/>
    <cellStyle name="40% - Accent6 15 2 3" xfId="6822"/>
    <cellStyle name="40% - Accent6 15 2 3 2" xfId="6823"/>
    <cellStyle name="40% - Accent6 15 2 3 3" xfId="6824"/>
    <cellStyle name="40% - Accent6 15 2 4" xfId="6825"/>
    <cellStyle name="40% - Accent6 15 2 4 2" xfId="6826"/>
    <cellStyle name="40% - Accent6 15 2 4 3" xfId="6827"/>
    <cellStyle name="40% - Accent6 15 2 5" xfId="6828"/>
    <cellStyle name="40% - Accent6 15 2 6" xfId="6829"/>
    <cellStyle name="40% - Accent6 15 2_Volatility" xfId="6830"/>
    <cellStyle name="40% - Accent6 15 3" xfId="6831"/>
    <cellStyle name="40% - Accent6 15 3 2" xfId="6832"/>
    <cellStyle name="40% - Accent6 15 3 2 2" xfId="6833"/>
    <cellStyle name="40% - Accent6 15 3 2 3" xfId="6834"/>
    <cellStyle name="40% - Accent6 15 3 3" xfId="6835"/>
    <cellStyle name="40% - Accent6 15 3 3 2" xfId="6836"/>
    <cellStyle name="40% - Accent6 15 3 3 3" xfId="6837"/>
    <cellStyle name="40% - Accent6 15 3 4" xfId="6838"/>
    <cellStyle name="40% - Accent6 15 3 5" xfId="6839"/>
    <cellStyle name="40% - Accent6 15 3_Volatility" xfId="6840"/>
    <cellStyle name="40% - Accent6 15 4" xfId="6841"/>
    <cellStyle name="40% - Accent6 15 4 2" xfId="6842"/>
    <cellStyle name="40% - Accent6 15 4 3" xfId="6843"/>
    <cellStyle name="40% - Accent6 15 5" xfId="6844"/>
    <cellStyle name="40% - Accent6 15 5 2" xfId="6845"/>
    <cellStyle name="40% - Accent6 15 5 3" xfId="6846"/>
    <cellStyle name="40% - Accent6 15 6" xfId="6847"/>
    <cellStyle name="40% - Accent6 15 6 2" xfId="6848"/>
    <cellStyle name="40% - Accent6 15 6 3" xfId="6849"/>
    <cellStyle name="40% - Accent6 15 7" xfId="6850"/>
    <cellStyle name="40% - Accent6 15 8" xfId="6851"/>
    <cellStyle name="40% - Accent6 15_Volatility" xfId="6852"/>
    <cellStyle name="40% - Accent6 16" xfId="6853"/>
    <cellStyle name="40% - Accent6 16 2" xfId="15945"/>
    <cellStyle name="40% - Accent6 16 2 2" xfId="29337"/>
    <cellStyle name="40% - Accent6 16 3" xfId="19896"/>
    <cellStyle name="40% - Accent6 16 3 2" xfId="33175"/>
    <cellStyle name="40% - Accent6 16 4" xfId="24203"/>
    <cellStyle name="40% - Accent6 17" xfId="6854"/>
    <cellStyle name="40% - Accent6 17 2" xfId="15946"/>
    <cellStyle name="40% - Accent6 17 2 2" xfId="29338"/>
    <cellStyle name="40% - Accent6 17 3" xfId="19897"/>
    <cellStyle name="40% - Accent6 17 3 2" xfId="33176"/>
    <cellStyle name="40% - Accent6 17 4" xfId="24204"/>
    <cellStyle name="40% - Accent6 18" xfId="6855"/>
    <cellStyle name="40% - Accent6 18 2" xfId="15947"/>
    <cellStyle name="40% - Accent6 18 2 2" xfId="29339"/>
    <cellStyle name="40% - Accent6 18 3" xfId="19898"/>
    <cellStyle name="40% - Accent6 18 3 2" xfId="33177"/>
    <cellStyle name="40% - Accent6 18 4" xfId="24205"/>
    <cellStyle name="40% - Accent6 19" xfId="6856"/>
    <cellStyle name="40% - Accent6 19 2" xfId="15948"/>
    <cellStyle name="40% - Accent6 19 2 2" xfId="29340"/>
    <cellStyle name="40% - Accent6 19 3" xfId="19899"/>
    <cellStyle name="40% - Accent6 19 3 2" xfId="33178"/>
    <cellStyle name="40% - Accent6 19 4" xfId="24206"/>
    <cellStyle name="40% - Accent6 2" xfId="6857"/>
    <cellStyle name="40% - Accent6 2 2" xfId="6858"/>
    <cellStyle name="40% - Accent6 2 2 2" xfId="6859"/>
    <cellStyle name="40% - Accent6 2 2 2 2" xfId="6860"/>
    <cellStyle name="40% - Accent6 2 2 2 3" xfId="6861"/>
    <cellStyle name="40% - Accent6 2 2 3" xfId="6862"/>
    <cellStyle name="40% - Accent6 2 2 3 2" xfId="6863"/>
    <cellStyle name="40% - Accent6 2 2 3 3" xfId="6864"/>
    <cellStyle name="40% - Accent6 2 2 4" xfId="6865"/>
    <cellStyle name="40% - Accent6 2 2 4 2" xfId="6866"/>
    <cellStyle name="40% - Accent6 2 2 4 3" xfId="6867"/>
    <cellStyle name="40% - Accent6 2 2 5" xfId="6868"/>
    <cellStyle name="40% - Accent6 2 2 6" xfId="6869"/>
    <cellStyle name="40% - Accent6 2 2_Volatility" xfId="6870"/>
    <cellStyle name="40% - Accent6 2 3" xfId="6871"/>
    <cellStyle name="40% - Accent6 2 3 2" xfId="6872"/>
    <cellStyle name="40% - Accent6 2 3 2 2" xfId="6873"/>
    <cellStyle name="40% - Accent6 2 3 2 3" xfId="6874"/>
    <cellStyle name="40% - Accent6 2 3 3" xfId="6875"/>
    <cellStyle name="40% - Accent6 2 3 3 2" xfId="6876"/>
    <cellStyle name="40% - Accent6 2 3 3 3" xfId="6877"/>
    <cellStyle name="40% - Accent6 2 3 4" xfId="6878"/>
    <cellStyle name="40% - Accent6 2 3 5" xfId="6879"/>
    <cellStyle name="40% - Accent6 2 3_Volatility" xfId="6880"/>
    <cellStyle name="40% - Accent6 2 4" xfId="6881"/>
    <cellStyle name="40% - Accent6 2 4 2" xfId="6882"/>
    <cellStyle name="40% - Accent6 2 4 3" xfId="6883"/>
    <cellStyle name="40% - Accent6 2 5" xfId="6884"/>
    <cellStyle name="40% - Accent6 2 5 2" xfId="6885"/>
    <cellStyle name="40% - Accent6 2 5 3" xfId="6886"/>
    <cellStyle name="40% - Accent6 2 6" xfId="6887"/>
    <cellStyle name="40% - Accent6 2 6 2" xfId="6888"/>
    <cellStyle name="40% - Accent6 2 6 3" xfId="6889"/>
    <cellStyle name="40% - Accent6 2 7" xfId="6890"/>
    <cellStyle name="40% - Accent6 2 8" xfId="6891"/>
    <cellStyle name="40% - Accent6 2_Volatility" xfId="6892"/>
    <cellStyle name="40% - Accent6 3" xfId="6893"/>
    <cellStyle name="40% - Accent6 3 2" xfId="6894"/>
    <cellStyle name="40% - Accent6 3 2 2" xfId="6895"/>
    <cellStyle name="40% - Accent6 3 2 2 2" xfId="6896"/>
    <cellStyle name="40% - Accent6 3 2 2 3" xfId="6897"/>
    <cellStyle name="40% - Accent6 3 2 3" xfId="6898"/>
    <cellStyle name="40% - Accent6 3 2 3 2" xfId="6899"/>
    <cellStyle name="40% - Accent6 3 2 3 3" xfId="6900"/>
    <cellStyle name="40% - Accent6 3 2 4" xfId="6901"/>
    <cellStyle name="40% - Accent6 3 2 4 2" xfId="6902"/>
    <cellStyle name="40% - Accent6 3 2 4 3" xfId="6903"/>
    <cellStyle name="40% - Accent6 3 2 5" xfId="6904"/>
    <cellStyle name="40% - Accent6 3 2 6" xfId="6905"/>
    <cellStyle name="40% - Accent6 3 2_Volatility" xfId="6906"/>
    <cellStyle name="40% - Accent6 3 3" xfId="6907"/>
    <cellStyle name="40% - Accent6 3 3 2" xfId="6908"/>
    <cellStyle name="40% - Accent6 3 3 2 2" xfId="6909"/>
    <cellStyle name="40% - Accent6 3 3 2 3" xfId="6910"/>
    <cellStyle name="40% - Accent6 3 3 3" xfId="6911"/>
    <cellStyle name="40% - Accent6 3 3 3 2" xfId="6912"/>
    <cellStyle name="40% - Accent6 3 3 3 3" xfId="6913"/>
    <cellStyle name="40% - Accent6 3 3 4" xfId="6914"/>
    <cellStyle name="40% - Accent6 3 3 5" xfId="6915"/>
    <cellStyle name="40% - Accent6 3 3_Volatility" xfId="6916"/>
    <cellStyle name="40% - Accent6 3 4" xfId="6917"/>
    <cellStyle name="40% - Accent6 3 4 2" xfId="6918"/>
    <cellStyle name="40% - Accent6 3 4 3" xfId="6919"/>
    <cellStyle name="40% - Accent6 3 5" xfId="6920"/>
    <cellStyle name="40% - Accent6 3 5 2" xfId="6921"/>
    <cellStyle name="40% - Accent6 3 5 3" xfId="6922"/>
    <cellStyle name="40% - Accent6 3 6" xfId="6923"/>
    <cellStyle name="40% - Accent6 3 6 2" xfId="6924"/>
    <cellStyle name="40% - Accent6 3 6 3" xfId="6925"/>
    <cellStyle name="40% - Accent6 3 7" xfId="6926"/>
    <cellStyle name="40% - Accent6 3 8" xfId="6927"/>
    <cellStyle name="40% - Accent6 3_Volatility" xfId="6928"/>
    <cellStyle name="40% - Accent6 4" xfId="6929"/>
    <cellStyle name="40% - Accent6 4 2" xfId="6930"/>
    <cellStyle name="40% - Accent6 4 2 2" xfId="6931"/>
    <cellStyle name="40% - Accent6 4 2 2 2" xfId="6932"/>
    <cellStyle name="40% - Accent6 4 2 2 3" xfId="6933"/>
    <cellStyle name="40% - Accent6 4 2 3" xfId="6934"/>
    <cellStyle name="40% - Accent6 4 2 3 2" xfId="6935"/>
    <cellStyle name="40% - Accent6 4 2 3 3" xfId="6936"/>
    <cellStyle name="40% - Accent6 4 2 4" xfId="6937"/>
    <cellStyle name="40% - Accent6 4 2 4 2" xfId="6938"/>
    <cellStyle name="40% - Accent6 4 2 4 3" xfId="6939"/>
    <cellStyle name="40% - Accent6 4 2 5" xfId="6940"/>
    <cellStyle name="40% - Accent6 4 2 6" xfId="6941"/>
    <cellStyle name="40% - Accent6 4 2_Volatility" xfId="6942"/>
    <cellStyle name="40% - Accent6 4 3" xfId="6943"/>
    <cellStyle name="40% - Accent6 4 3 2" xfId="6944"/>
    <cellStyle name="40% - Accent6 4 3 2 2" xfId="6945"/>
    <cellStyle name="40% - Accent6 4 3 2 3" xfId="6946"/>
    <cellStyle name="40% - Accent6 4 3 3" xfId="6947"/>
    <cellStyle name="40% - Accent6 4 3 3 2" xfId="6948"/>
    <cellStyle name="40% - Accent6 4 3 3 3" xfId="6949"/>
    <cellStyle name="40% - Accent6 4 3 4" xfId="6950"/>
    <cellStyle name="40% - Accent6 4 3 5" xfId="6951"/>
    <cellStyle name="40% - Accent6 4 3_Volatility" xfId="6952"/>
    <cellStyle name="40% - Accent6 4 4" xfId="6953"/>
    <cellStyle name="40% - Accent6 4 4 2" xfId="6954"/>
    <cellStyle name="40% - Accent6 4 4 3" xfId="6955"/>
    <cellStyle name="40% - Accent6 4 5" xfId="6956"/>
    <cellStyle name="40% - Accent6 4 5 2" xfId="6957"/>
    <cellStyle name="40% - Accent6 4 5 3" xfId="6958"/>
    <cellStyle name="40% - Accent6 4 6" xfId="6959"/>
    <cellStyle name="40% - Accent6 4 6 2" xfId="6960"/>
    <cellStyle name="40% - Accent6 4 6 3" xfId="6961"/>
    <cellStyle name="40% - Accent6 4 7" xfId="6962"/>
    <cellStyle name="40% - Accent6 4 8" xfId="6963"/>
    <cellStyle name="40% - Accent6 4_Volatility" xfId="6964"/>
    <cellStyle name="40% - Accent6 5" xfId="6965"/>
    <cellStyle name="40% - Accent6 5 2" xfId="6966"/>
    <cellStyle name="40% - Accent6 5 2 2" xfId="6967"/>
    <cellStyle name="40% - Accent6 5 2 2 2" xfId="6968"/>
    <cellStyle name="40% - Accent6 5 2 2 3" xfId="6969"/>
    <cellStyle name="40% - Accent6 5 2 3" xfId="6970"/>
    <cellStyle name="40% - Accent6 5 2 3 2" xfId="6971"/>
    <cellStyle name="40% - Accent6 5 2 3 3" xfId="6972"/>
    <cellStyle name="40% - Accent6 5 2 4" xfId="6973"/>
    <cellStyle name="40% - Accent6 5 2 4 2" xfId="6974"/>
    <cellStyle name="40% - Accent6 5 2 4 3" xfId="6975"/>
    <cellStyle name="40% - Accent6 5 2 5" xfId="6976"/>
    <cellStyle name="40% - Accent6 5 2 6" xfId="6977"/>
    <cellStyle name="40% - Accent6 5 2_Volatility" xfId="6978"/>
    <cellStyle name="40% - Accent6 5 3" xfId="6979"/>
    <cellStyle name="40% - Accent6 5 3 2" xfId="6980"/>
    <cellStyle name="40% - Accent6 5 3 2 2" xfId="6981"/>
    <cellStyle name="40% - Accent6 5 3 2 3" xfId="6982"/>
    <cellStyle name="40% - Accent6 5 3 3" xfId="6983"/>
    <cellStyle name="40% - Accent6 5 3 3 2" xfId="6984"/>
    <cellStyle name="40% - Accent6 5 3 3 3" xfId="6985"/>
    <cellStyle name="40% - Accent6 5 3 4" xfId="6986"/>
    <cellStyle name="40% - Accent6 5 3 5" xfId="6987"/>
    <cellStyle name="40% - Accent6 5 3_Volatility" xfId="6988"/>
    <cellStyle name="40% - Accent6 5 4" xfId="6989"/>
    <cellStyle name="40% - Accent6 5 4 2" xfId="6990"/>
    <cellStyle name="40% - Accent6 5 4 3" xfId="6991"/>
    <cellStyle name="40% - Accent6 5 5" xfId="6992"/>
    <cellStyle name="40% - Accent6 5 5 2" xfId="6993"/>
    <cellStyle name="40% - Accent6 5 5 3" xfId="6994"/>
    <cellStyle name="40% - Accent6 5 6" xfId="6995"/>
    <cellStyle name="40% - Accent6 5 6 2" xfId="6996"/>
    <cellStyle name="40% - Accent6 5 6 3" xfId="6997"/>
    <cellStyle name="40% - Accent6 5 7" xfId="6998"/>
    <cellStyle name="40% - Accent6 5 8" xfId="6999"/>
    <cellStyle name="40% - Accent6 5_Volatility" xfId="7000"/>
    <cellStyle name="40% - Accent6 6" xfId="7001"/>
    <cellStyle name="40% - Accent6 6 2" xfId="7002"/>
    <cellStyle name="40% - Accent6 6 2 2" xfId="7003"/>
    <cellStyle name="40% - Accent6 6 2 2 2" xfId="7004"/>
    <cellStyle name="40% - Accent6 6 2 2 3" xfId="7005"/>
    <cellStyle name="40% - Accent6 6 2 3" xfId="7006"/>
    <cellStyle name="40% - Accent6 6 2 3 2" xfId="7007"/>
    <cellStyle name="40% - Accent6 6 2 3 3" xfId="7008"/>
    <cellStyle name="40% - Accent6 6 2 4" xfId="7009"/>
    <cellStyle name="40% - Accent6 6 2 4 2" xfId="7010"/>
    <cellStyle name="40% - Accent6 6 2 4 3" xfId="7011"/>
    <cellStyle name="40% - Accent6 6 2 5" xfId="7012"/>
    <cellStyle name="40% - Accent6 6 2 6" xfId="7013"/>
    <cellStyle name="40% - Accent6 6 2_Volatility" xfId="7014"/>
    <cellStyle name="40% - Accent6 6 3" xfId="7015"/>
    <cellStyle name="40% - Accent6 6 3 2" xfId="7016"/>
    <cellStyle name="40% - Accent6 6 3 2 2" xfId="7017"/>
    <cellStyle name="40% - Accent6 6 3 2 3" xfId="7018"/>
    <cellStyle name="40% - Accent6 6 3 3" xfId="7019"/>
    <cellStyle name="40% - Accent6 6 3 3 2" xfId="7020"/>
    <cellStyle name="40% - Accent6 6 3 3 3" xfId="7021"/>
    <cellStyle name="40% - Accent6 6 3 4" xfId="7022"/>
    <cellStyle name="40% - Accent6 6 3 5" xfId="7023"/>
    <cellStyle name="40% - Accent6 6 3_Volatility" xfId="7024"/>
    <cellStyle name="40% - Accent6 6 4" xfId="7025"/>
    <cellStyle name="40% - Accent6 6 4 2" xfId="7026"/>
    <cellStyle name="40% - Accent6 6 4 3" xfId="7027"/>
    <cellStyle name="40% - Accent6 6 5" xfId="7028"/>
    <cellStyle name="40% - Accent6 6 5 2" xfId="7029"/>
    <cellStyle name="40% - Accent6 6 5 3" xfId="7030"/>
    <cellStyle name="40% - Accent6 6 6" xfId="7031"/>
    <cellStyle name="40% - Accent6 6 6 2" xfId="7032"/>
    <cellStyle name="40% - Accent6 6 6 3" xfId="7033"/>
    <cellStyle name="40% - Accent6 6 7" xfId="7034"/>
    <cellStyle name="40% - Accent6 6 8" xfId="7035"/>
    <cellStyle name="40% - Accent6 6_Volatility" xfId="7036"/>
    <cellStyle name="40% - Accent6 7" xfId="7037"/>
    <cellStyle name="40% - Accent6 7 2" xfId="7038"/>
    <cellStyle name="40% - Accent6 7 2 2" xfId="7039"/>
    <cellStyle name="40% - Accent6 7 2 2 2" xfId="7040"/>
    <cellStyle name="40% - Accent6 7 2 2 3" xfId="7041"/>
    <cellStyle name="40% - Accent6 7 2 3" xfId="7042"/>
    <cellStyle name="40% - Accent6 7 2 3 2" xfId="7043"/>
    <cellStyle name="40% - Accent6 7 2 3 3" xfId="7044"/>
    <cellStyle name="40% - Accent6 7 2 4" xfId="7045"/>
    <cellStyle name="40% - Accent6 7 2 4 2" xfId="7046"/>
    <cellStyle name="40% - Accent6 7 2 4 3" xfId="7047"/>
    <cellStyle name="40% - Accent6 7 2 5" xfId="7048"/>
    <cellStyle name="40% - Accent6 7 2 6" xfId="7049"/>
    <cellStyle name="40% - Accent6 7 2_Volatility" xfId="7050"/>
    <cellStyle name="40% - Accent6 7 3" xfId="7051"/>
    <cellStyle name="40% - Accent6 7 3 2" xfId="7052"/>
    <cellStyle name="40% - Accent6 7 3 2 2" xfId="7053"/>
    <cellStyle name="40% - Accent6 7 3 2 3" xfId="7054"/>
    <cellStyle name="40% - Accent6 7 3 3" xfId="7055"/>
    <cellStyle name="40% - Accent6 7 3 3 2" xfId="7056"/>
    <cellStyle name="40% - Accent6 7 3 3 3" xfId="7057"/>
    <cellStyle name="40% - Accent6 7 3 4" xfId="7058"/>
    <cellStyle name="40% - Accent6 7 3 5" xfId="7059"/>
    <cellStyle name="40% - Accent6 7 3_Volatility" xfId="7060"/>
    <cellStyle name="40% - Accent6 7 4" xfId="7061"/>
    <cellStyle name="40% - Accent6 7 4 2" xfId="7062"/>
    <cellStyle name="40% - Accent6 7 4 3" xfId="7063"/>
    <cellStyle name="40% - Accent6 7 5" xfId="7064"/>
    <cellStyle name="40% - Accent6 7 5 2" xfId="7065"/>
    <cellStyle name="40% - Accent6 7 5 3" xfId="7066"/>
    <cellStyle name="40% - Accent6 7 6" xfId="7067"/>
    <cellStyle name="40% - Accent6 7 6 2" xfId="7068"/>
    <cellStyle name="40% - Accent6 7 6 3" xfId="7069"/>
    <cellStyle name="40% - Accent6 7 7" xfId="7070"/>
    <cellStyle name="40% - Accent6 7 8" xfId="7071"/>
    <cellStyle name="40% - Accent6 7_Volatility" xfId="7072"/>
    <cellStyle name="40% - Accent6 8" xfId="7073"/>
    <cellStyle name="40% - Accent6 8 2" xfId="7074"/>
    <cellStyle name="40% - Accent6 8 2 2" xfId="7075"/>
    <cellStyle name="40% - Accent6 8 2 2 2" xfId="7076"/>
    <cellStyle name="40% - Accent6 8 2 2 3" xfId="7077"/>
    <cellStyle name="40% - Accent6 8 2 3" xfId="7078"/>
    <cellStyle name="40% - Accent6 8 2 3 2" xfId="7079"/>
    <cellStyle name="40% - Accent6 8 2 3 3" xfId="7080"/>
    <cellStyle name="40% - Accent6 8 2 4" xfId="7081"/>
    <cellStyle name="40% - Accent6 8 2 4 2" xfId="7082"/>
    <cellStyle name="40% - Accent6 8 2 4 3" xfId="7083"/>
    <cellStyle name="40% - Accent6 8 2 5" xfId="7084"/>
    <cellStyle name="40% - Accent6 8 2 6" xfId="7085"/>
    <cellStyle name="40% - Accent6 8 2_Volatility" xfId="7086"/>
    <cellStyle name="40% - Accent6 8 3" xfId="7087"/>
    <cellStyle name="40% - Accent6 8 3 2" xfId="7088"/>
    <cellStyle name="40% - Accent6 8 3 2 2" xfId="7089"/>
    <cellStyle name="40% - Accent6 8 3 2 3" xfId="7090"/>
    <cellStyle name="40% - Accent6 8 3 3" xfId="7091"/>
    <cellStyle name="40% - Accent6 8 3 3 2" xfId="7092"/>
    <cellStyle name="40% - Accent6 8 3 3 3" xfId="7093"/>
    <cellStyle name="40% - Accent6 8 3 4" xfId="7094"/>
    <cellStyle name="40% - Accent6 8 3 5" xfId="7095"/>
    <cellStyle name="40% - Accent6 8 3_Volatility" xfId="7096"/>
    <cellStyle name="40% - Accent6 8 4" xfId="7097"/>
    <cellStyle name="40% - Accent6 8 4 2" xfId="7098"/>
    <cellStyle name="40% - Accent6 8 4 3" xfId="7099"/>
    <cellStyle name="40% - Accent6 8 5" xfId="7100"/>
    <cellStyle name="40% - Accent6 8 5 2" xfId="7101"/>
    <cellStyle name="40% - Accent6 8 5 3" xfId="7102"/>
    <cellStyle name="40% - Accent6 8 6" xfId="7103"/>
    <cellStyle name="40% - Accent6 8 6 2" xfId="7104"/>
    <cellStyle name="40% - Accent6 8 6 3" xfId="7105"/>
    <cellStyle name="40% - Accent6 8 7" xfId="7106"/>
    <cellStyle name="40% - Accent6 8 8" xfId="7107"/>
    <cellStyle name="40% - Accent6 8_Volatility" xfId="7108"/>
    <cellStyle name="40% - Accent6 9" xfId="7109"/>
    <cellStyle name="40% - Accent6 9 2" xfId="7110"/>
    <cellStyle name="40% - Accent6 9 2 2" xfId="7111"/>
    <cellStyle name="40% - Accent6 9 2 2 2" xfId="7112"/>
    <cellStyle name="40% - Accent6 9 2 2 3" xfId="7113"/>
    <cellStyle name="40% - Accent6 9 2 3" xfId="7114"/>
    <cellStyle name="40% - Accent6 9 2 3 2" xfId="7115"/>
    <cellStyle name="40% - Accent6 9 2 3 3" xfId="7116"/>
    <cellStyle name="40% - Accent6 9 2 4" xfId="7117"/>
    <cellStyle name="40% - Accent6 9 2 4 2" xfId="7118"/>
    <cellStyle name="40% - Accent6 9 2 4 3" xfId="7119"/>
    <cellStyle name="40% - Accent6 9 2 5" xfId="7120"/>
    <cellStyle name="40% - Accent6 9 2 6" xfId="7121"/>
    <cellStyle name="40% - Accent6 9 2_Volatility" xfId="7122"/>
    <cellStyle name="40% - Accent6 9 3" xfId="7123"/>
    <cellStyle name="40% - Accent6 9 3 2" xfId="7124"/>
    <cellStyle name="40% - Accent6 9 3 2 2" xfId="7125"/>
    <cellStyle name="40% - Accent6 9 3 2 3" xfId="7126"/>
    <cellStyle name="40% - Accent6 9 3 3" xfId="7127"/>
    <cellStyle name="40% - Accent6 9 3 3 2" xfId="7128"/>
    <cellStyle name="40% - Accent6 9 3 3 3" xfId="7129"/>
    <cellStyle name="40% - Accent6 9 3 4" xfId="7130"/>
    <cellStyle name="40% - Accent6 9 3 5" xfId="7131"/>
    <cellStyle name="40% - Accent6 9 3_Volatility" xfId="7132"/>
    <cellStyle name="40% - Accent6 9 4" xfId="7133"/>
    <cellStyle name="40% - Accent6 9 4 2" xfId="7134"/>
    <cellStyle name="40% - Accent6 9 4 3" xfId="7135"/>
    <cellStyle name="40% - Accent6 9 5" xfId="7136"/>
    <cellStyle name="40% - Accent6 9 5 2" xfId="7137"/>
    <cellStyle name="40% - Accent6 9 5 3" xfId="7138"/>
    <cellStyle name="40% - Accent6 9 6" xfId="7139"/>
    <cellStyle name="40% - Accent6 9 6 2" xfId="7140"/>
    <cellStyle name="40% - Accent6 9 6 3" xfId="7141"/>
    <cellStyle name="40% - Accent6 9 7" xfId="7142"/>
    <cellStyle name="40% - Accent6 9 8" xfId="7143"/>
    <cellStyle name="40% - Accent6 9_Volatility" xfId="7144"/>
    <cellStyle name="40% - Ênfase1" xfId="7145"/>
    <cellStyle name="40% - Ênfase2" xfId="7146"/>
    <cellStyle name="40% - Ênfase3" xfId="7147"/>
    <cellStyle name="40% - Ênfase4" xfId="7148"/>
    <cellStyle name="40% - Ênfase5" xfId="7149"/>
    <cellStyle name="40% - Ênfase6" xfId="7150"/>
    <cellStyle name="40% - Énfasis1" xfId="7151"/>
    <cellStyle name="40% - Énfasis2" xfId="7152"/>
    <cellStyle name="40% - Énfasis3" xfId="7153"/>
    <cellStyle name="40% - Énfasis4" xfId="7154"/>
    <cellStyle name="40% - Énfasis5" xfId="7155"/>
    <cellStyle name="40% - Énfasis6" xfId="7156"/>
    <cellStyle name="40% - 강조색1" xfId="7157"/>
    <cellStyle name="40% - 강조색1 2" xfId="7158"/>
    <cellStyle name="40% - 강조색2" xfId="7159"/>
    <cellStyle name="40% - 강조색2 2" xfId="7160"/>
    <cellStyle name="40% - 강조색3" xfId="7161"/>
    <cellStyle name="40% - 강조색3 2" xfId="7162"/>
    <cellStyle name="40% - 강조색4" xfId="7163"/>
    <cellStyle name="40% - 강조색4 2" xfId="7164"/>
    <cellStyle name="40% - 강조색5" xfId="7165"/>
    <cellStyle name="40% - 강조색5 2" xfId="7166"/>
    <cellStyle name="40% - 강조색6" xfId="7167"/>
    <cellStyle name="40% - 강조색6 2" xfId="7168"/>
    <cellStyle name="60% - Accent1 10" xfId="7169"/>
    <cellStyle name="60% - Accent1 11" xfId="7170"/>
    <cellStyle name="60% - Accent1 12" xfId="7171"/>
    <cellStyle name="60% - Accent1 13" xfId="7172"/>
    <cellStyle name="60% - Accent1 14" xfId="7173"/>
    <cellStyle name="60% - Accent1 15" xfId="7174"/>
    <cellStyle name="60% - Accent1 16" xfId="7175"/>
    <cellStyle name="60% - Accent1 17" xfId="7176"/>
    <cellStyle name="60% - Accent1 18" xfId="7177"/>
    <cellStyle name="60% - Accent1 19" xfId="7178"/>
    <cellStyle name="60% - Accent1 2" xfId="7179"/>
    <cellStyle name="60% - Accent1 2 2" xfId="7180"/>
    <cellStyle name="60% - Accent1 2 2 2" xfId="7181"/>
    <cellStyle name="60% - Accent1 2 3" xfId="7182"/>
    <cellStyle name="60% - Accent1 2 3 2" xfId="7183"/>
    <cellStyle name="60% - Accent1 2 4" xfId="7184"/>
    <cellStyle name="60% - Accent1 2 4 2" xfId="7185"/>
    <cellStyle name="60% - Accent1 2 4 3" xfId="7186"/>
    <cellStyle name="60% - Accent1 2 5" xfId="7187"/>
    <cellStyle name="60% - Accent1 2 6" xfId="7188"/>
    <cellStyle name="60% - Accent1 2 7" xfId="7189"/>
    <cellStyle name="60% - Accent1 2 8" xfId="7190"/>
    <cellStyle name="60% - Accent1 3" xfId="7191"/>
    <cellStyle name="60% - Accent1 3 2" xfId="7192"/>
    <cellStyle name="60% - Accent1 3 2 2" xfId="7193"/>
    <cellStyle name="60% - Accent1 3 2 3" xfId="7194"/>
    <cellStyle name="60% - Accent1 3 3" xfId="7195"/>
    <cellStyle name="60% - Accent1 3 4" xfId="7196"/>
    <cellStyle name="60% - Accent1 3 5" xfId="7197"/>
    <cellStyle name="60% - Accent1 4" xfId="7198"/>
    <cellStyle name="60% - Accent1 4 2" xfId="7199"/>
    <cellStyle name="60% - Accent1 4 2 2" xfId="7200"/>
    <cellStyle name="60% - Accent1 4 2 3" xfId="7201"/>
    <cellStyle name="60% - Accent1 4 3" xfId="7202"/>
    <cellStyle name="60% - Accent1 4 4" xfId="7203"/>
    <cellStyle name="60% - Accent1 4 5" xfId="7204"/>
    <cellStyle name="60% - Accent1 5" xfId="7205"/>
    <cellStyle name="60% - Accent1 5 2" xfId="7206"/>
    <cellStyle name="60% - Accent1 5 2 2" xfId="7207"/>
    <cellStyle name="60% - Accent1 5 2 3" xfId="7208"/>
    <cellStyle name="60% - Accent1 5 3" xfId="7209"/>
    <cellStyle name="60% - Accent1 5 4" xfId="7210"/>
    <cellStyle name="60% - Accent1 5 5" xfId="7211"/>
    <cellStyle name="60% - Accent1 6" xfId="7212"/>
    <cellStyle name="60% - Accent1 6 2" xfId="7213"/>
    <cellStyle name="60% - Accent1 6 3" xfId="7214"/>
    <cellStyle name="60% - Accent1 7" xfId="7215"/>
    <cellStyle name="60% - Accent1 8" xfId="7216"/>
    <cellStyle name="60% - Accent1 9" xfId="7217"/>
    <cellStyle name="60% - Accent2 10" xfId="7218"/>
    <cellStyle name="60% - Accent2 11" xfId="7219"/>
    <cellStyle name="60% - Accent2 12" xfId="7220"/>
    <cellStyle name="60% - Accent2 13" xfId="7221"/>
    <cellStyle name="60% - Accent2 14" xfId="7222"/>
    <cellStyle name="60% - Accent2 15" xfId="7223"/>
    <cellStyle name="60% - Accent2 16" xfId="7224"/>
    <cellStyle name="60% - Accent2 17" xfId="7225"/>
    <cellStyle name="60% - Accent2 18" xfId="7226"/>
    <cellStyle name="60% - Accent2 19" xfId="7227"/>
    <cellStyle name="60% - Accent2 2" xfId="7228"/>
    <cellStyle name="60% - Accent2 2 2" xfId="7229"/>
    <cellStyle name="60% - Accent2 2 2 2" xfId="7230"/>
    <cellStyle name="60% - Accent2 2 3" xfId="7231"/>
    <cellStyle name="60% - Accent2 2 3 2" xfId="7232"/>
    <cellStyle name="60% - Accent2 2 4" xfId="7233"/>
    <cellStyle name="60% - Accent2 2 4 2" xfId="7234"/>
    <cellStyle name="60% - Accent2 2 4 3" xfId="7235"/>
    <cellStyle name="60% - Accent2 2 5" xfId="7236"/>
    <cellStyle name="60% - Accent2 2 6" xfId="7237"/>
    <cellStyle name="60% - Accent2 2 7" xfId="7238"/>
    <cellStyle name="60% - Accent2 2 8" xfId="7239"/>
    <cellStyle name="60% - Accent2 3" xfId="7240"/>
    <cellStyle name="60% - Accent2 3 2" xfId="7241"/>
    <cellStyle name="60% - Accent2 3 2 2" xfId="7242"/>
    <cellStyle name="60% - Accent2 3 2 3" xfId="7243"/>
    <cellStyle name="60% - Accent2 3 3" xfId="7244"/>
    <cellStyle name="60% - Accent2 3 4" xfId="7245"/>
    <cellStyle name="60% - Accent2 3 5" xfId="7246"/>
    <cellStyle name="60% - Accent2 4" xfId="7247"/>
    <cellStyle name="60% - Accent2 4 2" xfId="7248"/>
    <cellStyle name="60% - Accent2 4 2 2" xfId="7249"/>
    <cellStyle name="60% - Accent2 4 2 3" xfId="7250"/>
    <cellStyle name="60% - Accent2 4 3" xfId="7251"/>
    <cellStyle name="60% - Accent2 4 4" xfId="7252"/>
    <cellStyle name="60% - Accent2 4 5" xfId="7253"/>
    <cellStyle name="60% - Accent2 5" xfId="7254"/>
    <cellStyle name="60% - Accent2 5 2" xfId="7255"/>
    <cellStyle name="60% - Accent2 5 2 2" xfId="7256"/>
    <cellStyle name="60% - Accent2 5 2 3" xfId="7257"/>
    <cellStyle name="60% - Accent2 5 3" xfId="7258"/>
    <cellStyle name="60% - Accent2 5 4" xfId="7259"/>
    <cellStyle name="60% - Accent2 5 5" xfId="7260"/>
    <cellStyle name="60% - Accent2 6" xfId="7261"/>
    <cellStyle name="60% - Accent2 6 2" xfId="7262"/>
    <cellStyle name="60% - Accent2 6 3" xfId="7263"/>
    <cellStyle name="60% - Accent2 7" xfId="7264"/>
    <cellStyle name="60% - Accent2 8" xfId="7265"/>
    <cellStyle name="60% - Accent2 9" xfId="7266"/>
    <cellStyle name="60% - Accent3 10" xfId="7267"/>
    <cellStyle name="60% - Accent3 11" xfId="7268"/>
    <cellStyle name="60% - Accent3 12" xfId="7269"/>
    <cellStyle name="60% - Accent3 13" xfId="7270"/>
    <cellStyle name="60% - Accent3 14" xfId="7271"/>
    <cellStyle name="60% - Accent3 15" xfId="7272"/>
    <cellStyle name="60% - Accent3 16" xfId="7273"/>
    <cellStyle name="60% - Accent3 17" xfId="7274"/>
    <cellStyle name="60% - Accent3 18" xfId="7275"/>
    <cellStyle name="60% - Accent3 19" xfId="7276"/>
    <cellStyle name="60% - Accent3 2" xfId="7277"/>
    <cellStyle name="60% - Accent3 2 2" xfId="7278"/>
    <cellStyle name="60% - Accent3 2 2 2" xfId="7279"/>
    <cellStyle name="60% - Accent3 2 3" xfId="7280"/>
    <cellStyle name="60% - Accent3 2 3 2" xfId="7281"/>
    <cellStyle name="60% - Accent3 2 4" xfId="7282"/>
    <cellStyle name="60% - Accent3 2 4 2" xfId="7283"/>
    <cellStyle name="60% - Accent3 2 4 3" xfId="7284"/>
    <cellStyle name="60% - Accent3 2 5" xfId="7285"/>
    <cellStyle name="60% - Accent3 2 6" xfId="7286"/>
    <cellStyle name="60% - Accent3 2 7" xfId="7287"/>
    <cellStyle name="60% - Accent3 2 8" xfId="7288"/>
    <cellStyle name="60% - Accent3 3" xfId="7289"/>
    <cellStyle name="60% - Accent3 3 2" xfId="7290"/>
    <cellStyle name="60% - Accent3 3 2 2" xfId="7291"/>
    <cellStyle name="60% - Accent3 3 2 3" xfId="7292"/>
    <cellStyle name="60% - Accent3 3 3" xfId="7293"/>
    <cellStyle name="60% - Accent3 3 4" xfId="7294"/>
    <cellStyle name="60% - Accent3 3 5" xfId="7295"/>
    <cellStyle name="60% - Accent3 4" xfId="7296"/>
    <cellStyle name="60% - Accent3 4 2" xfId="7297"/>
    <cellStyle name="60% - Accent3 4 2 2" xfId="7298"/>
    <cellStyle name="60% - Accent3 4 2 3" xfId="7299"/>
    <cellStyle name="60% - Accent3 4 3" xfId="7300"/>
    <cellStyle name="60% - Accent3 4 4" xfId="7301"/>
    <cellStyle name="60% - Accent3 4 5" xfId="7302"/>
    <cellStyle name="60% - Accent3 5" xfId="7303"/>
    <cellStyle name="60% - Accent3 5 2" xfId="7304"/>
    <cellStyle name="60% - Accent3 5 2 2" xfId="7305"/>
    <cellStyle name="60% - Accent3 5 2 3" xfId="7306"/>
    <cellStyle name="60% - Accent3 5 3" xfId="7307"/>
    <cellStyle name="60% - Accent3 5 4" xfId="7308"/>
    <cellStyle name="60% - Accent3 5 5" xfId="7309"/>
    <cellStyle name="60% - Accent3 6" xfId="7310"/>
    <cellStyle name="60% - Accent3 6 2" xfId="7311"/>
    <cellStyle name="60% - Accent3 6 3" xfId="7312"/>
    <cellStyle name="60% - Accent3 7" xfId="7313"/>
    <cellStyle name="60% - Accent3 8" xfId="7314"/>
    <cellStyle name="60% - Accent3 9" xfId="7315"/>
    <cellStyle name="60% - Accent4 10" xfId="7316"/>
    <cellStyle name="60% - Accent4 11" xfId="7317"/>
    <cellStyle name="60% - Accent4 12" xfId="7318"/>
    <cellStyle name="60% - Accent4 13" xfId="7319"/>
    <cellStyle name="60% - Accent4 14" xfId="7320"/>
    <cellStyle name="60% - Accent4 15" xfId="7321"/>
    <cellStyle name="60% - Accent4 16" xfId="7322"/>
    <cellStyle name="60% - Accent4 17" xfId="7323"/>
    <cellStyle name="60% - Accent4 18" xfId="7324"/>
    <cellStyle name="60% - Accent4 19" xfId="7325"/>
    <cellStyle name="60% - Accent4 2" xfId="7326"/>
    <cellStyle name="60% - Accent4 2 2" xfId="7327"/>
    <cellStyle name="60% - Accent4 2 2 2" xfId="7328"/>
    <cellStyle name="60% - Accent4 2 3" xfId="7329"/>
    <cellStyle name="60% - Accent4 2 3 2" xfId="7330"/>
    <cellStyle name="60% - Accent4 2 4" xfId="7331"/>
    <cellStyle name="60% - Accent4 2 4 2" xfId="7332"/>
    <cellStyle name="60% - Accent4 2 4 3" xfId="7333"/>
    <cellStyle name="60% - Accent4 2 5" xfId="7334"/>
    <cellStyle name="60% - Accent4 2 6" xfId="7335"/>
    <cellStyle name="60% - Accent4 2 7" xfId="7336"/>
    <cellStyle name="60% - Accent4 2 8" xfId="7337"/>
    <cellStyle name="60% - Accent4 3" xfId="7338"/>
    <cellStyle name="60% - Accent4 3 2" xfId="7339"/>
    <cellStyle name="60% - Accent4 3 2 2" xfId="7340"/>
    <cellStyle name="60% - Accent4 3 2 3" xfId="7341"/>
    <cellStyle name="60% - Accent4 3 3" xfId="7342"/>
    <cellStyle name="60% - Accent4 3 4" xfId="7343"/>
    <cellStyle name="60% - Accent4 3 5" xfId="7344"/>
    <cellStyle name="60% - Accent4 4" xfId="7345"/>
    <cellStyle name="60% - Accent4 4 2" xfId="7346"/>
    <cellStyle name="60% - Accent4 4 2 2" xfId="7347"/>
    <cellStyle name="60% - Accent4 4 2 3" xfId="7348"/>
    <cellStyle name="60% - Accent4 4 3" xfId="7349"/>
    <cellStyle name="60% - Accent4 4 4" xfId="7350"/>
    <cellStyle name="60% - Accent4 4 5" xfId="7351"/>
    <cellStyle name="60% - Accent4 5" xfId="7352"/>
    <cellStyle name="60% - Accent4 5 2" xfId="7353"/>
    <cellStyle name="60% - Accent4 5 2 2" xfId="7354"/>
    <cellStyle name="60% - Accent4 5 2 3" xfId="7355"/>
    <cellStyle name="60% - Accent4 5 3" xfId="7356"/>
    <cellStyle name="60% - Accent4 5 4" xfId="7357"/>
    <cellStyle name="60% - Accent4 5 5" xfId="7358"/>
    <cellStyle name="60% - Accent4 6" xfId="7359"/>
    <cellStyle name="60% - Accent4 6 2" xfId="7360"/>
    <cellStyle name="60% - Accent4 6 3" xfId="7361"/>
    <cellStyle name="60% - Accent4 7" xfId="7362"/>
    <cellStyle name="60% - Accent4 8" xfId="7363"/>
    <cellStyle name="60% - Accent4 9" xfId="7364"/>
    <cellStyle name="60% - Accent5 10" xfId="7365"/>
    <cellStyle name="60% - Accent5 11" xfId="7366"/>
    <cellStyle name="60% - Accent5 12" xfId="7367"/>
    <cellStyle name="60% - Accent5 13" xfId="7368"/>
    <cellStyle name="60% - Accent5 14" xfId="7369"/>
    <cellStyle name="60% - Accent5 15" xfId="7370"/>
    <cellStyle name="60% - Accent5 16" xfId="7371"/>
    <cellStyle name="60% - Accent5 17" xfId="7372"/>
    <cellStyle name="60% - Accent5 18" xfId="7373"/>
    <cellStyle name="60% - Accent5 19" xfId="7374"/>
    <cellStyle name="60% - Accent5 2" xfId="7375"/>
    <cellStyle name="60% - Accent5 2 2" xfId="7376"/>
    <cellStyle name="60% - Accent5 2 2 2" xfId="7377"/>
    <cellStyle name="60% - Accent5 2 3" xfId="7378"/>
    <cellStyle name="60% - Accent5 2 3 2" xfId="7379"/>
    <cellStyle name="60% - Accent5 2 4" xfId="7380"/>
    <cellStyle name="60% - Accent5 2 4 2" xfId="7381"/>
    <cellStyle name="60% - Accent5 2 4 3" xfId="7382"/>
    <cellStyle name="60% - Accent5 2 5" xfId="7383"/>
    <cellStyle name="60% - Accent5 2 6" xfId="7384"/>
    <cellStyle name="60% - Accent5 2 7" xfId="7385"/>
    <cellStyle name="60% - Accent5 2 8" xfId="7386"/>
    <cellStyle name="60% - Accent5 3" xfId="7387"/>
    <cellStyle name="60% - Accent5 3 2" xfId="7388"/>
    <cellStyle name="60% - Accent5 3 2 2" xfId="7389"/>
    <cellStyle name="60% - Accent5 3 2 3" xfId="7390"/>
    <cellStyle name="60% - Accent5 3 3" xfId="7391"/>
    <cellStyle name="60% - Accent5 3 4" xfId="7392"/>
    <cellStyle name="60% - Accent5 3 5" xfId="7393"/>
    <cellStyle name="60% - Accent5 4" xfId="7394"/>
    <cellStyle name="60% - Accent5 4 2" xfId="7395"/>
    <cellStyle name="60% - Accent5 4 2 2" xfId="7396"/>
    <cellStyle name="60% - Accent5 4 2 3" xfId="7397"/>
    <cellStyle name="60% - Accent5 4 3" xfId="7398"/>
    <cellStyle name="60% - Accent5 4 4" xfId="7399"/>
    <cellStyle name="60% - Accent5 4 5" xfId="7400"/>
    <cellStyle name="60% - Accent5 5" xfId="7401"/>
    <cellStyle name="60% - Accent5 5 2" xfId="7402"/>
    <cellStyle name="60% - Accent5 5 2 2" xfId="7403"/>
    <cellStyle name="60% - Accent5 5 2 3" xfId="7404"/>
    <cellStyle name="60% - Accent5 5 3" xfId="7405"/>
    <cellStyle name="60% - Accent5 5 4" xfId="7406"/>
    <cellStyle name="60% - Accent5 5 5" xfId="7407"/>
    <cellStyle name="60% - Accent5 6" xfId="7408"/>
    <cellStyle name="60% - Accent5 6 2" xfId="7409"/>
    <cellStyle name="60% - Accent5 6 3" xfId="7410"/>
    <cellStyle name="60% - Accent5 7" xfId="7411"/>
    <cellStyle name="60% - Accent5 8" xfId="7412"/>
    <cellStyle name="60% - Accent5 9" xfId="7413"/>
    <cellStyle name="60% - Accent6 10" xfId="7414"/>
    <cellStyle name="60% - Accent6 11" xfId="7415"/>
    <cellStyle name="60% - Accent6 12" xfId="7416"/>
    <cellStyle name="60% - Accent6 13" xfId="7417"/>
    <cellStyle name="60% - Accent6 14" xfId="7418"/>
    <cellStyle name="60% - Accent6 15" xfId="7419"/>
    <cellStyle name="60% - Accent6 16" xfId="7420"/>
    <cellStyle name="60% - Accent6 17" xfId="7421"/>
    <cellStyle name="60% - Accent6 18" xfId="7422"/>
    <cellStyle name="60% - Accent6 19" xfId="7423"/>
    <cellStyle name="60% - Accent6 2" xfId="7424"/>
    <cellStyle name="60% - Accent6 2 10" xfId="7425"/>
    <cellStyle name="60% - Accent6 2 10 2" xfId="7426"/>
    <cellStyle name="60% - Accent6 2 11" xfId="7427"/>
    <cellStyle name="60% - Accent6 2 11 2" xfId="7428"/>
    <cellStyle name="60% - Accent6 2 12" xfId="7429"/>
    <cellStyle name="60% - Accent6 2 12 10" xfId="7430"/>
    <cellStyle name="60% - Accent6 2 12 10 2" xfId="7431"/>
    <cellStyle name="60% - Accent6 2 12 11" xfId="7432"/>
    <cellStyle name="60% - Accent6 2 12 2" xfId="7433"/>
    <cellStyle name="60% - Accent6 2 12 2 2" xfId="7434"/>
    <cellStyle name="60% - Accent6 2 12 3" xfId="7435"/>
    <cellStyle name="60% - Accent6 2 12 3 2" xfId="7436"/>
    <cellStyle name="60% - Accent6 2 12 4" xfId="7437"/>
    <cellStyle name="60% - Accent6 2 12 4 2" xfId="7438"/>
    <cellStyle name="60% - Accent6 2 12 5" xfId="7439"/>
    <cellStyle name="60% - Accent6 2 12 5 2" xfId="7440"/>
    <cellStyle name="60% - Accent6 2 12 6" xfId="7441"/>
    <cellStyle name="60% - Accent6 2 12 6 2" xfId="7442"/>
    <cellStyle name="60% - Accent6 2 12 7" xfId="7443"/>
    <cellStyle name="60% - Accent6 2 12 7 2" xfId="7444"/>
    <cellStyle name="60% - Accent6 2 12 8" xfId="7445"/>
    <cellStyle name="60% - Accent6 2 12 8 2" xfId="7446"/>
    <cellStyle name="60% - Accent6 2 12 9" xfId="7447"/>
    <cellStyle name="60% - Accent6 2 12 9 2" xfId="7448"/>
    <cellStyle name="60% - Accent6 2 13" xfId="7449"/>
    <cellStyle name="60% - Accent6 2 13 2" xfId="7450"/>
    <cellStyle name="60% - Accent6 2 14" xfId="7451"/>
    <cellStyle name="60% - Accent6 2 14 2" xfId="7452"/>
    <cellStyle name="60% - Accent6 2 15" xfId="7453"/>
    <cellStyle name="60% - Accent6 2 15 2" xfId="7454"/>
    <cellStyle name="60% - Accent6 2 16" xfId="7455"/>
    <cellStyle name="60% - Accent6 2 16 2" xfId="7456"/>
    <cellStyle name="60% - Accent6 2 17" xfId="7457"/>
    <cellStyle name="60% - Accent6 2 17 2" xfId="7458"/>
    <cellStyle name="60% - Accent6 2 18" xfId="7459"/>
    <cellStyle name="60% - Accent6 2 18 2" xfId="7460"/>
    <cellStyle name="60% - Accent6 2 19" xfId="7461"/>
    <cellStyle name="60% - Accent6 2 19 2" xfId="7462"/>
    <cellStyle name="60% - Accent6 2 2" xfId="7463"/>
    <cellStyle name="60% - Accent6 2 2 10" xfId="7464"/>
    <cellStyle name="60% - Accent6 2 2 10 2" xfId="7465"/>
    <cellStyle name="60% - Accent6 2 2 11" xfId="7466"/>
    <cellStyle name="60% - Accent6 2 2 11 2" xfId="7467"/>
    <cellStyle name="60% - Accent6 2 2 12" xfId="7468"/>
    <cellStyle name="60% - Accent6 2 2 12 10" xfId="7469"/>
    <cellStyle name="60% - Accent6 2 2 12 10 2" xfId="7470"/>
    <cellStyle name="60% - Accent6 2 2 12 11" xfId="7471"/>
    <cellStyle name="60% - Accent6 2 2 12 2" xfId="7472"/>
    <cellStyle name="60% - Accent6 2 2 12 2 2" xfId="7473"/>
    <cellStyle name="60% - Accent6 2 2 12 3" xfId="7474"/>
    <cellStyle name="60% - Accent6 2 2 12 3 2" xfId="7475"/>
    <cellStyle name="60% - Accent6 2 2 12 4" xfId="7476"/>
    <cellStyle name="60% - Accent6 2 2 12 4 2" xfId="7477"/>
    <cellStyle name="60% - Accent6 2 2 12 5" xfId="7478"/>
    <cellStyle name="60% - Accent6 2 2 12 5 2" xfId="7479"/>
    <cellStyle name="60% - Accent6 2 2 12 6" xfId="7480"/>
    <cellStyle name="60% - Accent6 2 2 12 6 2" xfId="7481"/>
    <cellStyle name="60% - Accent6 2 2 12 7" xfId="7482"/>
    <cellStyle name="60% - Accent6 2 2 12 7 2" xfId="7483"/>
    <cellStyle name="60% - Accent6 2 2 12 8" xfId="7484"/>
    <cellStyle name="60% - Accent6 2 2 12 8 2" xfId="7485"/>
    <cellStyle name="60% - Accent6 2 2 12 9" xfId="7486"/>
    <cellStyle name="60% - Accent6 2 2 12 9 2" xfId="7487"/>
    <cellStyle name="60% - Accent6 2 2 13" xfId="7488"/>
    <cellStyle name="60% - Accent6 2 2 13 2" xfId="7489"/>
    <cellStyle name="60% - Accent6 2 2 14" xfId="7490"/>
    <cellStyle name="60% - Accent6 2 2 14 2" xfId="7491"/>
    <cellStyle name="60% - Accent6 2 2 15" xfId="7492"/>
    <cellStyle name="60% - Accent6 2 2 15 2" xfId="7493"/>
    <cellStyle name="60% - Accent6 2 2 16" xfId="7494"/>
    <cellStyle name="60% - Accent6 2 2 16 2" xfId="7495"/>
    <cellStyle name="60% - Accent6 2 2 17" xfId="7496"/>
    <cellStyle name="60% - Accent6 2 2 17 2" xfId="7497"/>
    <cellStyle name="60% - Accent6 2 2 18" xfId="7498"/>
    <cellStyle name="60% - Accent6 2 2 18 2" xfId="7499"/>
    <cellStyle name="60% - Accent6 2 2 19" xfId="7500"/>
    <cellStyle name="60% - Accent6 2 2 19 2" xfId="7501"/>
    <cellStyle name="60% - Accent6 2 2 2" xfId="7502"/>
    <cellStyle name="60% - Accent6 2 2 2 10" xfId="7503"/>
    <cellStyle name="60% - Accent6 2 2 2 10 2" xfId="7504"/>
    <cellStyle name="60% - Accent6 2 2 2 11" xfId="7505"/>
    <cellStyle name="60% - Accent6 2 2 2 11 2" xfId="7506"/>
    <cellStyle name="60% - Accent6 2 2 2 12" xfId="7507"/>
    <cellStyle name="60% - Accent6 2 2 2 13" xfId="7508"/>
    <cellStyle name="60% - Accent6 2 2 2 2" xfId="7509"/>
    <cellStyle name="60% - Accent6 2 2 2 2 10" xfId="7510"/>
    <cellStyle name="60% - Accent6 2 2 2 2 10 2" xfId="7511"/>
    <cellStyle name="60% - Accent6 2 2 2 2 11" xfId="7512"/>
    <cellStyle name="60% - Accent6 2 2 2 2 12" xfId="7513"/>
    <cellStyle name="60% - Accent6 2 2 2 2 2" xfId="7514"/>
    <cellStyle name="60% - Accent6 2 2 2 2 2 2" xfId="7515"/>
    <cellStyle name="60% - Accent6 2 2 2 2 2 3" xfId="7516"/>
    <cellStyle name="60% - Accent6 2 2 2 2 2 4" xfId="7517"/>
    <cellStyle name="60% - Accent6 2 2 2 2 3" xfId="7518"/>
    <cellStyle name="60% - Accent6 2 2 2 2 3 2" xfId="7519"/>
    <cellStyle name="60% - Accent6 2 2 2 2 4" xfId="7520"/>
    <cellStyle name="60% - Accent6 2 2 2 2 4 2" xfId="7521"/>
    <cellStyle name="60% - Accent6 2 2 2 2 5" xfId="7522"/>
    <cellStyle name="60% - Accent6 2 2 2 2 5 2" xfId="7523"/>
    <cellStyle name="60% - Accent6 2 2 2 2 6" xfId="7524"/>
    <cellStyle name="60% - Accent6 2 2 2 2 6 2" xfId="7525"/>
    <cellStyle name="60% - Accent6 2 2 2 2 7" xfId="7526"/>
    <cellStyle name="60% - Accent6 2 2 2 2 7 2" xfId="7527"/>
    <cellStyle name="60% - Accent6 2 2 2 2 8" xfId="7528"/>
    <cellStyle name="60% - Accent6 2 2 2 2 8 2" xfId="7529"/>
    <cellStyle name="60% - Accent6 2 2 2 2 9" xfId="7530"/>
    <cellStyle name="60% - Accent6 2 2 2 2 9 2" xfId="7531"/>
    <cellStyle name="60% - Accent6 2 2 2 3" xfId="7532"/>
    <cellStyle name="60% - Accent6 2 2 2 3 2" xfId="7533"/>
    <cellStyle name="60% - Accent6 2 2 2 4" xfId="7534"/>
    <cellStyle name="60% - Accent6 2 2 2 4 2" xfId="7535"/>
    <cellStyle name="60% - Accent6 2 2 2 5" xfId="7536"/>
    <cellStyle name="60% - Accent6 2 2 2 5 2" xfId="7537"/>
    <cellStyle name="60% - Accent6 2 2 2 6" xfId="7538"/>
    <cellStyle name="60% - Accent6 2 2 2 6 2" xfId="7539"/>
    <cellStyle name="60% - Accent6 2 2 2 7" xfId="7540"/>
    <cellStyle name="60% - Accent6 2 2 2 7 2" xfId="7541"/>
    <cellStyle name="60% - Accent6 2 2 2 8" xfId="7542"/>
    <cellStyle name="60% - Accent6 2 2 2 8 2" xfId="7543"/>
    <cellStyle name="60% - Accent6 2 2 2 9" xfId="7544"/>
    <cellStyle name="60% - Accent6 2 2 2 9 2" xfId="7545"/>
    <cellStyle name="60% - Accent6 2 2 20" xfId="7546"/>
    <cellStyle name="60% - Accent6 2 2 20 2" xfId="7547"/>
    <cellStyle name="60% - Accent6 2 2 21" xfId="7548"/>
    <cellStyle name="60% - Accent6 2 2 22" xfId="7549"/>
    <cellStyle name="60% - Accent6 2 2 3" xfId="7550"/>
    <cellStyle name="60% - Accent6 2 2 3 2" xfId="7551"/>
    <cellStyle name="60% - Accent6 2 2 4" xfId="7552"/>
    <cellStyle name="60% - Accent6 2 2 4 2" xfId="7553"/>
    <cellStyle name="60% - Accent6 2 2 5" xfId="7554"/>
    <cellStyle name="60% - Accent6 2 2 5 2" xfId="7555"/>
    <cellStyle name="60% - Accent6 2 2 6" xfId="7556"/>
    <cellStyle name="60% - Accent6 2 2 6 2" xfId="7557"/>
    <cellStyle name="60% - Accent6 2 2 7" xfId="7558"/>
    <cellStyle name="60% - Accent6 2 2 7 2" xfId="7559"/>
    <cellStyle name="60% - Accent6 2 2 8" xfId="7560"/>
    <cellStyle name="60% - Accent6 2 2 8 2" xfId="7561"/>
    <cellStyle name="60% - Accent6 2 2 9" xfId="7562"/>
    <cellStyle name="60% - Accent6 2 2 9 2" xfId="7563"/>
    <cellStyle name="60% - Accent6 2 20" xfId="7564"/>
    <cellStyle name="60% - Accent6 2 20 2" xfId="7565"/>
    <cellStyle name="60% - Accent6 2 21" xfId="7566"/>
    <cellStyle name="60% - Accent6 2 21 2" xfId="7567"/>
    <cellStyle name="60% - Accent6 2 21 3" xfId="7568"/>
    <cellStyle name="60% - Accent6 2 22" xfId="7569"/>
    <cellStyle name="60% - Accent6 2 23" xfId="7570"/>
    <cellStyle name="60% - Accent6 2 24" xfId="7571"/>
    <cellStyle name="60% - Accent6 2 25" xfId="7572"/>
    <cellStyle name="60% - Accent6 2 3" xfId="7573"/>
    <cellStyle name="60% - Accent6 2 3 2" xfId="7574"/>
    <cellStyle name="60% - Accent6 2 4" xfId="7575"/>
    <cellStyle name="60% - Accent6 2 4 2" xfId="7576"/>
    <cellStyle name="60% - Accent6 2 5" xfId="7577"/>
    <cellStyle name="60% - Accent6 2 5 2" xfId="7578"/>
    <cellStyle name="60% - Accent6 2 6" xfId="7579"/>
    <cellStyle name="60% - Accent6 2 6 2" xfId="7580"/>
    <cellStyle name="60% - Accent6 2 7" xfId="7581"/>
    <cellStyle name="60% - Accent6 2 7 2" xfId="7582"/>
    <cellStyle name="60% - Accent6 2 8" xfId="7583"/>
    <cellStyle name="60% - Accent6 2 8 2" xfId="7584"/>
    <cellStyle name="60% - Accent6 2 9" xfId="7585"/>
    <cellStyle name="60% - Accent6 2 9 2" xfId="7586"/>
    <cellStyle name="60% - Accent6 3" xfId="7587"/>
    <cellStyle name="60% - Accent6 3 2" xfId="7588"/>
    <cellStyle name="60% - Accent6 3 2 2" xfId="7589"/>
    <cellStyle name="60% - Accent6 3 2 3" xfId="7590"/>
    <cellStyle name="60% - Accent6 3 3" xfId="7591"/>
    <cellStyle name="60% - Accent6 3 4" xfId="7592"/>
    <cellStyle name="60% - Accent6 3 5" xfId="7593"/>
    <cellStyle name="60% - Accent6 4" xfId="7594"/>
    <cellStyle name="60% - Accent6 4 2" xfId="7595"/>
    <cellStyle name="60% - Accent6 4 2 2" xfId="7596"/>
    <cellStyle name="60% - Accent6 4 2 3" xfId="7597"/>
    <cellStyle name="60% - Accent6 4 3" xfId="7598"/>
    <cellStyle name="60% - Accent6 4 4" xfId="7599"/>
    <cellStyle name="60% - Accent6 4 5" xfId="7600"/>
    <cellStyle name="60% - Accent6 5" xfId="7601"/>
    <cellStyle name="60% - Accent6 5 2" xfId="7602"/>
    <cellStyle name="60% - Accent6 5 2 2" xfId="7603"/>
    <cellStyle name="60% - Accent6 5 2 3" xfId="7604"/>
    <cellStyle name="60% - Accent6 5 3" xfId="7605"/>
    <cellStyle name="60% - Accent6 5 4" xfId="7606"/>
    <cellStyle name="60% - Accent6 5 5" xfId="7607"/>
    <cellStyle name="60% - Accent6 6" xfId="7608"/>
    <cellStyle name="60% - Accent6 6 2" xfId="7609"/>
    <cellStyle name="60% - Accent6 6 3" xfId="7610"/>
    <cellStyle name="60% - Accent6 7" xfId="7611"/>
    <cellStyle name="60% - Accent6 8" xfId="7612"/>
    <cellStyle name="60% - Accent6 9" xfId="7613"/>
    <cellStyle name="60% - Ênfase1" xfId="7614"/>
    <cellStyle name="60% - Ênfase2" xfId="7615"/>
    <cellStyle name="60% - Ênfase3" xfId="7616"/>
    <cellStyle name="60% - Ênfase4" xfId="7617"/>
    <cellStyle name="60% - Ênfase5" xfId="7618"/>
    <cellStyle name="60% - Ênfase6" xfId="7619"/>
    <cellStyle name="60% - Énfasis1" xfId="7620"/>
    <cellStyle name="60% - Énfasis2" xfId="7621"/>
    <cellStyle name="60% - Énfasis3" xfId="7622"/>
    <cellStyle name="60% - Énfasis4" xfId="7623"/>
    <cellStyle name="60% - Énfasis5" xfId="7624"/>
    <cellStyle name="60% - Énfasis6" xfId="7625"/>
    <cellStyle name="60% - 강조색1" xfId="7626"/>
    <cellStyle name="60% - 강조색1 2" xfId="7627"/>
    <cellStyle name="60% - 강조색2" xfId="7628"/>
    <cellStyle name="60% - 강조색2 2" xfId="7629"/>
    <cellStyle name="60% - 강조색3" xfId="7630"/>
    <cellStyle name="60% - 강조색3 2" xfId="7631"/>
    <cellStyle name="60% - 강조색4" xfId="7632"/>
    <cellStyle name="60% - 강조색4 2" xfId="7633"/>
    <cellStyle name="60% - 강조색5" xfId="7634"/>
    <cellStyle name="60% - 강조색5 2" xfId="7635"/>
    <cellStyle name="60% - 강조색6" xfId="7636"/>
    <cellStyle name="60% - 강조색6 2" xfId="7637"/>
    <cellStyle name="752131" xfId="7638"/>
    <cellStyle name="A3 297 x 420 mm" xfId="7639"/>
    <cellStyle name="aa" xfId="16347"/>
    <cellStyle name="aaaa" xfId="16348"/>
    <cellStyle name="Accent1 10" xfId="7640"/>
    <cellStyle name="Accent1 11" xfId="7641"/>
    <cellStyle name="Accent1 12" xfId="7642"/>
    <cellStyle name="Accent1 13" xfId="7643"/>
    <cellStyle name="Accent1 14" xfId="7644"/>
    <cellStyle name="Accent1 15" xfId="7645"/>
    <cellStyle name="Accent1 16" xfId="7646"/>
    <cellStyle name="Accent1 17" xfId="7647"/>
    <cellStyle name="Accent1 18" xfId="7648"/>
    <cellStyle name="Accent1 19" xfId="7649"/>
    <cellStyle name="Accent1 2" xfId="7650"/>
    <cellStyle name="Accent1 2 10" xfId="7651"/>
    <cellStyle name="Accent1 2 10 2" xfId="7652"/>
    <cellStyle name="Accent1 2 11" xfId="7653"/>
    <cellStyle name="Accent1 2 11 2" xfId="7654"/>
    <cellStyle name="Accent1 2 12" xfId="7655"/>
    <cellStyle name="Accent1 2 12 10" xfId="7656"/>
    <cellStyle name="Accent1 2 12 10 2" xfId="7657"/>
    <cellStyle name="Accent1 2 12 11" xfId="7658"/>
    <cellStyle name="Accent1 2 12 2" xfId="7659"/>
    <cellStyle name="Accent1 2 12 2 2" xfId="7660"/>
    <cellStyle name="Accent1 2 12 3" xfId="7661"/>
    <cellStyle name="Accent1 2 12 3 2" xfId="7662"/>
    <cellStyle name="Accent1 2 12 4" xfId="7663"/>
    <cellStyle name="Accent1 2 12 4 2" xfId="7664"/>
    <cellStyle name="Accent1 2 12 5" xfId="7665"/>
    <cellStyle name="Accent1 2 12 5 2" xfId="7666"/>
    <cellStyle name="Accent1 2 12 6" xfId="7667"/>
    <cellStyle name="Accent1 2 12 6 2" xfId="7668"/>
    <cellStyle name="Accent1 2 12 7" xfId="7669"/>
    <cellStyle name="Accent1 2 12 7 2" xfId="7670"/>
    <cellStyle name="Accent1 2 12 8" xfId="7671"/>
    <cellStyle name="Accent1 2 12 8 2" xfId="7672"/>
    <cellStyle name="Accent1 2 12 9" xfId="7673"/>
    <cellStyle name="Accent1 2 12 9 2" xfId="7674"/>
    <cellStyle name="Accent1 2 13" xfId="7675"/>
    <cellStyle name="Accent1 2 13 2" xfId="7676"/>
    <cellStyle name="Accent1 2 14" xfId="7677"/>
    <cellStyle name="Accent1 2 14 2" xfId="7678"/>
    <cellStyle name="Accent1 2 15" xfId="7679"/>
    <cellStyle name="Accent1 2 15 2" xfId="7680"/>
    <cellStyle name="Accent1 2 16" xfId="7681"/>
    <cellStyle name="Accent1 2 16 2" xfId="7682"/>
    <cellStyle name="Accent1 2 17" xfId="7683"/>
    <cellStyle name="Accent1 2 17 2" xfId="7684"/>
    <cellStyle name="Accent1 2 18" xfId="7685"/>
    <cellStyle name="Accent1 2 18 2" xfId="7686"/>
    <cellStyle name="Accent1 2 19" xfId="7687"/>
    <cellStyle name="Accent1 2 19 2" xfId="7688"/>
    <cellStyle name="Accent1 2 2" xfId="7689"/>
    <cellStyle name="Accent1 2 2 10" xfId="7690"/>
    <cellStyle name="Accent1 2 2 10 2" xfId="7691"/>
    <cellStyle name="Accent1 2 2 11" xfId="7692"/>
    <cellStyle name="Accent1 2 2 11 2" xfId="7693"/>
    <cellStyle name="Accent1 2 2 12" xfId="7694"/>
    <cellStyle name="Accent1 2 2 12 10" xfId="7695"/>
    <cellStyle name="Accent1 2 2 12 10 2" xfId="7696"/>
    <cellStyle name="Accent1 2 2 12 11" xfId="7697"/>
    <cellStyle name="Accent1 2 2 12 2" xfId="7698"/>
    <cellStyle name="Accent1 2 2 12 2 2" xfId="7699"/>
    <cellStyle name="Accent1 2 2 12 3" xfId="7700"/>
    <cellStyle name="Accent1 2 2 12 3 2" xfId="7701"/>
    <cellStyle name="Accent1 2 2 12 4" xfId="7702"/>
    <cellStyle name="Accent1 2 2 12 4 2" xfId="7703"/>
    <cellStyle name="Accent1 2 2 12 5" xfId="7704"/>
    <cellStyle name="Accent1 2 2 12 5 2" xfId="7705"/>
    <cellStyle name="Accent1 2 2 12 6" xfId="7706"/>
    <cellStyle name="Accent1 2 2 12 6 2" xfId="7707"/>
    <cellStyle name="Accent1 2 2 12 7" xfId="7708"/>
    <cellStyle name="Accent1 2 2 12 7 2" xfId="7709"/>
    <cellStyle name="Accent1 2 2 12 8" xfId="7710"/>
    <cellStyle name="Accent1 2 2 12 8 2" xfId="7711"/>
    <cellStyle name="Accent1 2 2 12 9" xfId="7712"/>
    <cellStyle name="Accent1 2 2 12 9 2" xfId="7713"/>
    <cellStyle name="Accent1 2 2 13" xfId="7714"/>
    <cellStyle name="Accent1 2 2 13 2" xfId="7715"/>
    <cellStyle name="Accent1 2 2 14" xfId="7716"/>
    <cellStyle name="Accent1 2 2 14 2" xfId="7717"/>
    <cellStyle name="Accent1 2 2 15" xfId="7718"/>
    <cellStyle name="Accent1 2 2 15 2" xfId="7719"/>
    <cellStyle name="Accent1 2 2 16" xfId="7720"/>
    <cellStyle name="Accent1 2 2 16 2" xfId="7721"/>
    <cellStyle name="Accent1 2 2 17" xfId="7722"/>
    <cellStyle name="Accent1 2 2 17 2" xfId="7723"/>
    <cellStyle name="Accent1 2 2 18" xfId="7724"/>
    <cellStyle name="Accent1 2 2 18 2" xfId="7725"/>
    <cellStyle name="Accent1 2 2 19" xfId="7726"/>
    <cellStyle name="Accent1 2 2 19 2" xfId="7727"/>
    <cellStyle name="Accent1 2 2 2" xfId="7728"/>
    <cellStyle name="Accent1 2 2 2 10" xfId="7729"/>
    <cellStyle name="Accent1 2 2 2 10 2" xfId="7730"/>
    <cellStyle name="Accent1 2 2 2 11" xfId="7731"/>
    <cellStyle name="Accent1 2 2 2 11 2" xfId="7732"/>
    <cellStyle name="Accent1 2 2 2 12" xfId="7733"/>
    <cellStyle name="Accent1 2 2 2 13" xfId="7734"/>
    <cellStyle name="Accent1 2 2 2 2" xfId="7735"/>
    <cellStyle name="Accent1 2 2 2 2 10" xfId="7736"/>
    <cellStyle name="Accent1 2 2 2 2 10 2" xfId="7737"/>
    <cellStyle name="Accent1 2 2 2 2 11" xfId="7738"/>
    <cellStyle name="Accent1 2 2 2 2 12" xfId="7739"/>
    <cellStyle name="Accent1 2 2 2 2 2" xfId="7740"/>
    <cellStyle name="Accent1 2 2 2 2 2 2" xfId="7741"/>
    <cellStyle name="Accent1 2 2 2 2 2 3" xfId="7742"/>
    <cellStyle name="Accent1 2 2 2 2 2 4" xfId="7743"/>
    <cellStyle name="Accent1 2 2 2 2 3" xfId="7744"/>
    <cellStyle name="Accent1 2 2 2 2 3 2" xfId="7745"/>
    <cellStyle name="Accent1 2 2 2 2 4" xfId="7746"/>
    <cellStyle name="Accent1 2 2 2 2 4 2" xfId="7747"/>
    <cellStyle name="Accent1 2 2 2 2 5" xfId="7748"/>
    <cellStyle name="Accent1 2 2 2 2 5 2" xfId="7749"/>
    <cellStyle name="Accent1 2 2 2 2 6" xfId="7750"/>
    <cellStyle name="Accent1 2 2 2 2 6 2" xfId="7751"/>
    <cellStyle name="Accent1 2 2 2 2 7" xfId="7752"/>
    <cellStyle name="Accent1 2 2 2 2 7 2" xfId="7753"/>
    <cellStyle name="Accent1 2 2 2 2 8" xfId="7754"/>
    <cellStyle name="Accent1 2 2 2 2 8 2" xfId="7755"/>
    <cellStyle name="Accent1 2 2 2 2 9" xfId="7756"/>
    <cellStyle name="Accent1 2 2 2 2 9 2" xfId="7757"/>
    <cellStyle name="Accent1 2 2 2 3" xfId="7758"/>
    <cellStyle name="Accent1 2 2 2 3 2" xfId="7759"/>
    <cellStyle name="Accent1 2 2 2 4" xfId="7760"/>
    <cellStyle name="Accent1 2 2 2 4 2" xfId="7761"/>
    <cellStyle name="Accent1 2 2 2 5" xfId="7762"/>
    <cellStyle name="Accent1 2 2 2 5 2" xfId="7763"/>
    <cellStyle name="Accent1 2 2 2 6" xfId="7764"/>
    <cellStyle name="Accent1 2 2 2 6 2" xfId="7765"/>
    <cellStyle name="Accent1 2 2 2 7" xfId="7766"/>
    <cellStyle name="Accent1 2 2 2 7 2" xfId="7767"/>
    <cellStyle name="Accent1 2 2 2 8" xfId="7768"/>
    <cellStyle name="Accent1 2 2 2 8 2" xfId="7769"/>
    <cellStyle name="Accent1 2 2 2 9" xfId="7770"/>
    <cellStyle name="Accent1 2 2 2 9 2" xfId="7771"/>
    <cellStyle name="Accent1 2 2 20" xfId="7772"/>
    <cellStyle name="Accent1 2 2 20 2" xfId="7773"/>
    <cellStyle name="Accent1 2 2 21" xfId="7774"/>
    <cellStyle name="Accent1 2 2 22" xfId="7775"/>
    <cellStyle name="Accent1 2 2 3" xfId="7776"/>
    <cellStyle name="Accent1 2 2 3 2" xfId="7777"/>
    <cellStyle name="Accent1 2 2 4" xfId="7778"/>
    <cellStyle name="Accent1 2 2 4 2" xfId="7779"/>
    <cellStyle name="Accent1 2 2 5" xfId="7780"/>
    <cellStyle name="Accent1 2 2 5 2" xfId="7781"/>
    <cellStyle name="Accent1 2 2 6" xfId="7782"/>
    <cellStyle name="Accent1 2 2 6 2" xfId="7783"/>
    <cellStyle name="Accent1 2 2 7" xfId="7784"/>
    <cellStyle name="Accent1 2 2 7 2" xfId="7785"/>
    <cellStyle name="Accent1 2 2 8" xfId="7786"/>
    <cellStyle name="Accent1 2 2 8 2" xfId="7787"/>
    <cellStyle name="Accent1 2 2 9" xfId="7788"/>
    <cellStyle name="Accent1 2 2 9 2" xfId="7789"/>
    <cellStyle name="Accent1 2 20" xfId="7790"/>
    <cellStyle name="Accent1 2 20 2" xfId="7791"/>
    <cellStyle name="Accent1 2 21" xfId="7792"/>
    <cellStyle name="Accent1 2 21 2" xfId="7793"/>
    <cellStyle name="Accent1 2 21 3" xfId="7794"/>
    <cellStyle name="Accent1 2 22" xfId="7795"/>
    <cellStyle name="Accent1 2 23" xfId="7796"/>
    <cellStyle name="Accent1 2 24" xfId="7797"/>
    <cellStyle name="Accent1 2 25" xfId="7798"/>
    <cellStyle name="Accent1 2 3" xfId="7799"/>
    <cellStyle name="Accent1 2 3 2" xfId="7800"/>
    <cellStyle name="Accent1 2 4" xfId="7801"/>
    <cellStyle name="Accent1 2 4 2" xfId="7802"/>
    <cellStyle name="Accent1 2 5" xfId="7803"/>
    <cellStyle name="Accent1 2 5 2" xfId="7804"/>
    <cellStyle name="Accent1 2 6" xfId="7805"/>
    <cellStyle name="Accent1 2 6 2" xfId="7806"/>
    <cellStyle name="Accent1 2 7" xfId="7807"/>
    <cellStyle name="Accent1 2 7 2" xfId="7808"/>
    <cellStyle name="Accent1 2 8" xfId="7809"/>
    <cellStyle name="Accent1 2 8 2" xfId="7810"/>
    <cellStyle name="Accent1 2 9" xfId="7811"/>
    <cellStyle name="Accent1 2 9 2" xfId="7812"/>
    <cellStyle name="Accent1 3" xfId="7813"/>
    <cellStyle name="Accent1 3 2" xfId="7814"/>
    <cellStyle name="Accent1 3 2 2" xfId="7815"/>
    <cellStyle name="Accent1 3 2 3" xfId="7816"/>
    <cellStyle name="Accent1 3 3" xfId="7817"/>
    <cellStyle name="Accent1 3 4" xfId="7818"/>
    <cellStyle name="Accent1 3 5" xfId="7819"/>
    <cellStyle name="Accent1 4" xfId="7820"/>
    <cellStyle name="Accent1 4 2" xfId="7821"/>
    <cellStyle name="Accent1 4 2 2" xfId="7822"/>
    <cellStyle name="Accent1 4 2 3" xfId="7823"/>
    <cellStyle name="Accent1 4 3" xfId="7824"/>
    <cellStyle name="Accent1 4 4" xfId="7825"/>
    <cellStyle name="Accent1 4 5" xfId="7826"/>
    <cellStyle name="Accent1 5" xfId="7827"/>
    <cellStyle name="Accent1 5 2" xfId="7828"/>
    <cellStyle name="Accent1 5 2 2" xfId="7829"/>
    <cellStyle name="Accent1 5 2 3" xfId="7830"/>
    <cellStyle name="Accent1 5 3" xfId="7831"/>
    <cellStyle name="Accent1 5 4" xfId="7832"/>
    <cellStyle name="Accent1 5 5" xfId="7833"/>
    <cellStyle name="Accent1 6" xfId="7834"/>
    <cellStyle name="Accent1 6 2" xfId="7835"/>
    <cellStyle name="Accent1 6 3" xfId="7836"/>
    <cellStyle name="Accent1 7" xfId="7837"/>
    <cellStyle name="Accent1 8" xfId="7838"/>
    <cellStyle name="Accent1 9" xfId="7839"/>
    <cellStyle name="Accent2 10" xfId="7840"/>
    <cellStyle name="Accent2 11" xfId="7841"/>
    <cellStyle name="Accent2 12" xfId="7842"/>
    <cellStyle name="Accent2 13" xfId="7843"/>
    <cellStyle name="Accent2 14" xfId="7844"/>
    <cellStyle name="Accent2 15" xfId="7845"/>
    <cellStyle name="Accent2 16" xfId="7846"/>
    <cellStyle name="Accent2 17" xfId="7847"/>
    <cellStyle name="Accent2 18" xfId="7848"/>
    <cellStyle name="Accent2 19" xfId="7849"/>
    <cellStyle name="Accent2 2" xfId="7850"/>
    <cellStyle name="Accent2 2 2" xfId="7851"/>
    <cellStyle name="Accent2 2 2 2" xfId="7852"/>
    <cellStyle name="Accent2 2 3" xfId="7853"/>
    <cellStyle name="Accent2 2 3 2" xfId="7854"/>
    <cellStyle name="Accent2 2 4" xfId="7855"/>
    <cellStyle name="Accent2 2 4 2" xfId="7856"/>
    <cellStyle name="Accent2 2 4 3" xfId="7857"/>
    <cellStyle name="Accent2 2 5" xfId="7858"/>
    <cellStyle name="Accent2 2 6" xfId="7859"/>
    <cellStyle name="Accent2 2 7" xfId="7860"/>
    <cellStyle name="Accent2 2 8" xfId="7861"/>
    <cellStyle name="Accent2 3" xfId="7862"/>
    <cellStyle name="Accent2 3 2" xfId="7863"/>
    <cellStyle name="Accent2 3 2 2" xfId="7864"/>
    <cellStyle name="Accent2 3 2 3" xfId="7865"/>
    <cellStyle name="Accent2 3 3" xfId="7866"/>
    <cellStyle name="Accent2 3 4" xfId="7867"/>
    <cellStyle name="Accent2 3 5" xfId="7868"/>
    <cellStyle name="Accent2 4" xfId="7869"/>
    <cellStyle name="Accent2 4 2" xfId="7870"/>
    <cellStyle name="Accent2 4 2 2" xfId="7871"/>
    <cellStyle name="Accent2 4 2 3" xfId="7872"/>
    <cellStyle name="Accent2 4 3" xfId="7873"/>
    <cellStyle name="Accent2 4 4" xfId="7874"/>
    <cellStyle name="Accent2 4 5" xfId="7875"/>
    <cellStyle name="Accent2 5" xfId="7876"/>
    <cellStyle name="Accent2 5 2" xfId="7877"/>
    <cellStyle name="Accent2 5 2 2" xfId="7878"/>
    <cellStyle name="Accent2 5 2 3" xfId="7879"/>
    <cellStyle name="Accent2 5 3" xfId="7880"/>
    <cellStyle name="Accent2 5 4" xfId="7881"/>
    <cellStyle name="Accent2 5 5" xfId="7882"/>
    <cellStyle name="Accent2 6" xfId="7883"/>
    <cellStyle name="Accent2 6 2" xfId="7884"/>
    <cellStyle name="Accent2 6 3" xfId="7885"/>
    <cellStyle name="Accent2 7" xfId="7886"/>
    <cellStyle name="Accent2 8" xfId="7887"/>
    <cellStyle name="Accent2 9" xfId="7888"/>
    <cellStyle name="Accent3 10" xfId="7889"/>
    <cellStyle name="Accent3 11" xfId="7890"/>
    <cellStyle name="Accent3 12" xfId="7891"/>
    <cellStyle name="Accent3 13" xfId="7892"/>
    <cellStyle name="Accent3 14" xfId="7893"/>
    <cellStyle name="Accent3 15" xfId="7894"/>
    <cellStyle name="Accent3 16" xfId="7895"/>
    <cellStyle name="Accent3 17" xfId="7896"/>
    <cellStyle name="Accent3 18" xfId="7897"/>
    <cellStyle name="Accent3 19" xfId="7898"/>
    <cellStyle name="Accent3 2" xfId="7899"/>
    <cellStyle name="Accent3 2 2" xfId="7900"/>
    <cellStyle name="Accent3 2 2 2" xfId="7901"/>
    <cellStyle name="Accent3 2 3" xfId="7902"/>
    <cellStyle name="Accent3 2 3 2" xfId="7903"/>
    <cellStyle name="Accent3 2 4" xfId="7904"/>
    <cellStyle name="Accent3 2 4 2" xfId="7905"/>
    <cellStyle name="Accent3 2 4 3" xfId="7906"/>
    <cellStyle name="Accent3 2 5" xfId="7907"/>
    <cellStyle name="Accent3 2 6" xfId="7908"/>
    <cellStyle name="Accent3 2 7" xfId="7909"/>
    <cellStyle name="Accent3 2 8" xfId="7910"/>
    <cellStyle name="Accent3 3" xfId="7911"/>
    <cellStyle name="Accent3 3 2" xfId="7912"/>
    <cellStyle name="Accent3 3 2 2" xfId="7913"/>
    <cellStyle name="Accent3 3 2 3" xfId="7914"/>
    <cellStyle name="Accent3 3 3" xfId="7915"/>
    <cellStyle name="Accent3 3 4" xfId="7916"/>
    <cellStyle name="Accent3 3 5" xfId="7917"/>
    <cellStyle name="Accent3 4" xfId="7918"/>
    <cellStyle name="Accent3 4 2" xfId="7919"/>
    <cellStyle name="Accent3 4 2 2" xfId="7920"/>
    <cellStyle name="Accent3 4 2 3" xfId="7921"/>
    <cellStyle name="Accent3 4 3" xfId="7922"/>
    <cellStyle name="Accent3 4 4" xfId="7923"/>
    <cellStyle name="Accent3 4 5" xfId="7924"/>
    <cellStyle name="Accent3 5" xfId="7925"/>
    <cellStyle name="Accent3 5 2" xfId="7926"/>
    <cellStyle name="Accent3 5 2 2" xfId="7927"/>
    <cellStyle name="Accent3 5 2 3" xfId="7928"/>
    <cellStyle name="Accent3 5 3" xfId="7929"/>
    <cellStyle name="Accent3 5 4" xfId="7930"/>
    <cellStyle name="Accent3 5 5" xfId="7931"/>
    <cellStyle name="Accent3 6" xfId="7932"/>
    <cellStyle name="Accent3 6 2" xfId="7933"/>
    <cellStyle name="Accent3 6 3" xfId="7934"/>
    <cellStyle name="Accent3 7" xfId="7935"/>
    <cellStyle name="Accent3 8" xfId="7936"/>
    <cellStyle name="Accent3 9" xfId="7937"/>
    <cellStyle name="Accent4 10" xfId="7938"/>
    <cellStyle name="Accent4 11" xfId="7939"/>
    <cellStyle name="Accent4 12" xfId="7940"/>
    <cellStyle name="Accent4 13" xfId="7941"/>
    <cellStyle name="Accent4 14" xfId="7942"/>
    <cellStyle name="Accent4 15" xfId="7943"/>
    <cellStyle name="Accent4 16" xfId="7944"/>
    <cellStyle name="Accent4 17" xfId="7945"/>
    <cellStyle name="Accent4 18" xfId="7946"/>
    <cellStyle name="Accent4 19" xfId="7947"/>
    <cellStyle name="Accent4 2" xfId="7948"/>
    <cellStyle name="Accent4 2 2" xfId="7949"/>
    <cellStyle name="Accent4 2 2 2" xfId="7950"/>
    <cellStyle name="Accent4 2 3" xfId="7951"/>
    <cellStyle name="Accent4 2 3 2" xfId="7952"/>
    <cellStyle name="Accent4 2 4" xfId="7953"/>
    <cellStyle name="Accent4 2 4 2" xfId="7954"/>
    <cellStyle name="Accent4 2 4 3" xfId="7955"/>
    <cellStyle name="Accent4 2 5" xfId="7956"/>
    <cellStyle name="Accent4 2 6" xfId="7957"/>
    <cellStyle name="Accent4 2 7" xfId="7958"/>
    <cellStyle name="Accent4 2 8" xfId="7959"/>
    <cellStyle name="Accent4 3" xfId="7960"/>
    <cellStyle name="Accent4 3 2" xfId="7961"/>
    <cellStyle name="Accent4 3 2 2" xfId="7962"/>
    <cellStyle name="Accent4 3 2 3" xfId="7963"/>
    <cellStyle name="Accent4 3 3" xfId="7964"/>
    <cellStyle name="Accent4 3 4" xfId="7965"/>
    <cellStyle name="Accent4 3 5" xfId="7966"/>
    <cellStyle name="Accent4 4" xfId="7967"/>
    <cellStyle name="Accent4 4 2" xfId="7968"/>
    <cellStyle name="Accent4 4 2 2" xfId="7969"/>
    <cellStyle name="Accent4 4 2 3" xfId="7970"/>
    <cellStyle name="Accent4 4 3" xfId="7971"/>
    <cellStyle name="Accent4 4 4" xfId="7972"/>
    <cellStyle name="Accent4 4 5" xfId="7973"/>
    <cellStyle name="Accent4 5" xfId="7974"/>
    <cellStyle name="Accent4 5 2" xfId="7975"/>
    <cellStyle name="Accent4 5 2 2" xfId="7976"/>
    <cellStyle name="Accent4 5 2 3" xfId="7977"/>
    <cellStyle name="Accent4 5 3" xfId="7978"/>
    <cellStyle name="Accent4 5 4" xfId="7979"/>
    <cellStyle name="Accent4 5 5" xfId="7980"/>
    <cellStyle name="Accent4 6" xfId="7981"/>
    <cellStyle name="Accent4 6 2" xfId="7982"/>
    <cellStyle name="Accent4 6 3" xfId="7983"/>
    <cellStyle name="Accent4 7" xfId="7984"/>
    <cellStyle name="Accent4 8" xfId="7985"/>
    <cellStyle name="Accent4 9" xfId="7986"/>
    <cellStyle name="Accent5 10" xfId="7987"/>
    <cellStyle name="Accent5 11" xfId="7988"/>
    <cellStyle name="Accent5 12" xfId="7989"/>
    <cellStyle name="Accent5 13" xfId="7990"/>
    <cellStyle name="Accent5 14" xfId="7991"/>
    <cellStyle name="Accent5 15" xfId="7992"/>
    <cellStyle name="Accent5 16" xfId="7993"/>
    <cellStyle name="Accent5 17" xfId="7994"/>
    <cellStyle name="Accent5 18" xfId="7995"/>
    <cellStyle name="Accent5 19" xfId="7996"/>
    <cellStyle name="Accent5 2" xfId="7997"/>
    <cellStyle name="Accent5 2 2" xfId="7998"/>
    <cellStyle name="Accent5 2 2 2" xfId="7999"/>
    <cellStyle name="Accent5 2 3" xfId="8000"/>
    <cellStyle name="Accent5 2 3 2" xfId="8001"/>
    <cellStyle name="Accent5 2 4" xfId="8002"/>
    <cellStyle name="Accent5 2 4 2" xfId="8003"/>
    <cellStyle name="Accent5 2 4 3" xfId="8004"/>
    <cellStyle name="Accent5 2 5" xfId="8005"/>
    <cellStyle name="Accent5 2 6" xfId="8006"/>
    <cellStyle name="Accent5 2 7" xfId="8007"/>
    <cellStyle name="Accent5 2 8" xfId="8008"/>
    <cellStyle name="Accent5 3" xfId="8009"/>
    <cellStyle name="Accent5 3 2" xfId="8010"/>
    <cellStyle name="Accent5 3 2 2" xfId="8011"/>
    <cellStyle name="Accent5 3 2 3" xfId="8012"/>
    <cellStyle name="Accent5 3 3" xfId="8013"/>
    <cellStyle name="Accent5 3 4" xfId="8014"/>
    <cellStyle name="Accent5 3 5" xfId="8015"/>
    <cellStyle name="Accent5 4" xfId="8016"/>
    <cellStyle name="Accent5 4 2" xfId="8017"/>
    <cellStyle name="Accent5 4 2 2" xfId="8018"/>
    <cellStyle name="Accent5 4 2 3" xfId="8019"/>
    <cellStyle name="Accent5 4 3" xfId="8020"/>
    <cellStyle name="Accent5 4 4" xfId="8021"/>
    <cellStyle name="Accent5 4 5" xfId="8022"/>
    <cellStyle name="Accent5 5" xfId="8023"/>
    <cellStyle name="Accent5 5 2" xfId="8024"/>
    <cellStyle name="Accent5 5 2 2" xfId="8025"/>
    <cellStyle name="Accent5 5 2 3" xfId="8026"/>
    <cellStyle name="Accent5 5 3" xfId="8027"/>
    <cellStyle name="Accent5 5 4" xfId="8028"/>
    <cellStyle name="Accent5 5 5" xfId="8029"/>
    <cellStyle name="Accent5 6" xfId="8030"/>
    <cellStyle name="Accent5 6 2" xfId="8031"/>
    <cellStyle name="Accent5 6 3" xfId="8032"/>
    <cellStyle name="Accent5 7" xfId="8033"/>
    <cellStyle name="Accent5 8" xfId="8034"/>
    <cellStyle name="Accent5 9" xfId="8035"/>
    <cellStyle name="Accent6 10" xfId="8036"/>
    <cellStyle name="Accent6 11" xfId="8037"/>
    <cellStyle name="Accent6 12" xfId="8038"/>
    <cellStyle name="Accent6 13" xfId="8039"/>
    <cellStyle name="Accent6 14" xfId="8040"/>
    <cellStyle name="Accent6 15" xfId="8041"/>
    <cellStyle name="Accent6 16" xfId="8042"/>
    <cellStyle name="Accent6 17" xfId="8043"/>
    <cellStyle name="Accent6 18" xfId="8044"/>
    <cellStyle name="Accent6 19" xfId="8045"/>
    <cellStyle name="Accent6 2" xfId="8046"/>
    <cellStyle name="Accent6 2 2" xfId="8047"/>
    <cellStyle name="Accent6 2 2 2" xfId="8048"/>
    <cellStyle name="Accent6 2 3" xfId="8049"/>
    <cellStyle name="Accent6 2 3 2" xfId="8050"/>
    <cellStyle name="Accent6 2 4" xfId="8051"/>
    <cellStyle name="Accent6 2 4 2" xfId="8052"/>
    <cellStyle name="Accent6 2 4 3" xfId="8053"/>
    <cellStyle name="Accent6 2 5" xfId="8054"/>
    <cellStyle name="Accent6 2 6" xfId="8055"/>
    <cellStyle name="Accent6 2 7" xfId="8056"/>
    <cellStyle name="Accent6 2 8" xfId="8057"/>
    <cellStyle name="Accent6 3" xfId="8058"/>
    <cellStyle name="Accent6 3 2" xfId="8059"/>
    <cellStyle name="Accent6 3 2 2" xfId="8060"/>
    <cellStyle name="Accent6 3 2 3" xfId="8061"/>
    <cellStyle name="Accent6 3 3" xfId="8062"/>
    <cellStyle name="Accent6 3 4" xfId="8063"/>
    <cellStyle name="Accent6 3 5" xfId="8064"/>
    <cellStyle name="Accent6 4" xfId="8065"/>
    <cellStyle name="Accent6 4 2" xfId="8066"/>
    <cellStyle name="Accent6 4 2 2" xfId="8067"/>
    <cellStyle name="Accent6 4 2 3" xfId="8068"/>
    <cellStyle name="Accent6 4 3" xfId="8069"/>
    <cellStyle name="Accent6 4 4" xfId="8070"/>
    <cellStyle name="Accent6 4 5" xfId="8071"/>
    <cellStyle name="Accent6 5" xfId="8072"/>
    <cellStyle name="Accent6 5 2" xfId="8073"/>
    <cellStyle name="Accent6 5 2 2" xfId="8074"/>
    <cellStyle name="Accent6 5 2 3" xfId="8075"/>
    <cellStyle name="Accent6 5 3" xfId="8076"/>
    <cellStyle name="Accent6 5 4" xfId="8077"/>
    <cellStyle name="Accent6 5 5" xfId="8078"/>
    <cellStyle name="Accent6 6" xfId="8079"/>
    <cellStyle name="Accent6 6 2" xfId="8080"/>
    <cellStyle name="Accent6 6 3" xfId="8081"/>
    <cellStyle name="Accent6 7" xfId="8082"/>
    <cellStyle name="Accent6 8" xfId="8083"/>
    <cellStyle name="Accent6 9" xfId="8084"/>
    <cellStyle name="accounting" xfId="8085"/>
    <cellStyle name="accounting 2" xfId="8086"/>
    <cellStyle name="accounting 2 2" xfId="8087"/>
    <cellStyle name="accounting 2 3" xfId="20245"/>
    <cellStyle name="accounting 2 4" xfId="34581"/>
    <cellStyle name="accounting 3" xfId="8088"/>
    <cellStyle name="accounting 3 2" xfId="20246"/>
    <cellStyle name="accounting 3 3" xfId="35010"/>
    <cellStyle name="accounting 4" xfId="8089"/>
    <cellStyle name="accounting 4 2" xfId="20247"/>
    <cellStyle name="accounting 4 3" xfId="33671"/>
    <cellStyle name="accounting 5" xfId="8090"/>
    <cellStyle name="accounting 5 2" xfId="20248"/>
    <cellStyle name="accounting 5 3" xfId="24410"/>
    <cellStyle name="accounting 6" xfId="20249"/>
    <cellStyle name="accounting 7" xfId="37711"/>
    <cellStyle name="Accounting w/$" xfId="8091"/>
    <cellStyle name="Accounting w/$ Total" xfId="8092"/>
    <cellStyle name="Accounting w/$ Total 2" xfId="24421"/>
    <cellStyle name="Accounting w/$ Total 3" xfId="35943"/>
    <cellStyle name="Accounting w/o $" xfId="8093"/>
    <cellStyle name="acct" xfId="16349"/>
    <cellStyle name="acct bold" xfId="16350"/>
    <cellStyle name="acct no" xfId="16351"/>
    <cellStyle name="acct_EPL LBO 5.16.05 - Mgmt IPO v6" xfId="16352"/>
    <cellStyle name="Acctg" xfId="16353"/>
    <cellStyle name="Açıklama Metni" xfId="16354"/>
    <cellStyle name="Across" xfId="16355"/>
    <cellStyle name="active" xfId="8094"/>
    <cellStyle name="active 2" xfId="8095"/>
    <cellStyle name="active 2 2" xfId="8096"/>
    <cellStyle name="active 3" xfId="8097"/>
    <cellStyle name="active 4" xfId="8098"/>
    <cellStyle name="active 5" xfId="8099"/>
    <cellStyle name="Actual" xfId="16356"/>
    <cellStyle name="Actual Date" xfId="8100"/>
    <cellStyle name="Actuals" xfId="8101"/>
    <cellStyle name="Actuals 10" xfId="8102"/>
    <cellStyle name="Actuals 10 2" xfId="8103"/>
    <cellStyle name="Actuals 11" xfId="8104"/>
    <cellStyle name="Actuals 11 2" xfId="8105"/>
    <cellStyle name="Actuals 12" xfId="8106"/>
    <cellStyle name="Actuals 12 2" xfId="8107"/>
    <cellStyle name="Actuals 13" xfId="8108"/>
    <cellStyle name="Actuals 13 2" xfId="8109"/>
    <cellStyle name="Actuals 14" xfId="8110"/>
    <cellStyle name="Actuals 14 2" xfId="8111"/>
    <cellStyle name="Actuals 15" xfId="8112"/>
    <cellStyle name="Actuals 15 2" xfId="8113"/>
    <cellStyle name="Actuals 16" xfId="8114"/>
    <cellStyle name="Actuals 16 2" xfId="8115"/>
    <cellStyle name="Actuals 17" xfId="8116"/>
    <cellStyle name="Actuals 17 2" xfId="8117"/>
    <cellStyle name="Actuals 18" xfId="8118"/>
    <cellStyle name="Actuals 18 2" xfId="8119"/>
    <cellStyle name="Actuals 19" xfId="8120"/>
    <cellStyle name="Actuals 19 2" xfId="8121"/>
    <cellStyle name="Actuals 2" xfId="8122"/>
    <cellStyle name="Actuals 2 2" xfId="8123"/>
    <cellStyle name="Actuals 2 2 2" xfId="8124"/>
    <cellStyle name="Actuals 2 2 3" xfId="8125"/>
    <cellStyle name="Actuals 2 3" xfId="8126"/>
    <cellStyle name="Actuals 2 4" xfId="8127"/>
    <cellStyle name="Actuals 2 5" xfId="8128"/>
    <cellStyle name="Actuals 20" xfId="8129"/>
    <cellStyle name="Actuals 20 2" xfId="8130"/>
    <cellStyle name="Actuals 21" xfId="8131"/>
    <cellStyle name="Actuals 21 2" xfId="8132"/>
    <cellStyle name="Actuals 22" xfId="8133"/>
    <cellStyle name="Actuals 22 2" xfId="8134"/>
    <cellStyle name="Actuals 23" xfId="8135"/>
    <cellStyle name="Actuals 23 2" xfId="8136"/>
    <cellStyle name="Actuals 24" xfId="8137"/>
    <cellStyle name="Actuals 24 2" xfId="8138"/>
    <cellStyle name="Actuals 25" xfId="8139"/>
    <cellStyle name="Actuals 25 2" xfId="8140"/>
    <cellStyle name="Actuals 26" xfId="8141"/>
    <cellStyle name="Actuals 26 2" xfId="8142"/>
    <cellStyle name="Actuals 27" xfId="8143"/>
    <cellStyle name="Actuals 27 2" xfId="8144"/>
    <cellStyle name="Actuals 28" xfId="8145"/>
    <cellStyle name="Actuals 28 2" xfId="8146"/>
    <cellStyle name="Actuals 29" xfId="8147"/>
    <cellStyle name="Actuals 29 2" xfId="8148"/>
    <cellStyle name="Actuals 3" xfId="8149"/>
    <cellStyle name="Actuals 3 2" xfId="8150"/>
    <cellStyle name="Actuals 30" xfId="8151"/>
    <cellStyle name="Actuals 30 2" xfId="8152"/>
    <cellStyle name="Actuals 30 3" xfId="8153"/>
    <cellStyle name="Actuals 31" xfId="8154"/>
    <cellStyle name="Actuals 32" xfId="8155"/>
    <cellStyle name="Actuals 33" xfId="8156"/>
    <cellStyle name="Actuals 4" xfId="8157"/>
    <cellStyle name="Actuals 4 2" xfId="8158"/>
    <cellStyle name="Actuals 5" xfId="8159"/>
    <cellStyle name="Actuals 5 2" xfId="8160"/>
    <cellStyle name="Actuals 6" xfId="8161"/>
    <cellStyle name="Actuals 6 2" xfId="8162"/>
    <cellStyle name="Actuals 7" xfId="8163"/>
    <cellStyle name="Actuals 7 2" xfId="8164"/>
    <cellStyle name="Actuals 8" xfId="8165"/>
    <cellStyle name="Actuals 8 2" xfId="8166"/>
    <cellStyle name="Actuals 9" xfId="8167"/>
    <cellStyle name="Actuals 9 2" xfId="8168"/>
    <cellStyle name="adj_share" xfId="8169"/>
    <cellStyle name="Adjustable" xfId="8170"/>
    <cellStyle name="Adjusted" xfId="8171"/>
    <cellStyle name="Adjusted 2" xfId="8172"/>
    <cellStyle name="Adjusted 2 2" xfId="8173"/>
    <cellStyle name="Adjusted 2 3" xfId="20250"/>
    <cellStyle name="Adjusted 2 4" xfId="37969"/>
    <cellStyle name="Adjusted 3" xfId="8174"/>
    <cellStyle name="Adjusted 3 2" xfId="20251"/>
    <cellStyle name="Adjusted 3 3" xfId="20637"/>
    <cellStyle name="Adjusted 4" xfId="8175"/>
    <cellStyle name="Adjusted 4 2" xfId="20252"/>
    <cellStyle name="Adjusted 4 3" xfId="35139"/>
    <cellStyle name="Adjusted 5" xfId="8176"/>
    <cellStyle name="Adjusted 5 2" xfId="20253"/>
    <cellStyle name="Adjusted 5 3" xfId="24284"/>
    <cellStyle name="Adjusted 6" xfId="20254"/>
    <cellStyle name="Adjusted 7" xfId="35549"/>
    <cellStyle name="AFE" xfId="8177"/>
    <cellStyle name="AFE 2" xfId="8178"/>
    <cellStyle name="AFE 2 2" xfId="8179"/>
    <cellStyle name="AFE 3" xfId="8180"/>
    <cellStyle name="AFE 4" xfId="8181"/>
    <cellStyle name="Afjusted" xfId="8182"/>
    <cellStyle name="Afjusted 2" xfId="8183"/>
    <cellStyle name="Afjusted 2 2" xfId="8184"/>
    <cellStyle name="Afjusted 2 3" xfId="24443"/>
    <cellStyle name="Afjusted 2 4" xfId="20537"/>
    <cellStyle name="Afjusted 3" xfId="8185"/>
    <cellStyle name="Afjusted 3 2" xfId="24444"/>
    <cellStyle name="Afjusted 3 3" xfId="20536"/>
    <cellStyle name="Afjusted 4" xfId="8186"/>
    <cellStyle name="Afjusted 4 2" xfId="24445"/>
    <cellStyle name="Afjusted 4 3" xfId="20535"/>
    <cellStyle name="Afjusted 5" xfId="8187"/>
    <cellStyle name="Afjusted 5 2" xfId="24446"/>
    <cellStyle name="Afjusted 5 3" xfId="29640"/>
    <cellStyle name="Afjusted 6" xfId="24442"/>
    <cellStyle name="Afjusted 7" xfId="20538"/>
    <cellStyle name="ai_תנאי הצמדה " xfId="8188"/>
    <cellStyle name="AIRCO" xfId="8189"/>
    <cellStyle name="AIRCO 2" xfId="8190"/>
    <cellStyle name="AIRCO 2 2" xfId="15950"/>
    <cellStyle name="AIRCO 2 2 10" xfId="34735"/>
    <cellStyle name="AIRCO 2 2 2" xfId="29342"/>
    <cellStyle name="AIRCO 2 2 3" xfId="34914"/>
    <cellStyle name="AIRCO 2 2 4" xfId="34111"/>
    <cellStyle name="AIRCO 2 2 5" xfId="24485"/>
    <cellStyle name="AIRCO 2 2 6" xfId="35732"/>
    <cellStyle name="AIRCO 2 2 7" xfId="25760"/>
    <cellStyle name="AIRCO 2 2 8" xfId="34654"/>
    <cellStyle name="AIRCO 2 2 9" xfId="36879"/>
    <cellStyle name="AIRCO 2 3" xfId="19901"/>
    <cellStyle name="AIRCO 2 3 2" xfId="33180"/>
    <cellStyle name="AIRCO 2 3 3" xfId="25809"/>
    <cellStyle name="AIRCO 2 3 4" xfId="35215"/>
    <cellStyle name="AIRCO 2 3 5" xfId="36630"/>
    <cellStyle name="AIRCO 2 3 6" xfId="35352"/>
    <cellStyle name="AIRCO 2 3 7" xfId="37968"/>
    <cellStyle name="AIRCO 2 3 8" xfId="38687"/>
    <cellStyle name="AIRCO 2 4" xfId="24448"/>
    <cellStyle name="AIRCO 2 5" xfId="33945"/>
    <cellStyle name="AIRCO 2 6" xfId="33797"/>
    <cellStyle name="AIRCO 2 7" xfId="34048"/>
    <cellStyle name="AIRCO 2 8" xfId="33805"/>
    <cellStyle name="AIRCO 3" xfId="15949"/>
    <cellStyle name="AIRCO 3 10" xfId="38142"/>
    <cellStyle name="AIRCO 3 2" xfId="29341"/>
    <cellStyle name="AIRCO 3 3" xfId="36081"/>
    <cellStyle name="AIRCO 3 4" xfId="35103"/>
    <cellStyle name="AIRCO 3 5" xfId="33929"/>
    <cellStyle name="AIRCO 3 6" xfId="34568"/>
    <cellStyle name="AIRCO 3 7" xfId="34565"/>
    <cellStyle name="AIRCO 3 8" xfId="37451"/>
    <cellStyle name="AIRCO 3 9" xfId="34616"/>
    <cellStyle name="AIRCO 4" xfId="19900"/>
    <cellStyle name="AIRCO 4 2" xfId="33179"/>
    <cellStyle name="AIRCO 4 3" xfId="25808"/>
    <cellStyle name="AIRCO 4 4" xfId="36426"/>
    <cellStyle name="AIRCO 4 5" xfId="37923"/>
    <cellStyle name="AIRCO 4 6" xfId="34562"/>
    <cellStyle name="AIRCO 4 7" xfId="24218"/>
    <cellStyle name="AIRCO 4 8" xfId="38686"/>
    <cellStyle name="AIRCO 5" xfId="24447"/>
    <cellStyle name="AIRCO 6" xfId="24786"/>
    <cellStyle name="AIRCO 7" xfId="38472"/>
    <cellStyle name="AIRCO 8" xfId="38982"/>
    <cellStyle name="AIRCO 9" xfId="36194"/>
    <cellStyle name="amount" xfId="8191"/>
    <cellStyle name="amount 2" xfId="8192"/>
    <cellStyle name="amount 2 2" xfId="8193"/>
    <cellStyle name="amount 2 2 10" xfId="25245"/>
    <cellStyle name="amount 2 2 11" xfId="34614"/>
    <cellStyle name="amount 2 2 2" xfId="8194"/>
    <cellStyle name="amount 2 2 2 10" xfId="24178"/>
    <cellStyle name="amount 2 2 2 2" xfId="15952"/>
    <cellStyle name="amount 2 2 2 2 10" xfId="25437"/>
    <cellStyle name="amount 2 2 2 2 11" xfId="24358"/>
    <cellStyle name="amount 2 2 2 2 12" xfId="38217"/>
    <cellStyle name="amount 2 2 2 2 13" xfId="24776"/>
    <cellStyle name="amount 2 2 2 2 14" xfId="24974"/>
    <cellStyle name="amount 2 2 2 2 2" xfId="29344"/>
    <cellStyle name="amount 2 2 2 2 3" xfId="35606"/>
    <cellStyle name="amount 2 2 2 2 4" xfId="34922"/>
    <cellStyle name="amount 2 2 2 2 5" xfId="35400"/>
    <cellStyle name="amount 2 2 2 2 6" xfId="24758"/>
    <cellStyle name="amount 2 2 2 2 7" xfId="33941"/>
    <cellStyle name="amount 2 2 2 2 8" xfId="37385"/>
    <cellStyle name="amount 2 2 2 2 9" xfId="36258"/>
    <cellStyle name="amount 2 2 2 3" xfId="19903"/>
    <cellStyle name="amount 2 2 2 3 10" xfId="25083"/>
    <cellStyle name="amount 2 2 2 3 11" xfId="34101"/>
    <cellStyle name="amount 2 2 2 3 12" xfId="38483"/>
    <cellStyle name="amount 2 2 2 3 13" xfId="38689"/>
    <cellStyle name="amount 2 2 2 3 14" xfId="38984"/>
    <cellStyle name="amount 2 2 2 3 15" xfId="37035"/>
    <cellStyle name="amount 2 2 2 3 16" xfId="35517"/>
    <cellStyle name="amount 2 2 2 3 2" xfId="33182"/>
    <cellStyle name="amount 2 2 2 3 3" xfId="36794"/>
    <cellStyle name="amount 2 2 2 3 4" xfId="25811"/>
    <cellStyle name="amount 2 2 2 3 5" xfId="37398"/>
    <cellStyle name="amount 2 2 2 3 6" xfId="35217"/>
    <cellStyle name="amount 2 2 2 3 7" xfId="35288"/>
    <cellStyle name="amount 2 2 2 3 8" xfId="33636"/>
    <cellStyle name="amount 2 2 2 3 9" xfId="24890"/>
    <cellStyle name="amount 2 2 2 4" xfId="24450"/>
    <cellStyle name="amount 2 2 2 5" xfId="20532"/>
    <cellStyle name="amount 2 2 2 6" xfId="35591"/>
    <cellStyle name="amount 2 2 2 7" xfId="36355"/>
    <cellStyle name="amount 2 2 2 8" xfId="20656"/>
    <cellStyle name="amount 2 2 2 9" xfId="20581"/>
    <cellStyle name="amount 2 2 3" xfId="15951"/>
    <cellStyle name="amount 2 2 3 10" xfId="35084"/>
    <cellStyle name="amount 2 2 3 11" xfId="36357"/>
    <cellStyle name="amount 2 2 3 12" xfId="25565"/>
    <cellStyle name="amount 2 2 3 13" xfId="34736"/>
    <cellStyle name="amount 2 2 3 14" xfId="33816"/>
    <cellStyle name="amount 2 2 3 2" xfId="29343"/>
    <cellStyle name="amount 2 2 3 3" xfId="35605"/>
    <cellStyle name="amount 2 2 3 4" xfId="36089"/>
    <cellStyle name="amount 2 2 3 5" xfId="36596"/>
    <cellStyle name="amount 2 2 3 6" xfId="25626"/>
    <cellStyle name="amount 2 2 3 7" xfId="36732"/>
    <cellStyle name="amount 2 2 3 8" xfId="33977"/>
    <cellStyle name="amount 2 2 3 9" xfId="36333"/>
    <cellStyle name="amount 2 2 4" xfId="19902"/>
    <cellStyle name="amount 2 2 4 10" xfId="33677"/>
    <cellStyle name="amount 2 2 4 11" xfId="24385"/>
    <cellStyle name="amount 2 2 4 12" xfId="38482"/>
    <cellStyle name="amount 2 2 4 13" xfId="38688"/>
    <cellStyle name="amount 2 2 4 14" xfId="38983"/>
    <cellStyle name="amount 2 2 4 15" xfId="24372"/>
    <cellStyle name="amount 2 2 4 16" xfId="25795"/>
    <cellStyle name="amount 2 2 4 2" xfId="33181"/>
    <cellStyle name="amount 2 2 4 3" xfId="36793"/>
    <cellStyle name="amount 2 2 4 4" xfId="25810"/>
    <cellStyle name="amount 2 2 4 5" xfId="37397"/>
    <cellStyle name="amount 2 2 4 6" xfId="36428"/>
    <cellStyle name="amount 2 2 4 7" xfId="36131"/>
    <cellStyle name="amount 2 2 4 8" xfId="36614"/>
    <cellStyle name="amount 2 2 4 9" xfId="35495"/>
    <cellStyle name="amount 2 2 5" xfId="24449"/>
    <cellStyle name="amount 2 2 6" xfId="20533"/>
    <cellStyle name="amount 2 2 7" xfId="36778"/>
    <cellStyle name="amount 2 2 8" xfId="34192"/>
    <cellStyle name="amount 2 2 9" xfId="34423"/>
    <cellStyle name="amount 2 3" xfId="8195"/>
    <cellStyle name="amount 2 3 10" xfId="38041"/>
    <cellStyle name="amount 2 3 11" xfId="38039"/>
    <cellStyle name="amount 2 3 2" xfId="8196"/>
    <cellStyle name="amount 2 3 2 10" xfId="25023"/>
    <cellStyle name="amount 2 3 2 2" xfId="15954"/>
    <cellStyle name="amount 2 3 2 2 10" xfId="35071"/>
    <cellStyle name="amount 2 3 2 2 11" xfId="37394"/>
    <cellStyle name="amount 2 3 2 2 12" xfId="25353"/>
    <cellStyle name="amount 2 3 2 2 13" xfId="37042"/>
    <cellStyle name="amount 2 3 2 2 14" xfId="37052"/>
    <cellStyle name="amount 2 3 2 2 2" xfId="29346"/>
    <cellStyle name="amount 2 3 2 2 3" xfId="35608"/>
    <cellStyle name="amount 2 3 2 2 4" xfId="36088"/>
    <cellStyle name="amount 2 3 2 2 5" xfId="33926"/>
    <cellStyle name="amount 2 3 2 2 6" xfId="24946"/>
    <cellStyle name="amount 2 3 2 2 7" xfId="33898"/>
    <cellStyle name="amount 2 3 2 2 8" xfId="25088"/>
    <cellStyle name="amount 2 3 2 2 9" xfId="35021"/>
    <cellStyle name="amount 2 3 2 3" xfId="19905"/>
    <cellStyle name="amount 2 3 2 3 10" xfId="29626"/>
    <cellStyle name="amount 2 3 2 3 11" xfId="35730"/>
    <cellStyle name="amount 2 3 2 3 12" xfId="38485"/>
    <cellStyle name="amount 2 3 2 3 13" xfId="38691"/>
    <cellStyle name="amount 2 3 2 3 14" xfId="38986"/>
    <cellStyle name="amount 2 3 2 3 15" xfId="34927"/>
    <cellStyle name="amount 2 3 2 3 16" xfId="20505"/>
    <cellStyle name="amount 2 3 2 3 2" xfId="33184"/>
    <cellStyle name="amount 2 3 2 3 3" xfId="36796"/>
    <cellStyle name="amount 2 3 2 3 4" xfId="25813"/>
    <cellStyle name="amount 2 3 2 3 5" xfId="37400"/>
    <cellStyle name="amount 2 3 2 3 6" xfId="36427"/>
    <cellStyle name="amount 2 3 2 3 7" xfId="35289"/>
    <cellStyle name="amount 2 3 2 3 8" xfId="33880"/>
    <cellStyle name="amount 2 3 2 3 9" xfId="34981"/>
    <cellStyle name="amount 2 3 2 4" xfId="24452"/>
    <cellStyle name="amount 2 3 2 5" xfId="20530"/>
    <cellStyle name="amount 2 3 2 6" xfId="24277"/>
    <cellStyle name="amount 2 3 2 7" xfId="36599"/>
    <cellStyle name="amount 2 3 2 8" xfId="35901"/>
    <cellStyle name="amount 2 3 2 9" xfId="35081"/>
    <cellStyle name="amount 2 3 3" xfId="15953"/>
    <cellStyle name="amount 2 3 3 10" xfId="35582"/>
    <cellStyle name="amount 2 3 3 11" xfId="25063"/>
    <cellStyle name="amount 2 3 3 12" xfId="36768"/>
    <cellStyle name="amount 2 3 3 13" xfId="38140"/>
    <cellStyle name="amount 2 3 3 14" xfId="24883"/>
    <cellStyle name="amount 2 3 3 2" xfId="29345"/>
    <cellStyle name="amount 2 3 3 3" xfId="35607"/>
    <cellStyle name="amount 2 3 3 4" xfId="25136"/>
    <cellStyle name="amount 2 3 3 5" xfId="36356"/>
    <cellStyle name="amount 2 3 3 6" xfId="36143"/>
    <cellStyle name="amount 2 3 3 7" xfId="36787"/>
    <cellStyle name="amount 2 3 3 8" xfId="35321"/>
    <cellStyle name="amount 2 3 3 9" xfId="36430"/>
    <cellStyle name="amount 2 3 4" xfId="19904"/>
    <cellStyle name="amount 2 3 4 10" xfId="36368"/>
    <cellStyle name="amount 2 3 4 11" xfId="36094"/>
    <cellStyle name="amount 2 3 4 12" xfId="38484"/>
    <cellStyle name="amount 2 3 4 13" xfId="38690"/>
    <cellStyle name="amount 2 3 4 14" xfId="38985"/>
    <cellStyle name="amount 2 3 4 15" xfId="38077"/>
    <cellStyle name="amount 2 3 4 16" xfId="34221"/>
    <cellStyle name="amount 2 3 4 2" xfId="33183"/>
    <cellStyle name="amount 2 3 4 3" xfId="36795"/>
    <cellStyle name="amount 2 3 4 4" xfId="25812"/>
    <cellStyle name="amount 2 3 4 5" xfId="37399"/>
    <cellStyle name="amount 2 3 4 6" xfId="24821"/>
    <cellStyle name="amount 2 3 4 7" xfId="24426"/>
    <cellStyle name="amount 2 3 4 8" xfId="37474"/>
    <cellStyle name="amount 2 3 4 9" xfId="35644"/>
    <cellStyle name="amount 2 3 5" xfId="24451"/>
    <cellStyle name="amount 2 3 6" xfId="20531"/>
    <cellStyle name="amount 2 3 7" xfId="24276"/>
    <cellStyle name="amount 2 3 8" xfId="24820"/>
    <cellStyle name="amount 2 3 9" xfId="25553"/>
    <cellStyle name="amount 2 4" xfId="8197"/>
    <cellStyle name="amount 2 4 10" xfId="25337"/>
    <cellStyle name="amount 2 4 11" xfId="24177"/>
    <cellStyle name="amount 2 4 2" xfId="8198"/>
    <cellStyle name="amount 2 4 2 10" xfId="38464"/>
    <cellStyle name="amount 2 4 2 2" xfId="15956"/>
    <cellStyle name="amount 2 4 2 2 10" xfId="36108"/>
    <cellStyle name="amount 2 4 2 2 11" xfId="34841"/>
    <cellStyle name="amount 2 4 2 2 12" xfId="24943"/>
    <cellStyle name="amount 2 4 2 2 13" xfId="24323"/>
    <cellStyle name="amount 2 4 2 2 14" xfId="25570"/>
    <cellStyle name="amount 2 4 2 2 2" xfId="29348"/>
    <cellStyle name="amount 2 4 2 2 3" xfId="35610"/>
    <cellStyle name="amount 2 4 2 2 4" xfId="25137"/>
    <cellStyle name="amount 2 4 2 2 5" xfId="33928"/>
    <cellStyle name="amount 2 4 2 2 6" xfId="24759"/>
    <cellStyle name="amount 2 4 2 2 7" xfId="35372"/>
    <cellStyle name="amount 2 4 2 2 8" xfId="34763"/>
    <cellStyle name="amount 2 4 2 2 9" xfId="35817"/>
    <cellStyle name="amount 2 4 2 3" xfId="19907"/>
    <cellStyle name="amount 2 4 2 3 10" xfId="36341"/>
    <cellStyle name="amount 2 4 2 3 11" xfId="24602"/>
    <cellStyle name="amount 2 4 2 3 12" xfId="38487"/>
    <cellStyle name="amount 2 4 2 3 13" xfId="38693"/>
    <cellStyle name="amount 2 4 2 3 14" xfId="38988"/>
    <cellStyle name="amount 2 4 2 3 15" xfId="24906"/>
    <cellStyle name="amount 2 4 2 3 16" xfId="34328"/>
    <cellStyle name="amount 2 4 2 3 2" xfId="33186"/>
    <cellStyle name="amount 2 4 2 3 3" xfId="36798"/>
    <cellStyle name="amount 2 4 2 3 4" xfId="25815"/>
    <cellStyle name="amount 2 4 2 3 5" xfId="37402"/>
    <cellStyle name="amount 2 4 2 3 6" xfId="24822"/>
    <cellStyle name="amount 2 4 2 3 7" xfId="33607"/>
    <cellStyle name="amount 2 4 2 3 8" xfId="34525"/>
    <cellStyle name="amount 2 4 2 3 9" xfId="34656"/>
    <cellStyle name="amount 2 4 2 4" xfId="24454"/>
    <cellStyle name="amount 2 4 2 5" xfId="20528"/>
    <cellStyle name="amount 2 4 2 6" xfId="36770"/>
    <cellStyle name="amount 2 4 2 7" xfId="24819"/>
    <cellStyle name="amount 2 4 2 8" xfId="20654"/>
    <cellStyle name="amount 2 4 2 9" xfId="24793"/>
    <cellStyle name="amount 2 4 3" xfId="15955"/>
    <cellStyle name="amount 2 4 3 10" xfId="25647"/>
    <cellStyle name="amount 2 4 3 11" xfId="36347"/>
    <cellStyle name="amount 2 4 3 12" xfId="36865"/>
    <cellStyle name="amount 2 4 3 13" xfId="36523"/>
    <cellStyle name="amount 2 4 3 14" xfId="36012"/>
    <cellStyle name="amount 2 4 3 2" xfId="29347"/>
    <cellStyle name="amount 2 4 3 3" xfId="35609"/>
    <cellStyle name="amount 2 4 3 4" xfId="34921"/>
    <cellStyle name="amount 2 4 3 5" xfId="34632"/>
    <cellStyle name="amount 2 4 3 6" xfId="36623"/>
    <cellStyle name="amount 2 4 3 7" xfId="35838"/>
    <cellStyle name="amount 2 4 3 8" xfId="35595"/>
    <cellStyle name="amount 2 4 3 9" xfId="36184"/>
    <cellStyle name="amount 2 4 4" xfId="19906"/>
    <cellStyle name="amount 2 4 4 10" xfId="34245"/>
    <cellStyle name="amount 2 4 4 11" xfId="35827"/>
    <cellStyle name="amount 2 4 4 12" xfId="38486"/>
    <cellStyle name="amount 2 4 4 13" xfId="38692"/>
    <cellStyle name="amount 2 4 4 14" xfId="38987"/>
    <cellStyle name="amount 2 4 4 15" xfId="38143"/>
    <cellStyle name="amount 2 4 4 16" xfId="38219"/>
    <cellStyle name="amount 2 4 4 2" xfId="33185"/>
    <cellStyle name="amount 2 4 4 3" xfId="36797"/>
    <cellStyle name="amount 2 4 4 4" xfId="25814"/>
    <cellStyle name="amount 2 4 4 5" xfId="37401"/>
    <cellStyle name="amount 2 4 4 6" xfId="35216"/>
    <cellStyle name="amount 2 4 4 7" xfId="24996"/>
    <cellStyle name="amount 2 4 4 8" xfId="35326"/>
    <cellStyle name="amount 2 4 4 9" xfId="25799"/>
    <cellStyle name="amount 2 4 5" xfId="24453"/>
    <cellStyle name="amount 2 4 6" xfId="20529"/>
    <cellStyle name="amount 2 4 7" xfId="24278"/>
    <cellStyle name="amount 2 4 8" xfId="20579"/>
    <cellStyle name="amount 2 4 9" xfId="20655"/>
    <cellStyle name="amount 2 5" xfId="8199"/>
    <cellStyle name="amount 2 5 10" xfId="35090"/>
    <cellStyle name="amount 2 5 11" xfId="25621"/>
    <cellStyle name="amount 2 5 2" xfId="8200"/>
    <cellStyle name="amount 2 5 2 10" xfId="38471"/>
    <cellStyle name="amount 2 5 2 2" xfId="15958"/>
    <cellStyle name="amount 2 5 2 2 10" xfId="33801"/>
    <cellStyle name="amount 2 5 2 2 11" xfId="38088"/>
    <cellStyle name="amount 2 5 2 2 12" xfId="34464"/>
    <cellStyle name="amount 2 5 2 2 13" xfId="37441"/>
    <cellStyle name="amount 2 5 2 2 14" xfId="34556"/>
    <cellStyle name="amount 2 5 2 2 2" xfId="29350"/>
    <cellStyle name="amount 2 5 2 2 3" xfId="35612"/>
    <cellStyle name="amount 2 5 2 2 4" xfId="34918"/>
    <cellStyle name="amount 2 5 2 2 5" xfId="34319"/>
    <cellStyle name="amount 2 5 2 2 6" xfId="34567"/>
    <cellStyle name="amount 2 5 2 2 7" xfId="25728"/>
    <cellStyle name="amount 2 5 2 2 8" xfId="37996"/>
    <cellStyle name="amount 2 5 2 2 9" xfId="34032"/>
    <cellStyle name="amount 2 5 2 3" xfId="19909"/>
    <cellStyle name="amount 2 5 2 3 10" xfId="24795"/>
    <cellStyle name="amount 2 5 2 3 11" xfId="35324"/>
    <cellStyle name="amount 2 5 2 3 12" xfId="38489"/>
    <cellStyle name="amount 2 5 2 3 13" xfId="38695"/>
    <cellStyle name="amount 2 5 2 3 14" xfId="38990"/>
    <cellStyle name="amount 2 5 2 3 15" xfId="25617"/>
    <cellStyle name="amount 2 5 2 3 16" xfId="33704"/>
    <cellStyle name="amount 2 5 2 3 2" xfId="33188"/>
    <cellStyle name="amount 2 5 2 3 3" xfId="36800"/>
    <cellStyle name="amount 2 5 2 3 4" xfId="25817"/>
    <cellStyle name="amount 2 5 2 3 5" xfId="37404"/>
    <cellStyle name="amount 2 5 2 3 6" xfId="35942"/>
    <cellStyle name="amount 2 5 2 3 7" xfId="25026"/>
    <cellStyle name="amount 2 5 2 3 8" xfId="35339"/>
    <cellStyle name="amount 2 5 2 3 9" xfId="37506"/>
    <cellStyle name="amount 2 5 2 4" xfId="24456"/>
    <cellStyle name="amount 2 5 2 5" xfId="20526"/>
    <cellStyle name="amount 2 5 2 6" xfId="36777"/>
    <cellStyle name="amount 2 5 2 7" xfId="20578"/>
    <cellStyle name="amount 2 5 2 8" xfId="20652"/>
    <cellStyle name="amount 2 5 2 9" xfId="34019"/>
    <cellStyle name="amount 2 5 3" xfId="15957"/>
    <cellStyle name="amount 2 5 3 10" xfId="38012"/>
    <cellStyle name="amount 2 5 3 11" xfId="38087"/>
    <cellStyle name="amount 2 5 3 12" xfId="35957"/>
    <cellStyle name="amount 2 5 3 13" xfId="34290"/>
    <cellStyle name="amount 2 5 3 14" xfId="38620"/>
    <cellStyle name="amount 2 5 3 2" xfId="29349"/>
    <cellStyle name="amount 2 5 3 3" xfId="35611"/>
    <cellStyle name="amount 2 5 3 4" xfId="36085"/>
    <cellStyle name="amount 2 5 3 5" xfId="36598"/>
    <cellStyle name="amount 2 5 3 6" xfId="34049"/>
    <cellStyle name="amount 2 5 3 7" xfId="25344"/>
    <cellStyle name="amount 2 5 3 8" xfId="35717"/>
    <cellStyle name="amount 2 5 3 9" xfId="36196"/>
    <cellStyle name="amount 2 5 4" xfId="19908"/>
    <cellStyle name="amount 2 5 4 10" xfId="37515"/>
    <cellStyle name="amount 2 5 4 11" xfId="34955"/>
    <cellStyle name="amount 2 5 4 12" xfId="38488"/>
    <cellStyle name="amount 2 5 4 13" xfId="38694"/>
    <cellStyle name="amount 2 5 4 14" xfId="38989"/>
    <cellStyle name="amount 2 5 4 15" xfId="35473"/>
    <cellStyle name="amount 2 5 4 16" xfId="34964"/>
    <cellStyle name="amount 2 5 4 2" xfId="33187"/>
    <cellStyle name="amount 2 5 4 3" xfId="36799"/>
    <cellStyle name="amount 2 5 4 4" xfId="25816"/>
    <cellStyle name="amount 2 5 4 5" xfId="37403"/>
    <cellStyle name="amount 2 5 4 6" xfId="24823"/>
    <cellStyle name="amount 2 5 4 7" xfId="36508"/>
    <cellStyle name="amount 2 5 4 8" xfId="35036"/>
    <cellStyle name="amount 2 5 4 9" xfId="34042"/>
    <cellStyle name="amount 2 5 5" xfId="24455"/>
    <cellStyle name="amount 2 5 6" xfId="20527"/>
    <cellStyle name="amount 2 5 7" xfId="35584"/>
    <cellStyle name="amount 2 5 8" xfId="35157"/>
    <cellStyle name="amount 2 5 9" xfId="20653"/>
    <cellStyle name="amount 3" xfId="8201"/>
    <cellStyle name="amount 3 10" xfId="35590"/>
    <cellStyle name="amount 3 11" xfId="35219"/>
    <cellStyle name="amount 3 12" xfId="20651"/>
    <cellStyle name="amount 3 13" xfId="37786"/>
    <cellStyle name="amount 3 14" xfId="36295"/>
    <cellStyle name="amount 3 2" xfId="8202"/>
    <cellStyle name="amount 3 2 10" xfId="36348"/>
    <cellStyle name="amount 3 2 11" xfId="24176"/>
    <cellStyle name="amount 3 2 2" xfId="8203"/>
    <cellStyle name="amount 3 2 2 10" xfId="38470"/>
    <cellStyle name="amount 3 2 2 2" xfId="15961"/>
    <cellStyle name="amount 3 2 2 2 10" xfId="24738"/>
    <cellStyle name="amount 3 2 2 2 11" xfId="34600"/>
    <cellStyle name="amount 3 2 2 2 12" xfId="38060"/>
    <cellStyle name="amount 3 2 2 2 13" xfId="34407"/>
    <cellStyle name="amount 3 2 2 2 14" xfId="33936"/>
    <cellStyle name="amount 3 2 2 2 2" xfId="29353"/>
    <cellStyle name="amount 3 2 2 2 3" xfId="35615"/>
    <cellStyle name="amount 3 2 2 2 4" xfId="25138"/>
    <cellStyle name="amount 3 2 2 2 5" xfId="35974"/>
    <cellStyle name="amount 3 2 2 2 6" xfId="35162"/>
    <cellStyle name="amount 3 2 2 2 7" xfId="24303"/>
    <cellStyle name="amount 3 2 2 2 8" xfId="24601"/>
    <cellStyle name="amount 3 2 2 2 9" xfId="24805"/>
    <cellStyle name="amount 3 2 2 3" xfId="19912"/>
    <cellStyle name="amount 3 2 2 3 10" xfId="38262"/>
    <cellStyle name="amount 3 2 2 3 11" xfId="35597"/>
    <cellStyle name="amount 3 2 2 3 12" xfId="38492"/>
    <cellStyle name="amount 3 2 2 3 13" xfId="38698"/>
    <cellStyle name="amount 3 2 2 3 14" xfId="38993"/>
    <cellStyle name="amount 3 2 2 3 15" xfId="25431"/>
    <cellStyle name="amount 3 2 2 3 16" xfId="37714"/>
    <cellStyle name="amount 3 2 2 3 2" xfId="33191"/>
    <cellStyle name="amount 3 2 2 3 3" xfId="36803"/>
    <cellStyle name="amount 3 2 2 3 4" xfId="37054"/>
    <cellStyle name="amount 3 2 2 3 5" xfId="37407"/>
    <cellStyle name="amount 3 2 2 3 6" xfId="35120"/>
    <cellStyle name="amount 3 2 2 3 7" xfId="33608"/>
    <cellStyle name="amount 3 2 2 3 8" xfId="36215"/>
    <cellStyle name="amount 3 2 2 3 9" xfId="33869"/>
    <cellStyle name="amount 3 2 2 4" xfId="24459"/>
    <cellStyle name="amount 3 2 2 5" xfId="20523"/>
    <cellStyle name="amount 3 2 2 6" xfId="36776"/>
    <cellStyle name="amount 3 2 2 7" xfId="24818"/>
    <cellStyle name="amount 3 2 2 8" xfId="20649"/>
    <cellStyle name="amount 3 2 2 9" xfId="36338"/>
    <cellStyle name="amount 3 2 3" xfId="15960"/>
    <cellStyle name="amount 3 2 3 10" xfId="34018"/>
    <cellStyle name="amount 3 2 3 11" xfId="25225"/>
    <cellStyle name="amount 3 2 3 12" xfId="37446"/>
    <cellStyle name="amount 3 2 3 13" xfId="24645"/>
    <cellStyle name="amount 3 2 3 14" xfId="34458"/>
    <cellStyle name="amount 3 2 3 2" xfId="29352"/>
    <cellStyle name="amount 3 2 3 3" xfId="35614"/>
    <cellStyle name="amount 3 2 3 4" xfId="34920"/>
    <cellStyle name="amount 3 2 3 5" xfId="35402"/>
    <cellStyle name="amount 3 2 3 6" xfId="25348"/>
    <cellStyle name="amount 3 2 3 7" xfId="35457"/>
    <cellStyle name="amount 3 2 3 8" xfId="25048"/>
    <cellStyle name="amount 3 2 3 9" xfId="35364"/>
    <cellStyle name="amount 3 2 4" xfId="19911"/>
    <cellStyle name="amount 3 2 4 10" xfId="36221"/>
    <cellStyle name="amount 3 2 4 11" xfId="37391"/>
    <cellStyle name="amount 3 2 4 12" xfId="38491"/>
    <cellStyle name="amount 3 2 4 13" xfId="38697"/>
    <cellStyle name="amount 3 2 4 14" xfId="38992"/>
    <cellStyle name="amount 3 2 4 15" xfId="24986"/>
    <cellStyle name="amount 3 2 4 16" xfId="33988"/>
    <cellStyle name="amount 3 2 4 2" xfId="33190"/>
    <cellStyle name="amount 3 2 4 3" xfId="36802"/>
    <cellStyle name="amount 3 2 4 4" xfId="37053"/>
    <cellStyle name="amount 3 2 4 5" xfId="37406"/>
    <cellStyle name="amount 3 2 4 6" xfId="34188"/>
    <cellStyle name="amount 3 2 4 7" xfId="37927"/>
    <cellStyle name="amount 3 2 4 8" xfId="24419"/>
    <cellStyle name="amount 3 2 4 9" xfId="34738"/>
    <cellStyle name="amount 3 2 5" xfId="24458"/>
    <cellStyle name="amount 3 2 6" xfId="20524"/>
    <cellStyle name="amount 3 2 7" xfId="24279"/>
    <cellStyle name="amount 3 2 8" xfId="36600"/>
    <cellStyle name="amount 3 2 9" xfId="20650"/>
    <cellStyle name="amount 3 3" xfId="8204"/>
    <cellStyle name="amount 3 3 10" xfId="25330"/>
    <cellStyle name="amount 3 3 11" xfId="33604"/>
    <cellStyle name="amount 3 3 2" xfId="8205"/>
    <cellStyle name="amount 3 3 2 10" xfId="24175"/>
    <cellStyle name="amount 3 3 2 2" xfId="15963"/>
    <cellStyle name="amount 3 3 2 2 10" xfId="25751"/>
    <cellStyle name="amount 3 3 2 2 11" xfId="37457"/>
    <cellStyle name="amount 3 3 2 2 12" xfId="33552"/>
    <cellStyle name="amount 3 3 2 2 13" xfId="35765"/>
    <cellStyle name="amount 3 3 2 2 14" xfId="36493"/>
    <cellStyle name="amount 3 3 2 2 2" xfId="29355"/>
    <cellStyle name="amount 3 3 2 2 3" xfId="35617"/>
    <cellStyle name="amount 3 3 2 2 4" xfId="34919"/>
    <cellStyle name="amount 3 3 2 2 5" xfId="34318"/>
    <cellStyle name="amount 3 3 2 2 6" xfId="34078"/>
    <cellStyle name="amount 3 3 2 2 7" xfId="25322"/>
    <cellStyle name="amount 3 3 2 2 8" xfId="33649"/>
    <cellStyle name="amount 3 3 2 2 9" xfId="25220"/>
    <cellStyle name="amount 3 3 2 3" xfId="19914"/>
    <cellStyle name="amount 3 3 2 3 10" xfId="37050"/>
    <cellStyle name="amount 3 3 2 3 11" xfId="34090"/>
    <cellStyle name="amount 3 3 2 3 12" xfId="38494"/>
    <cellStyle name="amount 3 3 2 3 13" xfId="38700"/>
    <cellStyle name="amount 3 3 2 3 14" xfId="38995"/>
    <cellStyle name="amount 3 3 2 3 15" xfId="34114"/>
    <cellStyle name="amount 3 3 2 3 16" xfId="36862"/>
    <cellStyle name="amount 3 3 2 3 2" xfId="33193"/>
    <cellStyle name="amount 3 3 2 3 3" xfId="36805"/>
    <cellStyle name="amount 3 3 2 3 4" xfId="37056"/>
    <cellStyle name="amount 3 3 2 3 5" xfId="37409"/>
    <cellStyle name="amount 3 3 2 3 6" xfId="34187"/>
    <cellStyle name="amount 3 3 2 3 7" xfId="36507"/>
    <cellStyle name="amount 3 3 2 3 8" xfId="33534"/>
    <cellStyle name="amount 3 3 2 3 9" xfId="35489"/>
    <cellStyle name="amount 3 3 2 4" xfId="24461"/>
    <cellStyle name="amount 3 3 2 5" xfId="29639"/>
    <cellStyle name="amount 3 3 2 6" xfId="24280"/>
    <cellStyle name="amount 3 3 2 7" xfId="20577"/>
    <cellStyle name="amount 3 3 2 8" xfId="20647"/>
    <cellStyle name="amount 3 3 2 9" xfId="35173"/>
    <cellStyle name="amount 3 3 3" xfId="15962"/>
    <cellStyle name="amount 3 3 3 10" xfId="37932"/>
    <cellStyle name="amount 3 3 3 11" xfId="34711"/>
    <cellStyle name="amount 3 3 3 12" xfId="37954"/>
    <cellStyle name="amount 3 3 3 13" xfId="34701"/>
    <cellStyle name="amount 3 3 3 14" xfId="37503"/>
    <cellStyle name="amount 3 3 3 2" xfId="29354"/>
    <cellStyle name="amount 3 3 3 3" xfId="35616"/>
    <cellStyle name="amount 3 3 3 4" xfId="36086"/>
    <cellStyle name="amount 3 3 3 5" xfId="25012"/>
    <cellStyle name="amount 3 3 3 6" xfId="25058"/>
    <cellStyle name="amount 3 3 3 7" xfId="34555"/>
    <cellStyle name="amount 3 3 3 8" xfId="33873"/>
    <cellStyle name="amount 3 3 3 9" xfId="37933"/>
    <cellStyle name="amount 3 3 4" xfId="19913"/>
    <cellStyle name="amount 3 3 4 10" xfId="34784"/>
    <cellStyle name="amount 3 3 4 11" xfId="34831"/>
    <cellStyle name="amount 3 3 4 12" xfId="38493"/>
    <cellStyle name="amount 3 3 4 13" xfId="38699"/>
    <cellStyle name="amount 3 3 4 14" xfId="38994"/>
    <cellStyle name="amount 3 3 4 15" xfId="36576"/>
    <cellStyle name="amount 3 3 4 16" xfId="35537"/>
    <cellStyle name="amount 3 3 4 2" xfId="33192"/>
    <cellStyle name="amount 3 3 4 3" xfId="36804"/>
    <cellStyle name="amount 3 3 4 4" xfId="37055"/>
    <cellStyle name="amount 3 3 4 5" xfId="37408"/>
    <cellStyle name="amount 3 3 4 6" xfId="35941"/>
    <cellStyle name="amount 3 3 4 7" xfId="33609"/>
    <cellStyle name="amount 3 3 4 8" xfId="36710"/>
    <cellStyle name="amount 3 3 4 9" xfId="35994"/>
    <cellStyle name="amount 3 3 5" xfId="24460"/>
    <cellStyle name="amount 3 3 6" xfId="20522"/>
    <cellStyle name="amount 3 3 7" xfId="35589"/>
    <cellStyle name="amount 3 3 8" xfId="24484"/>
    <cellStyle name="amount 3 3 9" xfId="20648"/>
    <cellStyle name="amount 3 4" xfId="8206"/>
    <cellStyle name="amount 3 4 10" xfId="35955"/>
    <cellStyle name="amount 3 4 11" xfId="38467"/>
    <cellStyle name="amount 3 4 2" xfId="8207"/>
    <cellStyle name="amount 3 4 2 10" xfId="37516"/>
    <cellStyle name="amount 3 4 2 2" xfId="15965"/>
    <cellStyle name="amount 3 4 2 2 10" xfId="36148"/>
    <cellStyle name="amount 3 4 2 2 11" xfId="36099"/>
    <cellStyle name="amount 3 4 2 2 12" xfId="25571"/>
    <cellStyle name="amount 3 4 2 2 13" xfId="34472"/>
    <cellStyle name="amount 3 4 2 2 14" xfId="25126"/>
    <cellStyle name="amount 3 4 2 2 2" xfId="29357"/>
    <cellStyle name="amount 3 4 2 2 3" xfId="35619"/>
    <cellStyle name="amount 3 4 2 2 4" xfId="25140"/>
    <cellStyle name="amount 3 4 2 2 5" xfId="24486"/>
    <cellStyle name="amount 3 4 2 2 6" xfId="35126"/>
    <cellStyle name="amount 3 4 2 2 7" xfId="33696"/>
    <cellStyle name="amount 3 4 2 2 8" xfId="24437"/>
    <cellStyle name="amount 3 4 2 2 9" xfId="37509"/>
    <cellStyle name="amount 3 4 2 3" xfId="19916"/>
    <cellStyle name="amount 3 4 2 3 10" xfId="33558"/>
    <cellStyle name="amount 3 4 2 3 11" xfId="34682"/>
    <cellStyle name="amount 3 4 2 3 12" xfId="38496"/>
    <cellStyle name="amount 3 4 2 3 13" xfId="38702"/>
    <cellStyle name="amount 3 4 2 3 14" xfId="38997"/>
    <cellStyle name="amount 3 4 2 3 15" xfId="25349"/>
    <cellStyle name="amount 3 4 2 3 16" xfId="25132"/>
    <cellStyle name="amount 3 4 2 3 2" xfId="33195"/>
    <cellStyle name="amount 3 4 2 3 3" xfId="36807"/>
    <cellStyle name="amount 3 4 2 3 4" xfId="37058"/>
    <cellStyle name="amount 3 4 2 3 5" xfId="37411"/>
    <cellStyle name="amount 3 4 2 3 6" xfId="35212"/>
    <cellStyle name="amount 3 4 2 3 7" xfId="37934"/>
    <cellStyle name="amount 3 4 2 3 8" xfId="35985"/>
    <cellStyle name="amount 3 4 2 3 9" xfId="36473"/>
    <cellStyle name="amount 3 4 2 4" xfId="24463"/>
    <cellStyle name="amount 3 4 2 5" xfId="29637"/>
    <cellStyle name="amount 3 4 2 6" xfId="35586"/>
    <cellStyle name="amount 3 4 2 7" xfId="35405"/>
    <cellStyle name="amount 3 4 2 8" xfId="20645"/>
    <cellStyle name="amount 3 4 2 9" xfId="24241"/>
    <cellStyle name="amount 3 4 3" xfId="15964"/>
    <cellStyle name="amount 3 4 3 10" xfId="35786"/>
    <cellStyle name="amount 3 4 3 11" xfId="36135"/>
    <cellStyle name="amount 3 4 3 12" xfId="34104"/>
    <cellStyle name="amount 3 4 3 13" xfId="36628"/>
    <cellStyle name="amount 3 4 3 14" xfId="24232"/>
    <cellStyle name="amount 3 4 3 2" xfId="29356"/>
    <cellStyle name="amount 3 4 3 3" xfId="35618"/>
    <cellStyle name="amount 3 4 3 4" xfId="25139"/>
    <cellStyle name="amount 3 4 3 5" xfId="35859"/>
    <cellStyle name="amount 3 4 3 6" xfId="25740"/>
    <cellStyle name="amount 3 4 3 7" xfId="36005"/>
    <cellStyle name="amount 3 4 3 8" xfId="36986"/>
    <cellStyle name="amount 3 4 3 9" xfId="24286"/>
    <cellStyle name="amount 3 4 4" xfId="19915"/>
    <cellStyle name="amount 3 4 4 10" xfId="33827"/>
    <cellStyle name="amount 3 4 4 11" xfId="37473"/>
    <cellStyle name="amount 3 4 4 12" xfId="38495"/>
    <cellStyle name="amount 3 4 4 13" xfId="38701"/>
    <cellStyle name="amount 3 4 4 14" xfId="38996"/>
    <cellStyle name="amount 3 4 4 15" xfId="34791"/>
    <cellStyle name="amount 3 4 4 16" xfId="34027"/>
    <cellStyle name="amount 3 4 4 2" xfId="33194"/>
    <cellStyle name="amount 3 4 4 3" xfId="36806"/>
    <cellStyle name="amount 3 4 4 4" xfId="37057"/>
    <cellStyle name="amount 3 4 4 5" xfId="37410"/>
    <cellStyle name="amount 3 4 4 6" xfId="36423"/>
    <cellStyle name="amount 3 4 4 7" xfId="34710"/>
    <cellStyle name="amount 3 4 4 8" xfId="24899"/>
    <cellStyle name="amount 3 4 4 9" xfId="35599"/>
    <cellStyle name="amount 3 4 5" xfId="24462"/>
    <cellStyle name="amount 3 4 6" xfId="29638"/>
    <cellStyle name="amount 3 4 7" xfId="36773"/>
    <cellStyle name="amount 3 4 8" xfId="34769"/>
    <cellStyle name="amount 3 4 9" xfId="20646"/>
    <cellStyle name="amount 3 5" xfId="8208"/>
    <cellStyle name="amount 3 5 10" xfId="35320"/>
    <cellStyle name="amount 3 5 11" xfId="38469"/>
    <cellStyle name="amount 3 5 2" xfId="8209"/>
    <cellStyle name="amount 3 5 2 10" xfId="34527"/>
    <cellStyle name="amount 3 5 2 2" xfId="15967"/>
    <cellStyle name="amount 3 5 2 2 10" xfId="35423"/>
    <cellStyle name="amount 3 5 2 2 11" xfId="25677"/>
    <cellStyle name="amount 3 5 2 2 12" xfId="25117"/>
    <cellStyle name="amount 3 5 2 2 13" xfId="36645"/>
    <cellStyle name="amount 3 5 2 2 14" xfId="20615"/>
    <cellStyle name="amount 3 5 2 2 2" xfId="29359"/>
    <cellStyle name="amount 3 5 2 2 3" xfId="35621"/>
    <cellStyle name="amount 3 5 2 2 4" xfId="34915"/>
    <cellStyle name="amount 3 5 2 2 5" xfId="33927"/>
    <cellStyle name="amount 3 5 2 2 6" xfId="37730"/>
    <cellStyle name="amount 3 5 2 2 7" xfId="33871"/>
    <cellStyle name="amount 3 5 2 2 8" xfId="36140"/>
    <cellStyle name="amount 3 5 2 2 9" xfId="20484"/>
    <cellStyle name="amount 3 5 2 3" xfId="19918"/>
    <cellStyle name="amount 3 5 2 3 10" xfId="37045"/>
    <cellStyle name="amount 3 5 2 3 11" xfId="33698"/>
    <cellStyle name="amount 3 5 2 3 12" xfId="38498"/>
    <cellStyle name="amount 3 5 2 3 13" xfId="38704"/>
    <cellStyle name="amount 3 5 2 3 14" xfId="38999"/>
    <cellStyle name="amount 3 5 2 3 15" xfId="38010"/>
    <cellStyle name="amount 3 5 2 3 16" xfId="34020"/>
    <cellStyle name="amount 3 5 2 3 2" xfId="33197"/>
    <cellStyle name="amount 3 5 2 3 3" xfId="36809"/>
    <cellStyle name="amount 3 5 2 3 4" xfId="37060"/>
    <cellStyle name="amount 3 5 2 3 5" xfId="37413"/>
    <cellStyle name="amount 3 5 2 3 6" xfId="36425"/>
    <cellStyle name="amount 3 5 2 3 7" xfId="37935"/>
    <cellStyle name="amount 3 5 2 3 8" xfId="34542"/>
    <cellStyle name="amount 3 5 2 3 9" xfId="36285"/>
    <cellStyle name="amount 3 5 2 4" xfId="24465"/>
    <cellStyle name="amount 3 5 2 5" xfId="29635"/>
    <cellStyle name="amount 3 5 2 6" xfId="35588"/>
    <cellStyle name="amount 3 5 2 7" xfId="20576"/>
    <cellStyle name="amount 3 5 2 8" xfId="20643"/>
    <cellStyle name="amount 3 5 2 9" xfId="36334"/>
    <cellStyle name="amount 3 5 3" xfId="15966"/>
    <cellStyle name="amount 3 5 3 10" xfId="33654"/>
    <cellStyle name="amount 3 5 3 11" xfId="34524"/>
    <cellStyle name="amount 3 5 3 12" xfId="37986"/>
    <cellStyle name="amount 3 5 3 13" xfId="36472"/>
    <cellStyle name="amount 3 5 3 14" xfId="25319"/>
    <cellStyle name="amount 3 5 3 2" xfId="29358"/>
    <cellStyle name="amount 3 5 3 3" xfId="35620"/>
    <cellStyle name="amount 3 5 3 4" xfId="36082"/>
    <cellStyle name="amount 3 5 3 5" xfId="35155"/>
    <cellStyle name="amount 3 5 3 6" xfId="35428"/>
    <cellStyle name="amount 3 5 3 7" xfId="34612"/>
    <cellStyle name="amount 3 5 3 8" xfId="24365"/>
    <cellStyle name="amount 3 5 3 9" xfId="34199"/>
    <cellStyle name="amount 3 5 4" xfId="19917"/>
    <cellStyle name="amount 3 5 4 10" xfId="24480"/>
    <cellStyle name="amount 3 5 4 11" xfId="34722"/>
    <cellStyle name="amount 3 5 4 12" xfId="38497"/>
    <cellStyle name="amount 3 5 4 13" xfId="38703"/>
    <cellStyle name="amount 3 5 4 14" xfId="38998"/>
    <cellStyle name="amount 3 5 4 15" xfId="35349"/>
    <cellStyle name="amount 3 5 4 16" xfId="35914"/>
    <cellStyle name="amount 3 5 4 2" xfId="33196"/>
    <cellStyle name="amount 3 5 4 3" xfId="36808"/>
    <cellStyle name="amount 3 5 4 4" xfId="37059"/>
    <cellStyle name="amount 3 5 4 5" xfId="37412"/>
    <cellStyle name="amount 3 5 4 6" xfId="36322"/>
    <cellStyle name="amount 3 5 4 7" xfId="25027"/>
    <cellStyle name="amount 3 5 4 8" xfId="35295"/>
    <cellStyle name="amount 3 5 4 9" xfId="33877"/>
    <cellStyle name="amount 3 5 5" xfId="24464"/>
    <cellStyle name="amount 3 5 6" xfId="29636"/>
    <cellStyle name="amount 3 5 7" xfId="36775"/>
    <cellStyle name="amount 3 5 8" xfId="25801"/>
    <cellStyle name="amount 3 5 9" xfId="20644"/>
    <cellStyle name="amount 3 6" xfId="15959"/>
    <cellStyle name="amount 3 6 10" xfId="20491"/>
    <cellStyle name="amount 3 6 11" xfId="25288"/>
    <cellStyle name="amount 3 6 12" xfId="33754"/>
    <cellStyle name="amount 3 6 13" xfId="37460"/>
    <cellStyle name="amount 3 6 14" xfId="38551"/>
    <cellStyle name="amount 3 6 2" xfId="29351"/>
    <cellStyle name="amount 3 6 3" xfId="35613"/>
    <cellStyle name="amount 3 6 4" xfId="36087"/>
    <cellStyle name="amount 3 6 5" xfId="35052"/>
    <cellStyle name="amount 3 6 6" xfId="36144"/>
    <cellStyle name="amount 3 6 7" xfId="25538"/>
    <cellStyle name="amount 3 6 8" xfId="33661"/>
    <cellStyle name="amount 3 6 9" xfId="25723"/>
    <cellStyle name="amount 3 7" xfId="19910"/>
    <cellStyle name="amount 3 7 10" xfId="37372"/>
    <cellStyle name="amount 3 7 11" xfId="34218"/>
    <cellStyle name="amount 3 7 12" xfId="38490"/>
    <cellStyle name="amount 3 7 13" xfId="38696"/>
    <cellStyle name="amount 3 7 14" xfId="38991"/>
    <cellStyle name="amount 3 7 15" xfId="37047"/>
    <cellStyle name="amount 3 7 16" xfId="36637"/>
    <cellStyle name="amount 3 7 2" xfId="33189"/>
    <cellStyle name="amount 3 7 3" xfId="36801"/>
    <cellStyle name="amount 3 7 4" xfId="25818"/>
    <cellStyle name="amount 3 7 5" xfId="37405"/>
    <cellStyle name="amount 3 7 6" xfId="34189"/>
    <cellStyle name="amount 3 7 7" xfId="36371"/>
    <cellStyle name="amount 3 7 8" xfId="25562"/>
    <cellStyle name="amount 3 7 9" xfId="37987"/>
    <cellStyle name="amount 3 8" xfId="24457"/>
    <cellStyle name="amount 3 9" xfId="20525"/>
    <cellStyle name="amount 4" xfId="8210"/>
    <cellStyle name="amount 4 10" xfId="24629"/>
    <cellStyle name="amount 4 11" xfId="24174"/>
    <cellStyle name="amount 4 2" xfId="8211"/>
    <cellStyle name="amount 4 2 10" xfId="38468"/>
    <cellStyle name="amount 4 2 2" xfId="15969"/>
    <cellStyle name="amount 4 2 2 10" xfId="34494"/>
    <cellStyle name="amount 4 2 2 11" xfId="36520"/>
    <cellStyle name="amount 4 2 2 12" xfId="38015"/>
    <cellStyle name="amount 4 2 2 13" xfId="33839"/>
    <cellStyle name="amount 4 2 2 14" xfId="36719"/>
    <cellStyle name="amount 4 2 2 2" xfId="29361"/>
    <cellStyle name="amount 4 2 2 3" xfId="35623"/>
    <cellStyle name="amount 4 2 2 4" xfId="34917"/>
    <cellStyle name="amount 4 2 2 5" xfId="35401"/>
    <cellStyle name="amount 4 2 2 6" xfId="20502"/>
    <cellStyle name="amount 4 2 2 7" xfId="35359"/>
    <cellStyle name="amount 4 2 2 8" xfId="34296"/>
    <cellStyle name="amount 4 2 2 9" xfId="34401"/>
    <cellStyle name="amount 4 2 3" xfId="19920"/>
    <cellStyle name="amount 4 2 3 10" xfId="35499"/>
    <cellStyle name="amount 4 2 3 11" xfId="37919"/>
    <cellStyle name="amount 4 2 3 12" xfId="38500"/>
    <cellStyle name="amount 4 2 3 13" xfId="38706"/>
    <cellStyle name="amount 4 2 3 14" xfId="39001"/>
    <cellStyle name="amount 4 2 3 15" xfId="34531"/>
    <cellStyle name="amount 4 2 3 16" xfId="38055"/>
    <cellStyle name="amount 4 2 3 2" xfId="33199"/>
    <cellStyle name="amount 4 2 3 3" xfId="36811"/>
    <cellStyle name="amount 4 2 3 4" xfId="37062"/>
    <cellStyle name="amount 4 2 3 5" xfId="37415"/>
    <cellStyle name="amount 4 2 3 6" xfId="24824"/>
    <cellStyle name="amount 4 2 3 7" xfId="33610"/>
    <cellStyle name="amount 4 2 3 8" xfId="34009"/>
    <cellStyle name="amount 4 2 3 9" xfId="36009"/>
    <cellStyle name="amount 4 2 4" xfId="24467"/>
    <cellStyle name="amount 4 2 5" xfId="29633"/>
    <cellStyle name="amount 4 2 6" xfId="36774"/>
    <cellStyle name="amount 4 2 7" xfId="35396"/>
    <cellStyle name="amount 4 2 8" xfId="20641"/>
    <cellStyle name="amount 4 2 9" xfId="36340"/>
    <cellStyle name="amount 4 3" xfId="15968"/>
    <cellStyle name="amount 4 3 10" xfId="35467"/>
    <cellStyle name="amount 4 3 11" xfId="25024"/>
    <cellStyle name="amount 4 3 12" xfId="37482"/>
    <cellStyle name="amount 4 3 13" xfId="38261"/>
    <cellStyle name="amount 4 3 14" xfId="38292"/>
    <cellStyle name="amount 4 3 2" xfId="29360"/>
    <cellStyle name="amount 4 3 3" xfId="35622"/>
    <cellStyle name="amount 4 3 4" xfId="36084"/>
    <cellStyle name="amount 4 3 5" xfId="36597"/>
    <cellStyle name="amount 4 3 6" xfId="34948"/>
    <cellStyle name="amount 4 3 7" xfId="36979"/>
    <cellStyle name="amount 4 3 8" xfId="36660"/>
    <cellStyle name="amount 4 3 9" xfId="20563"/>
    <cellStyle name="amount 4 4" xfId="19919"/>
    <cellStyle name="amount 4 4 10" xfId="38238"/>
    <cellStyle name="amount 4 4 11" xfId="36643"/>
    <cellStyle name="amount 4 4 12" xfId="38499"/>
    <cellStyle name="amount 4 4 13" xfId="38705"/>
    <cellStyle name="amount 4 4 14" xfId="39000"/>
    <cellStyle name="amount 4 4 15" xfId="33557"/>
    <cellStyle name="amount 4 4 16" xfId="36760"/>
    <cellStyle name="amount 4 4 2" xfId="33198"/>
    <cellStyle name="amount 4 4 3" xfId="36810"/>
    <cellStyle name="amount 4 4 4" xfId="37061"/>
    <cellStyle name="amount 4 4 5" xfId="37414"/>
    <cellStyle name="amount 4 4 6" xfId="35214"/>
    <cellStyle name="amount 4 4 7" xfId="33960"/>
    <cellStyle name="amount 4 4 8" xfId="37424"/>
    <cellStyle name="amount 4 4 9" xfId="36011"/>
    <cellStyle name="amount 4 5" xfId="24466"/>
    <cellStyle name="amount 4 6" xfId="29634"/>
    <cellStyle name="amount 4 7" xfId="24281"/>
    <cellStyle name="amount 4 8" xfId="34191"/>
    <cellStyle name="amount 4 9" xfId="20642"/>
    <cellStyle name="amount 5" xfId="8212"/>
    <cellStyle name="amount 5 10" xfId="24877"/>
    <cellStyle name="amount 5 11" xfId="24228"/>
    <cellStyle name="amount 5 2" xfId="8213"/>
    <cellStyle name="amount 5 2 10" xfId="24173"/>
    <cellStyle name="amount 5 2 2" xfId="15971"/>
    <cellStyle name="amount 5 2 2 10" xfId="36705"/>
    <cellStyle name="amount 5 2 2 11" xfId="25427"/>
    <cellStyle name="amount 5 2 2 12" xfId="20517"/>
    <cellStyle name="amount 5 2 2 13" xfId="34368"/>
    <cellStyle name="amount 5 2 2 14" xfId="25638"/>
    <cellStyle name="amount 5 2 2 2" xfId="29363"/>
    <cellStyle name="amount 5 2 2 3" xfId="35625"/>
    <cellStyle name="amount 5 2 2 4" xfId="36083"/>
    <cellStyle name="amount 5 2 2 5" xfId="25406"/>
    <cellStyle name="amount 5 2 2 6" xfId="35065"/>
    <cellStyle name="amount 5 2 2 7" xfId="25336"/>
    <cellStyle name="amount 5 2 2 8" xfId="37532"/>
    <cellStyle name="amount 5 2 2 9" xfId="34466"/>
    <cellStyle name="amount 5 2 3" xfId="19922"/>
    <cellStyle name="amount 5 2 3 10" xfId="38237"/>
    <cellStyle name="amount 5 2 3 11" xfId="25744"/>
    <cellStyle name="amount 5 2 3 12" xfId="38502"/>
    <cellStyle name="amount 5 2 3 13" xfId="38708"/>
    <cellStyle name="amount 5 2 3 14" xfId="39003"/>
    <cellStyle name="amount 5 2 3 15" xfId="29643"/>
    <cellStyle name="amount 5 2 3 16" xfId="36769"/>
    <cellStyle name="amount 5 2 3 2" xfId="33201"/>
    <cellStyle name="amount 5 2 3 3" xfId="36813"/>
    <cellStyle name="amount 5 2 3 4" xfId="37064"/>
    <cellStyle name="amount 5 2 3 5" xfId="37417"/>
    <cellStyle name="amount 5 2 3 6" xfId="36315"/>
    <cellStyle name="amount 5 2 3 7" xfId="34812"/>
    <cellStyle name="amount 5 2 3 8" xfId="24265"/>
    <cellStyle name="amount 5 2 3 9" xfId="37519"/>
    <cellStyle name="amount 5 2 4" xfId="24469"/>
    <cellStyle name="amount 5 2 5" xfId="29631"/>
    <cellStyle name="amount 5 2 6" xfId="24282"/>
    <cellStyle name="amount 5 2 7" xfId="25011"/>
    <cellStyle name="amount 5 2 8" xfId="29647"/>
    <cellStyle name="amount 5 2 9" xfId="34480"/>
    <cellStyle name="amount 5 3" xfId="15970"/>
    <cellStyle name="amount 5 3 10" xfId="38082"/>
    <cellStyle name="amount 5 3 11" xfId="37471"/>
    <cellStyle name="amount 5 3 12" xfId="34071"/>
    <cellStyle name="amount 5 3 13" xfId="38135"/>
    <cellStyle name="amount 5 3 14" xfId="33940"/>
    <cellStyle name="amount 5 3 2" xfId="29362"/>
    <cellStyle name="amount 5 3 3" xfId="35624"/>
    <cellStyle name="amount 5 3 4" xfId="25141"/>
    <cellStyle name="amount 5 3 5" xfId="34798"/>
    <cellStyle name="amount 5 3 6" xfId="24293"/>
    <cellStyle name="amount 5 3 7" xfId="24901"/>
    <cellStyle name="amount 5 3 8" xfId="35346"/>
    <cellStyle name="amount 5 3 9" xfId="36159"/>
    <cellStyle name="amount 5 4" xfId="19921"/>
    <cellStyle name="amount 5 4 10" xfId="25759"/>
    <cellStyle name="amount 5 4 11" xfId="36364"/>
    <cellStyle name="amount 5 4 12" xfId="38501"/>
    <cellStyle name="amount 5 4 13" xfId="38707"/>
    <cellStyle name="amount 5 4 14" xfId="39002"/>
    <cellStyle name="amount 5 4 15" xfId="34182"/>
    <cellStyle name="amount 5 4 16" xfId="36370"/>
    <cellStyle name="amount 5 4 2" xfId="33200"/>
    <cellStyle name="amount 5 4 3" xfId="36812"/>
    <cellStyle name="amount 5 4 4" xfId="37063"/>
    <cellStyle name="amount 5 4 5" xfId="37416"/>
    <cellStyle name="amount 5 4 6" xfId="34768"/>
    <cellStyle name="amount 5 4 7" xfId="34203"/>
    <cellStyle name="amount 5 4 8" xfId="33847"/>
    <cellStyle name="amount 5 4 9" xfId="24942"/>
    <cellStyle name="amount 5 5" xfId="24468"/>
    <cellStyle name="amount 5 6" xfId="29632"/>
    <cellStyle name="amount 5 7" xfId="35587"/>
    <cellStyle name="amount 5 8" xfId="36429"/>
    <cellStyle name="amount 5 9" xfId="29648"/>
    <cellStyle name="amount 6" xfId="8214"/>
    <cellStyle name="amount 6 10" xfId="20496"/>
    <cellStyle name="amount 6 11" xfId="24172"/>
    <cellStyle name="amount 6 2" xfId="8215"/>
    <cellStyle name="amount 6 2 10" xfId="38465"/>
    <cellStyle name="amount 6 2 2" xfId="15973"/>
    <cellStyle name="amount 6 2 2 10" xfId="36468"/>
    <cellStyle name="amount 6 2 2 11" xfId="36881"/>
    <cellStyle name="amount 6 2 2 12" xfId="36791"/>
    <cellStyle name="amount 6 2 2 13" xfId="25130"/>
    <cellStyle name="amount 6 2 2 14" xfId="37382"/>
    <cellStyle name="amount 6 2 2 2" xfId="29365"/>
    <cellStyle name="amount 6 2 2 3" xfId="35627"/>
    <cellStyle name="amount 6 2 2 4" xfId="25142"/>
    <cellStyle name="amount 6 2 2 5" xfId="34698"/>
    <cellStyle name="amount 6 2 2 6" xfId="24757"/>
    <cellStyle name="amount 6 2 2 7" xfId="24983"/>
    <cellStyle name="amount 6 2 2 8" xfId="37338"/>
    <cellStyle name="amount 6 2 2 9" xfId="35251"/>
    <cellStyle name="amount 6 2 3" xfId="19924"/>
    <cellStyle name="amount 6 2 3 10" xfId="34007"/>
    <cellStyle name="amount 6 2 3 11" xfId="25584"/>
    <cellStyle name="amount 6 2 3 12" xfId="38504"/>
    <cellStyle name="amount 6 2 3 13" xfId="38710"/>
    <cellStyle name="amount 6 2 3 14" xfId="39005"/>
    <cellStyle name="amount 6 2 3 15" xfId="33808"/>
    <cellStyle name="amount 6 2 3 16" xfId="24949"/>
    <cellStyle name="amount 6 2 3 2" xfId="33203"/>
    <cellStyle name="amount 6 2 3 3" xfId="36815"/>
    <cellStyle name="amount 6 2 3 4" xfId="37066"/>
    <cellStyle name="amount 6 2 3 5" xfId="37419"/>
    <cellStyle name="amount 6 2 3 6" xfId="34186"/>
    <cellStyle name="amount 6 2 3 7" xfId="25104"/>
    <cellStyle name="amount 6 2 3 8" xfId="34334"/>
    <cellStyle name="amount 6 2 3 9" xfId="37525"/>
    <cellStyle name="amount 6 2 4" xfId="24471"/>
    <cellStyle name="amount 6 2 5" xfId="20521"/>
    <cellStyle name="amount 6 2 6" xfId="36771"/>
    <cellStyle name="amount 6 2 7" xfId="24912"/>
    <cellStyle name="amount 6 2 8" xfId="20640"/>
    <cellStyle name="amount 6 2 9" xfId="38040"/>
    <cellStyle name="amount 6 3" xfId="15972"/>
    <cellStyle name="amount 6 3 10" xfId="37798"/>
    <cellStyle name="amount 6 3 11" xfId="33973"/>
    <cellStyle name="amount 6 3 12" xfId="36488"/>
    <cellStyle name="amount 6 3 13" xfId="24391"/>
    <cellStyle name="amount 6 3 14" xfId="37527"/>
    <cellStyle name="amount 6 3 2" xfId="29364"/>
    <cellStyle name="amount 6 3 3" xfId="35626"/>
    <cellStyle name="amount 6 3 4" xfId="34916"/>
    <cellStyle name="amount 6 3 5" xfId="34633"/>
    <cellStyle name="amount 6 3 6" xfId="35966"/>
    <cellStyle name="amount 6 3 7" xfId="24948"/>
    <cellStyle name="amount 6 3 8" xfId="34604"/>
    <cellStyle name="amount 6 3 9" xfId="38094"/>
    <cellStyle name="amount 6 4" xfId="19923"/>
    <cellStyle name="amount 6 4 10" xfId="37721"/>
    <cellStyle name="amount 6 4 11" xfId="20589"/>
    <cellStyle name="amount 6 4 12" xfId="38503"/>
    <cellStyle name="amount 6 4 13" xfId="38709"/>
    <cellStyle name="amount 6 4 14" xfId="39004"/>
    <cellStyle name="amount 6 4 15" xfId="35019"/>
    <cellStyle name="amount 6 4 16" xfId="33867"/>
    <cellStyle name="amount 6 4 2" xfId="33202"/>
    <cellStyle name="amount 6 4 3" xfId="36814"/>
    <cellStyle name="amount 6 4 4" xfId="37065"/>
    <cellStyle name="amount 6 4 5" xfId="37418"/>
    <cellStyle name="amount 6 4 6" xfId="34742"/>
    <cellStyle name="amount 6 4 7" xfId="25696"/>
    <cellStyle name="amount 6 4 8" xfId="34481"/>
    <cellStyle name="amount 6 4 9" xfId="34770"/>
    <cellStyle name="amount 6 5" xfId="24470"/>
    <cellStyle name="amount 6 6" xfId="29630"/>
    <cellStyle name="amount 6 7" xfId="24283"/>
    <cellStyle name="amount 6 8" xfId="20575"/>
    <cellStyle name="amount 6 9" xfId="29646"/>
    <cellStyle name="amount 7" xfId="8216"/>
    <cellStyle name="amount 7 10" xfId="36699"/>
    <cellStyle name="amount 7 11" xfId="35794"/>
    <cellStyle name="amount 7 2" xfId="8217"/>
    <cellStyle name="amount 7 2 10" xfId="38466"/>
    <cellStyle name="amount 7 2 2" xfId="15975"/>
    <cellStyle name="amount 7 2 2 10" xfId="36365"/>
    <cellStyle name="amount 7 2 2 11" xfId="34331"/>
    <cellStyle name="amount 7 2 2 12" xfId="37535"/>
    <cellStyle name="amount 7 2 2 13" xfId="34287"/>
    <cellStyle name="amount 7 2 2 14" xfId="38025"/>
    <cellStyle name="amount 7 2 2 2" xfId="29367"/>
    <cellStyle name="amount 7 2 2 3" xfId="35629"/>
    <cellStyle name="amount 7 2 2 4" xfId="25144"/>
    <cellStyle name="amount 7 2 2 5" xfId="24887"/>
    <cellStyle name="amount 7 2 2 6" xfId="25324"/>
    <cellStyle name="amount 7 2 2 7" xfId="35601"/>
    <cellStyle name="amount 7 2 2 8" xfId="33663"/>
    <cellStyle name="amount 7 2 2 9" xfId="24254"/>
    <cellStyle name="amount 7 2 3" xfId="19926"/>
    <cellStyle name="amount 7 2 3 10" xfId="38239"/>
    <cellStyle name="amount 7 2 3 11" xfId="25022"/>
    <cellStyle name="amount 7 2 3 12" xfId="38506"/>
    <cellStyle name="amount 7 2 3 13" xfId="38712"/>
    <cellStyle name="amount 7 2 3 14" xfId="39007"/>
    <cellStyle name="amount 7 2 3 15" xfId="25359"/>
    <cellStyle name="amount 7 2 3 16" xfId="36880"/>
    <cellStyle name="amount 7 2 3 2" xfId="33205"/>
    <cellStyle name="amount 7 2 3 3" xfId="36817"/>
    <cellStyle name="amount 7 2 3 4" xfId="37068"/>
    <cellStyle name="amount 7 2 3 5" xfId="37421"/>
    <cellStyle name="amount 7 2 3 6" xfId="24914"/>
    <cellStyle name="amount 7 2 3 7" xfId="35435"/>
    <cellStyle name="amount 7 2 3 8" xfId="35027"/>
    <cellStyle name="amount 7 2 3 9" xfId="34412"/>
    <cellStyle name="amount 7 2 4" xfId="24473"/>
    <cellStyle name="amount 7 2 5" xfId="20519"/>
    <cellStyle name="amount 7 2 6" xfId="36772"/>
    <cellStyle name="amount 7 2 7" xfId="36100"/>
    <cellStyle name="amount 7 2 8" xfId="20638"/>
    <cellStyle name="amount 7 2 9" xfId="35174"/>
    <cellStyle name="amount 7 3" xfId="15974"/>
    <cellStyle name="amount 7 3 10" xfId="33974"/>
    <cellStyle name="amount 7 3 11" xfId="24409"/>
    <cellStyle name="amount 7 3 12" xfId="38067"/>
    <cellStyle name="amount 7 3 13" xfId="36475"/>
    <cellStyle name="amount 7 3 14" xfId="38033"/>
    <cellStyle name="amount 7 3 2" xfId="29366"/>
    <cellStyle name="amount 7 3 3" xfId="35628"/>
    <cellStyle name="amount 7 3 4" xfId="25143"/>
    <cellStyle name="amount 7 3 5" xfId="24487"/>
    <cellStyle name="amount 7 3 6" xfId="33882"/>
    <cellStyle name="amount 7 3 7" xfId="24354"/>
    <cellStyle name="amount 7 3 8" xfId="36700"/>
    <cellStyle name="amount 7 3 9" xfId="24322"/>
    <cellStyle name="amount 7 4" xfId="19925"/>
    <cellStyle name="amount 7 4 10" xfId="35812"/>
    <cellStyle name="amount 7 4 11" xfId="36275"/>
    <cellStyle name="amount 7 4 12" xfId="38505"/>
    <cellStyle name="amount 7 4 13" xfId="38711"/>
    <cellStyle name="amount 7 4 14" xfId="39006"/>
    <cellStyle name="amount 7 4 15" xfId="36543"/>
    <cellStyle name="amount 7 4 16" xfId="33836"/>
    <cellStyle name="amount 7 4 2" xfId="33204"/>
    <cellStyle name="amount 7 4 3" xfId="36816"/>
    <cellStyle name="amount 7 4 4" xfId="37067"/>
    <cellStyle name="amount 7 4 5" xfId="37420"/>
    <cellStyle name="amount 7 4 6" xfId="34185"/>
    <cellStyle name="amount 7 4 7" xfId="25433"/>
    <cellStyle name="amount 7 4 8" xfId="36646"/>
    <cellStyle name="amount 7 4 9" xfId="36335"/>
    <cellStyle name="amount 7 5" xfId="24472"/>
    <cellStyle name="amount 7 6" xfId="20520"/>
    <cellStyle name="amount 7 7" xfId="35585"/>
    <cellStyle name="amount 7 8" xfId="35683"/>
    <cellStyle name="amount 7 9" xfId="20639"/>
    <cellStyle name="Ana Başlık" xfId="16357"/>
    <cellStyle name="Andre's Title" xfId="16358"/>
    <cellStyle name="Ann'l_Incr" xfId="8218"/>
    <cellStyle name="args.style" xfId="8219"/>
    <cellStyle name="args.style 10" xfId="8220"/>
    <cellStyle name="args.style 10 2" xfId="8221"/>
    <cellStyle name="args.style 11" xfId="8222"/>
    <cellStyle name="args.style 11 2" xfId="8223"/>
    <cellStyle name="args.style 12" xfId="8224"/>
    <cellStyle name="args.style 12 2" xfId="8225"/>
    <cellStyle name="args.style 13" xfId="8226"/>
    <cellStyle name="args.style 13 2" xfId="8227"/>
    <cellStyle name="args.style 14" xfId="8228"/>
    <cellStyle name="args.style 15" xfId="8229"/>
    <cellStyle name="args.style 16" xfId="8230"/>
    <cellStyle name="args.style 17" xfId="8231"/>
    <cellStyle name="args.style 18" xfId="8232"/>
    <cellStyle name="args.style 2" xfId="8233"/>
    <cellStyle name="args.style 2 10" xfId="8234"/>
    <cellStyle name="args.style 2 2" xfId="8235"/>
    <cellStyle name="args.style 2 2 2" xfId="8236"/>
    <cellStyle name="args.style 2 2 2 2" xfId="8237"/>
    <cellStyle name="args.style 2 2 2 2 2" xfId="8238"/>
    <cellStyle name="args.style 2 2 2 2 3" xfId="8239"/>
    <cellStyle name="args.style 2 2 2 2 4" xfId="8240"/>
    <cellStyle name="args.style 2 2 2 2 5" xfId="8241"/>
    <cellStyle name="args.style 2 2 2 2 6" xfId="8242"/>
    <cellStyle name="args.style 2 2 2 2 7" xfId="8243"/>
    <cellStyle name="args.style 2 2 2 2 8" xfId="8244"/>
    <cellStyle name="args.style 2 2 2 3" xfId="8245"/>
    <cellStyle name="args.style 2 2 2 4" xfId="8246"/>
    <cellStyle name="args.style 2 2 2 5" xfId="8247"/>
    <cellStyle name="args.style 2 2 2 6" xfId="8248"/>
    <cellStyle name="args.style 2 2 2 7" xfId="8249"/>
    <cellStyle name="args.style 2 2 2 8" xfId="8250"/>
    <cellStyle name="args.style 2 2 3" xfId="8251"/>
    <cellStyle name="args.style 2 2 4" xfId="8252"/>
    <cellStyle name="args.style 2 2 5" xfId="8253"/>
    <cellStyle name="args.style 2 2 6" xfId="8254"/>
    <cellStyle name="args.style 2 2 7" xfId="8255"/>
    <cellStyle name="args.style 2 2 8" xfId="8256"/>
    <cellStyle name="args.style 2 3" xfId="8257"/>
    <cellStyle name="args.style 2 3 2" xfId="8258"/>
    <cellStyle name="args.style 2 3 3" xfId="8259"/>
    <cellStyle name="args.style 2 3 4" xfId="8260"/>
    <cellStyle name="args.style 2 3 5" xfId="8261"/>
    <cellStyle name="args.style 2 3 6" xfId="8262"/>
    <cellStyle name="args.style 2 3 7" xfId="8263"/>
    <cellStyle name="args.style 2 3 8" xfId="8264"/>
    <cellStyle name="args.style 2 4" xfId="8265"/>
    <cellStyle name="args.style 2 5" xfId="8266"/>
    <cellStyle name="args.style 2 6" xfId="8267"/>
    <cellStyle name="args.style 2 7" xfId="8268"/>
    <cellStyle name="args.style 2 8" xfId="8269"/>
    <cellStyle name="args.style 2 9" xfId="8270"/>
    <cellStyle name="args.style 3" xfId="8271"/>
    <cellStyle name="args.style 3 10" xfId="8272"/>
    <cellStyle name="args.style 3 2" xfId="8273"/>
    <cellStyle name="args.style 3 2 2" xfId="8274"/>
    <cellStyle name="args.style 3 2 2 2" xfId="8275"/>
    <cellStyle name="args.style 3 2 2 2 2" xfId="8276"/>
    <cellStyle name="args.style 3 2 2 2 3" xfId="8277"/>
    <cellStyle name="args.style 3 2 2 2 4" xfId="8278"/>
    <cellStyle name="args.style 3 2 2 2 5" xfId="8279"/>
    <cellStyle name="args.style 3 2 2 2 6" xfId="8280"/>
    <cellStyle name="args.style 3 2 2 2 7" xfId="8281"/>
    <cellStyle name="args.style 3 2 2 2 8" xfId="8282"/>
    <cellStyle name="args.style 3 2 2 3" xfId="8283"/>
    <cellStyle name="args.style 3 2 2 4" xfId="8284"/>
    <cellStyle name="args.style 3 2 2 5" xfId="8285"/>
    <cellStyle name="args.style 3 2 2 6" xfId="8286"/>
    <cellStyle name="args.style 3 2 2 7" xfId="8287"/>
    <cellStyle name="args.style 3 2 2 8" xfId="8288"/>
    <cellStyle name="args.style 3 2 3" xfId="8289"/>
    <cellStyle name="args.style 3 2 4" xfId="8290"/>
    <cellStyle name="args.style 3 2 5" xfId="8291"/>
    <cellStyle name="args.style 3 2 6" xfId="8292"/>
    <cellStyle name="args.style 3 2 7" xfId="8293"/>
    <cellStyle name="args.style 3 2 8" xfId="8294"/>
    <cellStyle name="args.style 3 3" xfId="8295"/>
    <cellStyle name="args.style 3 3 2" xfId="8296"/>
    <cellStyle name="args.style 3 3 3" xfId="8297"/>
    <cellStyle name="args.style 3 3 4" xfId="8298"/>
    <cellStyle name="args.style 3 3 5" xfId="8299"/>
    <cellStyle name="args.style 3 3 6" xfId="8300"/>
    <cellStyle name="args.style 3 3 7" xfId="8301"/>
    <cellStyle name="args.style 3 3 8" xfId="8302"/>
    <cellStyle name="args.style 3 4" xfId="8303"/>
    <cellStyle name="args.style 3 5" xfId="8304"/>
    <cellStyle name="args.style 3 6" xfId="8305"/>
    <cellStyle name="args.style 3 7" xfId="8306"/>
    <cellStyle name="args.style 3 8" xfId="8307"/>
    <cellStyle name="args.style 3 9" xfId="8308"/>
    <cellStyle name="args.style 4" xfId="8309"/>
    <cellStyle name="args.style 4 2" xfId="8310"/>
    <cellStyle name="args.style 4 2 2" xfId="8311"/>
    <cellStyle name="args.style 4 2 2 2" xfId="8312"/>
    <cellStyle name="args.style 4 3" xfId="8313"/>
    <cellStyle name="args.style 4 4" xfId="8314"/>
    <cellStyle name="args.style 5" xfId="8315"/>
    <cellStyle name="args.style 5 2" xfId="8316"/>
    <cellStyle name="args.style 5 2 2" xfId="8317"/>
    <cellStyle name="args.style 5 2 3" xfId="8318"/>
    <cellStyle name="args.style 5 3" xfId="8319"/>
    <cellStyle name="args.style 5 4" xfId="8320"/>
    <cellStyle name="args.style 5 5" xfId="8321"/>
    <cellStyle name="args.style 6" xfId="8322"/>
    <cellStyle name="args.style 6 2" xfId="8323"/>
    <cellStyle name="args.style 6 3" xfId="8324"/>
    <cellStyle name="args.style 6 4" xfId="8325"/>
    <cellStyle name="args.style 7" xfId="8326"/>
    <cellStyle name="args.style 7 2" xfId="8327"/>
    <cellStyle name="args.style 8" xfId="8328"/>
    <cellStyle name="args.style 8 2" xfId="8329"/>
    <cellStyle name="args.style 9" xfId="8330"/>
    <cellStyle name="args.style 9 2" xfId="8331"/>
    <cellStyle name="Arial 10" xfId="8332"/>
    <cellStyle name="Arial 10 10" xfId="8333"/>
    <cellStyle name="Arial 10 10 2" xfId="8334"/>
    <cellStyle name="Arial 10 10 3" xfId="8335"/>
    <cellStyle name="Arial 10 11" xfId="8336"/>
    <cellStyle name="Arial 10 11 2" xfId="8337"/>
    <cellStyle name="Arial 10 11 2 2" xfId="8338"/>
    <cellStyle name="Arial 10 11 2 3" xfId="8339"/>
    <cellStyle name="Arial 10 11 3" xfId="8340"/>
    <cellStyle name="Arial 10 12" xfId="8341"/>
    <cellStyle name="Arial 10 13" xfId="8342"/>
    <cellStyle name="Arial 10 14" xfId="8343"/>
    <cellStyle name="Arial 10 15" xfId="8344"/>
    <cellStyle name="Arial 10 16" xfId="8345"/>
    <cellStyle name="Arial 10 17" xfId="8346"/>
    <cellStyle name="Arial 10 2" xfId="8347"/>
    <cellStyle name="Arial 10 2 10" xfId="8348"/>
    <cellStyle name="Arial 10 2 11" xfId="8349"/>
    <cellStyle name="Arial 10 2 12" xfId="8350"/>
    <cellStyle name="Arial 10 2 2" xfId="8351"/>
    <cellStyle name="Arial 10 2 2 2" xfId="8352"/>
    <cellStyle name="Arial 10 2 2 2 2" xfId="8353"/>
    <cellStyle name="Arial 10 2 2 2 2 2" xfId="8354"/>
    <cellStyle name="Arial 10 2 2 2 2 2 2" xfId="8355"/>
    <cellStyle name="Arial 10 2 2 2 2 2 3" xfId="8356"/>
    <cellStyle name="Arial 10 2 2 2 2 2 4" xfId="8357"/>
    <cellStyle name="Arial 10 2 2 2 2 2 5" xfId="8358"/>
    <cellStyle name="Arial 10 2 2 2 2 2 6" xfId="8359"/>
    <cellStyle name="Arial 10 2 2 2 2 2 7" xfId="8360"/>
    <cellStyle name="Arial 10 2 2 2 2 2 8" xfId="8361"/>
    <cellStyle name="Arial 10 2 2 2 2 3" xfId="8362"/>
    <cellStyle name="Arial 10 2 2 2 2 4" xfId="8363"/>
    <cellStyle name="Arial 10 2 2 2 2 5" xfId="8364"/>
    <cellStyle name="Arial 10 2 2 2 2 6" xfId="8365"/>
    <cellStyle name="Arial 10 2 2 2 2 7" xfId="8366"/>
    <cellStyle name="Arial 10 2 2 2 2 8" xfId="8367"/>
    <cellStyle name="Arial 10 2 2 2 2 9" xfId="8368"/>
    <cellStyle name="Arial 10 2 2 2 3" xfId="8369"/>
    <cellStyle name="Arial 10 2 2 2 4" xfId="8370"/>
    <cellStyle name="Arial 10 2 2 2 5" xfId="8371"/>
    <cellStyle name="Arial 10 2 2 2 6" xfId="8372"/>
    <cellStyle name="Arial 10 2 2 2 7" xfId="8373"/>
    <cellStyle name="Arial 10 2 2 2 8" xfId="8374"/>
    <cellStyle name="Arial 10 2 2 2 9" xfId="8375"/>
    <cellStyle name="Arial 10 2 2 3" xfId="8376"/>
    <cellStyle name="Arial 10 2 2 4" xfId="8377"/>
    <cellStyle name="Arial 10 2 2 5" xfId="8378"/>
    <cellStyle name="Arial 10 2 2 6" xfId="8379"/>
    <cellStyle name="Arial 10 2 2 7" xfId="8380"/>
    <cellStyle name="Arial 10 2 2 8" xfId="8381"/>
    <cellStyle name="Arial 10 2 2 9" xfId="8382"/>
    <cellStyle name="Arial 10 2 3" xfId="8383"/>
    <cellStyle name="Arial 10 2 4" xfId="8384"/>
    <cellStyle name="Arial 10 2 5" xfId="8385"/>
    <cellStyle name="Arial 10 2 6" xfId="8386"/>
    <cellStyle name="Arial 10 2 7" xfId="8387"/>
    <cellStyle name="Arial 10 2 8" xfId="8388"/>
    <cellStyle name="Arial 10 2 9" xfId="8389"/>
    <cellStyle name="Arial 10 3" xfId="8390"/>
    <cellStyle name="Arial 10 3 2" xfId="8391"/>
    <cellStyle name="Arial 10 3 3" xfId="8392"/>
    <cellStyle name="Arial 10 3 4" xfId="8393"/>
    <cellStyle name="Arial 10 3 5" xfId="8394"/>
    <cellStyle name="Arial 10 3 6" xfId="8395"/>
    <cellStyle name="Arial 10 3 7" xfId="8396"/>
    <cellStyle name="Arial 10 3 8" xfId="8397"/>
    <cellStyle name="Arial 10 3 9" xfId="8398"/>
    <cellStyle name="Arial 10 4" xfId="8399"/>
    <cellStyle name="Arial 10 4 2" xfId="8400"/>
    <cellStyle name="Arial 10 4 3" xfId="8401"/>
    <cellStyle name="Arial 10 4 4" xfId="8402"/>
    <cellStyle name="Arial 10 4 5" xfId="8403"/>
    <cellStyle name="Arial 10 4 6" xfId="8404"/>
    <cellStyle name="Arial 10 4 7" xfId="8405"/>
    <cellStyle name="Arial 10 4 8" xfId="8406"/>
    <cellStyle name="Arial 10 4 9" xfId="8407"/>
    <cellStyle name="Arial 10 5" xfId="8408"/>
    <cellStyle name="Arial 10 5 2" xfId="8409"/>
    <cellStyle name="Arial 10 5 3" xfId="8410"/>
    <cellStyle name="Arial 10 5 4" xfId="8411"/>
    <cellStyle name="Arial 10 5 5" xfId="8412"/>
    <cellStyle name="Arial 10 5 6" xfId="8413"/>
    <cellStyle name="Arial 10 5 7" xfId="8414"/>
    <cellStyle name="Arial 10 5 8" xfId="8415"/>
    <cellStyle name="Arial 10 5 9" xfId="8416"/>
    <cellStyle name="Arial 10 6" xfId="8417"/>
    <cellStyle name="Arial 10 6 2" xfId="8418"/>
    <cellStyle name="Arial 10 6 3" xfId="8419"/>
    <cellStyle name="Arial 10 6 4" xfId="8420"/>
    <cellStyle name="Arial 10 6 5" xfId="8421"/>
    <cellStyle name="Arial 10 6 6" xfId="8422"/>
    <cellStyle name="Arial 10 6 7" xfId="8423"/>
    <cellStyle name="Arial 10 6 8" xfId="8424"/>
    <cellStyle name="Arial 10 6 9" xfId="8425"/>
    <cellStyle name="Arial 10 7" xfId="8426"/>
    <cellStyle name="Arial 10 7 2" xfId="8427"/>
    <cellStyle name="Arial 10 7 3" xfId="8428"/>
    <cellStyle name="Arial 10 7 4" xfId="8429"/>
    <cellStyle name="Arial 10 7 5" xfId="8430"/>
    <cellStyle name="Arial 10 7 6" xfId="8431"/>
    <cellStyle name="Arial 10 7 7" xfId="8432"/>
    <cellStyle name="Arial 10 7 8" xfId="8433"/>
    <cellStyle name="Arial 10 7 9" xfId="8434"/>
    <cellStyle name="Arial 10 8" xfId="8435"/>
    <cellStyle name="Arial 10 8 2" xfId="8436"/>
    <cellStyle name="Arial 10 8 3" xfId="8437"/>
    <cellStyle name="Arial 10 8 4" xfId="8438"/>
    <cellStyle name="Arial 10 8 5" xfId="8439"/>
    <cellStyle name="Arial 10 8 6" xfId="8440"/>
    <cellStyle name="Arial 10 8 7" xfId="8441"/>
    <cellStyle name="Arial 10 8 8" xfId="8442"/>
    <cellStyle name="Arial 10 8 9" xfId="8443"/>
    <cellStyle name="Arial 10 9" xfId="8444"/>
    <cellStyle name="Arial 10 9 2" xfId="8445"/>
    <cellStyle name="Arial 10 9 3" xfId="8446"/>
    <cellStyle name="Arial 10 9 4" xfId="8447"/>
    <cellStyle name="Arial 10 9 5" xfId="8448"/>
    <cellStyle name="Arial 10 9 6" xfId="8449"/>
    <cellStyle name="Arial 10 9 7" xfId="8450"/>
    <cellStyle name="Arial 10 9 8" xfId="8451"/>
    <cellStyle name="Arial 10 9 9" xfId="8452"/>
    <cellStyle name="Arial 12" xfId="8453"/>
    <cellStyle name="Arial 12 2" xfId="8454"/>
    <cellStyle name="Arial 12 2 2" xfId="8455"/>
    <cellStyle name="Arial 12 2 2 2" xfId="8456"/>
    <cellStyle name="Arial 12 3" xfId="8457"/>
    <cellStyle name="Arial 12 4" xfId="8458"/>
    <cellStyle name="Arial 12 5" xfId="8459"/>
    <cellStyle name="ARIAL 14" xfId="8460"/>
    <cellStyle name="ARIAL 14 2" xfId="8461"/>
    <cellStyle name="Arial6Bold" xfId="8462"/>
    <cellStyle name="Arial6Bold 10" xfId="20552"/>
    <cellStyle name="Arial6Bold 11" xfId="35228"/>
    <cellStyle name="Arial6Bold 12" xfId="34408"/>
    <cellStyle name="Arial6Bold 13" xfId="24208"/>
    <cellStyle name="Arial6Bold 14" xfId="36679"/>
    <cellStyle name="Arial6Bold 15" xfId="37914"/>
    <cellStyle name="Arial6Bold 16" xfId="38052"/>
    <cellStyle name="Arial6Bold 2" xfId="8463"/>
    <cellStyle name="Arial6Bold 2 10" xfId="36605"/>
    <cellStyle name="Arial6Bold 2 11" xfId="35075"/>
    <cellStyle name="Arial6Bold 2 12" xfId="34566"/>
    <cellStyle name="Arial6Bold 2 13" xfId="34786"/>
    <cellStyle name="Arial6Bold 2 14" xfId="24305"/>
    <cellStyle name="Arial6Bold 2 15" xfId="34095"/>
    <cellStyle name="Arial6Bold 2 2" xfId="8464"/>
    <cellStyle name="Arial6Bold 2 2 10" xfId="37922"/>
    <cellStyle name="Arial6Bold 2 2 11" xfId="37797"/>
    <cellStyle name="Arial6Bold 2 2 12" xfId="36146"/>
    <cellStyle name="Arial6Bold 2 2 13" xfId="38038"/>
    <cellStyle name="Arial6Bold 2 2 2" xfId="8465"/>
    <cellStyle name="Arial6Bold 2 2 2 10" xfId="25264"/>
    <cellStyle name="Arial6Bold 2 2 2 11" xfId="24797"/>
    <cellStyle name="Arial6Bold 2 2 2 12" xfId="37526"/>
    <cellStyle name="Arial6Bold 2 2 2 2" xfId="19930"/>
    <cellStyle name="Arial6Bold 2 2 2 2 10" xfId="35422"/>
    <cellStyle name="Arial6Bold 2 2 2 2 11" xfId="38510"/>
    <cellStyle name="Arial6Bold 2 2 2 2 12" xfId="38716"/>
    <cellStyle name="Arial6Bold 2 2 2 2 13" xfId="39011"/>
    <cellStyle name="Arial6Bold 2 2 2 2 14" xfId="34382"/>
    <cellStyle name="Arial6Bold 2 2 2 2 15" xfId="36765"/>
    <cellStyle name="Arial6Bold 2 2 2 2 2" xfId="33209"/>
    <cellStyle name="Arial6Bold 2 2 2 2 3" xfId="36821"/>
    <cellStyle name="Arial6Bold 2 2 2 2 4" xfId="37072"/>
    <cellStyle name="Arial6Bold 2 2 2 2 5" xfId="34767"/>
    <cellStyle name="Arial6Bold 2 2 2 2 6" xfId="37742"/>
    <cellStyle name="Arial6Bold 2 2 2 2 7" xfId="34204"/>
    <cellStyle name="Arial6Bold 2 2 2 2 8" xfId="25236"/>
    <cellStyle name="Arial6Bold 2 2 2 2 9" xfId="36499"/>
    <cellStyle name="Arial6Bold 2 2 2 3" xfId="24537"/>
    <cellStyle name="Arial6Bold 2 2 2 4" xfId="20474"/>
    <cellStyle name="Arial6Bold 2 2 2 5" xfId="24308"/>
    <cellStyle name="Arial6Bold 2 2 2 6" xfId="25125"/>
    <cellStyle name="Arial6Bold 2 2 2 7" xfId="24482"/>
    <cellStyle name="Arial6Bold 2 2 2 8" xfId="35507"/>
    <cellStyle name="Arial6Bold 2 2 2 9" xfId="36153"/>
    <cellStyle name="Arial6Bold 2 2 3" xfId="19929"/>
    <cellStyle name="Arial6Bold 2 2 3 10" xfId="36222"/>
    <cellStyle name="Arial6Bold 2 2 3 11" xfId="38509"/>
    <cellStyle name="Arial6Bold 2 2 3 12" xfId="38715"/>
    <cellStyle name="Arial6Bold 2 2 3 13" xfId="39010"/>
    <cellStyle name="Arial6Bold 2 2 3 14" xfId="36210"/>
    <cellStyle name="Arial6Bold 2 2 3 15" xfId="33821"/>
    <cellStyle name="Arial6Bold 2 2 3 2" xfId="33208"/>
    <cellStyle name="Arial6Bold 2 2 3 3" xfId="36820"/>
    <cellStyle name="Arial6Bold 2 2 3 4" xfId="37071"/>
    <cellStyle name="Arial6Bold 2 2 3 5" xfId="36321"/>
    <cellStyle name="Arial6Bold 2 2 3 6" xfId="37741"/>
    <cellStyle name="Arial6Bold 2 2 3 7" xfId="35776"/>
    <cellStyle name="Arial6Bold 2 2 3 8" xfId="36517"/>
    <cellStyle name="Arial6Bold 2 2 3 9" xfId="34664"/>
    <cellStyle name="Arial6Bold 2 2 4" xfId="24536"/>
    <cellStyle name="Arial6Bold 2 2 5" xfId="20475"/>
    <cellStyle name="Arial6Bold 2 2 6" xfId="24307"/>
    <cellStyle name="Arial6Bold 2 2 7" xfId="33542"/>
    <cellStyle name="Arial6Bold 2 2 8" xfId="36441"/>
    <cellStyle name="Arial6Bold 2 2 9" xfId="33736"/>
    <cellStyle name="Arial6Bold 2 3" xfId="8466"/>
    <cellStyle name="Arial6Bold 2 3 10" xfId="33829"/>
    <cellStyle name="Arial6Bold 2 3 11" xfId="35818"/>
    <cellStyle name="Arial6Bold 2 3 12" xfId="33769"/>
    <cellStyle name="Arial6Bold 2 3 13" xfId="20594"/>
    <cellStyle name="Arial6Bold 2 3 2" xfId="8467"/>
    <cellStyle name="Arial6Bold 2 3 2 10" xfId="35847"/>
    <cellStyle name="Arial6Bold 2 3 2 11" xfId="36257"/>
    <cellStyle name="Arial6Bold 2 3 2 12" xfId="37719"/>
    <cellStyle name="Arial6Bold 2 3 2 2" xfId="19932"/>
    <cellStyle name="Arial6Bold 2 3 2 2 10" xfId="36128"/>
    <cellStyle name="Arial6Bold 2 3 2 2 11" xfId="38512"/>
    <cellStyle name="Arial6Bold 2 3 2 2 12" xfId="38718"/>
    <cellStyle name="Arial6Bold 2 3 2 2 13" xfId="39013"/>
    <cellStyle name="Arial6Bold 2 3 2 2 14" xfId="36097"/>
    <cellStyle name="Arial6Bold 2 3 2 2 15" xfId="25262"/>
    <cellStyle name="Arial6Bold 2 3 2 2 2" xfId="33211"/>
    <cellStyle name="Arial6Bold 2 3 2 2 3" xfId="36823"/>
    <cellStyle name="Arial6Bold 2 3 2 2 4" xfId="37074"/>
    <cellStyle name="Arial6Bold 2 3 2 2 5" xfId="36424"/>
    <cellStyle name="Arial6Bold 2 3 2 2 6" xfId="37744"/>
    <cellStyle name="Arial6Bold 2 3 2 2 7" xfId="37936"/>
    <cellStyle name="Arial6Bold 2 3 2 2 8" xfId="25065"/>
    <cellStyle name="Arial6Bold 2 3 2 2 9" xfId="35819"/>
    <cellStyle name="Arial6Bold 2 3 2 3" xfId="24539"/>
    <cellStyle name="Arial6Bold 2 3 2 4" xfId="20472"/>
    <cellStyle name="Arial6Bold 2 3 2 5" xfId="24309"/>
    <cellStyle name="Arial6Bold 2 3 2 6" xfId="33541"/>
    <cellStyle name="Arial6Bold 2 3 2 7" xfId="24804"/>
    <cellStyle name="Arial6Bold 2 3 2 8" xfId="37732"/>
    <cellStyle name="Arial6Bold 2 3 2 9" xfId="35285"/>
    <cellStyle name="Arial6Bold 2 3 3" xfId="19931"/>
    <cellStyle name="Arial6Bold 2 3 3 10" xfId="25266"/>
    <cellStyle name="Arial6Bold 2 3 3 11" xfId="38511"/>
    <cellStyle name="Arial6Bold 2 3 3 12" xfId="38717"/>
    <cellStyle name="Arial6Bold 2 3 3 13" xfId="39012"/>
    <cellStyle name="Arial6Bold 2 3 3 14" xfId="34503"/>
    <cellStyle name="Arial6Bold 2 3 3 15" xfId="24866"/>
    <cellStyle name="Arial6Bold 2 3 3 2" xfId="33210"/>
    <cellStyle name="Arial6Bold 2 3 3 3" xfId="36822"/>
    <cellStyle name="Arial6Bold 2 3 3 4" xfId="37073"/>
    <cellStyle name="Arial6Bold 2 3 3 5" xfId="35124"/>
    <cellStyle name="Arial6Bold 2 3 3 6" xfId="37743"/>
    <cellStyle name="Arial6Bold 2 3 3 7" xfId="24425"/>
    <cellStyle name="Arial6Bold 2 3 3 8" xfId="36362"/>
    <cellStyle name="Arial6Bold 2 3 3 9" xfId="34558"/>
    <cellStyle name="Arial6Bold 2 3 4" xfId="24538"/>
    <cellStyle name="Arial6Bold 2 3 5" xfId="20473"/>
    <cellStyle name="Arial6Bold 2 3 6" xfId="36747"/>
    <cellStyle name="Arial6Bold 2 3 7" xfId="20551"/>
    <cellStyle name="Arial6Bold 2 3 8" xfId="34745"/>
    <cellStyle name="Arial6Bold 2 3 9" xfId="24331"/>
    <cellStyle name="Arial6Bold 2 4" xfId="8468"/>
    <cellStyle name="Arial6Bold 2 4 10" xfId="34816"/>
    <cellStyle name="Arial6Bold 2 4 11" xfId="24994"/>
    <cellStyle name="Arial6Bold 2 4 12" xfId="35492"/>
    <cellStyle name="Arial6Bold 2 4 2" xfId="19933"/>
    <cellStyle name="Arial6Bold 2 4 2 10" xfId="33784"/>
    <cellStyle name="Arial6Bold 2 4 2 11" xfId="38513"/>
    <cellStyle name="Arial6Bold 2 4 2 12" xfId="38719"/>
    <cellStyle name="Arial6Bold 2 4 2 13" xfId="39014"/>
    <cellStyle name="Arial6Bold 2 4 2 14" xfId="36155"/>
    <cellStyle name="Arial6Bold 2 4 2 15" xfId="35961"/>
    <cellStyle name="Arial6Bold 2 4 2 2" xfId="33212"/>
    <cellStyle name="Arial6Bold 2 4 2 3" xfId="36824"/>
    <cellStyle name="Arial6Bold 2 4 2 4" xfId="37075"/>
    <cellStyle name="Arial6Bold 2 4 2 5" xfId="25294"/>
    <cellStyle name="Arial6Bold 2 4 2 6" xfId="37745"/>
    <cellStyle name="Arial6Bold 2 4 2 7" xfId="36132"/>
    <cellStyle name="Arial6Bold 2 4 2 8" xfId="36287"/>
    <cellStyle name="Arial6Bold 2 4 2 9" xfId="34985"/>
    <cellStyle name="Arial6Bold 2 4 3" xfId="24540"/>
    <cellStyle name="Arial6Bold 2 4 4" xfId="20471"/>
    <cellStyle name="Arial6Bold 2 4 5" xfId="24310"/>
    <cellStyle name="Arial6Bold 2 4 6" xfId="34937"/>
    <cellStyle name="Arial6Bold 2 4 7" xfId="25009"/>
    <cellStyle name="Arial6Bold 2 4 8" xfId="36693"/>
    <cellStyle name="Arial6Bold 2 4 9" xfId="33883"/>
    <cellStyle name="Arial6Bold 2 5" xfId="19928"/>
    <cellStyle name="Arial6Bold 2 5 10" xfId="37464"/>
    <cellStyle name="Arial6Bold 2 5 11" xfId="38508"/>
    <cellStyle name="Arial6Bold 2 5 12" xfId="38714"/>
    <cellStyle name="Arial6Bold 2 5 13" xfId="39009"/>
    <cellStyle name="Arial6Bold 2 5 14" xfId="37833"/>
    <cellStyle name="Arial6Bold 2 5 15" xfId="33891"/>
    <cellStyle name="Arial6Bold 2 5 2" xfId="33207"/>
    <cellStyle name="Arial6Bold 2 5 3" xfId="36819"/>
    <cellStyle name="Arial6Bold 2 5 4" xfId="37070"/>
    <cellStyle name="Arial6Bold 2 5 5" xfId="34184"/>
    <cellStyle name="Arial6Bold 2 5 6" xfId="37740"/>
    <cellStyle name="Arial6Bold 2 5 7" xfId="25248"/>
    <cellStyle name="Arial6Bold 2 5 8" xfId="35870"/>
    <cellStyle name="Arial6Bold 2 5 9" xfId="33697"/>
    <cellStyle name="Arial6Bold 2 6" xfId="24535"/>
    <cellStyle name="Arial6Bold 2 7" xfId="20476"/>
    <cellStyle name="Arial6Bold 2 8" xfId="24306"/>
    <cellStyle name="Arial6Bold 2 9" xfId="25120"/>
    <cellStyle name="Arial6Bold 3" xfId="8469"/>
    <cellStyle name="Arial6Bold 3 10" xfId="36661"/>
    <cellStyle name="Arial6Bold 3 11" xfId="38253"/>
    <cellStyle name="Arial6Bold 3 12" xfId="37442"/>
    <cellStyle name="Arial6Bold 3 13" xfId="36344"/>
    <cellStyle name="Arial6Bold 3 2" xfId="8470"/>
    <cellStyle name="Arial6Bold 3 2 10" xfId="33992"/>
    <cellStyle name="Arial6Bold 3 2 11" xfId="37294"/>
    <cellStyle name="Arial6Bold 3 2 12" xfId="35442"/>
    <cellStyle name="Arial6Bold 3 2 2" xfId="19935"/>
    <cellStyle name="Arial6Bold 3 2 2 10" xfId="36670"/>
    <cellStyle name="Arial6Bold 3 2 2 11" xfId="38515"/>
    <cellStyle name="Arial6Bold 3 2 2 12" xfId="38721"/>
    <cellStyle name="Arial6Bold 3 2 2 13" xfId="39016"/>
    <cellStyle name="Arial6Bold 3 2 2 14" xfId="25268"/>
    <cellStyle name="Arial6Bold 3 2 2 15" xfId="39176"/>
    <cellStyle name="Arial6Bold 3 2 2 2" xfId="33214"/>
    <cellStyle name="Arial6Bold 3 2 2 3" xfId="36826"/>
    <cellStyle name="Arial6Bold 3 2 2 4" xfId="37077"/>
    <cellStyle name="Arial6Bold 3 2 2 5" xfId="24825"/>
    <cellStyle name="Arial6Bold 3 2 2 6" xfId="37747"/>
    <cellStyle name="Arial6Bold 3 2 2 7" xfId="25703"/>
    <cellStyle name="Arial6Bold 3 2 2 8" xfId="37305"/>
    <cellStyle name="Arial6Bold 3 2 2 9" xfId="25520"/>
    <cellStyle name="Arial6Bold 3 2 3" xfId="24542"/>
    <cellStyle name="Arial6Bold 3 2 4" xfId="20469"/>
    <cellStyle name="Arial6Bold 3 2 5" xfId="36746"/>
    <cellStyle name="Arial6Bold 3 2 6" xfId="25786"/>
    <cellStyle name="Arial6Bold 3 2 7" xfId="36443"/>
    <cellStyle name="Arial6Bold 3 2 8" xfId="36098"/>
    <cellStyle name="Arial6Bold 3 2 9" xfId="34775"/>
    <cellStyle name="Arial6Bold 3 3" xfId="19934"/>
    <cellStyle name="Arial6Bold 3 3 10" xfId="25442"/>
    <cellStyle name="Arial6Bold 3 3 11" xfId="38514"/>
    <cellStyle name="Arial6Bold 3 3 12" xfId="38720"/>
    <cellStyle name="Arial6Bold 3 3 13" xfId="39015"/>
    <cellStyle name="Arial6Bold 3 3 14" xfId="37705"/>
    <cellStyle name="Arial6Bold 3 3 15" xfId="36453"/>
    <cellStyle name="Arial6Bold 3 3 2" xfId="33213"/>
    <cellStyle name="Arial6Bold 3 3 3" xfId="36825"/>
    <cellStyle name="Arial6Bold 3 3 4" xfId="37076"/>
    <cellStyle name="Arial6Bold 3 3 5" xfId="35213"/>
    <cellStyle name="Arial6Bold 3 3 6" xfId="37746"/>
    <cellStyle name="Arial6Bold 3 3 7" xfId="33611"/>
    <cellStyle name="Arial6Bold 3 3 8" xfId="25540"/>
    <cellStyle name="Arial6Bold 3 3 9" xfId="24297"/>
    <cellStyle name="Arial6Bold 3 4" xfId="24541"/>
    <cellStyle name="Arial6Bold 3 5" xfId="20470"/>
    <cellStyle name="Arial6Bold 3 6" xfId="35544"/>
    <cellStyle name="Arial6Bold 3 7" xfId="20550"/>
    <cellStyle name="Arial6Bold 3 8" xfId="34112"/>
    <cellStyle name="Arial6Bold 3 9" xfId="25644"/>
    <cellStyle name="Arial6Bold 4" xfId="8471"/>
    <cellStyle name="Arial6Bold 4 10" xfId="35304"/>
    <cellStyle name="Arial6Bold 4 11" xfId="20627"/>
    <cellStyle name="Arial6Bold 4 12" xfId="24221"/>
    <cellStyle name="Arial6Bold 4 13" xfId="35095"/>
    <cellStyle name="Arial6Bold 4 2" xfId="8472"/>
    <cellStyle name="Arial6Bold 4 2 10" xfId="20481"/>
    <cellStyle name="Arial6Bold 4 2 11" xfId="37796"/>
    <cellStyle name="Arial6Bold 4 2 12" xfId="38079"/>
    <cellStyle name="Arial6Bold 4 2 2" xfId="19937"/>
    <cellStyle name="Arial6Bold 4 2 2 10" xfId="37396"/>
    <cellStyle name="Arial6Bold 4 2 2 11" xfId="38517"/>
    <cellStyle name="Arial6Bold 4 2 2 12" xfId="38723"/>
    <cellStyle name="Arial6Bold 4 2 2 13" xfId="39018"/>
    <cellStyle name="Arial6Bold 4 2 2 14" xfId="36658"/>
    <cellStyle name="Arial6Bold 4 2 2 15" xfId="20567"/>
    <cellStyle name="Arial6Bold 4 2 2 2" xfId="33216"/>
    <cellStyle name="Arial6Bold 4 2 2 3" xfId="36828"/>
    <cellStyle name="Arial6Bold 4 2 2 4" xfId="37079"/>
    <cellStyle name="Arial6Bold 4 2 2 5" xfId="36420"/>
    <cellStyle name="Arial6Bold 4 2 2 6" xfId="37749"/>
    <cellStyle name="Arial6Bold 4 2 2 7" xfId="34708"/>
    <cellStyle name="Arial6Bold 4 2 2 8" xfId="24339"/>
    <cellStyle name="Arial6Bold 4 2 2 9" xfId="33806"/>
    <cellStyle name="Arial6Bold 4 2 3" xfId="24544"/>
    <cellStyle name="Arial6Bold 4 2 4" xfId="20467"/>
    <cellStyle name="Arial6Bold 4 2 5" xfId="24311"/>
    <cellStyle name="Arial6Bold 4 2 6" xfId="25787"/>
    <cellStyle name="Arial6Bold 4 2 7" xfId="24803"/>
    <cellStyle name="Arial6Bold 4 2 8" xfId="33932"/>
    <cellStyle name="Arial6Bold 4 2 9" xfId="24427"/>
    <cellStyle name="Arial6Bold 4 3" xfId="19936"/>
    <cellStyle name="Arial6Bold 4 3 10" xfId="34389"/>
    <cellStyle name="Arial6Bold 4 3 11" xfId="38516"/>
    <cellStyle name="Arial6Bold 4 3 12" xfId="38722"/>
    <cellStyle name="Arial6Bold 4 3 13" xfId="39017"/>
    <cellStyle name="Arial6Bold 4 3 14" xfId="25006"/>
    <cellStyle name="Arial6Bold 4 3 15" xfId="38076"/>
    <cellStyle name="Arial6Bold 4 3 2" xfId="33215"/>
    <cellStyle name="Arial6Bold 4 3 3" xfId="36827"/>
    <cellStyle name="Arial6Bold 4 3 4" xfId="37078"/>
    <cellStyle name="Arial6Bold 4 3 5" xfId="24826"/>
    <cellStyle name="Arial6Bold 4 3 6" xfId="37748"/>
    <cellStyle name="Arial6Bold 4 3 7" xfId="35031"/>
    <cellStyle name="Arial6Bold 4 3 8" xfId="36514"/>
    <cellStyle name="Arial6Bold 4 3 9" xfId="36142"/>
    <cellStyle name="Arial6Bold 4 4" xfId="24543"/>
    <cellStyle name="Arial6Bold 4 5" xfId="20468"/>
    <cellStyle name="Arial6Bold 4 6" xfId="35565"/>
    <cellStyle name="Arial6Bold 4 7" xfId="36109"/>
    <cellStyle name="Arial6Bold 4 8" xfId="33937"/>
    <cellStyle name="Arial6Bold 4 9" xfId="24817"/>
    <cellStyle name="Arial6Bold 5" xfId="8473"/>
    <cellStyle name="Arial6Bold 5 10" xfId="25079"/>
    <cellStyle name="Arial6Bold 5 11" xfId="24958"/>
    <cellStyle name="Arial6Bold 5 12" xfId="34434"/>
    <cellStyle name="Arial6Bold 5 2" xfId="19938"/>
    <cellStyle name="Arial6Bold 5 2 10" xfId="33653"/>
    <cellStyle name="Arial6Bold 5 2 11" xfId="38518"/>
    <cellStyle name="Arial6Bold 5 2 12" xfId="38724"/>
    <cellStyle name="Arial6Bold 5 2 13" xfId="39019"/>
    <cellStyle name="Arial6Bold 5 2 14" xfId="24999"/>
    <cellStyle name="Arial6Bold 5 2 15" xfId="36539"/>
    <cellStyle name="Arial6Bold 5 2 2" xfId="33217"/>
    <cellStyle name="Arial6Bold 5 2 3" xfId="36829"/>
    <cellStyle name="Arial6Bold 5 2 4" xfId="37080"/>
    <cellStyle name="Arial6Bold 5 2 5" xfId="35209"/>
    <cellStyle name="Arial6Bold 5 2 6" xfId="37750"/>
    <cellStyle name="Arial6Bold 5 2 7" xfId="36327"/>
    <cellStyle name="Arial6Bold 5 2 8" xfId="36557"/>
    <cellStyle name="Arial6Bold 5 2 9" xfId="25219"/>
    <cellStyle name="Arial6Bold 5 3" xfId="24545"/>
    <cellStyle name="Arial6Bold 5 4" xfId="20466"/>
    <cellStyle name="Arial6Bold 5 5" xfId="36745"/>
    <cellStyle name="Arial6Bold 5 6" xfId="36110"/>
    <cellStyle name="Arial6Bold 5 7" xfId="34321"/>
    <cellStyle name="Arial6Bold 5 8" xfId="36431"/>
    <cellStyle name="Arial6Bold 5 9" xfId="25742"/>
    <cellStyle name="Arial6Bold 6" xfId="19927"/>
    <cellStyle name="Arial6Bold 6 10" xfId="36947"/>
    <cellStyle name="Arial6Bold 6 11" xfId="38507"/>
    <cellStyle name="Arial6Bold 6 12" xfId="38713"/>
    <cellStyle name="Arial6Bold 6 13" xfId="39008"/>
    <cellStyle name="Arial6Bold 6 14" xfId="35143"/>
    <cellStyle name="Arial6Bold 6 15" xfId="35650"/>
    <cellStyle name="Arial6Bold 6 2" xfId="33206"/>
    <cellStyle name="Arial6Bold 6 3" xfId="36818"/>
    <cellStyle name="Arial6Bold 6 4" xfId="37069"/>
    <cellStyle name="Arial6Bold 6 5" xfId="35940"/>
    <cellStyle name="Arial6Bold 6 6" xfId="37739"/>
    <cellStyle name="Arial6Bold 6 7" xfId="34672"/>
    <cellStyle name="Arial6Bold 6 8" xfId="33789"/>
    <cellStyle name="Arial6Bold 6 9" xfId="36190"/>
    <cellStyle name="Arial6Bold 7" xfId="24534"/>
    <cellStyle name="Arial6Bold 8" xfId="20477"/>
    <cellStyle name="Arial6Bold 9" xfId="35567"/>
    <cellStyle name="Arial8Bold" xfId="8474"/>
    <cellStyle name="Arial8Bold 10" xfId="20549"/>
    <cellStyle name="Arial8Bold 11" xfId="20566"/>
    <cellStyle name="Arial8Bold 12" xfId="36271"/>
    <cellStyle name="Arial8Bold 13" xfId="35024"/>
    <cellStyle name="Arial8Bold 14" xfId="37466"/>
    <cellStyle name="Arial8Bold 15" xfId="35790"/>
    <cellStyle name="Arial8Bold 16" xfId="24774"/>
    <cellStyle name="Arial8Bold 2" xfId="8475"/>
    <cellStyle name="Arial8Bold 2 10" xfId="35229"/>
    <cellStyle name="Arial8Bold 2 11" xfId="36724"/>
    <cellStyle name="Arial8Bold 2 12" xfId="37921"/>
    <cellStyle name="Arial8Bold 2 13" xfId="34577"/>
    <cellStyle name="Arial8Bold 2 14" xfId="25630"/>
    <cellStyle name="Arial8Bold 2 15" xfId="34700"/>
    <cellStyle name="Arial8Bold 2 2" xfId="8476"/>
    <cellStyle name="Arial8Bold 2 2 10" xfId="33760"/>
    <cellStyle name="Arial8Bold 2 2 11" xfId="38001"/>
    <cellStyle name="Arial8Bold 2 2 12" xfId="36478"/>
    <cellStyle name="Arial8Bold 2 2 13" xfId="36601"/>
    <cellStyle name="Arial8Bold 2 2 2" xfId="8477"/>
    <cellStyle name="Arial8Bold 2 2 2 10" xfId="25002"/>
    <cellStyle name="Arial8Bold 2 2 2 11" xfId="36008"/>
    <cellStyle name="Arial8Bold 2 2 2 12" xfId="35767"/>
    <cellStyle name="Arial8Bold 2 2 2 2" xfId="19942"/>
    <cellStyle name="Arial8Bold 2 2 2 2 10" xfId="36659"/>
    <cellStyle name="Arial8Bold 2 2 2 2 11" xfId="38522"/>
    <cellStyle name="Arial8Bold 2 2 2 2 12" xfId="38728"/>
    <cellStyle name="Arial8Bold 2 2 2 2 13" xfId="39023"/>
    <cellStyle name="Arial8Bold 2 2 2 2 14" xfId="24378"/>
    <cellStyle name="Arial8Bold 2 2 2 2 15" xfId="38062"/>
    <cellStyle name="Arial8Bold 2 2 2 2 2" xfId="33221"/>
    <cellStyle name="Arial8Bold 2 2 2 2 3" xfId="36833"/>
    <cellStyle name="Arial8Bold 2 2 2 2 4" xfId="37084"/>
    <cellStyle name="Arial8Bold 2 2 2 2 5" xfId="34183"/>
    <cellStyle name="Arial8Bold 2 2 2 2 6" xfId="37754"/>
    <cellStyle name="Arial8Bold 2 2 2 2 7" xfId="24642"/>
    <cellStyle name="Arial8Bold 2 2 2 2 8" xfId="35781"/>
    <cellStyle name="Arial8Bold 2 2 2 2 9" xfId="36151"/>
    <cellStyle name="Arial8Bold 2 2 2 3" xfId="24549"/>
    <cellStyle name="Arial8Bold 2 2 2 4" xfId="20462"/>
    <cellStyle name="Arial8Bold 2 2 2 5" xfId="35561"/>
    <cellStyle name="Arial8Bold 2 2 2 6" xfId="20548"/>
    <cellStyle name="Arial8Bold 2 2 2 7" xfId="35768"/>
    <cellStyle name="Arial8Bold 2 2 2 8" xfId="34010"/>
    <cellStyle name="Arial8Bold 2 2 2 9" xfId="24596"/>
    <cellStyle name="Arial8Bold 2 2 3" xfId="19941"/>
    <cellStyle name="Arial8Bold 2 2 3 10" xfId="35632"/>
    <cellStyle name="Arial8Bold 2 2 3 11" xfId="38521"/>
    <cellStyle name="Arial8Bold 2 2 3 12" xfId="38727"/>
    <cellStyle name="Arial8Bold 2 2 3 13" xfId="39022"/>
    <cellStyle name="Arial8Bold 2 2 3 14" xfId="35130"/>
    <cellStyle name="Arial8Bold 2 2 3 15" xfId="39177"/>
    <cellStyle name="Arial8Bold 2 2 3 2" xfId="33220"/>
    <cellStyle name="Arial8Bold 2 2 3 3" xfId="36832"/>
    <cellStyle name="Arial8Bold 2 2 3 4" xfId="37083"/>
    <cellStyle name="Arial8Bold 2 2 3 5" xfId="24827"/>
    <cellStyle name="Arial8Bold 2 2 3 6" xfId="37753"/>
    <cellStyle name="Arial8Bold 2 2 3 7" xfId="34959"/>
    <cellStyle name="Arial8Bold 2 2 3 8" xfId="37038"/>
    <cellStyle name="Arial8Bold 2 2 3 9" xfId="37865"/>
    <cellStyle name="Arial8Bold 2 2 4" xfId="24548"/>
    <cellStyle name="Arial8Bold 2 2 5" xfId="20463"/>
    <cellStyle name="Arial8Bold 2 2 6" xfId="36742"/>
    <cellStyle name="Arial8Bold 2 2 7" xfId="34936"/>
    <cellStyle name="Arial8Bold 2 2 8" xfId="35410"/>
    <cellStyle name="Arial8Bold 2 2 9" xfId="35506"/>
    <cellStyle name="Arial8Bold 2 3" xfId="8478"/>
    <cellStyle name="Arial8Bold 2 3 10" xfId="24209"/>
    <cellStyle name="Arial8Bold 2 3 11" xfId="35237"/>
    <cellStyle name="Arial8Bold 2 3 12" xfId="33993"/>
    <cellStyle name="Arial8Bold 2 3 13" xfId="34901"/>
    <cellStyle name="Arial8Bold 2 3 2" xfId="8479"/>
    <cellStyle name="Arial8Bold 2 3 2 10" xfId="25421"/>
    <cellStyle name="Arial8Bold 2 3 2 11" xfId="34017"/>
    <cellStyle name="Arial8Bold 2 3 2 12" xfId="24982"/>
    <cellStyle name="Arial8Bold 2 3 2 2" xfId="19944"/>
    <cellStyle name="Arial8Bold 2 3 2 2 10" xfId="25804"/>
    <cellStyle name="Arial8Bold 2 3 2 2 11" xfId="38524"/>
    <cellStyle name="Arial8Bold 2 3 2 2 12" xfId="38730"/>
    <cellStyle name="Arial8Bold 2 3 2 2 13" xfId="39025"/>
    <cellStyle name="Arial8Bold 2 3 2 2 14" xfId="25332"/>
    <cellStyle name="Arial8Bold 2 3 2 2 15" xfId="35070"/>
    <cellStyle name="Arial8Bold 2 3 2 2 2" xfId="33223"/>
    <cellStyle name="Arial8Bold 2 3 2 2 3" xfId="36835"/>
    <cellStyle name="Arial8Bold 2 3 2 2 4" xfId="37086"/>
    <cellStyle name="Arial8Bold 2 3 2 2 5" xfId="35210"/>
    <cellStyle name="Arial8Bold 2 3 2 2 6" xfId="37756"/>
    <cellStyle name="Arial8Bold 2 3 2 2 7" xfId="33612"/>
    <cellStyle name="Arial8Bold 2 3 2 2 8" xfId="36139"/>
    <cellStyle name="Arial8Bold 2 3 2 2 9" xfId="33676"/>
    <cellStyle name="Arial8Bold 2 3 2 3" xfId="24551"/>
    <cellStyle name="Arial8Bold 2 3 2 4" xfId="20460"/>
    <cellStyle name="Arial8Bold 2 3 2 5" xfId="35563"/>
    <cellStyle name="Arial8Bold 2 3 2 6" xfId="25783"/>
    <cellStyle name="Arial8Bold 2 3 2 7" xfId="36444"/>
    <cellStyle name="Arial8Bold 2 3 2 8" xfId="35886"/>
    <cellStyle name="Arial8Bold 2 3 2 9" xfId="37949"/>
    <cellStyle name="Arial8Bold 2 3 3" xfId="19943"/>
    <cellStyle name="Arial8Bold 2 3 3 10" xfId="37486"/>
    <cellStyle name="Arial8Bold 2 3 3 11" xfId="38523"/>
    <cellStyle name="Arial8Bold 2 3 3 12" xfId="38729"/>
    <cellStyle name="Arial8Bold 2 3 3 13" xfId="39024"/>
    <cellStyle name="Arial8Bold 2 3 3 14" xfId="37512"/>
    <cellStyle name="Arial8Bold 2 3 3 15" xfId="25631"/>
    <cellStyle name="Arial8Bold 2 3 3 2" xfId="33222"/>
    <cellStyle name="Arial8Bold 2 3 3 3" xfId="36834"/>
    <cellStyle name="Arial8Bold 2 3 3 4" xfId="37085"/>
    <cellStyle name="Arial8Bold 2 3 3 5" xfId="36421"/>
    <cellStyle name="Arial8Bold 2 3 3 6" xfId="37755"/>
    <cellStyle name="Arial8Bold 2 3 3 7" xfId="34374"/>
    <cellStyle name="Arial8Bold 2 3 3 8" xfId="24348"/>
    <cellStyle name="Arial8Bold 2 3 3 9" xfId="25087"/>
    <cellStyle name="Arial8Bold 2 3 4" xfId="24550"/>
    <cellStyle name="Arial8Bold 2 3 5" xfId="20461"/>
    <cellStyle name="Arial8Bold 2 3 6" xfId="36744"/>
    <cellStyle name="Arial8Bold 2 3 7" xfId="20547"/>
    <cellStyle name="Arial8Bold 2 3 8" xfId="34113"/>
    <cellStyle name="Arial8Bold 2 3 9" xfId="37332"/>
    <cellStyle name="Arial8Bold 2 4" xfId="8480"/>
    <cellStyle name="Arial8Bold 2 4 10" xfId="38124"/>
    <cellStyle name="Arial8Bold 2 4 11" xfId="24737"/>
    <cellStyle name="Arial8Bold 2 4 12" xfId="37999"/>
    <cellStyle name="Arial8Bold 2 4 2" xfId="19945"/>
    <cellStyle name="Arial8Bold 2 4 2 10" xfId="36290"/>
    <cellStyle name="Arial8Bold 2 4 2 11" xfId="38525"/>
    <cellStyle name="Arial8Bold 2 4 2 12" xfId="38731"/>
    <cellStyle name="Arial8Bold 2 4 2 13" xfId="39026"/>
    <cellStyle name="Arial8Bold 2 4 2 14" xfId="35012"/>
    <cellStyle name="Arial8Bold 2 4 2 15" xfId="38260"/>
    <cellStyle name="Arial8Bold 2 4 2 2" xfId="33224"/>
    <cellStyle name="Arial8Bold 2 4 2 3" xfId="36836"/>
    <cellStyle name="Arial8Bold 2 4 2 4" xfId="37087"/>
    <cellStyle name="Arial8Bold 2 4 2 5" xfId="24828"/>
    <cellStyle name="Arial8Bold 2 4 2 6" xfId="37757"/>
    <cellStyle name="Arial8Bold 2 4 2 7" xfId="36329"/>
    <cellStyle name="Arial8Bold 2 4 2 8" xfId="33667"/>
    <cellStyle name="Arial8Bold 2 4 2 9" xfId="36244"/>
    <cellStyle name="Arial8Bold 2 4 3" xfId="24552"/>
    <cellStyle name="Arial8Bold 2 4 4" xfId="20459"/>
    <cellStyle name="Arial8Bold 2 4 5" xfId="24313"/>
    <cellStyle name="Arial8Bold 2 4 6" xfId="34939"/>
    <cellStyle name="Arial8Bold 2 4 7" xfId="25252"/>
    <cellStyle name="Arial8Bold 2 4 8" xfId="35085"/>
    <cellStyle name="Arial8Bold 2 4 9" xfId="34707"/>
    <cellStyle name="Arial8Bold 2 5" xfId="19940"/>
    <cellStyle name="Arial8Bold 2 5 10" xfId="25323"/>
    <cellStyle name="Arial8Bold 2 5 11" xfId="38520"/>
    <cellStyle name="Arial8Bold 2 5 12" xfId="38726"/>
    <cellStyle name="Arial8Bold 2 5 13" xfId="39021"/>
    <cellStyle name="Arial8Bold 2 5 14" xfId="34803"/>
    <cellStyle name="Arial8Bold 2 5 15" xfId="24910"/>
    <cellStyle name="Arial8Bold 2 5 2" xfId="33219"/>
    <cellStyle name="Arial8Bold 2 5 3" xfId="36831"/>
    <cellStyle name="Arial8Bold 2 5 4" xfId="37082"/>
    <cellStyle name="Arial8Bold 2 5 5" xfId="35211"/>
    <cellStyle name="Arial8Bold 2 5 6" xfId="37752"/>
    <cellStyle name="Arial8Bold 2 5 7" xfId="25400"/>
    <cellStyle name="Arial8Bold 2 5 8" xfId="33633"/>
    <cellStyle name="Arial8Bold 2 5 9" xfId="33682"/>
    <cellStyle name="Arial8Bold 2 6" xfId="24547"/>
    <cellStyle name="Arial8Bold 2 7" xfId="20464"/>
    <cellStyle name="Arial8Bold 2 8" xfId="24312"/>
    <cellStyle name="Arial8Bold 2 9" xfId="33540"/>
    <cellStyle name="Arial8Bold 3" xfId="8481"/>
    <cellStyle name="Arial8Bold 3 10" xfId="33603"/>
    <cellStyle name="Arial8Bold 3 11" xfId="36502"/>
    <cellStyle name="Arial8Bold 3 12" xfId="35274"/>
    <cellStyle name="Arial8Bold 3 13" xfId="35480"/>
    <cellStyle name="Arial8Bold 3 2" xfId="8482"/>
    <cellStyle name="Arial8Bold 3 2 10" xfId="36686"/>
    <cellStyle name="Arial8Bold 3 2 11" xfId="36213"/>
    <cellStyle name="Arial8Bold 3 2 12" xfId="35503"/>
    <cellStyle name="Arial8Bold 3 2 2" xfId="19947"/>
    <cellStyle name="Arial8Bold 3 2 2 10" xfId="34941"/>
    <cellStyle name="Arial8Bold 3 2 2 11" xfId="38527"/>
    <cellStyle name="Arial8Bold 3 2 2 12" xfId="38733"/>
    <cellStyle name="Arial8Bold 3 2 2 13" xfId="39028"/>
    <cellStyle name="Arial8Bold 3 2 2 14" xfId="36674"/>
    <cellStyle name="Arial8Bold 3 2 2 15" xfId="25057"/>
    <cellStyle name="Arial8Bold 3 2 2 2" xfId="33226"/>
    <cellStyle name="Arial8Bold 3 2 2 3" xfId="36838"/>
    <cellStyle name="Arial8Bold 3 2 2 4" xfId="37089"/>
    <cellStyle name="Arial8Bold 3 2 2 5" xfId="24830"/>
    <cellStyle name="Arial8Bold 3 2 2 6" xfId="37759"/>
    <cellStyle name="Arial8Bold 3 2 2 7" xfId="24641"/>
    <cellStyle name="Arial8Bold 3 2 2 8" xfId="35782"/>
    <cellStyle name="Arial8Bold 3 2 2 9" xfId="35007"/>
    <cellStyle name="Arial8Bold 3 2 3" xfId="24554"/>
    <cellStyle name="Arial8Bold 3 2 4" xfId="20457"/>
    <cellStyle name="Arial8Bold 3 2 5" xfId="35562"/>
    <cellStyle name="Arial8Bold 3 2 6" xfId="25124"/>
    <cellStyle name="Arial8Bold 3 2 7" xfId="34322"/>
    <cellStyle name="Arial8Bold 3 2 8" xfId="36002"/>
    <cellStyle name="Arial8Bold 3 2 9" xfId="34292"/>
    <cellStyle name="Arial8Bold 3 3" xfId="19946"/>
    <cellStyle name="Arial8Bold 3 3 10" xfId="34613"/>
    <cellStyle name="Arial8Bold 3 3 11" xfId="38526"/>
    <cellStyle name="Arial8Bold 3 3 12" xfId="38732"/>
    <cellStyle name="Arial8Bold 3 3 13" xfId="39027"/>
    <cellStyle name="Arial8Bold 3 3 14" xfId="24960"/>
    <cellStyle name="Arial8Bold 3 3 15" xfId="20557"/>
    <cellStyle name="Arial8Bold 3 3 2" xfId="33225"/>
    <cellStyle name="Arial8Bold 3 3 3" xfId="36837"/>
    <cellStyle name="Arial8Bold 3 3 4" xfId="37088"/>
    <cellStyle name="Arial8Bold 3 3 5" xfId="24829"/>
    <cellStyle name="Arial8Bold 3 3 6" xfId="37758"/>
    <cellStyle name="Arial8Bold 3 3 7" xfId="35983"/>
    <cellStyle name="Arial8Bold 3 3 8" xfId="35977"/>
    <cellStyle name="Arial8Bold 3 3 9" xfId="34422"/>
    <cellStyle name="Arial8Bold 3 4" xfId="24553"/>
    <cellStyle name="Arial8Bold 3 5" xfId="20458"/>
    <cellStyle name="Arial8Bold 3 6" xfId="36743"/>
    <cellStyle name="Arial8Bold 3 7" xfId="25785"/>
    <cellStyle name="Arial8Bold 3 8" xfId="24802"/>
    <cellStyle name="Arial8Bold 3 9" xfId="37734"/>
    <cellStyle name="Arial8Bold 4" xfId="8483"/>
    <cellStyle name="Arial8Bold 4 10" xfId="35829"/>
    <cellStyle name="Arial8Bold 4 11" xfId="34690"/>
    <cellStyle name="Arial8Bold 4 12" xfId="29625"/>
    <cellStyle name="Arial8Bold 4 13" xfId="36609"/>
    <cellStyle name="Arial8Bold 4 2" xfId="8484"/>
    <cellStyle name="Arial8Bold 4 2 10" xfId="24634"/>
    <cellStyle name="Arial8Bold 4 2 11" xfId="25044"/>
    <cellStyle name="Arial8Bold 4 2 12" xfId="33804"/>
    <cellStyle name="Arial8Bold 4 2 2" xfId="19949"/>
    <cellStyle name="Arial8Bold 4 2 2 10" xfId="24792"/>
    <cellStyle name="Arial8Bold 4 2 2 11" xfId="38529"/>
    <cellStyle name="Arial8Bold 4 2 2 12" xfId="38735"/>
    <cellStyle name="Arial8Bold 4 2 2 13" xfId="39030"/>
    <cellStyle name="Arial8Bold 4 2 2 14" xfId="24244"/>
    <cellStyle name="Arial8Bold 4 2 2 15" xfId="37429"/>
    <cellStyle name="Arial8Bold 4 2 2 2" xfId="33228"/>
    <cellStyle name="Arial8Bold 4 2 2 3" xfId="36840"/>
    <cellStyle name="Arial8Bold 4 2 2 4" xfId="37091"/>
    <cellStyle name="Arial8Bold 4 2 2 5" xfId="35200"/>
    <cellStyle name="Arial8Bold 4 2 2 6" xfId="37761"/>
    <cellStyle name="Arial8Bold 4 2 2 7" xfId="35778"/>
    <cellStyle name="Arial8Bold 4 2 2 8" xfId="37426"/>
    <cellStyle name="Arial8Bold 4 2 2 9" xfId="36263"/>
    <cellStyle name="Arial8Bold 4 2 3" xfId="24556"/>
    <cellStyle name="Arial8Bold 4 2 4" xfId="20455"/>
    <cellStyle name="Arial8Bold 4 2 5" xfId="24315"/>
    <cellStyle name="Arial8Bold 4 2 6" xfId="25784"/>
    <cellStyle name="Arial8Bold 4 2 7" xfId="35230"/>
    <cellStyle name="Arial8Bold 4 2 8" xfId="34445"/>
    <cellStyle name="Arial8Bold 4 2 9" xfId="36627"/>
    <cellStyle name="Arial8Bold 4 3" xfId="19948"/>
    <cellStyle name="Arial8Bold 4 3 10" xfId="34053"/>
    <cellStyle name="Arial8Bold 4 3 11" xfId="38528"/>
    <cellStyle name="Arial8Bold 4 3 12" xfId="38734"/>
    <cellStyle name="Arial8Bold 4 3 13" xfId="39029"/>
    <cellStyle name="Arial8Bold 4 3 14" xfId="34688"/>
    <cellStyle name="Arial8Bold 4 3 15" xfId="38458"/>
    <cellStyle name="Arial8Bold 4 3 2" xfId="33227"/>
    <cellStyle name="Arial8Bold 4 3 3" xfId="36839"/>
    <cellStyle name="Arial8Bold 4 3 4" xfId="37090"/>
    <cellStyle name="Arial8Bold 4 3 5" xfId="36411"/>
    <cellStyle name="Arial8Bold 4 3 6" xfId="37760"/>
    <cellStyle name="Arial8Bold 4 3 7" xfId="36632"/>
    <cellStyle name="Arial8Bold 4 3 8" xfId="34288"/>
    <cellStyle name="Arial8Bold 4 3 9" xfId="37793"/>
    <cellStyle name="Arial8Bold 4 4" xfId="24555"/>
    <cellStyle name="Arial8Bold 4 5" xfId="20456"/>
    <cellStyle name="Arial8Bold 4 6" xfId="24314"/>
    <cellStyle name="Arial8Bold 4 7" xfId="20546"/>
    <cellStyle name="Arial8Bold 4 8" xfId="35102"/>
    <cellStyle name="Arial8Bold 4 9" xfId="33662"/>
    <cellStyle name="Arial8Bold 5" xfId="8485"/>
    <cellStyle name="Arial8Bold 5 10" xfId="20626"/>
    <cellStyle name="Arial8Bold 5 11" xfId="34843"/>
    <cellStyle name="Arial8Bold 5 12" xfId="24263"/>
    <cellStyle name="Arial8Bold 5 2" xfId="19950"/>
    <cellStyle name="Arial8Bold 5 2 10" xfId="35183"/>
    <cellStyle name="Arial8Bold 5 2 11" xfId="38530"/>
    <cellStyle name="Arial8Bold 5 2 12" xfId="38736"/>
    <cellStyle name="Arial8Bold 5 2 13" xfId="39031"/>
    <cellStyle name="Arial8Bold 5 2 14" xfId="37725"/>
    <cellStyle name="Arial8Bold 5 2 15" xfId="25235"/>
    <cellStyle name="Arial8Bold 5 2 2" xfId="33229"/>
    <cellStyle name="Arial8Bold 5 2 3" xfId="36841"/>
    <cellStyle name="Arial8Bold 5 2 4" xfId="37092"/>
    <cellStyle name="Arial8Bold 5 2 5" xfId="36419"/>
    <cellStyle name="Arial8Bold 5 2 6" xfId="37762"/>
    <cellStyle name="Arial8Bold 5 2 7" xfId="33842"/>
    <cellStyle name="Arial8Bold 5 2 8" xfId="25209"/>
    <cellStyle name="Arial8Bold 5 2 9" xfId="25279"/>
    <cellStyle name="Arial8Bold 5 3" xfId="24557"/>
    <cellStyle name="Arial8Bold 5 4" xfId="20454"/>
    <cellStyle name="Arial8Bold 5 5" xfId="36739"/>
    <cellStyle name="Arial8Bold 5 6" xfId="25123"/>
    <cellStyle name="Arial8Bold 5 7" xfId="33935"/>
    <cellStyle name="Arial8Bold 5 8" xfId="34529"/>
    <cellStyle name="Arial8Bold 5 9" xfId="35449"/>
    <cellStyle name="Arial8Bold 6" xfId="19939"/>
    <cellStyle name="Arial8Bold 6 10" xfId="24521"/>
    <cellStyle name="Arial8Bold 6 11" xfId="38519"/>
    <cellStyle name="Arial8Bold 6 12" xfId="38725"/>
    <cellStyle name="Arial8Bold 6 13" xfId="39020"/>
    <cellStyle name="Arial8Bold 6 14" xfId="38002"/>
    <cellStyle name="Arial8Bold 6 15" xfId="24246"/>
    <cellStyle name="Arial8Bold 6 2" xfId="33218"/>
    <cellStyle name="Arial8Bold 6 3" xfId="36830"/>
    <cellStyle name="Arial8Bold 6 4" xfId="37081"/>
    <cellStyle name="Arial8Bold 6 5" xfId="36422"/>
    <cellStyle name="Arial8Bold 6 6" xfId="37751"/>
    <cellStyle name="Arial8Bold 6 7" xfId="37937"/>
    <cellStyle name="Arial8Bold 6 8" xfId="35443"/>
    <cellStyle name="Arial8Bold 6 9" xfId="37448"/>
    <cellStyle name="Arial8Bold 7" xfId="24546"/>
    <cellStyle name="Arial8Bold 8" xfId="20465"/>
    <cellStyle name="Arial8Bold 9" xfId="35564"/>
    <cellStyle name="Arial8Italic" xfId="8486"/>
    <cellStyle name="Arial8Italic 10" xfId="20545"/>
    <cellStyle name="Arial8Italic 11" xfId="25129"/>
    <cellStyle name="Arial8Italic 12" xfId="33695"/>
    <cellStyle name="Arial8Italic 13" xfId="25070"/>
    <cellStyle name="Arial8Italic 14" xfId="37982"/>
    <cellStyle name="Arial8Italic 15" xfId="25729"/>
    <cellStyle name="Arial8Italic 16" xfId="24474"/>
    <cellStyle name="Arial8Italic 2" xfId="8487"/>
    <cellStyle name="Arial8Italic 2 10" xfId="25798"/>
    <cellStyle name="Arial8Italic 2 11" xfId="25345"/>
    <cellStyle name="Arial8Italic 2 12" xfId="24210"/>
    <cellStyle name="Arial8Italic 2 13" xfId="25768"/>
    <cellStyle name="Arial8Italic 2 14" xfId="35156"/>
    <cellStyle name="Arial8Italic 2 15" xfId="35354"/>
    <cellStyle name="Arial8Italic 2 2" xfId="8488"/>
    <cellStyle name="Arial8Italic 2 2 10" xfId="24579"/>
    <cellStyle name="Arial8Italic 2 2 11" xfId="35953"/>
    <cellStyle name="Arial8Italic 2 2 12" xfId="36107"/>
    <cellStyle name="Arial8Italic 2 2 13" xfId="33735"/>
    <cellStyle name="Arial8Italic 2 2 2" xfId="8489"/>
    <cellStyle name="Arial8Italic 2 2 2 10" xfId="34035"/>
    <cellStyle name="Arial8Italic 2 2 2 11" xfId="34923"/>
    <cellStyle name="Arial8Italic 2 2 2 12" xfId="20623"/>
    <cellStyle name="Arial8Italic 2 2 2 2" xfId="19954"/>
    <cellStyle name="Arial8Italic 2 2 2 2 10" xfId="25113"/>
    <cellStyle name="Arial8Italic 2 2 2 2 11" xfId="38534"/>
    <cellStyle name="Arial8Italic 2 2 2 2 12" xfId="38740"/>
    <cellStyle name="Arial8Italic 2 2 2 2 13" xfId="39035"/>
    <cellStyle name="Arial8Italic 2 2 2 2 14" xfId="38293"/>
    <cellStyle name="Arial8Italic 2 2 2 2 15" xfId="34659"/>
    <cellStyle name="Arial8Italic 2 2 2 2 2" xfId="33233"/>
    <cellStyle name="Arial8Italic 2 2 2 2 3" xfId="36845"/>
    <cellStyle name="Arial8Italic 2 2 2 2 4" xfId="37096"/>
    <cellStyle name="Arial8Italic 2 2 2 2 5" xfId="35207"/>
    <cellStyle name="Arial8Italic 2 2 2 2 6" xfId="37766"/>
    <cellStyle name="Arial8Italic 2 2 2 2 7" xfId="25291"/>
    <cellStyle name="Arial8Italic 2 2 2 2 8" xfId="36336"/>
    <cellStyle name="Arial8Italic 2 2 2 2 9" xfId="35069"/>
    <cellStyle name="Arial8Italic 2 2 2 3" xfId="24561"/>
    <cellStyle name="Arial8Italic 2 2 2 4" xfId="20450"/>
    <cellStyle name="Arial8Italic 2 2 2 5" xfId="24316"/>
    <cellStyle name="Arial8Italic 2 2 2 6" xfId="34940"/>
    <cellStyle name="Arial8Italic 2 2 2 7" xfId="35105"/>
    <cellStyle name="Arial8Italic 2 2 2 8" xfId="37733"/>
    <cellStyle name="Arial8Italic 2 2 2 9" xfId="24760"/>
    <cellStyle name="Arial8Italic 2 2 3" xfId="19953"/>
    <cellStyle name="Arial8Italic 2 2 3 10" xfId="35323"/>
    <cellStyle name="Arial8Italic 2 2 3 11" xfId="38533"/>
    <cellStyle name="Arial8Italic 2 2 3 12" xfId="38739"/>
    <cellStyle name="Arial8Italic 2 2 3 13" xfId="39034"/>
    <cellStyle name="Arial8Italic 2 2 3 14" xfId="33793"/>
    <cellStyle name="Arial8Italic 2 2 3 15" xfId="35825"/>
    <cellStyle name="Arial8Italic 2 2 3 2" xfId="33232"/>
    <cellStyle name="Arial8Italic 2 2 3 3" xfId="36844"/>
    <cellStyle name="Arial8Italic 2 2 3 4" xfId="37095"/>
    <cellStyle name="Arial8Italic 2 2 3 5" xfId="36418"/>
    <cellStyle name="Arial8Italic 2 2 3 6" xfId="37765"/>
    <cellStyle name="Arial8Italic 2 2 3 7" xfId="25701"/>
    <cellStyle name="Arial8Italic 2 2 3 8" xfId="36278"/>
    <cellStyle name="Arial8Italic 2 2 3 9" xfId="35144"/>
    <cellStyle name="Arial8Italic 2 2 4" xfId="24560"/>
    <cellStyle name="Arial8Italic 2 2 5" xfId="20451"/>
    <cellStyle name="Arial8Italic 2 2 6" xfId="35560"/>
    <cellStyle name="Arial8Italic 2 2 7" xfId="33563"/>
    <cellStyle name="Arial8Italic 2 2 8" xfId="34930"/>
    <cellStyle name="Arial8Italic 2 2 9" xfId="25333"/>
    <cellStyle name="Arial8Italic 2 3" xfId="8490"/>
    <cellStyle name="Arial8Italic 2 3 10" xfId="37948"/>
    <cellStyle name="Arial8Italic 2 3 11" xfId="35770"/>
    <cellStyle name="Arial8Italic 2 3 12" xfId="35325"/>
    <cellStyle name="Arial8Italic 2 3 13" xfId="35763"/>
    <cellStyle name="Arial8Italic 2 3 2" xfId="8491"/>
    <cellStyle name="Arial8Italic 2 3 2 10" xfId="35319"/>
    <cellStyle name="Arial8Italic 2 3 2 11" xfId="34741"/>
    <cellStyle name="Arial8Italic 2 3 2 12" xfId="24864"/>
    <cellStyle name="Arial8Italic 2 3 2 2" xfId="19956"/>
    <cellStyle name="Arial8Italic 2 3 2 2 10" xfId="20509"/>
    <cellStyle name="Arial8Italic 2 3 2 2 11" xfId="38536"/>
    <cellStyle name="Arial8Italic 2 3 2 2 12" xfId="38742"/>
    <cellStyle name="Arial8Italic 2 3 2 2 13" xfId="39037"/>
    <cellStyle name="Arial8Italic 2 3 2 2 14" xfId="35739"/>
    <cellStyle name="Arial8Italic 2 3 2 2 15" xfId="25000"/>
    <cellStyle name="Arial8Italic 2 3 2 2 2" xfId="33235"/>
    <cellStyle name="Arial8Italic 2 3 2 2 3" xfId="36847"/>
    <cellStyle name="Arial8Italic 2 3 2 2 4" xfId="37098"/>
    <cellStyle name="Arial8Italic 2 3 2 2 5" xfId="36415"/>
    <cellStyle name="Arial8Italic 2 3 2 2 6" xfId="37768"/>
    <cellStyle name="Arial8Italic 2 3 2 2 7" xfId="35291"/>
    <cellStyle name="Arial8Italic 2 3 2 2 8" xfId="34702"/>
    <cellStyle name="Arial8Italic 2 3 2 2 9" xfId="35947"/>
    <cellStyle name="Arial8Italic 2 3 2 3" xfId="24563"/>
    <cellStyle name="Arial8Italic 2 3 2 4" xfId="20448"/>
    <cellStyle name="Arial8Italic 2 3 2 5" xfId="35559"/>
    <cellStyle name="Arial8Italic 2 3 2 6" xfId="36111"/>
    <cellStyle name="Arial8Italic 2 3 2 7" xfId="35053"/>
    <cellStyle name="Arial8Italic 2 3 2 8" xfId="25228"/>
    <cellStyle name="Arial8Italic 2 3 2 9" xfId="24407"/>
    <cellStyle name="Arial8Italic 2 3 3" xfId="19955"/>
    <cellStyle name="Arial8Italic 2 3 3 10" xfId="24264"/>
    <cellStyle name="Arial8Italic 2 3 3 11" xfId="38535"/>
    <cellStyle name="Arial8Italic 2 3 3 12" xfId="38741"/>
    <cellStyle name="Arial8Italic 2 3 3 13" xfId="39036"/>
    <cellStyle name="Arial8Italic 2 3 3 14" xfId="36202"/>
    <cellStyle name="Arial8Italic 2 3 3 15" xfId="24628"/>
    <cellStyle name="Arial8Italic 2 3 3 2" xfId="33234"/>
    <cellStyle name="Arial8Italic 2 3 3 3" xfId="36846"/>
    <cellStyle name="Arial8Italic 2 3 3 4" xfId="37097"/>
    <cellStyle name="Arial8Italic 2 3 3 5" xfId="24832"/>
    <cellStyle name="Arial8Italic 2 3 3 6" xfId="37767"/>
    <cellStyle name="Arial8Italic 2 3 3 7" xfId="24424"/>
    <cellStyle name="Arial8Italic 2 3 3 8" xfId="36331"/>
    <cellStyle name="Arial8Italic 2 3 3 9" xfId="25039"/>
    <cellStyle name="Arial8Italic 2 3 4" xfId="24562"/>
    <cellStyle name="Arial8Italic 2 3 5" xfId="20449"/>
    <cellStyle name="Arial8Italic 2 3 6" xfId="36740"/>
    <cellStyle name="Arial8Italic 2 3 7" xfId="25782"/>
    <cellStyle name="Arial8Italic 2 3 8" xfId="24800"/>
    <cellStyle name="Arial8Italic 2 3 9" xfId="36240"/>
    <cellStyle name="Arial8Italic 2 4" xfId="8492"/>
    <cellStyle name="Arial8Italic 2 4 10" xfId="35577"/>
    <cellStyle name="Arial8Italic 2 4 11" xfId="34676"/>
    <cellStyle name="Arial8Italic 2 4 12" xfId="38273"/>
    <cellStyle name="Arial8Italic 2 4 2" xfId="19957"/>
    <cellStyle name="Arial8Italic 2 4 2 10" xfId="25134"/>
    <cellStyle name="Arial8Italic 2 4 2 11" xfId="38537"/>
    <cellStyle name="Arial8Italic 2 4 2 12" xfId="38743"/>
    <cellStyle name="Arial8Italic 2 4 2 13" xfId="39038"/>
    <cellStyle name="Arial8Italic 2 4 2 14" xfId="35273"/>
    <cellStyle name="Arial8Italic 2 4 2 15" xfId="38150"/>
    <cellStyle name="Arial8Italic 2 4 2 2" xfId="33236"/>
    <cellStyle name="Arial8Italic 2 4 2 3" xfId="36848"/>
    <cellStyle name="Arial8Italic 2 4 2 4" xfId="37099"/>
    <cellStyle name="Arial8Italic 2 4 2 5" xfId="35204"/>
    <cellStyle name="Arial8Italic 2 4 2 6" xfId="37769"/>
    <cellStyle name="Arial8Italic 2 4 2 7" xfId="33961"/>
    <cellStyle name="Arial8Italic 2 4 2 8" xfId="24633"/>
    <cellStyle name="Arial8Italic 2 4 2 9" xfId="24439"/>
    <cellStyle name="Arial8Italic 2 4 3" xfId="24564"/>
    <cellStyle name="Arial8Italic 2 4 4" xfId="20447"/>
    <cellStyle name="Arial8Italic 2 4 5" xfId="24317"/>
    <cellStyle name="Arial8Italic 2 4 6" xfId="20543"/>
    <cellStyle name="Arial8Italic 2 4 7" xfId="36442"/>
    <cellStyle name="Arial8Italic 2 4 8" xfId="20431"/>
    <cellStyle name="Arial8Italic 2 4 9" xfId="24211"/>
    <cellStyle name="Arial8Italic 2 5" xfId="19952"/>
    <cellStyle name="Arial8Italic 2 5 10" xfId="37983"/>
    <cellStyle name="Arial8Italic 2 5 11" xfId="38532"/>
    <cellStyle name="Arial8Italic 2 5 12" xfId="38738"/>
    <cellStyle name="Arial8Italic 2 5 13" xfId="39033"/>
    <cellStyle name="Arial8Italic 2 5 14" xfId="38090"/>
    <cellStyle name="Arial8Italic 2 5 15" xfId="34440"/>
    <cellStyle name="Arial8Italic 2 5 2" xfId="33231"/>
    <cellStyle name="Arial8Italic 2 5 3" xfId="36843"/>
    <cellStyle name="Arial8Italic 2 5 4" xfId="37094"/>
    <cellStyle name="Arial8Italic 2 5 5" xfId="24831"/>
    <cellStyle name="Arial8Italic 2 5 6" xfId="37764"/>
    <cellStyle name="Arial8Italic 2 5 7" xfId="34960"/>
    <cellStyle name="Arial8Italic 2 5 8" xfId="35459"/>
    <cellStyle name="Arial8Italic 2 5 9" xfId="36566"/>
    <cellStyle name="Arial8Italic 2 6" xfId="24559"/>
    <cellStyle name="Arial8Italic 2 7" xfId="20452"/>
    <cellStyle name="Arial8Italic 2 8" xfId="36741"/>
    <cellStyle name="Arial8Italic 2 9" xfId="20544"/>
    <cellStyle name="Arial8Italic 3" xfId="8493"/>
    <cellStyle name="Arial8Italic 3 10" xfId="37947"/>
    <cellStyle name="Arial8Italic 3 11" xfId="34862"/>
    <cellStyle name="Arial8Italic 3 12" xfId="35072"/>
    <cellStyle name="Arial8Italic 3 13" xfId="20617"/>
    <cellStyle name="Arial8Italic 3 2" xfId="8494"/>
    <cellStyle name="Arial8Italic 3 2 10" xfId="33994"/>
    <cellStyle name="Arial8Italic 3 2 11" xfId="34105"/>
    <cellStyle name="Arial8Italic 3 2 12" xfId="34773"/>
    <cellStyle name="Arial8Italic 3 2 2" xfId="19959"/>
    <cellStyle name="Arial8Italic 3 2 2 10" xfId="24780"/>
    <cellStyle name="Arial8Italic 3 2 2 11" xfId="38539"/>
    <cellStyle name="Arial8Italic 3 2 2 12" xfId="38745"/>
    <cellStyle name="Arial8Italic 3 2 2 13" xfId="39040"/>
    <cellStyle name="Arial8Italic 3 2 2 14" xfId="37358"/>
    <cellStyle name="Arial8Italic 3 2 2 15" xfId="25040"/>
    <cellStyle name="Arial8Italic 3 2 2 2" xfId="33238"/>
    <cellStyle name="Arial8Italic 3 2 2 3" xfId="36850"/>
    <cellStyle name="Arial8Italic 3 2 2 4" xfId="37101"/>
    <cellStyle name="Arial8Italic 3 2 2 5" xfId="35206"/>
    <cellStyle name="Arial8Italic 3 2 2 6" xfId="37771"/>
    <cellStyle name="Arial8Italic 3 2 2 7" xfId="35835"/>
    <cellStyle name="Arial8Italic 3 2 2 8" xfId="37425"/>
    <cellStyle name="Arial8Italic 3 2 2 9" xfId="25418"/>
    <cellStyle name="Arial8Italic 3 2 3" xfId="24566"/>
    <cellStyle name="Arial8Italic 3 2 4" xfId="20445"/>
    <cellStyle name="Arial8Italic 3 2 5" xfId="36737"/>
    <cellStyle name="Arial8Italic 3 2 6" xfId="25122"/>
    <cellStyle name="Arial8Italic 3 2 7" xfId="25317"/>
    <cellStyle name="Arial8Italic 3 2 8" xfId="25519"/>
    <cellStyle name="Arial8Italic 3 2 9" xfId="34499"/>
    <cellStyle name="Arial8Italic 3 3" xfId="19958"/>
    <cellStyle name="Arial8Italic 3 3 10" xfId="34837"/>
    <cellStyle name="Arial8Italic 3 3 11" xfId="38538"/>
    <cellStyle name="Arial8Italic 3 3 12" xfId="38744"/>
    <cellStyle name="Arial8Italic 3 3 13" xfId="39039"/>
    <cellStyle name="Arial8Italic 3 3 14" xfId="38019"/>
    <cellStyle name="Arial8Italic 3 3 15" xfId="36114"/>
    <cellStyle name="Arial8Italic 3 3 2" xfId="33237"/>
    <cellStyle name="Arial8Italic 3 3 3" xfId="36849"/>
    <cellStyle name="Arial8Italic 3 3 4" xfId="37100"/>
    <cellStyle name="Arial8Italic 3 3 5" xfId="36417"/>
    <cellStyle name="Arial8Italic 3 3 6" xfId="37770"/>
    <cellStyle name="Arial8Italic 3 3 7" xfId="36130"/>
    <cellStyle name="Arial8Italic 3 3 8" xfId="36680"/>
    <cellStyle name="Arial8Italic 3 3 9" xfId="35802"/>
    <cellStyle name="Arial8Italic 3 4" xfId="24565"/>
    <cellStyle name="Arial8Italic 3 5" xfId="20446"/>
    <cellStyle name="Arial8Italic 3 6" xfId="24318"/>
    <cellStyle name="Arial8Italic 3 7" xfId="25781"/>
    <cellStyle name="Arial8Italic 3 8" xfId="35409"/>
    <cellStyle name="Arial8Italic 3 9" xfId="36691"/>
    <cellStyle name="Arial8Italic 4" xfId="8495"/>
    <cellStyle name="Arial8Italic 4 10" xfId="36203"/>
    <cellStyle name="Arial8Italic 4 11" xfId="20512"/>
    <cellStyle name="Arial8Italic 4 12" xfId="25029"/>
    <cellStyle name="Arial8Italic 4 13" xfId="34455"/>
    <cellStyle name="Arial8Italic 4 2" xfId="8496"/>
    <cellStyle name="Arial8Italic 4 2 10" xfId="34772"/>
    <cellStyle name="Arial8Italic 4 2 11" xfId="34719"/>
    <cellStyle name="Arial8Italic 4 2 12" xfId="36729"/>
    <cellStyle name="Arial8Italic 4 2 2" xfId="19961"/>
    <cellStyle name="Arial8Italic 4 2 2 10" xfId="37637"/>
    <cellStyle name="Arial8Italic 4 2 2 11" xfId="38541"/>
    <cellStyle name="Arial8Italic 4 2 2 12" xfId="38747"/>
    <cellStyle name="Arial8Italic 4 2 2 13" xfId="39042"/>
    <cellStyle name="Arial8Italic 4 2 2 14" xfId="33703"/>
    <cellStyle name="Arial8Italic 4 2 2 15" xfId="24330"/>
    <cellStyle name="Arial8Italic 4 2 2 2" xfId="33240"/>
    <cellStyle name="Arial8Italic 4 2 2 3" xfId="36852"/>
    <cellStyle name="Arial8Italic 4 2 2 4" xfId="37103"/>
    <cellStyle name="Arial8Italic 4 2 2 5" xfId="36416"/>
    <cellStyle name="Arial8Italic 4 2 2 6" xfId="37773"/>
    <cellStyle name="Arial8Italic 4 2 2 7" xfId="37938"/>
    <cellStyle name="Arial8Italic 4 2 2 8" xfId="25341"/>
    <cellStyle name="Arial8Italic 4 2 2 9" xfId="35865"/>
    <cellStyle name="Arial8Italic 4 2 3" xfId="24568"/>
    <cellStyle name="Arial8Italic 4 2 4" xfId="20443"/>
    <cellStyle name="Arial8Italic 4 2 5" xfId="36738"/>
    <cellStyle name="Arial8Italic 4 2 6" xfId="37017"/>
    <cellStyle name="Arial8Italic 4 2 7" xfId="36604"/>
    <cellStyle name="Arial8Italic 4 2 8" xfId="24973"/>
    <cellStyle name="Arial8Italic 4 2 9" xfId="24868"/>
    <cellStyle name="Arial8Italic 4 3" xfId="19960"/>
    <cellStyle name="Arial8Italic 4 3 10" xfId="36147"/>
    <cellStyle name="Arial8Italic 4 3 11" xfId="38540"/>
    <cellStyle name="Arial8Italic 4 3 12" xfId="38746"/>
    <cellStyle name="Arial8Italic 4 3 13" xfId="39041"/>
    <cellStyle name="Arial8Italic 4 3 14" xfId="37884"/>
    <cellStyle name="Arial8Italic 4 3 15" xfId="36644"/>
    <cellStyle name="Arial8Italic 4 3 2" xfId="33239"/>
    <cellStyle name="Arial8Italic 4 3 3" xfId="36851"/>
    <cellStyle name="Arial8Italic 4 3 4" xfId="37102"/>
    <cellStyle name="Arial8Italic 4 3 5" xfId="24833"/>
    <cellStyle name="Arial8Italic 4 3 6" xfId="37772"/>
    <cellStyle name="Arial8Italic 4 3 7" xfId="36372"/>
    <cellStyle name="Arial8Italic 4 3 8" xfId="37427"/>
    <cellStyle name="Arial8Italic 4 3 9" xfId="37703"/>
    <cellStyle name="Arial8Italic 4 4" xfId="24567"/>
    <cellStyle name="Arial8Italic 4 5" xfId="20444"/>
    <cellStyle name="Arial8Italic 4 6" xfId="35555"/>
    <cellStyle name="Arial8Italic 4 7" xfId="20542"/>
    <cellStyle name="Arial8Italic 4 8" xfId="24801"/>
    <cellStyle name="Arial8Italic 4 9" xfId="20572"/>
    <cellStyle name="Arial8Italic 5" xfId="8497"/>
    <cellStyle name="Arial8Italic 5 10" xfId="37476"/>
    <cellStyle name="Arial8Italic 5 11" xfId="37916"/>
    <cellStyle name="Arial8Italic 5 12" xfId="36462"/>
    <cellStyle name="Arial8Italic 5 2" xfId="19962"/>
    <cellStyle name="Arial8Italic 5 2 10" xfId="34054"/>
    <cellStyle name="Arial8Italic 5 2 11" xfId="38542"/>
    <cellStyle name="Arial8Italic 5 2 12" xfId="38748"/>
    <cellStyle name="Arial8Italic 5 2 13" xfId="39043"/>
    <cellStyle name="Arial8Italic 5 2 14" xfId="36339"/>
    <cellStyle name="Arial8Italic 5 2 15" xfId="35123"/>
    <cellStyle name="Arial8Italic 5 2 2" xfId="33241"/>
    <cellStyle name="Arial8Italic 5 2 3" xfId="36853"/>
    <cellStyle name="Arial8Italic 5 2 4" xfId="37104"/>
    <cellStyle name="Arial8Italic 5 2 5" xfId="35205"/>
    <cellStyle name="Arial8Italic 5 2 6" xfId="37774"/>
    <cellStyle name="Arial8Italic 5 2 7" xfId="33613"/>
    <cellStyle name="Arial8Italic 5 2 8" xfId="35568"/>
    <cellStyle name="Arial8Italic 5 2 9" xfId="25607"/>
    <cellStyle name="Arial8Italic 5 3" xfId="24569"/>
    <cellStyle name="Arial8Italic 5 4" xfId="20442"/>
    <cellStyle name="Arial8Italic 5 5" xfId="35557"/>
    <cellStyle name="Arial8Italic 5 6" xfId="20541"/>
    <cellStyle name="Arial8Italic 5 7" xfId="20565"/>
    <cellStyle name="Arial8Italic 5 8" xfId="35541"/>
    <cellStyle name="Arial8Italic 5 9" xfId="36205"/>
    <cellStyle name="Arial8Italic 6" xfId="19951"/>
    <cellStyle name="Arial8Italic 6 10" xfId="33713"/>
    <cellStyle name="Arial8Italic 6 11" xfId="38531"/>
    <cellStyle name="Arial8Italic 6 12" xfId="38737"/>
    <cellStyle name="Arial8Italic 6 13" xfId="39032"/>
    <cellStyle name="Arial8Italic 6 14" xfId="35894"/>
    <cellStyle name="Arial8Italic 6 15" xfId="34285"/>
    <cellStyle name="Arial8Italic 6 2" xfId="33230"/>
    <cellStyle name="Arial8Italic 6 3" xfId="36842"/>
    <cellStyle name="Arial8Italic 6 4" xfId="37093"/>
    <cellStyle name="Arial8Italic 6 5" xfId="35208"/>
    <cellStyle name="Arial8Italic 6 6" xfId="37763"/>
    <cellStyle name="Arial8Italic 6 7" xfId="24995"/>
    <cellStyle name="Arial8Italic 6 8" xfId="34001"/>
    <cellStyle name="Arial8Italic 6 9" xfId="37378"/>
    <cellStyle name="Arial8Italic 7" xfId="24558"/>
    <cellStyle name="Arial8Italic 8" xfId="20453"/>
    <cellStyle name="Arial8Italic 9" xfId="35558"/>
    <cellStyle name="ArialNormal" xfId="8498"/>
    <cellStyle name="ArialNormal 2" xfId="8499"/>
    <cellStyle name="ArialNormal 2 2" xfId="8500"/>
    <cellStyle name="ArialNormal 2 2 10" xfId="24390"/>
    <cellStyle name="ArialNormal 2 2 11" xfId="36382"/>
    <cellStyle name="ArialNormal 2 2 12" xfId="35862"/>
    <cellStyle name="ArialNormal 2 2 13" xfId="38289"/>
    <cellStyle name="ArialNormal 2 2 2" xfId="8501"/>
    <cellStyle name="ArialNormal 2 2 2 10" xfId="33665"/>
    <cellStyle name="ArialNormal 2 2 2 11" xfId="33870"/>
    <cellStyle name="ArialNormal 2 2 2 12" xfId="36642"/>
    <cellStyle name="ArialNormal 2 2 2 2" xfId="19964"/>
    <cellStyle name="ArialNormal 2 2 2 2 10" xfId="34665"/>
    <cellStyle name="ArialNormal 2 2 2 2 11" xfId="38544"/>
    <cellStyle name="ArialNormal 2 2 2 2 12" xfId="38750"/>
    <cellStyle name="ArialNormal 2 2 2 2 13" xfId="39045"/>
    <cellStyle name="ArialNormal 2 2 2 2 14" xfId="35234"/>
    <cellStyle name="ArialNormal 2 2 2 2 15" xfId="34611"/>
    <cellStyle name="ArialNormal 2 2 2 2 2" xfId="33243"/>
    <cellStyle name="ArialNormal 2 2 2 2 3" xfId="36855"/>
    <cellStyle name="ArialNormal 2 2 2 2 4" xfId="37106"/>
    <cellStyle name="ArialNormal 2 2 2 2 5" xfId="24835"/>
    <cellStyle name="ArialNormal 2 2 2 2 6" xfId="37776"/>
    <cellStyle name="ArialNormal 2 2 2 2 7" xfId="25107"/>
    <cellStyle name="ArialNormal 2 2 2 2 8" xfId="35494"/>
    <cellStyle name="ArialNormal 2 2 2 2 9" xfId="35649"/>
    <cellStyle name="ArialNormal 2 2 2 3" xfId="24571"/>
    <cellStyle name="ArialNormal 2 2 2 4" xfId="20439"/>
    <cellStyle name="ArialNormal 2 2 2 5" xfId="24319"/>
    <cellStyle name="ArialNormal 2 2 2 6" xfId="36112"/>
    <cellStyle name="ArialNormal 2 2 2 7" xfId="35860"/>
    <cellStyle name="ArialNormal 2 2 2 8" xfId="34686"/>
    <cellStyle name="ArialNormal 2 2 2 9" xfId="34077"/>
    <cellStyle name="ArialNormal 2 2 3" xfId="19963"/>
    <cellStyle name="ArialNormal 2 2 3 10" xfId="34005"/>
    <cellStyle name="ArialNormal 2 2 3 11" xfId="38543"/>
    <cellStyle name="ArialNormal 2 2 3 12" xfId="38749"/>
    <cellStyle name="ArialNormal 2 2 3 13" xfId="39044"/>
    <cellStyle name="ArialNormal 2 2 3 14" xfId="35811"/>
    <cellStyle name="ArialNormal 2 2 3 15" xfId="37367"/>
    <cellStyle name="ArialNormal 2 2 3 2" xfId="33242"/>
    <cellStyle name="ArialNormal 2 2 3 3" xfId="36854"/>
    <cellStyle name="ArialNormal 2 2 3 4" xfId="37105"/>
    <cellStyle name="ArialNormal 2 2 3 5" xfId="24834"/>
    <cellStyle name="ArialNormal 2 2 3 6" xfId="37775"/>
    <cellStyle name="ArialNormal 2 2 3 7" xfId="35777"/>
    <cellStyle name="ArialNormal 2 2 3 8" xfId="34209"/>
    <cellStyle name="ArialNormal 2 2 3 9" xfId="37795"/>
    <cellStyle name="ArialNormal 2 2 4" xfId="24570"/>
    <cellStyle name="ArialNormal 2 2 5" xfId="20440"/>
    <cellStyle name="ArialNormal 2 2 6" xfId="35556"/>
    <cellStyle name="ArialNormal 2 2 7" xfId="35772"/>
    <cellStyle name="ArialNormal 2 2 8" xfId="35231"/>
    <cellStyle name="ArialNormal 2 2 9" xfId="24861"/>
    <cellStyle name="ArialNormal 2 3" xfId="8502"/>
    <cellStyle name="ArialNormal 2 3 10" xfId="37361"/>
    <cellStyle name="ArialNormal 2 3 11" xfId="34461"/>
    <cellStyle name="ArialNormal 2 3 12" xfId="34479"/>
    <cellStyle name="ArialNormal 2 3 13" xfId="35518"/>
    <cellStyle name="ArialNormal 2 3 2" xfId="8503"/>
    <cellStyle name="ArialNormal 2 3 2 10" xfId="37507"/>
    <cellStyle name="ArialNormal 2 3 2 11" xfId="36125"/>
    <cellStyle name="ArialNormal 2 3 2 12" xfId="25004"/>
    <cellStyle name="ArialNormal 2 3 2 2" xfId="19966"/>
    <cellStyle name="ArialNormal 2 3 2 2 10" xfId="36454"/>
    <cellStyle name="ArialNormal 2 3 2 2 11" xfId="38546"/>
    <cellStyle name="ArialNormal 2 3 2 2 12" xfId="38752"/>
    <cellStyle name="ArialNormal 2 3 2 2 13" xfId="39047"/>
    <cellStyle name="ArialNormal 2 3 2 2 14" xfId="38454"/>
    <cellStyle name="ArialNormal 2 3 2 2 15" xfId="25033"/>
    <cellStyle name="ArialNormal 2 3 2 2 2" xfId="33245"/>
    <cellStyle name="ArialNormal 2 3 2 2 3" xfId="36857"/>
    <cellStyle name="ArialNormal 2 3 2 2 4" xfId="37108"/>
    <cellStyle name="ArialNormal 2 3 2 2 5" xfId="35201"/>
    <cellStyle name="ArialNormal 2 3 2 2 6" xfId="37778"/>
    <cellStyle name="ArialNormal 2 3 2 2 7" xfId="35290"/>
    <cellStyle name="ArialNormal 2 3 2 2 8" xfId="35244"/>
    <cellStyle name="ArialNormal 2 3 2 2 9" xfId="25436"/>
    <cellStyle name="ArialNormal 2 3 2 3" xfId="24573"/>
    <cellStyle name="ArialNormal 2 3 2 4" xfId="20437"/>
    <cellStyle name="ArialNormal 2 3 2 5" xfId="24321"/>
    <cellStyle name="ArialNormal 2 3 2 6" xfId="25774"/>
    <cellStyle name="ArialNormal 2 3 2 7" xfId="36445"/>
    <cellStyle name="ArialNormal 2 3 2 8" xfId="36173"/>
    <cellStyle name="ArialNormal 2 3 2 9" xfId="34821"/>
    <cellStyle name="ArialNormal 2 3 3" xfId="19965"/>
    <cellStyle name="ArialNormal 2 3 3 10" xfId="20588"/>
    <cellStyle name="ArialNormal 2 3 3 11" xfId="38545"/>
    <cellStyle name="ArialNormal 2 3 3 12" xfId="38751"/>
    <cellStyle name="ArialNormal 2 3 3 13" xfId="39046"/>
    <cellStyle name="ArialNormal 2 3 3 14" xfId="38229"/>
    <cellStyle name="ArialNormal 2 3 3 15" xfId="35407"/>
    <cellStyle name="ArialNormal 2 3 3 2" xfId="33244"/>
    <cellStyle name="ArialNormal 2 3 3 3" xfId="36856"/>
    <cellStyle name="ArialNormal 2 3 3 4" xfId="37107"/>
    <cellStyle name="ArialNormal 2 3 3 5" xfId="36412"/>
    <cellStyle name="ArialNormal 2 3 3 6" xfId="37777"/>
    <cellStyle name="ArialNormal 2 3 3 7" xfId="33614"/>
    <cellStyle name="ArialNormal 2 3 3 8" xfId="36179"/>
    <cellStyle name="ArialNormal 2 3 3 9" xfId="35168"/>
    <cellStyle name="ArialNormal 2 3 4" xfId="24572"/>
    <cellStyle name="ArialNormal 2 3 5" xfId="20438"/>
    <cellStyle name="ArialNormal 2 3 6" xfId="24320"/>
    <cellStyle name="ArialNormal 2 3 7" xfId="37018"/>
    <cellStyle name="ArialNormal 2 3 8" xfId="25797"/>
    <cellStyle name="ArialNormal 2 3 9" xfId="24366"/>
    <cellStyle name="ArialNormal 3" xfId="8504"/>
    <cellStyle name="ArialNormal 3 10" xfId="34716"/>
    <cellStyle name="ArialNormal 3 11" xfId="37504"/>
    <cellStyle name="ArialNormal 3 12" xfId="34075"/>
    <cellStyle name="ArialNormal 3 13" xfId="25750"/>
    <cellStyle name="ArialNormal 3 2" xfId="8505"/>
    <cellStyle name="ArialNormal 3 2 10" xfId="38252"/>
    <cellStyle name="ArialNormal 3 2 11" xfId="33991"/>
    <cellStyle name="ArialNormal 3 2 12" xfId="33673"/>
    <cellStyle name="ArialNormal 3 2 2" xfId="19968"/>
    <cellStyle name="ArialNormal 3 2 2 10" xfId="34599"/>
    <cellStyle name="ArialNormal 3 2 2 11" xfId="38548"/>
    <cellStyle name="ArialNormal 3 2 2 12" xfId="38754"/>
    <cellStyle name="ArialNormal 3 2 2 13" xfId="39049"/>
    <cellStyle name="ArialNormal 3 2 2 14" xfId="24257"/>
    <cellStyle name="ArialNormal 3 2 2 15" xfId="35916"/>
    <cellStyle name="ArialNormal 3 2 2 2" xfId="33247"/>
    <cellStyle name="ArialNormal 3 2 2 3" xfId="36859"/>
    <cellStyle name="ArialNormal 3 2 2 4" xfId="37110"/>
    <cellStyle name="ArialNormal 3 2 2 5" xfId="35203"/>
    <cellStyle name="ArialNormal 3 2 2 6" xfId="37780"/>
    <cellStyle name="ArialNormal 3 2 2 7" xfId="34776"/>
    <cellStyle name="ArialNormal 3 2 2 8" xfId="24304"/>
    <cellStyle name="ArialNormal 3 2 2 9" xfId="34994"/>
    <cellStyle name="ArialNormal 3 2 3" xfId="24575"/>
    <cellStyle name="ArialNormal 3 2 4" xfId="20435"/>
    <cellStyle name="ArialNormal 3 2 5" xfId="35550"/>
    <cellStyle name="ArialNormal 3 2 6" xfId="20540"/>
    <cellStyle name="ArialNormal 3 2 7" xfId="24938"/>
    <cellStyle name="ArialNormal 3 2 8" xfId="34028"/>
    <cellStyle name="ArialNormal 3 2 9" xfId="24212"/>
    <cellStyle name="ArialNormal 3 3" xfId="19967"/>
    <cellStyle name="ArialNormal 3 3 10" xfId="37640"/>
    <cellStyle name="ArialNormal 3 3 11" xfId="38547"/>
    <cellStyle name="ArialNormal 3 3 12" xfId="38753"/>
    <cellStyle name="ArialNormal 3 3 13" xfId="39048"/>
    <cellStyle name="ArialNormal 3 3 14" xfId="24743"/>
    <cellStyle name="ArialNormal 3 3 15" xfId="34671"/>
    <cellStyle name="ArialNormal 3 3 2" xfId="33246"/>
    <cellStyle name="ArialNormal 3 3 3" xfId="36858"/>
    <cellStyle name="ArialNormal 3 3 4" xfId="37109"/>
    <cellStyle name="ArialNormal 3 3 5" xfId="36414"/>
    <cellStyle name="ArialNormal 3 3 6" xfId="37779"/>
    <cellStyle name="ArialNormal 3 3 7" xfId="33962"/>
    <cellStyle name="ArialNormal 3 3 8" xfId="25223"/>
    <cellStyle name="ArialNormal 3 3 9" xfId="24600"/>
    <cellStyle name="ArialNormal 3 4" xfId="24574"/>
    <cellStyle name="ArialNormal 3 5" xfId="20436"/>
    <cellStyle name="ArialNormal 3 6" xfId="36734"/>
    <cellStyle name="ArialNormal 3 7" xfId="34938"/>
    <cellStyle name="ArialNormal 3 8" xfId="36358"/>
    <cellStyle name="ArialNormal 3 9" xfId="34714"/>
    <cellStyle name="ArialNormal 4" xfId="8506"/>
    <cellStyle name="ArialNormal 4 10" xfId="24644"/>
    <cellStyle name="ArialNormal 4 11" xfId="24236"/>
    <cellStyle name="ArialNormal 4 12" xfId="25280"/>
    <cellStyle name="ArialNormal 4 13" xfId="34013"/>
    <cellStyle name="ArialNormal 4 2" xfId="8507"/>
    <cellStyle name="ArialNormal 4 2 10" xfId="20625"/>
    <cellStyle name="ArialNormal 4 2 11" xfId="20498"/>
    <cellStyle name="ArialNormal 4 2 12" xfId="38295"/>
    <cellStyle name="ArialNormal 4 2 2" xfId="19970"/>
    <cellStyle name="ArialNormal 4 2 2 10" xfId="20587"/>
    <cellStyle name="ArialNormal 4 2 2 11" xfId="38550"/>
    <cellStyle name="ArialNormal 4 2 2 12" xfId="38756"/>
    <cellStyle name="ArialNormal 4 2 2 13" xfId="39051"/>
    <cellStyle name="ArialNormal 4 2 2 14" xfId="36090"/>
    <cellStyle name="ArialNormal 4 2 2 15" xfId="25422"/>
    <cellStyle name="ArialNormal 4 2 2 2" xfId="33249"/>
    <cellStyle name="ArialNormal 4 2 2 3" xfId="36861"/>
    <cellStyle name="ArialNormal 4 2 2 4" xfId="37112"/>
    <cellStyle name="ArialNormal 4 2 2 5" xfId="36413"/>
    <cellStyle name="ArialNormal 4 2 2 6" xfId="37782"/>
    <cellStyle name="ArialNormal 4 2 2 7" xfId="33615"/>
    <cellStyle name="ArialNormal 4 2 2 8" xfId="34771"/>
    <cellStyle name="ArialNormal 4 2 2 9" xfId="37447"/>
    <cellStyle name="ArialNormal 4 2 3" xfId="24577"/>
    <cellStyle name="ArialNormal 4 2 4" xfId="33601"/>
    <cellStyle name="ArialNormal 4 2 5" xfId="35554"/>
    <cellStyle name="ArialNormal 4 2 6" xfId="25121"/>
    <cellStyle name="ArialNormal 4 2 7" xfId="35226"/>
    <cellStyle name="ArialNormal 4 2 8" xfId="37735"/>
    <cellStyle name="ArialNormal 4 2 9" xfId="36621"/>
    <cellStyle name="ArialNormal 4 3" xfId="19969"/>
    <cellStyle name="ArialNormal 4 3 10" xfId="34367"/>
    <cellStyle name="ArialNormal 4 3 11" xfId="38549"/>
    <cellStyle name="ArialNormal 4 3 12" xfId="38755"/>
    <cellStyle name="ArialNormal 4 3 13" xfId="39050"/>
    <cellStyle name="ArialNormal 4 3 14" xfId="34393"/>
    <cellStyle name="ArialNormal 4 3 15" xfId="35988"/>
    <cellStyle name="ArialNormal 4 3 2" xfId="33248"/>
    <cellStyle name="ArialNormal 4 3 3" xfId="36860"/>
    <cellStyle name="ArialNormal 4 3 4" xfId="37111"/>
    <cellStyle name="ArialNormal 4 3 5" xfId="24836"/>
    <cellStyle name="ArialNormal 4 3 6" xfId="37781"/>
    <cellStyle name="ArialNormal 4 3 7" xfId="35163"/>
    <cellStyle name="ArialNormal 4 3 8" xfId="35158"/>
    <cellStyle name="ArialNormal 4 3 9" xfId="35991"/>
    <cellStyle name="ArialNormal 4 4" xfId="24576"/>
    <cellStyle name="ArialNormal 4 5" xfId="33600"/>
    <cellStyle name="ArialNormal 4 6" xfId="36736"/>
    <cellStyle name="ArialNormal 4 7" xfId="25769"/>
    <cellStyle name="ArialNormal 4 8" xfId="34744"/>
    <cellStyle name="ArialNormal 4 9" xfId="34970"/>
    <cellStyle name="Ariel 7 pt. plain" xfId="16359"/>
    <cellStyle name="Array" xfId="8508"/>
    <cellStyle name="Array Enter" xfId="8509"/>
    <cellStyle name="Assumption" xfId="16360"/>
    <cellStyle name="ÄÞ¸¶ [0]_±âÅ¸" xfId="16361"/>
    <cellStyle name="ÄÞ¸¶_±âÅ¸" xfId="16362"/>
    <cellStyle name="AuditErrRangeFormula" xfId="16363"/>
    <cellStyle name="AuditErrRangeText" xfId="16364"/>
    <cellStyle name="AutoFormat" xfId="16365"/>
    <cellStyle name="avihai" xfId="8510"/>
    <cellStyle name="avihai 2" xfId="8511"/>
    <cellStyle name="b" xfId="8512"/>
    <cellStyle name="b - Line" xfId="8513"/>
    <cellStyle name="b - Line - Dotted" xfId="8514"/>
    <cellStyle name="b 2" xfId="8515"/>
    <cellStyle name="b_Master Utilities Comps 060210 with IBES links" xfId="8516"/>
    <cellStyle name="Bad 10" xfId="8517"/>
    <cellStyle name="Bad 11" xfId="8518"/>
    <cellStyle name="Bad 12" xfId="8519"/>
    <cellStyle name="Bad 13" xfId="8520"/>
    <cellStyle name="Bad 14" xfId="8521"/>
    <cellStyle name="Bad 15" xfId="8522"/>
    <cellStyle name="Bad 16" xfId="8523"/>
    <cellStyle name="Bad 17" xfId="8524"/>
    <cellStyle name="Bad 18" xfId="8525"/>
    <cellStyle name="Bad 19" xfId="8526"/>
    <cellStyle name="Bad 2" xfId="8527"/>
    <cellStyle name="Bad 2 2" xfId="8528"/>
    <cellStyle name="Bad 2 2 2" xfId="8529"/>
    <cellStyle name="Bad 2 3" xfId="8530"/>
    <cellStyle name="Bad 2 3 2" xfId="8531"/>
    <cellStyle name="Bad 2 4" xfId="8532"/>
    <cellStyle name="Bad 2 4 2" xfId="8533"/>
    <cellStyle name="Bad 2 4 3" xfId="8534"/>
    <cellStyle name="Bad 2 5" xfId="8535"/>
    <cellStyle name="Bad 2 6" xfId="8536"/>
    <cellStyle name="Bad 2 7" xfId="8537"/>
    <cellStyle name="Bad 2 8" xfId="8538"/>
    <cellStyle name="Bad 3" xfId="8539"/>
    <cellStyle name="Bad 3 2" xfId="8540"/>
    <cellStyle name="Bad 3 2 2" xfId="8541"/>
    <cellStyle name="Bad 3 2 3" xfId="8542"/>
    <cellStyle name="Bad 3 3" xfId="8543"/>
    <cellStyle name="Bad 3 4" xfId="8544"/>
    <cellStyle name="Bad 3 5" xfId="8545"/>
    <cellStyle name="Bad 4" xfId="8546"/>
    <cellStyle name="Bad 4 2" xfId="8547"/>
    <cellStyle name="Bad 4 2 2" xfId="8548"/>
    <cellStyle name="Bad 4 2 3" xfId="8549"/>
    <cellStyle name="Bad 4 3" xfId="8550"/>
    <cellStyle name="Bad 4 4" xfId="8551"/>
    <cellStyle name="Bad 4 5" xfId="8552"/>
    <cellStyle name="Bad 5" xfId="8553"/>
    <cellStyle name="Bad 5 2" xfId="8554"/>
    <cellStyle name="Bad 5 2 2" xfId="8555"/>
    <cellStyle name="Bad 5 2 3" xfId="8556"/>
    <cellStyle name="Bad 5 3" xfId="8557"/>
    <cellStyle name="Bad 5 4" xfId="8558"/>
    <cellStyle name="Bad 5 5" xfId="8559"/>
    <cellStyle name="Bad 6" xfId="8560"/>
    <cellStyle name="Bad 6 2" xfId="8561"/>
    <cellStyle name="Bad 6 3" xfId="8562"/>
    <cellStyle name="Bad 7" xfId="8563"/>
    <cellStyle name="Bad 8" xfId="8564"/>
    <cellStyle name="Bad 9" xfId="8565"/>
    <cellStyle name="Bağlı Hücre" xfId="16366"/>
    <cellStyle name="BalanceSheet" xfId="16367"/>
    <cellStyle name="bar" xfId="16368"/>
    <cellStyle name="Bar Title" xfId="16369"/>
    <cellStyle name="Bar1" xfId="8566"/>
    <cellStyle name="BAS Comma [0]" xfId="16370"/>
    <cellStyle name="BAS Date mm/dd/yy" xfId="16371"/>
    <cellStyle name="-Bas de tableau" xfId="8567"/>
    <cellStyle name="BAS Percent Actual [1]" xfId="16372"/>
    <cellStyle name="Başlık 1" xfId="16373"/>
    <cellStyle name="Başlık 2" xfId="16374"/>
    <cellStyle name="Başlık 3" xfId="16375"/>
    <cellStyle name="Başlık 3 2" xfId="29659"/>
    <cellStyle name="Başlık 4" xfId="16376"/>
    <cellStyle name="bch" xfId="16377"/>
    <cellStyle name="bci" xfId="16378"/>
    <cellStyle name="Below 0" xfId="16379"/>
    <cellStyle name="Below 0 10" xfId="38453"/>
    <cellStyle name="Below 0 2" xfId="29660"/>
    <cellStyle name="Below 0 3" xfId="36006"/>
    <cellStyle name="Below 0 4" xfId="35948"/>
    <cellStyle name="Below 0 5" xfId="36229"/>
    <cellStyle name="Below 0 6" xfId="33727"/>
    <cellStyle name="Below 0 7" xfId="20478"/>
    <cellStyle name="Below 0 8" xfId="34008"/>
    <cellStyle name="Below 0 9" xfId="36450"/>
    <cellStyle name="Below 0.0" xfId="16380"/>
    <cellStyle name="Best" xfId="8568"/>
    <cellStyle name="Besuchter Hyperlink" xfId="16381"/>
    <cellStyle name="Black" xfId="8569"/>
    <cellStyle name="Black 2" xfId="8570"/>
    <cellStyle name="Black 2 2" xfId="8571"/>
    <cellStyle name="Black 3" xfId="8572"/>
    <cellStyle name="Black 4" xfId="8573"/>
    <cellStyle name="Black 5" xfId="8574"/>
    <cellStyle name="Black Days" xfId="8575"/>
    <cellStyle name="Black Days 2" xfId="8576"/>
    <cellStyle name="Black Decimal" xfId="8577"/>
    <cellStyle name="Black Decimal 2" xfId="8578"/>
    <cellStyle name="Black Decimal 2 2" xfId="8579"/>
    <cellStyle name="Black Decimal 3" xfId="8580"/>
    <cellStyle name="Black Decimal 4" xfId="8581"/>
    <cellStyle name="Black Decimal 5" xfId="8582"/>
    <cellStyle name="Black Dollar" xfId="8583"/>
    <cellStyle name="Black Dollar 10" xfId="37672"/>
    <cellStyle name="Black Dollar 11" xfId="33549"/>
    <cellStyle name="Black Dollar 12" xfId="38149"/>
    <cellStyle name="Black Dollar 2" xfId="8584"/>
    <cellStyle name="Black Dollar 2 2" xfId="8585"/>
    <cellStyle name="Black Dollar 2 3" xfId="15977"/>
    <cellStyle name="Black Dollar 2 3 10" xfId="35450"/>
    <cellStyle name="Black Dollar 2 3 2" xfId="29369"/>
    <cellStyle name="Black Dollar 2 3 3" xfId="36069"/>
    <cellStyle name="Black Dollar 2 3 4" xfId="35106"/>
    <cellStyle name="Black Dollar 2 3 5" xfId="24488"/>
    <cellStyle name="Black Dollar 2 3 6" xfId="36383"/>
    <cellStyle name="Black Dollar 2 3 7" xfId="33990"/>
    <cellStyle name="Black Dollar 2 3 8" xfId="35845"/>
    <cellStyle name="Black Dollar 2 3 9" xfId="33985"/>
    <cellStyle name="Black Dollar 2 4" xfId="19972"/>
    <cellStyle name="Black Dollar 2 4 2" xfId="33251"/>
    <cellStyle name="Black Dollar 2 4 3" xfId="37114"/>
    <cellStyle name="Black Dollar 2 4 4" xfId="24837"/>
    <cellStyle name="Black Dollar 2 4 5" xfId="35436"/>
    <cellStyle name="Black Dollar 2 4 6" xfId="35482"/>
    <cellStyle name="Black Dollar 2 4 7" xfId="36730"/>
    <cellStyle name="Black Dollar 2 4 8" xfId="38758"/>
    <cellStyle name="Black Dollar 2 5" xfId="24612"/>
    <cellStyle name="Black Dollar 2 6" xfId="37324"/>
    <cellStyle name="Black Dollar 2 7" xfId="34505"/>
    <cellStyle name="Black Dollar 2 8" xfId="33798"/>
    <cellStyle name="Black Dollar 2 9" xfId="24368"/>
    <cellStyle name="Black Dollar 3" xfId="8586"/>
    <cellStyle name="Black Dollar 3 2" xfId="15978"/>
    <cellStyle name="Black Dollar 3 2 10" xfId="25755"/>
    <cellStyle name="Black Dollar 3 2 2" xfId="29370"/>
    <cellStyle name="Black Dollar 3 2 3" xfId="34902"/>
    <cellStyle name="Black Dollar 3 2 4" xfId="34115"/>
    <cellStyle name="Black Dollar 3 2 5" xfId="36593"/>
    <cellStyle name="Black Dollar 3 2 6" xfId="34225"/>
    <cellStyle name="Black Dollar 3 2 7" xfId="33729"/>
    <cellStyle name="Black Dollar 3 2 8" xfId="34550"/>
    <cellStyle name="Black Dollar 3 2 9" xfId="37977"/>
    <cellStyle name="Black Dollar 3 3" xfId="19973"/>
    <cellStyle name="Black Dollar 3 3 2" xfId="33252"/>
    <cellStyle name="Black Dollar 3 3 3" xfId="37115"/>
    <cellStyle name="Black Dollar 3 3 4" xfId="24838"/>
    <cellStyle name="Black Dollar 3 3 5" xfId="25700"/>
    <cellStyle name="Black Dollar 3 3 6" xfId="38264"/>
    <cellStyle name="Black Dollar 3 3 7" xfId="35466"/>
    <cellStyle name="Black Dollar 3 3 8" xfId="38759"/>
    <cellStyle name="Black Dollar 3 4" xfId="24613"/>
    <cellStyle name="Black Dollar 3 5" xfId="36279"/>
    <cellStyle name="Black Dollar 3 6" xfId="36152"/>
    <cellStyle name="Black Dollar 3 7" xfId="25731"/>
    <cellStyle name="Black Dollar 3 8" xfId="36181"/>
    <cellStyle name="Black Dollar 4" xfId="8587"/>
    <cellStyle name="Black Dollar 4 2" xfId="15979"/>
    <cellStyle name="Black Dollar 4 2 10" xfId="38083"/>
    <cellStyle name="Black Dollar 4 2 2" xfId="29371"/>
    <cellStyle name="Black Dollar 4 2 3" xfId="36080"/>
    <cellStyle name="Black Dollar 4 2 4" xfId="35921"/>
    <cellStyle name="Black Dollar 4 2 5" xfId="35397"/>
    <cellStyle name="Black Dollar 4 2 6" xfId="36713"/>
    <cellStyle name="Black Dollar 4 2 7" xfId="34015"/>
    <cellStyle name="Black Dollar 4 2 8" xfId="25334"/>
    <cellStyle name="Black Dollar 4 2 9" xfId="33643"/>
    <cellStyle name="Black Dollar 4 3" xfId="19974"/>
    <cellStyle name="Black Dollar 4 3 2" xfId="33253"/>
    <cellStyle name="Black Dollar 4 3 3" xfId="37116"/>
    <cellStyle name="Black Dollar 4 3 4" xfId="24839"/>
    <cellStyle name="Black Dollar 4 3 5" xfId="24640"/>
    <cellStyle name="Black Dollar 4 3 6" xfId="35164"/>
    <cellStyle name="Black Dollar 4 3 7" xfId="25539"/>
    <cellStyle name="Black Dollar 4 3 8" xfId="38760"/>
    <cellStyle name="Black Dollar 4 4" xfId="24614"/>
    <cellStyle name="Black Dollar 4 5" xfId="36172"/>
    <cellStyle name="Black Dollar 4 6" xfId="25286"/>
    <cellStyle name="Black Dollar 4 7" xfId="34024"/>
    <cellStyle name="Black Dollar 4 8" xfId="36687"/>
    <cellStyle name="Black Dollar 5" xfId="8588"/>
    <cellStyle name="Black Dollar 5 2" xfId="15980"/>
    <cellStyle name="Black Dollar 5 2 10" xfId="34011"/>
    <cellStyle name="Black Dollar 5 2 2" xfId="29372"/>
    <cellStyle name="Black Dollar 5 2 3" xfId="34913"/>
    <cellStyle name="Black Dollar 5 2 4" xfId="36300"/>
    <cellStyle name="Black Dollar 5 2 5" xfId="36595"/>
    <cellStyle name="Black Dollar 5 2 6" xfId="33670"/>
    <cellStyle name="Black Dollar 5 2 7" xfId="25062"/>
    <cellStyle name="Black Dollar 5 2 8" xfId="35137"/>
    <cellStyle name="Black Dollar 5 2 9" xfId="24247"/>
    <cellStyle name="Black Dollar 5 3" xfId="19975"/>
    <cellStyle name="Black Dollar 5 3 2" xfId="33254"/>
    <cellStyle name="Black Dollar 5 3 3" xfId="37117"/>
    <cellStyle name="Black Dollar 5 3 4" xfId="24840"/>
    <cellStyle name="Black Dollar 5 3 5" xfId="33959"/>
    <cellStyle name="Black Dollar 5 3 6" xfId="35317"/>
    <cellStyle name="Black Dollar 5 3 7" xfId="34523"/>
    <cellStyle name="Black Dollar 5 3 8" xfId="38761"/>
    <cellStyle name="Black Dollar 5 4" xfId="24615"/>
    <cellStyle name="Black Dollar 5 5" xfId="36656"/>
    <cellStyle name="Black Dollar 5 6" xfId="33864"/>
    <cellStyle name="Black Dollar 5 7" xfId="25419"/>
    <cellStyle name="Black Dollar 5 8" xfId="24261"/>
    <cellStyle name="Black Dollar 6" xfId="15976"/>
    <cellStyle name="Black Dollar 6 10" xfId="34096"/>
    <cellStyle name="Black Dollar 6 2" xfId="29368"/>
    <cellStyle name="Black Dollar 6 3" xfId="25145"/>
    <cellStyle name="Black Dollar 6 4" xfId="35920"/>
    <cellStyle name="Black Dollar 6 5" xfId="36239"/>
    <cellStyle name="Black Dollar 6 6" xfId="35427"/>
    <cellStyle name="Black Dollar 6 7" xfId="25568"/>
    <cellStyle name="Black Dollar 6 8" xfId="25111"/>
    <cellStyle name="Black Dollar 6 9" xfId="24300"/>
    <cellStyle name="Black Dollar 7" xfId="19971"/>
    <cellStyle name="Black Dollar 7 2" xfId="33250"/>
    <cellStyle name="Black Dollar 7 3" xfId="37113"/>
    <cellStyle name="Black Dollar 7 4" xfId="35202"/>
    <cellStyle name="Black Dollar 7 5" xfId="36510"/>
    <cellStyle name="Black Dollar 7 6" xfId="38263"/>
    <cellStyle name="Black Dollar 7 7" xfId="35093"/>
    <cellStyle name="Black Dollar 7 8" xfId="38757"/>
    <cellStyle name="Black Dollar 8" xfId="24611"/>
    <cellStyle name="Black Dollar 9" xfId="35057"/>
    <cellStyle name="Black EPS" xfId="8589"/>
    <cellStyle name="Black EPS 2" xfId="8590"/>
    <cellStyle name="Black Percent" xfId="8591"/>
    <cellStyle name="Black Percent 2" xfId="8592"/>
    <cellStyle name="Black Percent2" xfId="8593"/>
    <cellStyle name="Black Percent2 2" xfId="8594"/>
    <cellStyle name="Black Times" xfId="8595"/>
    <cellStyle name="Black Times 2" xfId="8596"/>
    <cellStyle name="Black Times 2 2" xfId="8597"/>
    <cellStyle name="Black Times 3" xfId="8598"/>
    <cellStyle name="Black Times 4" xfId="8599"/>
    <cellStyle name="Black Times 5" xfId="8600"/>
    <cellStyle name="Black Times Two Deci" xfId="8601"/>
    <cellStyle name="Black Times Two Deci 2" xfId="8602"/>
    <cellStyle name="Black Times Two Deci2" xfId="8603"/>
    <cellStyle name="Black Times Two Deci2 2" xfId="8604"/>
    <cellStyle name="Black Times_Anaphore 12 31 2008 Draft Analysis 02 19 2009" xfId="8605"/>
    <cellStyle name="Black Times2" xfId="8606"/>
    <cellStyle name="Black Times2 2" xfId="8607"/>
    <cellStyle name="Black Times2 2 2" xfId="8608"/>
    <cellStyle name="Black Times2 3" xfId="8609"/>
    <cellStyle name="Black Times2 4" xfId="8610"/>
    <cellStyle name="Black Times2 5" xfId="8611"/>
    <cellStyle name="Black_Anaphore 12 31 2008 Draft Analysis 02 19 2009" xfId="8612"/>
    <cellStyle name="BlackStrike" xfId="8613"/>
    <cellStyle name="BlackText" xfId="8614"/>
    <cellStyle name="blank" xfId="8615"/>
    <cellStyle name="Blank[$]" xfId="8616"/>
    <cellStyle name="Blank[,]" xfId="8617"/>
    <cellStyle name="Blank[1$]" xfId="8618"/>
    <cellStyle name="Blank[1%]" xfId="8619"/>
    <cellStyle name="Blank[1]" xfId="8620"/>
    <cellStyle name="Blank[2$]" xfId="8621"/>
    <cellStyle name="Blank[2%]" xfId="8622"/>
    <cellStyle name="Blank[2]" xfId="8623"/>
    <cellStyle name="Blank[3$]" xfId="8624"/>
    <cellStyle name="Blank[3]" xfId="8625"/>
    <cellStyle name="blue" xfId="8626"/>
    <cellStyle name="Blue 2" xfId="8627"/>
    <cellStyle name="Blue Decimal" xfId="8628"/>
    <cellStyle name="Blue Decimal 2" xfId="8629"/>
    <cellStyle name="Blue Dollar" xfId="8630"/>
    <cellStyle name="Blue Dollar 2" xfId="8631"/>
    <cellStyle name="Blue EPS" xfId="8632"/>
    <cellStyle name="Blue EPS 2" xfId="8633"/>
    <cellStyle name="Blue Header" xfId="8634"/>
    <cellStyle name="Blue Header 2" xfId="8635"/>
    <cellStyle name="Blue Header 2 2" xfId="20255"/>
    <cellStyle name="Blue Header 2 3" xfId="33890"/>
    <cellStyle name="Blue Header 3" xfId="8636"/>
    <cellStyle name="Blue Header 3 2" xfId="20256"/>
    <cellStyle name="Blue Header 3 3" xfId="25674"/>
    <cellStyle name="Blue Header 4" xfId="20257"/>
    <cellStyle name="Blue Header 5" xfId="34201"/>
    <cellStyle name="blue shading" xfId="8637"/>
    <cellStyle name="blue shading 2" xfId="8638"/>
    <cellStyle name="Blue Text" xfId="8639"/>
    <cellStyle name="Blue Text 2" xfId="8640"/>
    <cellStyle name="Blue Title" xfId="8641"/>
    <cellStyle name="Blue Title 2" xfId="8642"/>
    <cellStyle name="Blue Title 2 2" xfId="8643"/>
    <cellStyle name="Blue Title 3" xfId="8644"/>
    <cellStyle name="Blue Title 4" xfId="8645"/>
    <cellStyle name="Blue Title 5" xfId="8646"/>
    <cellStyle name="Blue Zero Deci" xfId="8647"/>
    <cellStyle name="Blue Zero Deci 2" xfId="8648"/>
    <cellStyle name="Blue_Boston Power VD 01 31 2008 Model 02 26 2008" xfId="8649"/>
    <cellStyle name="Body" xfId="8650"/>
    <cellStyle name="Body 2" xfId="8651"/>
    <cellStyle name="Body text" xfId="8652"/>
    <cellStyle name="Body text 2" xfId="8653"/>
    <cellStyle name="Body_$Numeric" xfId="8654"/>
    <cellStyle name="bold" xfId="8655"/>
    <cellStyle name="bold 2" xfId="8656"/>
    <cellStyle name="Bold Italic + Line Top" xfId="8657"/>
    <cellStyle name="Bold Italic + Line Top 2" xfId="8658"/>
    <cellStyle name="Bold Label" xfId="8659"/>
    <cellStyle name="Bold Text" xfId="8660"/>
    <cellStyle name="Bold Text %" xfId="8661"/>
    <cellStyle name="Bold Text + Line Top" xfId="8662"/>
    <cellStyle name="Bold Text + Line Top 2" xfId="8663"/>
    <cellStyle name="Bold Text 2" xfId="8664"/>
    <cellStyle name="Bold/Border" xfId="8665"/>
    <cellStyle name="Bold/Border 2" xfId="8666"/>
    <cellStyle name="Bold/Border 3" xfId="8667"/>
    <cellStyle name="Bold/Border 3 2" xfId="20258"/>
    <cellStyle name="Bold/Border 3 3" xfId="20624"/>
    <cellStyle name="bold_Boston Power VD 01 31 2008 Model 02 26 2008" xfId="8668"/>
    <cellStyle name="Bol-Data" xfId="8669"/>
    <cellStyle name="BoldCen" xfId="8670"/>
    <cellStyle name="BoldCenUnd" xfId="8671"/>
    <cellStyle name="BoldCenUnd 2" xfId="8672"/>
    <cellStyle name="BoldText" xfId="8673"/>
    <cellStyle name="bolet" xfId="8674"/>
    <cellStyle name="Boletim" xfId="8675"/>
    <cellStyle name="Bom" xfId="8676"/>
    <cellStyle name="Border" xfId="8677"/>
    <cellStyle name="Border 10" xfId="8678"/>
    <cellStyle name="Border 10 10" xfId="25796"/>
    <cellStyle name="Border 10 2" xfId="8679"/>
    <cellStyle name="Border 10 2 2" xfId="15982"/>
    <cellStyle name="Border 10 2 2 10" xfId="36166"/>
    <cellStyle name="Border 10 2 2 2" xfId="29374"/>
    <cellStyle name="Border 10 2 2 3" xfId="36079"/>
    <cellStyle name="Border 10 2 2 4" xfId="36301"/>
    <cellStyle name="Border 10 2 2 5" xfId="33922"/>
    <cellStyle name="Border 10 2 2 6" xfId="25285"/>
    <cellStyle name="Border 10 2 2 7" xfId="24976"/>
    <cellStyle name="Border 10 2 2 8" xfId="33602"/>
    <cellStyle name="Border 10 2 2 9" xfId="38037"/>
    <cellStyle name="Border 10 2 3" xfId="19977"/>
    <cellStyle name="Border 10 2 3 2" xfId="33256"/>
    <cellStyle name="Border 10 2 3 3" xfId="37119"/>
    <cellStyle name="Border 10 2 3 4" xfId="35188"/>
    <cellStyle name="Border 10 2 3 5" xfId="35062"/>
    <cellStyle name="Border 10 2 3 6" xfId="24520"/>
    <cellStyle name="Border 10 2 3 7" xfId="33812"/>
    <cellStyle name="Border 10 2 3 8" xfId="38763"/>
    <cellStyle name="Border 10 2 4" xfId="24649"/>
    <cellStyle name="Border 10 2 5" xfId="35249"/>
    <cellStyle name="Border 10 2 6" xfId="20677"/>
    <cellStyle name="Border 10 2 7" xfId="24190"/>
    <cellStyle name="Border 10 2 8" xfId="38045"/>
    <cellStyle name="Border 10 3" xfId="8680"/>
    <cellStyle name="Border 10 3 2" xfId="15983"/>
    <cellStyle name="Border 10 3 2 10" xfId="36474"/>
    <cellStyle name="Border 10 3 2 2" xfId="29375"/>
    <cellStyle name="Border 10 3 2 3" xfId="34912"/>
    <cellStyle name="Border 10 3 2 4" xfId="34116"/>
    <cellStyle name="Border 10 3 2 5" xfId="25254"/>
    <cellStyle name="Border 10 3 2 6" xfId="36387"/>
    <cellStyle name="Border 10 3 2 7" xfId="35318"/>
    <cellStyle name="Border 10 3 2 8" xfId="35501"/>
    <cellStyle name="Border 10 3 2 9" xfId="34678"/>
    <cellStyle name="Border 10 3 3" xfId="19978"/>
    <cellStyle name="Border 10 3 3 2" xfId="33257"/>
    <cellStyle name="Border 10 3 3 3" xfId="37120"/>
    <cellStyle name="Border 10 3 3 4" xfId="36410"/>
    <cellStyle name="Border 10 3 3 5" xfId="34961"/>
    <cellStyle name="Border 10 3 3 6" xfId="35515"/>
    <cellStyle name="Border 10 3 3 7" xfId="25609"/>
    <cellStyle name="Border 10 3 3 8" xfId="38764"/>
    <cellStyle name="Border 10 3 4" xfId="24650"/>
    <cellStyle name="Border 10 3 5" xfId="37974"/>
    <cellStyle name="Border 10 3 6" xfId="25616"/>
    <cellStyle name="Border 10 3 7" xfId="34792"/>
    <cellStyle name="Border 10 3 8" xfId="25730"/>
    <cellStyle name="Border 10 4" xfId="15981"/>
    <cellStyle name="Border 10 4 10" xfId="33887"/>
    <cellStyle name="Border 10 4 2" xfId="29373"/>
    <cellStyle name="Border 10 4 3" xfId="25146"/>
    <cellStyle name="Border 10 4 4" xfId="25316"/>
    <cellStyle name="Border 10 4 5" xfId="34315"/>
    <cellStyle name="Border 10 4 6" xfId="35263"/>
    <cellStyle name="Border 10 4 7" xfId="25020"/>
    <cellStyle name="Border 10 4 8" xfId="38269"/>
    <cellStyle name="Border 10 4 9" xfId="34463"/>
    <cellStyle name="Border 10 5" xfId="19976"/>
    <cellStyle name="Border 10 5 2" xfId="33255"/>
    <cellStyle name="Border 10 5 3" xfId="37118"/>
    <cellStyle name="Border 10 5 4" xfId="36399"/>
    <cellStyle name="Border 10 5 5" xfId="36211"/>
    <cellStyle name="Border 10 5 6" xfId="35954"/>
    <cellStyle name="Border 10 5 7" xfId="24526"/>
    <cellStyle name="Border 10 5 8" xfId="38762"/>
    <cellStyle name="Border 10 6" xfId="24648"/>
    <cellStyle name="Border 10 7" xfId="38139"/>
    <cellStyle name="Border 10 8" xfId="20678"/>
    <cellStyle name="Border 10 9" xfId="35987"/>
    <cellStyle name="Border 11" xfId="8681"/>
    <cellStyle name="Border 11 10" xfId="24871"/>
    <cellStyle name="Border 11 2" xfId="8682"/>
    <cellStyle name="Border 11 2 2" xfId="15985"/>
    <cellStyle name="Border 11 2 2 10" xfId="38685"/>
    <cellStyle name="Border 11 2 2 2" xfId="29377"/>
    <cellStyle name="Border 11 2 2 3" xfId="36076"/>
    <cellStyle name="Border 11 2 2 4" xfId="35104"/>
    <cellStyle name="Border 11 2 2 5" xfId="35399"/>
    <cellStyle name="Border 11 2 2 6" xfId="25739"/>
    <cellStyle name="Border 11 2 2 7" xfId="35060"/>
    <cellStyle name="Border 11 2 2 8" xfId="24240"/>
    <cellStyle name="Border 11 2 2 9" xfId="37675"/>
    <cellStyle name="Border 11 2 3" xfId="19980"/>
    <cellStyle name="Border 11 2 3 2" xfId="33259"/>
    <cellStyle name="Border 11 2 3 3" xfId="37122"/>
    <cellStyle name="Border 11 2 3 4" xfId="24841"/>
    <cellStyle name="Border 11 2 3 5" xfId="34375"/>
    <cellStyle name="Border 11 2 3 6" xfId="36665"/>
    <cellStyle name="Border 11 2 3 7" xfId="37673"/>
    <cellStyle name="Border 11 2 3 8" xfId="38766"/>
    <cellStyle name="Border 11 2 4" xfId="24652"/>
    <cellStyle name="Border 11 2 5" xfId="24955"/>
    <cellStyle name="Border 11 2 6" xfId="35542"/>
    <cellStyle name="Border 11 2 7" xfId="20480"/>
    <cellStyle name="Border 11 2 8" xfId="34734"/>
    <cellStyle name="Border 11 3" xfId="8683"/>
    <cellStyle name="Border 11 3 2" xfId="15986"/>
    <cellStyle name="Border 11 3 2 10" xfId="36669"/>
    <cellStyle name="Border 11 3 2 2" xfId="29378"/>
    <cellStyle name="Border 11 3 2 3" xfId="34909"/>
    <cellStyle name="Border 11 3 2 4" xfId="34117"/>
    <cellStyle name="Border 11 3 2 5" xfId="34317"/>
    <cellStyle name="Border 11 3 2 6" xfId="35531"/>
    <cellStyle name="Border 11 3 2 7" xfId="33693"/>
    <cellStyle name="Border 11 3 2 8" xfId="24219"/>
    <cellStyle name="Border 11 3 2 9" xfId="37528"/>
    <cellStyle name="Border 11 3 3" xfId="19981"/>
    <cellStyle name="Border 11 3 3 2" xfId="33260"/>
    <cellStyle name="Border 11 3 3 3" xfId="37123"/>
    <cellStyle name="Border 11 3 3 4" xfId="36409"/>
    <cellStyle name="Border 11 3 3 5" xfId="25242"/>
    <cellStyle name="Border 11 3 3 6" xfId="25627"/>
    <cellStyle name="Border 11 3 3 7" xfId="36558"/>
    <cellStyle name="Border 11 3 3 8" xfId="38767"/>
    <cellStyle name="Border 11 3 4" xfId="24653"/>
    <cellStyle name="Border 11 3 5" xfId="38138"/>
    <cellStyle name="Border 11 3 6" xfId="24765"/>
    <cellStyle name="Border 11 3 7" xfId="35404"/>
    <cellStyle name="Border 11 3 8" xfId="36255"/>
    <cellStyle name="Border 11 4" xfId="15984"/>
    <cellStyle name="Border 11 4 10" xfId="38251"/>
    <cellStyle name="Border 11 4 2" xfId="29376"/>
    <cellStyle name="Border 11 4 3" xfId="25147"/>
    <cellStyle name="Border 11 4 4" xfId="34747"/>
    <cellStyle name="Border 11 4 5" xfId="33925"/>
    <cellStyle name="Border 11 4 6" xfId="25403"/>
    <cellStyle name="Border 11 4 7" xfId="24433"/>
    <cellStyle name="Border 11 4 8" xfId="36123"/>
    <cellStyle name="Border 11 4 9" xfId="36204"/>
    <cellStyle name="Border 11 5" xfId="19979"/>
    <cellStyle name="Border 11 5 2" xfId="33258"/>
    <cellStyle name="Border 11 5 3" xfId="37121"/>
    <cellStyle name="Border 11 5 4" xfId="35199"/>
    <cellStyle name="Border 11 5 5" xfId="24907"/>
    <cellStyle name="Border 11 5 6" xfId="24220"/>
    <cellStyle name="Border 11 5 7" xfId="34437"/>
    <cellStyle name="Border 11 5 8" xfId="38765"/>
    <cellStyle name="Border 11 6" xfId="24651"/>
    <cellStyle name="Border 11 7" xfId="38137"/>
    <cellStyle name="Border 11 8" xfId="24403"/>
    <cellStyle name="Border 11 9" xfId="35630"/>
    <cellStyle name="Border 12" xfId="8684"/>
    <cellStyle name="Border 12 10" xfId="33972"/>
    <cellStyle name="Border 12 2" xfId="8685"/>
    <cellStyle name="Border 12 2 2" xfId="15988"/>
    <cellStyle name="Border 12 2 2 10" xfId="35844"/>
    <cellStyle name="Border 12 2 2 2" xfId="29380"/>
    <cellStyle name="Border 12 2 2 3" xfId="34911"/>
    <cellStyle name="Border 12 2 2 4" xfId="25315"/>
    <cellStyle name="Border 12 2 2 5" xfId="24489"/>
    <cellStyle name="Border 12 2 2 6" xfId="34779"/>
    <cellStyle name="Border 12 2 2 7" xfId="24351"/>
    <cellStyle name="Border 12 2 2 8" xfId="35089"/>
    <cellStyle name="Border 12 2 2 9" xfId="34438"/>
    <cellStyle name="Border 12 2 3" xfId="19983"/>
    <cellStyle name="Border 12 2 3 2" xfId="33262"/>
    <cellStyle name="Border 12 2 3 3" xfId="37125"/>
    <cellStyle name="Border 12 2 3 4" xfId="35198"/>
    <cellStyle name="Border 12 2 3 5" xfId="33875"/>
    <cellStyle name="Border 12 2 3 6" xfId="33978"/>
    <cellStyle name="Border 12 2 3 7" xfId="35761"/>
    <cellStyle name="Border 12 2 3 8" xfId="38769"/>
    <cellStyle name="Border 12 2 4" xfId="24655"/>
    <cellStyle name="Border 12 2 5" xfId="33708"/>
    <cellStyle name="Border 12 2 6" xfId="35598"/>
    <cellStyle name="Border 12 2 7" xfId="35297"/>
    <cellStyle name="Border 12 2 8" xfId="37511"/>
    <cellStyle name="Border 12 3" xfId="8686"/>
    <cellStyle name="Border 12 3 2" xfId="15989"/>
    <cellStyle name="Border 12 3 2 10" xfId="33814"/>
    <cellStyle name="Border 12 3 2 2" xfId="29381"/>
    <cellStyle name="Border 12 3 2 3" xfId="25148"/>
    <cellStyle name="Border 12 3 2 4" xfId="36302"/>
    <cellStyle name="Border 12 3 2 5" xfId="34800"/>
    <cellStyle name="Border 12 3 2 6" xfId="35009"/>
    <cellStyle name="Border 12 3 2 7" xfId="25800"/>
    <cellStyle name="Border 12 3 2 8" xfId="25135"/>
    <cellStyle name="Border 12 3 2 9" xfId="38066"/>
    <cellStyle name="Border 12 3 3" xfId="19984"/>
    <cellStyle name="Border 12 3 3 2" xfId="33263"/>
    <cellStyle name="Border 12 3 3 3" xfId="37126"/>
    <cellStyle name="Border 12 3 3 4" xfId="24842"/>
    <cellStyle name="Border 12 3 3 5" xfId="37888"/>
    <cellStyle name="Border 12 3 3 6" xfId="38265"/>
    <cellStyle name="Border 12 3 3 7" xfId="24237"/>
    <cellStyle name="Border 12 3 3 8" xfId="38770"/>
    <cellStyle name="Border 12 3 4" xfId="24656"/>
    <cellStyle name="Border 12 3 5" xfId="36727"/>
    <cellStyle name="Border 12 3 6" xfId="34176"/>
    <cellStyle name="Border 12 3 7" xfId="38456"/>
    <cellStyle name="Border 12 3 8" xfId="38130"/>
    <cellStyle name="Border 12 4" xfId="15987"/>
    <cellStyle name="Border 12 4 10" xfId="24412"/>
    <cellStyle name="Border 12 4 2" xfId="29379"/>
    <cellStyle name="Border 12 4 3" xfId="36078"/>
    <cellStyle name="Border 12 4 4" xfId="34118"/>
    <cellStyle name="Border 12 4 5" xfId="35051"/>
    <cellStyle name="Border 12 4 6" xfId="36759"/>
    <cellStyle name="Border 12 4 7" xfId="35520"/>
    <cellStyle name="Border 12 4 8" xfId="37915"/>
    <cellStyle name="Border 12 4 9" xfId="34436"/>
    <cellStyle name="Border 12 5" xfId="19982"/>
    <cellStyle name="Border 12 5 2" xfId="33261"/>
    <cellStyle name="Border 12 5 3" xfId="37124"/>
    <cellStyle name="Border 12 5 4" xfId="37363"/>
    <cellStyle name="Border 12 5 5" xfId="37889"/>
    <cellStyle name="Border 12 5 6" xfId="34516"/>
    <cellStyle name="Border 12 5 7" xfId="33794"/>
    <cellStyle name="Border 12 5 8" xfId="38768"/>
    <cellStyle name="Border 12 6" xfId="24654"/>
    <cellStyle name="Border 12 7" xfId="37051"/>
    <cellStyle name="Border 12 8" xfId="20676"/>
    <cellStyle name="Border 12 9" xfId="38481"/>
    <cellStyle name="Border 13" xfId="8687"/>
    <cellStyle name="Border 13 2" xfId="15990"/>
    <cellStyle name="Border 13 2 10" xfId="24529"/>
    <cellStyle name="Border 13 2 2" xfId="29382"/>
    <cellStyle name="Border 13 2 3" xfId="36077"/>
    <cellStyle name="Border 13 2 4" xfId="34746"/>
    <cellStyle name="Border 13 2 5" xfId="25013"/>
    <cellStyle name="Border 13 2 6" xfId="36484"/>
    <cellStyle name="Border 13 2 7" xfId="34947"/>
    <cellStyle name="Border 13 2 8" xfId="38271"/>
    <cellStyle name="Border 13 2 9" xfId="34431"/>
    <cellStyle name="Border 13 3" xfId="19985"/>
    <cellStyle name="Border 13 3 2" xfId="33264"/>
    <cellStyle name="Border 13 3 3" xfId="37127"/>
    <cellStyle name="Border 13 3 4" xfId="36406"/>
    <cellStyle name="Border 13 3 5" xfId="35779"/>
    <cellStyle name="Border 13 3 6" xfId="37881"/>
    <cellStyle name="Border 13 3 7" xfId="37702"/>
    <cellStyle name="Border 13 3 8" xfId="38771"/>
    <cellStyle name="Border 13 4" xfId="24657"/>
    <cellStyle name="Border 13 5" xfId="24377"/>
    <cellStyle name="Border 13 6" xfId="20675"/>
    <cellStyle name="Border 13 7" xfId="38004"/>
    <cellStyle name="Border 13 8" xfId="37379"/>
    <cellStyle name="Border 14" xfId="8688"/>
    <cellStyle name="Border 14 2" xfId="15991"/>
    <cellStyle name="Border 14 2 10" xfId="34216"/>
    <cellStyle name="Border 14 2 2" xfId="29383"/>
    <cellStyle name="Border 14 2 3" xfId="34910"/>
    <cellStyle name="Border 14 2 4" xfId="24935"/>
    <cellStyle name="Border 14 2 5" xfId="36916"/>
    <cellStyle name="Border 14 2 6" xfId="35483"/>
    <cellStyle name="Border 14 2 7" xfId="34607"/>
    <cellStyle name="Border 14 2 8" xfId="34491"/>
    <cellStyle name="Border 14 2 9" xfId="24273"/>
    <cellStyle name="Border 14 3" xfId="19986"/>
    <cellStyle name="Border 14 3 2" xfId="33265"/>
    <cellStyle name="Border 14 3 3" xfId="37128"/>
    <cellStyle name="Border 14 3 4" xfId="35195"/>
    <cellStyle name="Border 14 3 5" xfId="36133"/>
    <cellStyle name="Border 14 3 6" xfId="24356"/>
    <cellStyle name="Border 14 3 7" xfId="37481"/>
    <cellStyle name="Border 14 3 8" xfId="38772"/>
    <cellStyle name="Border 14 4" xfId="24658"/>
    <cellStyle name="Border 14 5" xfId="25588"/>
    <cellStyle name="Border 14 6" xfId="35843"/>
    <cellStyle name="Border 14 7" xfId="24609"/>
    <cellStyle name="Border 14 8" xfId="37502"/>
    <cellStyle name="Border 2" xfId="8689"/>
    <cellStyle name="Border 2 10" xfId="8690"/>
    <cellStyle name="Border 2 10 2" xfId="15993"/>
    <cellStyle name="Border 2 10 2 10" xfId="35454"/>
    <cellStyle name="Border 2 10 2 2" xfId="29385"/>
    <cellStyle name="Border 2 10 2 3" xfId="25150"/>
    <cellStyle name="Border 2 10 2 4" xfId="35919"/>
    <cellStyle name="Border 2 10 2 5" xfId="36594"/>
    <cellStyle name="Border 2 10 2 6" xfId="36366"/>
    <cellStyle name="Border 2 10 2 7" xfId="36556"/>
    <cellStyle name="Border 2 10 2 8" xfId="25819"/>
    <cellStyle name="Border 2 10 2 9" xfId="36519"/>
    <cellStyle name="Border 2 10 3" xfId="19988"/>
    <cellStyle name="Border 2 10 3 2" xfId="33267"/>
    <cellStyle name="Border 2 10 3 3" xfId="37130"/>
    <cellStyle name="Border 2 10 3 4" xfId="37364"/>
    <cellStyle name="Border 2 10 3 5" xfId="37891"/>
    <cellStyle name="Border 2 10 3 6" xfId="35138"/>
    <cellStyle name="Border 2 10 3 7" xfId="33822"/>
    <cellStyle name="Border 2 10 3 8" xfId="38774"/>
    <cellStyle name="Border 2 10 4" xfId="24660"/>
    <cellStyle name="Border 2 10 5" xfId="35147"/>
    <cellStyle name="Border 2 10 6" xfId="36113"/>
    <cellStyle name="Border 2 10 7" xfId="25404"/>
    <cellStyle name="Border 2 10 8" xfId="37699"/>
    <cellStyle name="Border 2 11" xfId="8691"/>
    <cellStyle name="Border 2 11 2" xfId="15994"/>
    <cellStyle name="Border 2 11 2 10" xfId="35042"/>
    <cellStyle name="Border 2 11 2 2" xfId="29386"/>
    <cellStyle name="Border 2 11 2 3" xfId="36073"/>
    <cellStyle name="Border 2 11 2 4" xfId="35107"/>
    <cellStyle name="Border 2 11 2 5" xfId="36352"/>
    <cellStyle name="Border 2 11 2 6" xfId="36121"/>
    <cellStyle name="Border 2 11 2 7" xfId="36256"/>
    <cellStyle name="Border 2 11 2 8" xfId="35322"/>
    <cellStyle name="Border 2 11 2 9" xfId="37866"/>
    <cellStyle name="Border 2 11 3" xfId="19989"/>
    <cellStyle name="Border 2 11 3 2" xfId="33268"/>
    <cellStyle name="Border 2 11 3 3" xfId="37131"/>
    <cellStyle name="Border 2 11 3 4" xfId="35197"/>
    <cellStyle name="Border 2 11 3 5" xfId="33702"/>
    <cellStyle name="Border 2 11 3 6" xfId="20504"/>
    <cellStyle name="Border 2 11 3 7" xfId="36780"/>
    <cellStyle name="Border 2 11 3 8" xfId="38775"/>
    <cellStyle name="Border 2 11 4" xfId="24661"/>
    <cellStyle name="Border 2 11 5" xfId="35468"/>
    <cellStyle name="Border 2 11 6" xfId="34325"/>
    <cellStyle name="Border 2 11 7" xfId="33969"/>
    <cellStyle name="Border 2 11 8" xfId="25585"/>
    <cellStyle name="Border 2 12" xfId="15992"/>
    <cellStyle name="Border 2 12 10" xfId="24761"/>
    <cellStyle name="Border 2 12 2" xfId="29384"/>
    <cellStyle name="Border 2 12 3" xfId="25149"/>
    <cellStyle name="Border 2 12 4" xfId="34119"/>
    <cellStyle name="Border 2 12 5" xfId="35856"/>
    <cellStyle name="Border 2 12 6" xfId="34569"/>
    <cellStyle name="Border 2 12 7" xfId="35956"/>
    <cellStyle name="Border 2 12 8" xfId="24327"/>
    <cellStyle name="Border 2 12 9" xfId="35864"/>
    <cellStyle name="Border 2 13" xfId="19987"/>
    <cellStyle name="Border 2 13 2" xfId="33266"/>
    <cellStyle name="Border 2 13 3" xfId="37129"/>
    <cellStyle name="Border 2 13 4" xfId="36408"/>
    <cellStyle name="Border 2 13 5" xfId="35146"/>
    <cellStyle name="Border 2 13 6" xfId="34783"/>
    <cellStyle name="Border 2 13 7" xfId="38284"/>
    <cellStyle name="Border 2 13 8" xfId="38773"/>
    <cellStyle name="Border 2 14" xfId="24659"/>
    <cellStyle name="Border 2 15" xfId="35828"/>
    <cellStyle name="Border 2 16" xfId="37513"/>
    <cellStyle name="Border 2 17" xfId="37972"/>
    <cellStyle name="Border 2 18" xfId="37370"/>
    <cellStyle name="Border 2 2" xfId="8692"/>
    <cellStyle name="Border 2 2 10" xfId="37390"/>
    <cellStyle name="Border 2 2 2" xfId="8693"/>
    <cellStyle name="Border 2 2 2 2" xfId="15996"/>
    <cellStyle name="Border 2 2 2 2 10" xfId="33953"/>
    <cellStyle name="Border 2 2 2 2 2" xfId="29388"/>
    <cellStyle name="Border 2 2 2 2 3" xfId="36075"/>
    <cellStyle name="Border 2 2 2 2 4" xfId="34121"/>
    <cellStyle name="Border 2 2 2 2 5" xfId="35398"/>
    <cellStyle name="Border 2 2 2 2 6" xfId="35094"/>
    <cellStyle name="Border 2 2 2 2 7" xfId="36471"/>
    <cellStyle name="Border 2 2 2 2 8" xfId="36696"/>
    <cellStyle name="Border 2 2 2 2 9" xfId="35284"/>
    <cellStyle name="Border 2 2 2 3" xfId="19991"/>
    <cellStyle name="Border 2 2 2 3 2" xfId="33270"/>
    <cellStyle name="Border 2 2 2 3 3" xfId="37133"/>
    <cellStyle name="Border 2 2 2 3 4" xfId="36407"/>
    <cellStyle name="Border 2 2 2 3 5" xfId="33841"/>
    <cellStyle name="Border 2 2 2 3 6" xfId="35171"/>
    <cellStyle name="Border 2 2 2 3 7" xfId="36150"/>
    <cellStyle name="Border 2 2 2 3 8" xfId="38777"/>
    <cellStyle name="Border 2 2 2 4" xfId="24663"/>
    <cellStyle name="Border 2 2 2 5" xfId="34212"/>
    <cellStyle name="Border 2 2 2 6" xfId="20495"/>
    <cellStyle name="Border 2 2 2 7" xfId="25224"/>
    <cellStyle name="Border 2 2 2 8" xfId="34928"/>
    <cellStyle name="Border 2 2 3" xfId="8694"/>
    <cellStyle name="Border 2 2 3 2" xfId="15997"/>
    <cellStyle name="Border 2 2 3 2 10" xfId="35641"/>
    <cellStyle name="Border 2 2 3 2 2" xfId="29389"/>
    <cellStyle name="Border 2 2 3 2 3" xfId="34908"/>
    <cellStyle name="Border 2 2 3 2 4" xfId="35923"/>
    <cellStyle name="Border 2 2 3 2 5" xfId="24490"/>
    <cellStyle name="Border 2 2 3 2 6" xfId="34051"/>
    <cellStyle name="Border 2 2 3 2 7" xfId="34628"/>
    <cellStyle name="Border 2 2 3 2 8" xfId="38080"/>
    <cellStyle name="Border 2 2 3 2 9" xfId="35820"/>
    <cellStyle name="Border 2 2 3 3" xfId="19992"/>
    <cellStyle name="Border 2 2 3 3 2" xfId="33271"/>
    <cellStyle name="Border 2 2 3 3 3" xfId="37134"/>
    <cellStyle name="Border 2 2 3 3 4" xfId="35196"/>
    <cellStyle name="Border 2 2 3 3 5" xfId="34376"/>
    <cellStyle name="Border 2 2 3 3 6" xfId="24908"/>
    <cellStyle name="Border 2 2 3 3 7" xfId="36655"/>
    <cellStyle name="Border 2 2 3 3 8" xfId="38778"/>
    <cellStyle name="Border 2 2 3 4" xfId="24664"/>
    <cellStyle name="Border 2 2 3 5" xfId="37306"/>
    <cellStyle name="Border 2 2 3 6" xfId="34564"/>
    <cellStyle name="Border 2 2 3 7" xfId="35033"/>
    <cellStyle name="Border 2 2 3 8" xfId="34669"/>
    <cellStyle name="Border 2 2 4" xfId="15995"/>
    <cellStyle name="Border 2 2 4 10" xfId="35353"/>
    <cellStyle name="Border 2 2 4 2" xfId="29387"/>
    <cellStyle name="Border 2 2 4 3" xfId="34906"/>
    <cellStyle name="Border 2 2 4 4" xfId="34120"/>
    <cellStyle name="Border 2 2 4 5" xfId="33924"/>
    <cellStyle name="Border 2 2 4 6" xfId="34282"/>
    <cellStyle name="Border 2 2 4 7" xfId="33933"/>
    <cellStyle name="Border 2 2 4 8" xfId="25244"/>
    <cellStyle name="Border 2 2 4 9" xfId="33648"/>
    <cellStyle name="Border 2 2 5" xfId="19990"/>
    <cellStyle name="Border 2 2 5 2" xfId="33269"/>
    <cellStyle name="Border 2 2 5 3" xfId="37132"/>
    <cellStyle name="Border 2 2 5 4" xfId="24843"/>
    <cellStyle name="Border 2 2 5 5" xfId="37890"/>
    <cellStyle name="Border 2 2 5 6" xfId="35834"/>
    <cellStyle name="Border 2 2 5 7" xfId="36127"/>
    <cellStyle name="Border 2 2 5 8" xfId="38776"/>
    <cellStyle name="Border 2 2 6" xfId="24662"/>
    <cellStyle name="Border 2 2 7" xfId="34452"/>
    <cellStyle name="Border 2 2 8" xfId="20674"/>
    <cellStyle name="Border 2 2 9" xfId="24189"/>
    <cellStyle name="Border 2 3" xfId="8695"/>
    <cellStyle name="Border 2 3 10" xfId="36093"/>
    <cellStyle name="Border 2 3 2" xfId="8696"/>
    <cellStyle name="Border 2 3 2 2" xfId="15999"/>
    <cellStyle name="Border 2 3 2 2 10" xfId="37032"/>
    <cellStyle name="Border 2 3 2 2 2" xfId="29391"/>
    <cellStyle name="Border 2 3 2 2 3" xfId="36074"/>
    <cellStyle name="Border 2 3 2 2 4" xfId="25314"/>
    <cellStyle name="Border 2 3 2 2 5" xfId="25407"/>
    <cellStyle name="Border 2 3 2 2 6" xfId="20501"/>
    <cellStyle name="Border 2 3 2 2 7" xfId="25071"/>
    <cellStyle name="Border 2 3 2 2 8" xfId="37383"/>
    <cellStyle name="Border 2 3 2 2 9" xfId="25118"/>
    <cellStyle name="Border 2 3 2 3" xfId="19994"/>
    <cellStyle name="Border 2 3 2 3 2" xfId="33273"/>
    <cellStyle name="Border 2 3 2 3 3" xfId="37136"/>
    <cellStyle name="Border 2 3 2 3 4" xfId="24845"/>
    <cellStyle name="Border 2 3 2 3 5" xfId="36633"/>
    <cellStyle name="Border 2 3 2 3 6" xfId="29653"/>
    <cellStyle name="Border 2 3 2 3 7" xfId="25133"/>
    <cellStyle name="Border 2 3 2 3 8" xfId="38780"/>
    <cellStyle name="Border 2 3 2 4" xfId="24666"/>
    <cellStyle name="Border 2 3 2 5" xfId="35823"/>
    <cellStyle name="Border 2 3 2 6" xfId="20672"/>
    <cellStyle name="Border 2 3 2 7" xfId="24187"/>
    <cellStyle name="Border 2 3 2 8" xfId="38018"/>
    <cellStyle name="Border 2 3 3" xfId="8697"/>
    <cellStyle name="Border 2 3 3 2" xfId="16000"/>
    <cellStyle name="Border 2 3 3 2 10" xfId="34100"/>
    <cellStyle name="Border 2 3 3 2 2" xfId="29392"/>
    <cellStyle name="Border 2 3 3 2 3" xfId="34907"/>
    <cellStyle name="Border 2 3 3 2 4" xfId="24934"/>
    <cellStyle name="Border 2 3 3 2 5" xfId="35682"/>
    <cellStyle name="Border 2 3 3 2 6" xfId="33650"/>
    <cellStyle name="Border 2 3 3 2 7" xfId="35899"/>
    <cellStyle name="Border 2 3 3 2 8" xfId="38048"/>
    <cellStyle name="Border 2 3 3 2 9" xfId="38006"/>
    <cellStyle name="Border 2 3 3 3" xfId="19995"/>
    <cellStyle name="Border 2 3 3 3 2" xfId="33274"/>
    <cellStyle name="Border 2 3 3 3 3" xfId="37137"/>
    <cellStyle name="Border 2 3 3 3 4" xfId="36403"/>
    <cellStyle name="Border 2 3 3 3 5" xfId="33616"/>
    <cellStyle name="Border 2 3 3 3 6" xfId="34660"/>
    <cellStyle name="Border 2 3 3 3 7" xfId="25803"/>
    <cellStyle name="Border 2 3 3 3 8" xfId="38781"/>
    <cellStyle name="Border 2 3 3 4" xfId="24667"/>
    <cellStyle name="Border 2 3 3 5" xfId="33785"/>
    <cellStyle name="Border 2 3 3 6" xfId="35377"/>
    <cellStyle name="Border 2 3 3 7" xfId="20508"/>
    <cellStyle name="Border 2 3 3 8" xfId="38270"/>
    <cellStyle name="Border 2 3 4" xfId="15998"/>
    <cellStyle name="Border 2 3 4 10" xfId="34006"/>
    <cellStyle name="Border 2 3 4 2" xfId="29390"/>
    <cellStyle name="Border 2 3 4 3" xfId="25151"/>
    <cellStyle name="Border 2 3 4 4" xfId="36303"/>
    <cellStyle name="Border 2 3 4 5" xfId="25255"/>
    <cellStyle name="Border 2 3 4 6" xfId="25426"/>
    <cellStyle name="Border 2 3 4 7" xfId="33657"/>
    <cellStyle name="Border 2 3 4 8" xfId="36480"/>
    <cellStyle name="Border 2 3 4 9" xfId="37049"/>
    <cellStyle name="Border 2 3 5" xfId="19993"/>
    <cellStyle name="Border 2 3 5 2" xfId="33272"/>
    <cellStyle name="Border 2 3 5 3" xfId="37135"/>
    <cellStyle name="Border 2 3 5 4" xfId="24844"/>
    <cellStyle name="Border 2 3 5 5" xfId="33843"/>
    <cellStyle name="Border 2 3 5 6" xfId="36276"/>
    <cellStyle name="Border 2 3 5 7" xfId="38285"/>
    <cellStyle name="Border 2 3 5 8" xfId="38779"/>
    <cellStyle name="Border 2 3 6" xfId="24665"/>
    <cellStyle name="Border 2 3 7" xfId="20569"/>
    <cellStyle name="Border 2 3 8" xfId="20673"/>
    <cellStyle name="Border 2 3 9" xfId="24188"/>
    <cellStyle name="Border 2 4" xfId="8698"/>
    <cellStyle name="Border 2 4 10" xfId="35736"/>
    <cellStyle name="Border 2 4 2" xfId="8699"/>
    <cellStyle name="Border 2 4 2 2" xfId="16002"/>
    <cellStyle name="Border 2 4 2 2 10" xfId="36874"/>
    <cellStyle name="Border 2 4 2 2 2" xfId="29394"/>
    <cellStyle name="Border 2 4 2 2 3" xfId="25153"/>
    <cellStyle name="Border 2 4 2 2 4" xfId="34749"/>
    <cellStyle name="Border 2 4 2 2 5" xfId="24491"/>
    <cellStyle name="Border 2 4 2 2 6" xfId="35262"/>
    <cellStyle name="Border 2 4 2 2 7" xfId="35476"/>
    <cellStyle name="Border 2 4 2 2 8" xfId="36242"/>
    <cellStyle name="Border 2 4 2 2 9" xfId="35254"/>
    <cellStyle name="Border 2 4 2 3" xfId="19997"/>
    <cellStyle name="Border 2 4 2 3 2" xfId="33276"/>
    <cellStyle name="Border 2 4 2 3 3" xfId="37139"/>
    <cellStyle name="Border 2 4 2 3 4" xfId="36405"/>
    <cellStyle name="Border 2 4 2 3 5" xfId="35434"/>
    <cellStyle name="Border 2 4 2 3 6" xfId="37720"/>
    <cellStyle name="Border 2 4 2 3 7" xfId="25231"/>
    <cellStyle name="Border 2 4 2 3 8" xfId="38783"/>
    <cellStyle name="Border 2 4 2 4" xfId="24669"/>
    <cellStyle name="Border 2 4 2 5" xfId="37357"/>
    <cellStyle name="Border 2 4 2 6" xfId="24603"/>
    <cellStyle name="Border 2 4 2 7" xfId="24936"/>
    <cellStyle name="Border 2 4 2 8" xfId="20571"/>
    <cellStyle name="Border 2 4 3" xfId="8700"/>
    <cellStyle name="Border 2 4 3 2" xfId="16003"/>
    <cellStyle name="Border 2 4 3 2 10" xfId="20553"/>
    <cellStyle name="Border 2 4 3 2 2" xfId="29395"/>
    <cellStyle name="Border 2 4 3 2 3" xfId="36070"/>
    <cellStyle name="Border 2 4 3 2 4" xfId="35108"/>
    <cellStyle name="Border 2 4 3 2 5" xfId="35152"/>
    <cellStyle name="Border 2 4 3 2 6" xfId="33949"/>
    <cellStyle name="Border 2 4 3 2 7" xfId="35025"/>
    <cellStyle name="Border 2 4 3 2 8" xfId="38081"/>
    <cellStyle name="Border 2 4 3 2 9" xfId="37995"/>
    <cellStyle name="Border 2 4 3 3" xfId="19998"/>
    <cellStyle name="Border 2 4 3 3 2" xfId="33277"/>
    <cellStyle name="Border 2 4 3 3 3" xfId="37140"/>
    <cellStyle name="Border 2 4 3 3 4" xfId="35194"/>
    <cellStyle name="Border 2 4 3 3 5" xfId="33556"/>
    <cellStyle name="Border 2 4 3 3 6" xfId="34498"/>
    <cellStyle name="Border 2 4 3 3 7" xfId="34106"/>
    <cellStyle name="Border 2 4 3 3 8" xfId="38784"/>
    <cellStyle name="Border 2 4 3 4" xfId="24670"/>
    <cellStyle name="Border 2 4 3 5" xfId="35807"/>
    <cellStyle name="Border 2 4 3 6" xfId="24987"/>
    <cellStyle name="Border 2 4 3 7" xfId="35463"/>
    <cellStyle name="Border 2 4 3 8" xfId="34999"/>
    <cellStyle name="Border 2 4 4" xfId="16001"/>
    <cellStyle name="Border 2 4 4 10" xfId="24355"/>
    <cellStyle name="Border 2 4 4 2" xfId="29393"/>
    <cellStyle name="Border 2 4 4 3" xfId="25152"/>
    <cellStyle name="Border 2 4 4 4" xfId="34122"/>
    <cellStyle name="Border 2 4 4 5" xfId="34695"/>
    <cellStyle name="Border 2 4 4 6" xfId="24376"/>
    <cellStyle name="Border 2 4 4 7" xfId="34824"/>
    <cellStyle name="Border 2 4 4 8" xfId="35403"/>
    <cellStyle name="Border 2 4 4 9" xfId="24764"/>
    <cellStyle name="Border 2 4 5" xfId="19996"/>
    <cellStyle name="Border 2 4 5 2" xfId="33275"/>
    <cellStyle name="Border 2 4 5 3" xfId="37138"/>
    <cellStyle name="Border 2 4 5 4" xfId="35192"/>
    <cellStyle name="Border 2 4 5 5" xfId="34205"/>
    <cellStyle name="Border 2 4 5 6" xfId="24911"/>
    <cellStyle name="Border 2 4 5 7" xfId="24870"/>
    <cellStyle name="Border 2 4 5 8" xfId="38782"/>
    <cellStyle name="Border 2 4 6" xfId="24668"/>
    <cellStyle name="Border 2 4 7" xfId="34012"/>
    <cellStyle name="Border 2 4 8" xfId="36701"/>
    <cellStyle name="Border 2 4 9" xfId="36384"/>
    <cellStyle name="Border 2 5" xfId="8701"/>
    <cellStyle name="Border 2 5 10" xfId="20518"/>
    <cellStyle name="Border 2 5 2" xfId="8702"/>
    <cellStyle name="Border 2 5 2 2" xfId="16005"/>
    <cellStyle name="Border 2 5 2 2 10" xfId="34449"/>
    <cellStyle name="Border 2 5 2 2 2" xfId="29397"/>
    <cellStyle name="Border 2 5 2 2 3" xfId="36072"/>
    <cellStyle name="Border 2 5 2 2 4" xfId="34124"/>
    <cellStyle name="Border 2 5 2 2 5" xfId="24492"/>
    <cellStyle name="Border 2 5 2 2 6" xfId="37536"/>
    <cellStyle name="Border 2 5 2 2 7" xfId="24944"/>
    <cellStyle name="Border 2 5 2 2 8" xfId="25116"/>
    <cellStyle name="Border 2 5 2 2 9" xfId="37638"/>
    <cellStyle name="Border 2 5 2 3" xfId="20000"/>
    <cellStyle name="Border 2 5 2 3 2" xfId="33279"/>
    <cellStyle name="Border 2 5 2 3 3" xfId="37142"/>
    <cellStyle name="Border 2 5 2 3 4" xfId="36404"/>
    <cellStyle name="Border 2 5 2 3 5" xfId="36511"/>
    <cellStyle name="Border 2 5 2 3 6" xfId="37368"/>
    <cellStyle name="Border 2 5 2 3 7" xfId="25618"/>
    <cellStyle name="Border 2 5 2 3 8" xfId="38786"/>
    <cellStyle name="Border 2 5 2 4" xfId="24672"/>
    <cellStyle name="Border 2 5 2 5" xfId="24384"/>
    <cellStyle name="Border 2 5 2 6" xfId="34805"/>
    <cellStyle name="Border 2 5 2 7" xfId="35471"/>
    <cellStyle name="Border 2 5 2 8" xfId="36723"/>
    <cellStyle name="Border 2 5 3" xfId="8703"/>
    <cellStyle name="Border 2 5 3 2" xfId="16006"/>
    <cellStyle name="Border 2 5 3 2 10" xfId="36731"/>
    <cellStyle name="Border 2 5 3 2 2" xfId="29398"/>
    <cellStyle name="Border 2 5 3 2 3" xfId="34905"/>
    <cellStyle name="Border 2 5 3 2 4" xfId="34125"/>
    <cellStyle name="Border 2 5 3 2 5" xfId="36592"/>
    <cellStyle name="Border 2 5 3 2 6" xfId="24295"/>
    <cellStyle name="Border 2 5 3 2 7" xfId="34621"/>
    <cellStyle name="Border 2 5 3 2 8" xfId="24777"/>
    <cellStyle name="Border 2 5 3 2 9" xfId="37726"/>
    <cellStyle name="Border 2 5 3 3" xfId="20001"/>
    <cellStyle name="Border 2 5 3 3 2" xfId="33280"/>
    <cellStyle name="Border 2 5 3 3 3" xfId="37143"/>
    <cellStyle name="Border 2 5 3 3 4" xfId="35193"/>
    <cellStyle name="Border 2 5 3 3 5" xfId="35437"/>
    <cellStyle name="Border 2 5 3 3 6" xfId="35885"/>
    <cellStyle name="Border 2 5 3 3 7" xfId="34838"/>
    <cellStyle name="Border 2 5 3 3 8" xfId="38787"/>
    <cellStyle name="Border 2 5 3 4" xfId="24673"/>
    <cellStyle name="Border 2 5 3 5" xfId="34648"/>
    <cellStyle name="Border 2 5 3 6" xfId="25326"/>
    <cellStyle name="Border 2 5 3 7" xfId="35548"/>
    <cellStyle name="Border 2 5 3 8" xfId="24256"/>
    <cellStyle name="Border 2 5 4" xfId="16004"/>
    <cellStyle name="Border 2 5 4 10" xfId="37727"/>
    <cellStyle name="Border 2 5 4 2" xfId="29396"/>
    <cellStyle name="Border 2 5 4 3" xfId="34903"/>
    <cellStyle name="Border 2 5 4 4" xfId="34123"/>
    <cellStyle name="Border 2 5 4 5" xfId="36238"/>
    <cellStyle name="Border 2 5 4 6" xfId="35264"/>
    <cellStyle name="Border 2 5 4 7" xfId="35368"/>
    <cellStyle name="Border 2 5 4 8" xfId="25233"/>
    <cellStyle name="Border 2 5 4 9" xfId="33813"/>
    <cellStyle name="Border 2 5 5" xfId="19999"/>
    <cellStyle name="Border 2 5 5 2" xfId="33278"/>
    <cellStyle name="Border 2 5 5 3" xfId="37141"/>
    <cellStyle name="Border 2 5 5 4" xfId="24846"/>
    <cellStyle name="Border 2 5 5 5" xfId="25106"/>
    <cellStyle name="Border 2 5 5 6" xfId="35525"/>
    <cellStyle name="Border 2 5 5 7" xfId="20507"/>
    <cellStyle name="Border 2 5 5 8" xfId="38785"/>
    <cellStyle name="Border 2 5 6" xfId="24671"/>
    <cellStyle name="Border 2 5 7" xfId="34439"/>
    <cellStyle name="Border 2 5 8" xfId="20671"/>
    <cellStyle name="Border 2 5 9" xfId="38480"/>
    <cellStyle name="Border 2 6" xfId="8704"/>
    <cellStyle name="Border 2 6 10" xfId="24798"/>
    <cellStyle name="Border 2 6 2" xfId="8705"/>
    <cellStyle name="Border 2 6 2 2" xfId="16008"/>
    <cellStyle name="Border 2 6 2 2 10" xfId="38684"/>
    <cellStyle name="Border 2 6 2 2 2" xfId="29400"/>
    <cellStyle name="Border 2 6 2 2 3" xfId="36071"/>
    <cellStyle name="Border 2 6 2 2 4" xfId="34126"/>
    <cellStyle name="Border 2 6 2 2 5" xfId="35858"/>
    <cellStyle name="Border 2 6 2 2 6" xfId="36650"/>
    <cellStyle name="Border 2 6 2 2 7" xfId="24302"/>
    <cellStyle name="Border 2 6 2 2 8" xfId="35496"/>
    <cellStyle name="Border 2 6 2 2 9" xfId="35902"/>
    <cellStyle name="Border 2 6 2 3" xfId="20003"/>
    <cellStyle name="Border 2 6 2 3 2" xfId="33282"/>
    <cellStyle name="Border 2 6 2 3 3" xfId="37145"/>
    <cellStyle name="Border 2 6 2 3 4" xfId="24848"/>
    <cellStyle name="Border 2 6 2 3 5" xfId="36631"/>
    <cellStyle name="Border 2 6 2 3 6" xfId="25100"/>
    <cellStyle name="Border 2 6 2 3 7" xfId="34553"/>
    <cellStyle name="Border 2 6 2 3 8" xfId="38789"/>
    <cellStyle name="Border 2 6 2 4" xfId="24675"/>
    <cellStyle name="Border 2 6 2 5" xfId="34931"/>
    <cellStyle name="Border 2 6 2 6" xfId="20669"/>
    <cellStyle name="Border 2 6 2 7" xfId="38479"/>
    <cellStyle name="Border 2 6 2 8" xfId="24967"/>
    <cellStyle name="Border 2 6 3" xfId="8706"/>
    <cellStyle name="Border 2 6 3 2" xfId="16009"/>
    <cellStyle name="Border 2 6 3 2 10" xfId="20591"/>
    <cellStyle name="Border 2 6 3 2 2" xfId="29401"/>
    <cellStyle name="Border 2 6 3 2 3" xfId="34904"/>
    <cellStyle name="Border 2 6 3 2 4" xfId="34127"/>
    <cellStyle name="Border 2 6 3 2 5" xfId="24888"/>
    <cellStyle name="Border 2 6 3 2 6" xfId="25001"/>
    <cellStyle name="Border 2 6 3 2 7" xfId="33888"/>
    <cellStyle name="Border 2 6 3 2 8" xfId="38248"/>
    <cellStyle name="Border 2 6 3 2 9" xfId="34093"/>
    <cellStyle name="Border 2 6 3 3" xfId="20004"/>
    <cellStyle name="Border 2 6 3 3 2" xfId="33283"/>
    <cellStyle name="Border 2 6 3 3 3" xfId="37146"/>
    <cellStyle name="Border 2 6 3 3 4" xfId="36400"/>
    <cellStyle name="Border 2 6 3 3 5" xfId="33617"/>
    <cellStyle name="Border 2 6 3 3 6" xfId="24748"/>
    <cellStyle name="Border 2 6 3 3 7" xfId="36216"/>
    <cellStyle name="Border 2 6 3 3 8" xfId="38790"/>
    <cellStyle name="Border 2 6 3 4" xfId="24676"/>
    <cellStyle name="Border 2 6 3 5" xfId="25243"/>
    <cellStyle name="Border 2 6 3 6" xfId="20668"/>
    <cellStyle name="Border 2 6 3 7" xfId="24289"/>
    <cellStyle name="Border 2 6 3 8" xfId="38978"/>
    <cellStyle name="Border 2 6 4" xfId="16007"/>
    <cellStyle name="Border 2 6 4 10" xfId="35043"/>
    <cellStyle name="Border 2 6 4 2" xfId="29399"/>
    <cellStyle name="Border 2 6 4 3" xfId="25154"/>
    <cellStyle name="Border 2 6 4 4" xfId="34750"/>
    <cellStyle name="Border 2 6 4 5" xfId="34316"/>
    <cellStyle name="Border 2 6 4 6" xfId="34500"/>
    <cellStyle name="Border 2 6 4 7" xfId="24527"/>
    <cellStyle name="Border 2 6 4 8" xfId="34004"/>
    <cellStyle name="Border 2 6 4 9" xfId="35066"/>
    <cellStyle name="Border 2 6 5" xfId="20002"/>
    <cellStyle name="Border 2 6 5 2" xfId="33281"/>
    <cellStyle name="Border 2 6 5 3" xfId="37144"/>
    <cellStyle name="Border 2 6 5 4" xfId="24847"/>
    <cellStyle name="Border 2 6 5 5" xfId="34774"/>
    <cellStyle name="Border 2 6 5 6" xfId="34809"/>
    <cellStyle name="Border 2 6 5 7" xfId="35411"/>
    <cellStyle name="Border 2 6 5 8" xfId="38788"/>
    <cellStyle name="Border 2 6 6" xfId="24674"/>
    <cellStyle name="Border 2 6 7" xfId="33934"/>
    <cellStyle name="Border 2 6 8" xfId="20670"/>
    <cellStyle name="Border 2 6 9" xfId="24186"/>
    <cellStyle name="Border 2 7" xfId="8707"/>
    <cellStyle name="Border 2 7 10" xfId="35135"/>
    <cellStyle name="Border 2 7 2" xfId="8708"/>
    <cellStyle name="Border 2 7 2 2" xfId="16011"/>
    <cellStyle name="Border 2 7 2 2 10" xfId="20622"/>
    <cellStyle name="Border 2 7 2 2 2" xfId="29403"/>
    <cellStyle name="Border 2 7 2 2 3" xfId="25156"/>
    <cellStyle name="Border 2 7 2 2 4" xfId="35924"/>
    <cellStyle name="Border 2 7 2 2 5" xfId="24493"/>
    <cellStyle name="Border 2 7 2 2 6" xfId="33761"/>
    <cellStyle name="Border 2 7 2 2 7" xfId="37469"/>
    <cellStyle name="Border 2 7 2 2 8" xfId="34578"/>
    <cellStyle name="Border 2 7 2 2 9" xfId="35890"/>
    <cellStyle name="Border 2 7 2 3" xfId="20006"/>
    <cellStyle name="Border 2 7 2 3 2" xfId="33285"/>
    <cellStyle name="Border 2 7 2 3 3" xfId="37148"/>
    <cellStyle name="Border 2 7 2 3 4" xfId="36402"/>
    <cellStyle name="Border 2 7 2 3 5" xfId="24423"/>
    <cellStyle name="Border 2 7 2 3 6" xfId="37374"/>
    <cellStyle name="Border 2 7 2 3 7" xfId="35521"/>
    <cellStyle name="Border 2 7 2 3 8" xfId="38792"/>
    <cellStyle name="Border 2 7 2 4" xfId="24678"/>
    <cellStyle name="Border 2 7 2 5" xfId="35253"/>
    <cellStyle name="Border 2 7 2 6" xfId="24787"/>
    <cellStyle name="Border 2 7 2 7" xfId="35023"/>
    <cellStyle name="Border 2 7 2 8" xfId="24414"/>
    <cellStyle name="Border 2 7 3" xfId="8709"/>
    <cellStyle name="Border 2 7 3 2" xfId="16012"/>
    <cellStyle name="Border 2 7 3 2 10" xfId="38281"/>
    <cellStyle name="Border 2 7 3 2 2" xfId="29404"/>
    <cellStyle name="Border 2 7 3 2 3" xfId="25157"/>
    <cellStyle name="Border 2 7 3 2 4" xfId="24933"/>
    <cellStyle name="Border 2 7 3 2 5" xfId="35976"/>
    <cellStyle name="Border 2 7 3 2 6" xfId="29624"/>
    <cellStyle name="Border 2 7 3 2 7" xfId="35963"/>
    <cellStyle name="Border 2 7 3 2 8" xfId="34193"/>
    <cellStyle name="Border 2 7 3 2 9" xfId="35639"/>
    <cellStyle name="Border 2 7 3 3" xfId="20007"/>
    <cellStyle name="Border 2 7 3 3 2" xfId="33286"/>
    <cellStyle name="Border 2 7 3 3 3" xfId="37149"/>
    <cellStyle name="Border 2 7 3 3 4" xfId="35191"/>
    <cellStyle name="Border 2 7 3 3 5" xfId="33618"/>
    <cellStyle name="Border 2 7 3 3 6" xfId="36870"/>
    <cellStyle name="Border 2 7 3 3 7" xfId="29614"/>
    <cellStyle name="Border 2 7 3 3 8" xfId="38793"/>
    <cellStyle name="Border 2 7 3 4" xfId="24679"/>
    <cellStyle name="Border 2 7 3 5" xfId="25218"/>
    <cellStyle name="Border 2 7 3 6" xfId="38050"/>
    <cellStyle name="Border 2 7 3 7" xfId="35344"/>
    <cellStyle name="Border 2 7 3 8" xfId="33675"/>
    <cellStyle name="Border 2 7 4" xfId="16010"/>
    <cellStyle name="Border 2 7 4 10" xfId="20494"/>
    <cellStyle name="Border 2 7 4 2" xfId="29402"/>
    <cellStyle name="Border 2 7 4 3" xfId="25155"/>
    <cellStyle name="Border 2 7 4 4" xfId="35119"/>
    <cellStyle name="Border 2 7 4 5" xfId="33923"/>
    <cellStyle name="Border 2 7 4 6" xfId="33854"/>
    <cellStyle name="Border 2 7 4 7" xfId="34620"/>
    <cellStyle name="Border 2 7 4 8" xfId="34680"/>
    <cellStyle name="Border 2 7 4 9" xfId="34088"/>
    <cellStyle name="Border 2 7 5" xfId="20005"/>
    <cellStyle name="Border 2 7 5 2" xfId="33284"/>
    <cellStyle name="Border 2 7 5 3" xfId="37147"/>
    <cellStyle name="Border 2 7 5 4" xfId="35189"/>
    <cellStyle name="Border 2 7 5 5" xfId="35292"/>
    <cellStyle name="Border 2 7 5 6" xfId="38266"/>
    <cellStyle name="Border 2 7 5 7" xfId="35000"/>
    <cellStyle name="Border 2 7 5 8" xfId="38791"/>
    <cellStyle name="Border 2 7 6" xfId="24677"/>
    <cellStyle name="Border 2 7 7" xfId="35299"/>
    <cellStyle name="Border 2 7 8" xfId="35245"/>
    <cellStyle name="Border 2 7 9" xfId="37712"/>
    <cellStyle name="Border 2 8" xfId="8710"/>
    <cellStyle name="Border 2 8 10" xfId="35039"/>
    <cellStyle name="Border 2 8 2" xfId="8711"/>
    <cellStyle name="Border 2 8 2 2" xfId="16014"/>
    <cellStyle name="Border 2 8 2 2 10" xfId="34815"/>
    <cellStyle name="Border 2 8 2 2 2" xfId="29406"/>
    <cellStyle name="Border 2 8 2 2 3" xfId="25158"/>
    <cellStyle name="Border 2 8 2 2 4" xfId="34748"/>
    <cellStyle name="Border 2 8 2 2 5" xfId="24494"/>
    <cellStyle name="Border 2 8 2 2 6" xfId="34570"/>
    <cellStyle name="Border 2 8 2 2 7" xfId="35221"/>
    <cellStyle name="Border 2 8 2 2 8" xfId="29658"/>
    <cellStyle name="Border 2 8 2 2 9" xfId="25069"/>
    <cellStyle name="Border 2 8 2 3" xfId="20009"/>
    <cellStyle name="Border 2 8 2 3 2" xfId="33288"/>
    <cellStyle name="Border 2 8 2 3 3" xfId="37151"/>
    <cellStyle name="Border 2 8 2 3 4" xfId="36401"/>
    <cellStyle name="Border 2 8 2 3 5" xfId="25105"/>
    <cellStyle name="Border 2 8 2 3 6" xfId="35769"/>
    <cellStyle name="Border 2 8 2 3 7" xfId="38068"/>
    <cellStyle name="Border 2 8 2 3 8" xfId="38795"/>
    <cellStyle name="Border 2 8 2 4" xfId="24681"/>
    <cellStyle name="Border 2 8 2 5" xfId="33778"/>
    <cellStyle name="Border 2 8 2 6" xfId="35536"/>
    <cellStyle name="Border 2 8 2 7" xfId="34723"/>
    <cellStyle name="Border 2 8 2 8" xfId="24978"/>
    <cellStyle name="Border 2 8 3" xfId="8712"/>
    <cellStyle name="Border 2 8 3 2" xfId="16015"/>
    <cellStyle name="Border 2 8 3 2 10" xfId="24956"/>
    <cellStyle name="Border 2 8 3 2 2" xfId="29407"/>
    <cellStyle name="Border 2 8 3 2 3" xfId="25159"/>
    <cellStyle name="Border 2 8 3 2 4" xfId="24932"/>
    <cellStyle name="Border 2 8 3 2 5" xfId="35374"/>
    <cellStyle name="Border 2 8 3 2 6" xfId="36672"/>
    <cellStyle name="Border 2 8 3 2 7" xfId="20441"/>
    <cellStyle name="Border 2 8 3 2 8" xfId="33637"/>
    <cellStyle name="Border 2 8 3 2 9" xfId="36786"/>
    <cellStyle name="Border 2 8 3 3" xfId="20010"/>
    <cellStyle name="Border 2 8 3 3 2" xfId="33289"/>
    <cellStyle name="Border 2 8 3 3 3" xfId="37152"/>
    <cellStyle name="Border 2 8 3 3 4" xfId="35190"/>
    <cellStyle name="Border 2 8 3 3 5" xfId="25028"/>
    <cellStyle name="Border 2 8 3 3 6" xfId="37348"/>
    <cellStyle name="Border 2 8 3 3 7" xfId="25049"/>
    <cellStyle name="Border 2 8 3 3 8" xfId="38796"/>
    <cellStyle name="Border 2 8 3 4" xfId="24682"/>
    <cellStyle name="Border 2 8 3 5" xfId="34952"/>
    <cellStyle name="Border 2 8 3 6" xfId="20667"/>
    <cellStyle name="Border 2 8 3 7" xfId="38136"/>
    <cellStyle name="Border 2 8 3 8" xfId="38005"/>
    <cellStyle name="Border 2 8 4" xfId="16013"/>
    <cellStyle name="Border 2 8 4 10" xfId="35793"/>
    <cellStyle name="Border 2 8 4 2" xfId="29405"/>
    <cellStyle name="Border 2 8 4 3" xfId="36068"/>
    <cellStyle name="Border 2 8 4 4" xfId="34128"/>
    <cellStyle name="Border 2 8 4 5" xfId="25014"/>
    <cellStyle name="Border 2 8 4 6" xfId="25527"/>
    <cellStyle name="Border 2 8 4 7" xfId="24217"/>
    <cellStyle name="Border 2 8 4 8" xfId="25292"/>
    <cellStyle name="Border 2 8 4 9" xfId="34477"/>
    <cellStyle name="Border 2 8 5" xfId="20008"/>
    <cellStyle name="Border 2 8 5 2" xfId="33287"/>
    <cellStyle name="Border 2 8 5 3" xfId="37150"/>
    <cellStyle name="Border 2 8 5 4" xfId="24849"/>
    <cellStyle name="Border 2 8 5 5" xfId="25697"/>
    <cellStyle name="Border 2 8 5 6" xfId="38267"/>
    <cellStyle name="Border 2 8 5 7" xfId="35013"/>
    <cellStyle name="Border 2 8 5 8" xfId="38794"/>
    <cellStyle name="Border 2 8 6" xfId="24680"/>
    <cellStyle name="Border 2 8 7" xfId="33700"/>
    <cellStyle name="Border 2 8 8" xfId="25272"/>
    <cellStyle name="Border 2 8 9" xfId="33564"/>
    <cellStyle name="Border 2 9" xfId="8713"/>
    <cellStyle name="Border 2 9 10" xfId="33770"/>
    <cellStyle name="Border 2 9 2" xfId="8714"/>
    <cellStyle name="Border 2 9 2 2" xfId="16017"/>
    <cellStyle name="Border 2 9 2 2 10" xfId="34279"/>
    <cellStyle name="Border 2 9 2 2 2" xfId="29409"/>
    <cellStyle name="Border 2 9 2 2 3" xfId="36067"/>
    <cellStyle name="Border 2 9 2 2 4" xfId="34751"/>
    <cellStyle name="Border 2 9 2 2 5" xfId="35154"/>
    <cellStyle name="Border 2 9 2 2 6" xfId="36485"/>
    <cellStyle name="Border 2 9 2 2 7" xfId="20580"/>
    <cellStyle name="Border 2 9 2 2 8" xfId="34277"/>
    <cellStyle name="Border 2 9 2 2 9" xfId="33889"/>
    <cellStyle name="Border 2 9 2 3" xfId="20012"/>
    <cellStyle name="Border 2 9 2 3 2" xfId="33291"/>
    <cellStyle name="Border 2 9 2 3 3" xfId="37154"/>
    <cellStyle name="Border 2 9 2 3 4" xfId="24851"/>
    <cellStyle name="Border 2 9 2 3 5" xfId="36134"/>
    <cellStyle name="Border 2 9 2 3 6" xfId="25498"/>
    <cellStyle name="Border 2 9 2 3 7" xfId="34925"/>
    <cellStyle name="Border 2 9 2 3 8" xfId="38798"/>
    <cellStyle name="Border 2 9 2 4" xfId="24684"/>
    <cellStyle name="Border 2 9 2 5" xfId="24285"/>
    <cellStyle name="Border 2 9 2 6" xfId="24230"/>
    <cellStyle name="Border 2 9 2 7" xfId="38478"/>
    <cellStyle name="Border 2 9 2 8" xfId="34548"/>
    <cellStyle name="Border 2 9 3" xfId="8715"/>
    <cellStyle name="Border 2 9 3 2" xfId="16018"/>
    <cellStyle name="Border 2 9 3 2 10" xfId="33767"/>
    <cellStyle name="Border 2 9 3 2 2" xfId="29410"/>
    <cellStyle name="Border 2 9 3 2 3" xfId="34900"/>
    <cellStyle name="Border 2 9 3 2 4" xfId="36305"/>
    <cellStyle name="Border 2 9 3 2 5" xfId="35395"/>
    <cellStyle name="Border 2 9 3 2 6" xfId="35167"/>
    <cellStyle name="Border 2 9 3 2 7" xfId="36536"/>
    <cellStyle name="Border 2 9 3 2 8" xfId="38011"/>
    <cellStyle name="Border 2 9 3 2 9" xfId="25093"/>
    <cellStyle name="Border 2 9 3 3" xfId="20013"/>
    <cellStyle name="Border 2 9 3 3 2" xfId="33292"/>
    <cellStyle name="Border 2 9 3 3 3" xfId="37155"/>
    <cellStyle name="Border 2 9 3 3 4" xfId="24852"/>
    <cellStyle name="Border 2 9 3 3 5" xfId="36636"/>
    <cellStyle name="Border 2 9 3 3 6" xfId="24939"/>
    <cellStyle name="Border 2 9 3 3 7" xfId="35015"/>
    <cellStyle name="Border 2 9 3 3 8" xfId="38799"/>
    <cellStyle name="Border 2 9 3 4" xfId="24685"/>
    <cellStyle name="Border 2 9 3 5" xfId="25239"/>
    <cellStyle name="Border 2 9 3 6" xfId="37478"/>
    <cellStyle name="Border 2 9 3 7" xfId="36231"/>
    <cellStyle name="Border 2 9 3 8" xfId="24350"/>
    <cellStyle name="Border 2 9 4" xfId="16016"/>
    <cellStyle name="Border 2 9 4 10" xfId="34098"/>
    <cellStyle name="Border 2 9 4 2" xfId="29408"/>
    <cellStyle name="Border 2 9 4 3" xfId="34869"/>
    <cellStyle name="Border 2 9 4 4" xfId="34129"/>
    <cellStyle name="Border 2 9 4 5" xfId="36591"/>
    <cellStyle name="Border 2 9 4 6" xfId="25624"/>
    <cellStyle name="Border 2 9 4 7" xfId="36373"/>
    <cellStyle name="Border 2 9 4 8" xfId="25432"/>
    <cellStyle name="Border 2 9 4 9" xfId="34086"/>
    <cellStyle name="Border 2 9 5" xfId="20011"/>
    <cellStyle name="Border 2 9 5 2" xfId="33290"/>
    <cellStyle name="Border 2 9 5 3" xfId="37153"/>
    <cellStyle name="Border 2 9 5 4" xfId="24850"/>
    <cellStyle name="Border 2 9 5 5" xfId="25699"/>
    <cellStyle name="Border 2 9 5 6" xfId="24269"/>
    <cellStyle name="Border 2 9 5 7" xfId="36325"/>
    <cellStyle name="Border 2 9 5 8" xfId="38797"/>
    <cellStyle name="Border 2 9 6" xfId="24683"/>
    <cellStyle name="Border 2 9 7" xfId="37885"/>
    <cellStyle name="Border 2 9 8" xfId="24386"/>
    <cellStyle name="Border 2 9 9" xfId="24185"/>
    <cellStyle name="Border 3" xfId="8716"/>
    <cellStyle name="Border 3 10" xfId="8717"/>
    <cellStyle name="Border 3 10 2" xfId="16020"/>
    <cellStyle name="Border 3 10 2 10" xfId="37445"/>
    <cellStyle name="Border 3 10 2 2" xfId="29412"/>
    <cellStyle name="Border 3 10 2 3" xfId="36066"/>
    <cellStyle name="Border 3 10 2 4" xfId="24931"/>
    <cellStyle name="Border 3 10 2 5" xfId="36234"/>
    <cellStyle name="Border 3 10 2 6" xfId="35979"/>
    <cellStyle name="Border 3 10 2 7" xfId="25068"/>
    <cellStyle name="Border 3 10 2 8" xfId="34083"/>
    <cellStyle name="Border 3 10 2 9" xfId="20614"/>
    <cellStyle name="Border 3 10 3" xfId="20015"/>
    <cellStyle name="Border 3 10 3 2" xfId="33294"/>
    <cellStyle name="Border 3 10 3 3" xfId="37157"/>
    <cellStyle name="Border 3 10 3 4" xfId="24853"/>
    <cellStyle name="Border 3 10 3 5" xfId="36634"/>
    <cellStyle name="Border 3 10 3 6" xfId="35502"/>
    <cellStyle name="Border 3 10 3 7" xfId="34441"/>
    <cellStyle name="Border 3 10 3 8" xfId="38801"/>
    <cellStyle name="Border 3 10 4" xfId="24687"/>
    <cellStyle name="Border 3 10 5" xfId="34451"/>
    <cellStyle name="Border 3 10 6" xfId="34022"/>
    <cellStyle name="Border 3 10 7" xfId="24184"/>
    <cellStyle name="Border 3 10 8" xfId="35037"/>
    <cellStyle name="Border 3 11" xfId="8718"/>
    <cellStyle name="Border 3 11 2" xfId="16021"/>
    <cellStyle name="Border 3 11 2 10" xfId="38290"/>
    <cellStyle name="Border 3 11 2 2" xfId="29413"/>
    <cellStyle name="Border 3 11 2 3" xfId="34899"/>
    <cellStyle name="Border 3 11 2 4" xfId="34130"/>
    <cellStyle name="Border 3 11 2 5" xfId="34799"/>
    <cellStyle name="Border 3 11 2 6" xfId="25736"/>
    <cellStyle name="Border 3 11 2 7" xfId="37641"/>
    <cellStyle name="Border 3 11 2 8" xfId="33900"/>
    <cellStyle name="Border 3 11 2 9" xfId="37335"/>
    <cellStyle name="Border 3 11 3" xfId="20016"/>
    <cellStyle name="Border 3 11 3 2" xfId="33295"/>
    <cellStyle name="Border 3 11 3 3" xfId="37158"/>
    <cellStyle name="Border 3 11 3 4" xfId="36397"/>
    <cellStyle name="Border 3 11 3 5" xfId="33619"/>
    <cellStyle name="Border 3 11 3 6" xfId="34045"/>
    <cellStyle name="Border 3 11 3 7" xfId="34602"/>
    <cellStyle name="Border 3 11 3 8" xfId="38802"/>
    <cellStyle name="Border 3 11 4" xfId="24688"/>
    <cellStyle name="Border 3 11 5" xfId="34967"/>
    <cellStyle name="Border 3 11 6" xfId="36226"/>
    <cellStyle name="Border 3 11 7" xfId="38477"/>
    <cellStyle name="Border 3 11 8" xfId="34943"/>
    <cellStyle name="Border 3 12" xfId="16019"/>
    <cellStyle name="Border 3 12 10" xfId="35553"/>
    <cellStyle name="Border 3 12 2" xfId="29411"/>
    <cellStyle name="Border 3 12 3" xfId="25160"/>
    <cellStyle name="Border 3 12 4" xfId="35922"/>
    <cellStyle name="Border 3 12 5" xfId="24495"/>
    <cellStyle name="Border 3 12 6" xfId="35366"/>
    <cellStyle name="Border 3 12 7" xfId="36673"/>
    <cellStyle name="Border 3 12 8" xfId="35797"/>
    <cellStyle name="Border 3 12 9" xfId="37929"/>
    <cellStyle name="Border 3 13" xfId="20014"/>
    <cellStyle name="Border 3 13 2" xfId="33293"/>
    <cellStyle name="Border 3 13 3" xfId="37156"/>
    <cellStyle name="Border 3 13 4" xfId="36398"/>
    <cellStyle name="Border 3 13 5" xfId="35132"/>
    <cellStyle name="Border 3 13 6" xfId="34526"/>
    <cellStyle name="Border 3 13 7" xfId="36657"/>
    <cellStyle name="Border 3 13 8" xfId="38800"/>
    <cellStyle name="Border 3 14" xfId="24686"/>
    <cellStyle name="Border 3 15" xfId="25003"/>
    <cellStyle name="Border 3 16" xfId="36521"/>
    <cellStyle name="Border 3 17" xfId="25806"/>
    <cellStyle name="Border 3 18" xfId="33897"/>
    <cellStyle name="Border 3 2" xfId="8719"/>
    <cellStyle name="Border 3 2 10" xfId="25074"/>
    <cellStyle name="Border 3 2 2" xfId="8720"/>
    <cellStyle name="Border 3 2 2 2" xfId="16023"/>
    <cellStyle name="Border 3 2 2 2 10" xfId="24290"/>
    <cellStyle name="Border 3 2 2 2 2" xfId="29415"/>
    <cellStyle name="Border 3 2 2 2 3" xfId="36063"/>
    <cellStyle name="Border 3 2 2 2 4" xfId="35110"/>
    <cellStyle name="Border 3 2 2 2 5" xfId="36590"/>
    <cellStyle name="Border 3 2 2 2 6" xfId="35073"/>
    <cellStyle name="Border 3 2 2 2 7" xfId="25401"/>
    <cellStyle name="Border 3 2 2 2 8" xfId="24239"/>
    <cellStyle name="Border 3 2 2 2 9" xfId="38074"/>
    <cellStyle name="Border 3 2 2 3" xfId="20018"/>
    <cellStyle name="Border 3 2 2 3 2" xfId="33297"/>
    <cellStyle name="Border 3 2 2 3 3" xfId="37160"/>
    <cellStyle name="Border 3 2 2 3 4" xfId="24854"/>
    <cellStyle name="Border 3 2 2 3 5" xfId="33963"/>
    <cellStyle name="Border 3 2 2 3 6" xfId="37928"/>
    <cellStyle name="Border 3 2 2 3 7" xfId="33639"/>
    <cellStyle name="Border 3 2 2 3 8" xfId="38804"/>
    <cellStyle name="Border 3 2 2 4" xfId="24690"/>
    <cellStyle name="Border 3 2 2 5" xfId="35998"/>
    <cellStyle name="Border 3 2 2 6" xfId="20666"/>
    <cellStyle name="Border 3 2 2 7" xfId="38017"/>
    <cellStyle name="Border 3 2 2 8" xfId="38268"/>
    <cellStyle name="Border 3 2 3" xfId="8721"/>
    <cellStyle name="Border 3 2 3 2" xfId="16024"/>
    <cellStyle name="Border 3 2 3 2 10" xfId="36625"/>
    <cellStyle name="Border 3 2 3 2 2" xfId="29416"/>
    <cellStyle name="Border 3 2 3 2 3" xfId="34896"/>
    <cellStyle name="Border 3 2 3 2 4" xfId="34131"/>
    <cellStyle name="Border 3 2 3 2 5" xfId="34314"/>
    <cellStyle name="Border 3 2 3 2 6" xfId="37701"/>
    <cellStyle name="Border 3 2 3 2 7" xfId="37722"/>
    <cellStyle name="Border 3 2 3 2 8" xfId="34679"/>
    <cellStyle name="Border 3 2 3 2 9" xfId="33751"/>
    <cellStyle name="Border 3 2 3 3" xfId="20019"/>
    <cellStyle name="Border 3 2 3 3 2" xfId="33298"/>
    <cellStyle name="Border 3 2 3 3 3" xfId="37161"/>
    <cellStyle name="Border 3 2 3 3 4" xfId="36396"/>
    <cellStyle name="Border 3 2 3 3 5" xfId="25698"/>
    <cellStyle name="Border 3 2 3 3 6" xfId="33548"/>
    <cellStyle name="Border 3 2 3 3 7" xfId="36767"/>
    <cellStyle name="Border 3 2 3 3 8" xfId="38805"/>
    <cellStyle name="Border 3 2 3 4" xfId="24691"/>
    <cellStyle name="Border 3 2 3 5" xfId="25681"/>
    <cellStyle name="Border 3 2 3 6" xfId="36385"/>
    <cellStyle name="Border 3 2 3 7" xfId="36165"/>
    <cellStyle name="Border 3 2 3 8" xfId="25672"/>
    <cellStyle name="Border 3 2 4" xfId="16022"/>
    <cellStyle name="Border 3 2 4 10" xfId="24248"/>
    <cellStyle name="Border 3 2 4 2" xfId="29414"/>
    <cellStyle name="Border 3 2 4 3" xfId="25161"/>
    <cellStyle name="Border 3 2 4 4" xfId="25313"/>
    <cellStyle name="Border 3 2 4 5" xfId="34697"/>
    <cellStyle name="Border 3 2 4 6" xfId="35783"/>
    <cellStyle name="Border 3 2 4 7" xfId="37918"/>
    <cellStyle name="Border 3 2 4 8" xfId="35101"/>
    <cellStyle name="Border 3 2 4 9" xfId="38061"/>
    <cellStyle name="Border 3 2 5" xfId="20017"/>
    <cellStyle name="Border 3 2 5 2" xfId="33296"/>
    <cellStyle name="Border 3 2 5 3" xfId="37159"/>
    <cellStyle name="Border 3 2 5 4" xfId="35187"/>
    <cellStyle name="Border 3 2 5 5" xfId="36509"/>
    <cellStyle name="Border 3 2 5 6" xfId="37783"/>
    <cellStyle name="Border 3 2 5 7" xfId="33561"/>
    <cellStyle name="Border 3 2 5 8" xfId="38803"/>
    <cellStyle name="Border 3 2 6" xfId="24689"/>
    <cellStyle name="Border 3 2 7" xfId="35169"/>
    <cellStyle name="Border 3 2 8" xfId="29642"/>
    <cellStyle name="Border 3 2 9" xfId="20492"/>
    <cellStyle name="Border 3 3" xfId="8722"/>
    <cellStyle name="Border 3 3 10" xfId="37787"/>
    <cellStyle name="Border 3 3 2" xfId="8723"/>
    <cellStyle name="Border 3 3 2 2" xfId="16026"/>
    <cellStyle name="Border 3 3 2 2 10" xfId="35889"/>
    <cellStyle name="Border 3 3 2 2 2" xfId="29418"/>
    <cellStyle name="Border 3 3 2 2 3" xfId="34898"/>
    <cellStyle name="Border 3 3 2 2 4" xfId="34752"/>
    <cellStyle name="Border 3 3 2 2 5" xfId="35394"/>
    <cellStyle name="Border 3 3 2 2 6" xfId="34949"/>
    <cellStyle name="Border 3 3 2 2 7" xfId="38129"/>
    <cellStyle name="Border 3 3 2 2 8" xfId="36790"/>
    <cellStyle name="Border 3 3 2 2 9" xfId="35877"/>
    <cellStyle name="Border 3 3 2 3" xfId="20021"/>
    <cellStyle name="Border 3 3 2 3 2" xfId="33300"/>
    <cellStyle name="Border 3 3 2 3 3" xfId="37163"/>
    <cellStyle name="Border 3 3 2 3 4" xfId="24855"/>
    <cellStyle name="Border 3 3 2 3 5" xfId="25246"/>
    <cellStyle name="Border 3 3 2 3 6" xfId="33642"/>
    <cellStyle name="Border 3 3 2 3 7" xfId="20586"/>
    <cellStyle name="Border 3 3 2 3 8" xfId="38807"/>
    <cellStyle name="Border 3 3 2 4" xfId="24693"/>
    <cellStyle name="Border 3 3 2 5" xfId="25629"/>
    <cellStyle name="Border 3 3 2 6" xfId="37729"/>
    <cellStyle name="Border 3 3 2 7" xfId="35545"/>
    <cellStyle name="Border 3 3 2 8" xfId="35580"/>
    <cellStyle name="Border 3 3 3" xfId="8724"/>
    <cellStyle name="Border 3 3 3 2" xfId="16027"/>
    <cellStyle name="Border 3 3 3 2 10" xfId="24516"/>
    <cellStyle name="Border 3 3 3 2 2" xfId="29419"/>
    <cellStyle name="Border 3 3 3 2 3" xfId="25162"/>
    <cellStyle name="Border 3 3 3 2 4" xfId="36306"/>
    <cellStyle name="Border 3 3 3 2 5" xfId="36354"/>
    <cellStyle name="Border 3 3 3 2 6" xfId="36712"/>
    <cellStyle name="Border 3 3 3 2 7" xfId="37452"/>
    <cellStyle name="Border 3 3 3 2 8" xfId="29656"/>
    <cellStyle name="Border 3 3 3 2 9" xfId="37395"/>
    <cellStyle name="Border 3 3 3 3" xfId="20022"/>
    <cellStyle name="Border 3 3 3 3 2" xfId="33301"/>
    <cellStyle name="Border 3 3 3 3 3" xfId="37164"/>
    <cellStyle name="Border 3 3 3 3 4" xfId="36395"/>
    <cellStyle name="Border 3 3 3 3 5" xfId="25434"/>
    <cellStyle name="Border 3 3 3 3 6" xfId="33966"/>
    <cellStyle name="Border 3 3 3 3 7" xfId="35760"/>
    <cellStyle name="Border 3 3 3 3 8" xfId="38808"/>
    <cellStyle name="Border 3 3 3 4" xfId="24694"/>
    <cellStyle name="Border 3 3 3 5" xfId="36163"/>
    <cellStyle name="Border 3 3 3 6" xfId="20665"/>
    <cellStyle name="Border 3 3 3 7" xfId="33690"/>
    <cellStyle name="Border 3 3 3 8" xfId="34557"/>
    <cellStyle name="Border 3 3 4" xfId="16025"/>
    <cellStyle name="Border 3 3 4 10" xfId="35883"/>
    <cellStyle name="Border 3 3 4 2" xfId="29417"/>
    <cellStyle name="Border 3 3 4 3" xfId="36065"/>
    <cellStyle name="Border 3 3 4 4" xfId="34132"/>
    <cellStyle name="Border 3 3 4 5" xfId="35050"/>
    <cellStyle name="Border 3 3 4 6" xfId="36291"/>
    <cellStyle name="Border 3 3 4 7" xfId="25335"/>
    <cellStyle name="Border 3 3 4 8" xfId="35880"/>
    <cellStyle name="Border 3 3 4 9" xfId="34713"/>
    <cellStyle name="Border 3 3 5" xfId="20020"/>
    <cellStyle name="Border 3 3 5 2" xfId="33299"/>
    <cellStyle name="Border 3 3 5 3" xfId="37162"/>
    <cellStyle name="Border 3 3 5 4" xfId="35186"/>
    <cellStyle name="Border 3 3 5 5" xfId="35836"/>
    <cellStyle name="Border 3 3 5 6" xfId="25067"/>
    <cellStyle name="Border 3 3 5 7" xfId="25297"/>
    <cellStyle name="Border 3 3 5 8" xfId="38806"/>
    <cellStyle name="Border 3 3 6" xfId="24692"/>
    <cellStyle name="Border 3 3 7" xfId="35176"/>
    <cellStyle name="Border 3 3 8" xfId="34810"/>
    <cellStyle name="Border 3 3 9" xfId="20493"/>
    <cellStyle name="Border 3 4" xfId="8725"/>
    <cellStyle name="Border 3 4 10" xfId="33828"/>
    <cellStyle name="Border 3 4 2" xfId="8726"/>
    <cellStyle name="Border 3 4 2 2" xfId="16029"/>
    <cellStyle name="Border 3 4 2 2 10" xfId="35068"/>
    <cellStyle name="Border 3 4 2 2 2" xfId="29421"/>
    <cellStyle name="Border 3 4 2 2 3" xfId="34897"/>
    <cellStyle name="Border 3 4 2 2 4" xfId="24930"/>
    <cellStyle name="Border 3 4 2 2 5" xfId="24889"/>
    <cellStyle name="Border 3 4 2 2 6" xfId="25738"/>
    <cellStyle name="Border 3 4 2 2 7" xfId="33833"/>
    <cellStyle name="Border 3 4 2 2 8" xfId="38049"/>
    <cellStyle name="Border 3 4 2 2 9" xfId="25566"/>
    <cellStyle name="Border 3 4 2 3" xfId="20024"/>
    <cellStyle name="Border 3 4 2 3 2" xfId="33303"/>
    <cellStyle name="Border 3 4 2 3 3" xfId="37166"/>
    <cellStyle name="Border 3 4 2 3 4" xfId="24856"/>
    <cellStyle name="Border 3 4 2 3 5" xfId="34954"/>
    <cellStyle name="Border 3 4 2 3 6" xfId="35788"/>
    <cellStyle name="Border 3 4 2 3 7" xfId="36223"/>
    <cellStyle name="Border 3 4 2 3 8" xfId="38810"/>
    <cellStyle name="Border 3 4 2 4" xfId="24696"/>
    <cellStyle name="Border 3 4 2 5" xfId="33899"/>
    <cellStyle name="Border 3 4 2 6" xfId="34295"/>
    <cellStyle name="Border 3 4 2 7" xfId="35533"/>
    <cellStyle name="Border 3 4 2 8" xfId="38256"/>
    <cellStyle name="Border 3 4 3" xfId="8727"/>
    <cellStyle name="Border 3 4 3 2" xfId="16030"/>
    <cellStyle name="Border 3 4 3 2 10" xfId="34519"/>
    <cellStyle name="Border 3 4 3 2 2" xfId="29422"/>
    <cellStyle name="Border 3 4 3 2 3" xfId="25163"/>
    <cellStyle name="Border 3 4 3 2 4" xfId="34133"/>
    <cellStyle name="Border 3 4 3 2 5" xfId="34699"/>
    <cellStyle name="Border 3 4 3 2 6" xfId="35261"/>
    <cellStyle name="Border 3 4 3 2 7" xfId="35596"/>
    <cellStyle name="Border 3 4 3 2 8" xfId="34190"/>
    <cellStyle name="Border 3 4 3 2 9" xfId="34929"/>
    <cellStyle name="Border 3 4 3 3" xfId="20025"/>
    <cellStyle name="Border 3 4 3 3 2" xfId="33304"/>
    <cellStyle name="Border 3 4 3 3 3" xfId="37167"/>
    <cellStyle name="Border 3 4 3 3 4" xfId="36394"/>
    <cellStyle name="Border 3 4 3 3 5" xfId="34206"/>
    <cellStyle name="Border 3 4 3 3 6" xfId="35909"/>
    <cellStyle name="Border 3 4 3 3 7" xfId="33823"/>
    <cellStyle name="Border 3 4 3 3 8" xfId="38811"/>
    <cellStyle name="Border 3 4 3 4" xfId="24697"/>
    <cellStyle name="Border 3 4 3 5" xfId="35076"/>
    <cellStyle name="Border 3 4 3 6" xfId="37517"/>
    <cellStyle name="Border 3 4 3 7" xfId="34608"/>
    <cellStyle name="Border 3 4 3 8" xfId="25671"/>
    <cellStyle name="Border 3 4 4" xfId="16028"/>
    <cellStyle name="Border 3 4 4 10" xfId="36752"/>
    <cellStyle name="Border 3 4 4 2" xfId="29420"/>
    <cellStyle name="Border 3 4 4 3" xfId="36064"/>
    <cellStyle name="Border 3 4 4 4" xfId="35925"/>
    <cellStyle name="Border 3 4 4 5" xfId="33920"/>
    <cellStyle name="Border 3 4 4 6" xfId="25392"/>
    <cellStyle name="Border 3 4 4 7" xfId="35773"/>
    <cellStyle name="Border 3 4 4 8" xfId="34047"/>
    <cellStyle name="Border 3 4 4 9" xfId="36542"/>
    <cellStyle name="Border 3 4 5" xfId="20023"/>
    <cellStyle name="Border 3 4 5 2" xfId="33302"/>
    <cellStyle name="Border 3 4 5 3" xfId="37165"/>
    <cellStyle name="Border 3 4 5 4" xfId="35185"/>
    <cellStyle name="Border 3 4 5 5" xfId="34813"/>
    <cellStyle name="Border 3 4 5 6" xfId="34946"/>
    <cellStyle name="Border 3 4 5 7" xfId="36095"/>
    <cellStyle name="Border 3 4 5 8" xfId="38809"/>
    <cellStyle name="Border 3 4 6" xfId="24695"/>
    <cellStyle name="Border 3 4 7" xfId="34381"/>
    <cellStyle name="Border 3 4 8" xfId="34044"/>
    <cellStyle name="Border 3 4 9" xfId="24183"/>
    <cellStyle name="Border 3 5" xfId="8728"/>
    <cellStyle name="Border 3 5 10" xfId="35177"/>
    <cellStyle name="Border 3 5 2" xfId="8729"/>
    <cellStyle name="Border 3 5 2 2" xfId="16032"/>
    <cellStyle name="Border 3 5 2 2 10" xfId="38000"/>
    <cellStyle name="Border 3 5 2 2 2" xfId="29424"/>
    <cellStyle name="Border 3 5 2 2 3" xfId="36060"/>
    <cellStyle name="Border 3 5 2 2 4" xfId="35111"/>
    <cellStyle name="Border 3 5 2 2 5" xfId="25256"/>
    <cellStyle name="Border 3 5 2 2 6" xfId="36483"/>
    <cellStyle name="Border 3 5 2 2 7" xfId="34213"/>
    <cellStyle name="Border 3 5 2 2 8" xfId="36569"/>
    <cellStyle name="Border 3 5 2 2 9" xfId="36197"/>
    <cellStyle name="Border 3 5 2 3" xfId="20027"/>
    <cellStyle name="Border 3 5 2 3 2" xfId="33306"/>
    <cellStyle name="Border 3 5 2 3 3" xfId="37169"/>
    <cellStyle name="Border 3 5 2 3 4" xfId="35184"/>
    <cellStyle name="Border 3 5 2 3 5" xfId="33620"/>
    <cellStyle name="Border 3 5 2 3 6" xfId="34460"/>
    <cellStyle name="Border 3 5 2 3 7" xfId="25010"/>
    <cellStyle name="Border 3 5 2 3 8" xfId="38813"/>
    <cellStyle name="Border 3 5 2 4" xfId="24699"/>
    <cellStyle name="Border 3 5 2 5" xfId="35583"/>
    <cellStyle name="Border 3 5 2 6" xfId="35990"/>
    <cellStyle name="Border 3 5 2 7" xfId="35945"/>
    <cellStyle name="Border 3 5 2 8" xfId="24779"/>
    <cellStyle name="Border 3 5 3" xfId="8730"/>
    <cellStyle name="Border 3 5 3 2" xfId="16033"/>
    <cellStyle name="Border 3 5 3 2 10" xfId="33809"/>
    <cellStyle name="Border 3 5 3 2 2" xfId="29425"/>
    <cellStyle name="Border 3 5 3 2 3" xfId="34893"/>
    <cellStyle name="Border 3 5 3 2 4" xfId="34134"/>
    <cellStyle name="Border 3 5 3 2 5" xfId="33921"/>
    <cellStyle name="Border 3 5 3 2 6" xfId="34388"/>
    <cellStyle name="Border 3 5 3 2 7" xfId="38128"/>
    <cellStyle name="Border 3 5 3 2 8" xfId="36653"/>
    <cellStyle name="Border 3 5 3 2 9" xfId="34037"/>
    <cellStyle name="Border 3 5 3 3" xfId="20028"/>
    <cellStyle name="Border 3 5 3 3 2" xfId="33307"/>
    <cellStyle name="Border 3 5 3 3 3" xfId="37170"/>
    <cellStyle name="Border 3 5 3 3 4" xfId="37366"/>
    <cellStyle name="Border 3 5 3 3 5" xfId="33621"/>
    <cellStyle name="Border 3 5 3 3 6" xfId="36538"/>
    <cellStyle name="Border 3 5 3 3 7" xfId="35464"/>
    <cellStyle name="Border 3 5 3 3 8" xfId="38814"/>
    <cellStyle name="Border 3 5 3 4" xfId="24700"/>
    <cellStyle name="Border 3 5 3 5" xfId="25331"/>
    <cellStyle name="Border 3 5 3 6" xfId="25018"/>
    <cellStyle name="Border 3 5 3 7" xfId="38476"/>
    <cellStyle name="Border 3 5 3 8" xfId="20618"/>
    <cellStyle name="Border 3 5 4" xfId="16031"/>
    <cellStyle name="Border 3 5 4 10" xfId="37879"/>
    <cellStyle name="Border 3 5 4 2" xfId="29423"/>
    <cellStyle name="Border 3 5 4 3" xfId="25164"/>
    <cellStyle name="Border 3 5 4 4" xfId="25312"/>
    <cellStyle name="Border 3 5 4 5" xfId="24496"/>
    <cellStyle name="Border 3 5 4 6" xfId="34806"/>
    <cellStyle name="Border 3 5 4 7" xfId="25441"/>
    <cellStyle name="Border 3 5 4 8" xfId="25643"/>
    <cellStyle name="Border 3 5 4 9" xfId="33810"/>
    <cellStyle name="Border 3 5 5" xfId="20026"/>
    <cellStyle name="Border 3 5 5 2" xfId="33305"/>
    <cellStyle name="Border 3 5 5 3" xfId="37168"/>
    <cellStyle name="Border 3 5 5 4" xfId="37365"/>
    <cellStyle name="Border 3 5 5 5" xfId="36253"/>
    <cellStyle name="Border 3 5 5 6" xfId="34945"/>
    <cellStyle name="Border 3 5 5 7" xfId="35959"/>
    <cellStyle name="Border 3 5 5 8" xfId="38812"/>
    <cellStyle name="Border 3 5 6" xfId="24698"/>
    <cellStyle name="Border 3 5 7" xfId="37302"/>
    <cellStyle name="Border 3 5 8" xfId="35490"/>
    <cellStyle name="Border 3 5 9" xfId="35534"/>
    <cellStyle name="Border 3 6" xfId="8731"/>
    <cellStyle name="Border 3 6 10" xfId="36685"/>
    <cellStyle name="Border 3 6 2" xfId="8732"/>
    <cellStyle name="Border 3 6 2 2" xfId="16035"/>
    <cellStyle name="Border 3 6 2 2 10" xfId="34492"/>
    <cellStyle name="Border 3 6 2 2 2" xfId="29427"/>
    <cellStyle name="Border 3 6 2 2 3" xfId="34895"/>
    <cellStyle name="Border 3 6 2 2 4" xfId="35918"/>
    <cellStyle name="Border 3 6 2 2 5" xfId="35391"/>
    <cellStyle name="Border 3 6 2 2 6" xfId="34728"/>
    <cellStyle name="Border 3 6 2 2 7" xfId="35149"/>
    <cellStyle name="Border 3 6 2 2 8" xfId="33881"/>
    <cellStyle name="Border 3 6 2 2 9" xfId="36618"/>
    <cellStyle name="Border 3 6 2 3" xfId="20030"/>
    <cellStyle name="Border 3 6 2 3 2" xfId="33309"/>
    <cellStyle name="Border 3 6 2 3 3" xfId="37172"/>
    <cellStyle name="Border 3 6 2 3 4" xfId="37343"/>
    <cellStyle name="Border 3 6 2 3 5" xfId="35061"/>
    <cellStyle name="Border 3 6 2 3 6" xfId="34559"/>
    <cellStyle name="Border 3 6 2 3 7" xfId="34538"/>
    <cellStyle name="Border 3 6 2 3 8" xfId="38816"/>
    <cellStyle name="Border 3 6 2 4" xfId="24702"/>
    <cellStyle name="Border 3 6 2 5" xfId="37997"/>
    <cellStyle name="Border 3 6 2 6" xfId="36286"/>
    <cellStyle name="Border 3 6 2 7" xfId="35142"/>
    <cellStyle name="Border 3 6 2 8" xfId="34369"/>
    <cellStyle name="Border 3 6 3" xfId="8733"/>
    <cellStyle name="Border 3 6 3 2" xfId="16036"/>
    <cellStyle name="Border 3 6 3 2 10" xfId="36289"/>
    <cellStyle name="Border 3 6 3 2 2" xfId="29428"/>
    <cellStyle name="Border 3 6 3 2 3" xfId="25165"/>
    <cellStyle name="Border 3 6 3 2 4" xfId="24929"/>
    <cellStyle name="Border 3 6 3 2 5" xfId="36353"/>
    <cellStyle name="Border 3 6 3 2 6" xfId="34974"/>
    <cellStyle name="Border 3 6 3 2 7" xfId="34737"/>
    <cellStyle name="Border 3 6 3 2 8" xfId="34603"/>
    <cellStyle name="Border 3 6 3 2 9" xfId="24370"/>
    <cellStyle name="Border 3 6 3 3" xfId="20031"/>
    <cellStyle name="Border 3 6 3 3 2" xfId="33310"/>
    <cellStyle name="Border 3 6 3 3 3" xfId="37173"/>
    <cellStyle name="Border 3 6 3 3 4" xfId="37537"/>
    <cellStyle name="Border 3 6 3 3 5" xfId="25290"/>
    <cellStyle name="Border 3 6 3 3 6" xfId="37736"/>
    <cellStyle name="Border 3 6 3 3 7" xfId="38286"/>
    <cellStyle name="Border 3 6 3 3 8" xfId="38817"/>
    <cellStyle name="Border 3 6 3 4" xfId="24703"/>
    <cellStyle name="Border 3 6 3 5" xfId="34278"/>
    <cellStyle name="Border 3 6 3 6" xfId="20664"/>
    <cellStyle name="Border 3 6 3 7" xfId="37034"/>
    <cellStyle name="Border 3 6 3 8" xfId="25556"/>
    <cellStyle name="Border 3 6 4" xfId="16034"/>
    <cellStyle name="Border 3 6 4 10" xfId="25081"/>
    <cellStyle name="Border 3 6 4 2" xfId="29426"/>
    <cellStyle name="Border 3 6 4 3" xfId="36062"/>
    <cellStyle name="Border 3 6 4 4" xfId="34135"/>
    <cellStyle name="Border 3 6 4 5" xfId="36587"/>
    <cellStyle name="Border 3 6 4 6" xfId="25499"/>
    <cellStyle name="Border 3 6 4 7" xfId="34243"/>
    <cellStyle name="Border 3 6 4 8" xfId="25513"/>
    <cellStyle name="Border 3 6 4 9" xfId="25524"/>
    <cellStyle name="Border 3 6 5" xfId="20029"/>
    <cellStyle name="Border 3 6 5 2" xfId="33308"/>
    <cellStyle name="Border 3 6 5 3" xfId="37171"/>
    <cellStyle name="Border 3 6 5 4" xfId="37342"/>
    <cellStyle name="Border 3 6 5 5" xfId="35293"/>
    <cellStyle name="Border 3 6 5 6" xfId="36757"/>
    <cellStyle name="Border 3 6 5 7" xfId="36476"/>
    <cellStyle name="Border 3 6 5 8" xfId="38815"/>
    <cellStyle name="Border 3 6 6" xfId="24701"/>
    <cellStyle name="Border 3 6 7" xfId="34533"/>
    <cellStyle name="Border 3 6 8" xfId="37040"/>
    <cellStyle name="Border 3 6 9" xfId="34496"/>
    <cellStyle name="Border 3 7" xfId="8734"/>
    <cellStyle name="Border 3 7 10" xfId="33606"/>
    <cellStyle name="Border 3 7 2" xfId="8735"/>
    <cellStyle name="Border 3 7 2 2" xfId="16038"/>
    <cellStyle name="Border 3 7 2 2 10" xfId="25230"/>
    <cellStyle name="Border 3 7 2 2 2" xfId="29430"/>
    <cellStyle name="Border 3 7 2 2 3" xfId="34894"/>
    <cellStyle name="Border 3 7 2 2 4" xfId="35109"/>
    <cellStyle name="Border 3 7 2 2 5" xfId="35975"/>
    <cellStyle name="Border 3 7 2 2 6" xfId="25091"/>
    <cellStyle name="Border 3 7 2 2 7" xfId="20489"/>
    <cellStyle name="Border 3 7 2 2 8" xfId="33640"/>
    <cellStyle name="Border 3 7 2 2 9" xfId="24897"/>
    <cellStyle name="Border 3 7 2 3" xfId="20033"/>
    <cellStyle name="Border 3 7 2 3 2" xfId="33312"/>
    <cellStyle name="Border 3 7 2 3 3" xfId="37175"/>
    <cellStyle name="Border 3 7 2 3 4" xfId="37539"/>
    <cellStyle name="Border 3 7 2 3 5" xfId="33622"/>
    <cellStyle name="Border 3 7 2 3 6" xfId="25485"/>
    <cellStyle name="Border 3 7 2 3 7" xfId="38287"/>
    <cellStyle name="Border 3 7 2 3 8" xfId="38819"/>
    <cellStyle name="Border 3 7 2 4" xfId="24705"/>
    <cellStyle name="Border 3 7 2 5" xfId="35516"/>
    <cellStyle name="Border 3 7 2 6" xfId="35351"/>
    <cellStyle name="Border 3 7 2 7" xfId="20561"/>
    <cellStyle name="Border 3 7 2 8" xfId="37439"/>
    <cellStyle name="Border 3 7 3" xfId="8736"/>
    <cellStyle name="Border 3 7 3 2" xfId="16039"/>
    <cellStyle name="Border 3 7 3 2 10" xfId="38065"/>
    <cellStyle name="Border 3 7 3 2 2" xfId="29431"/>
    <cellStyle name="Border 3 7 3 2 3" xfId="25166"/>
    <cellStyle name="Border 3 7 3 2 4" xfId="34136"/>
    <cellStyle name="Border 3 7 3 2 5" xfId="33919"/>
    <cellStyle name="Border 3 7 3 2 6" xfId="33762"/>
    <cellStyle name="Border 3 7 3 2 7" xfId="24903"/>
    <cellStyle name="Border 3 7 3 2 8" xfId="35327"/>
    <cellStyle name="Border 3 7 3 2 9" xfId="34372"/>
    <cellStyle name="Border 3 7 3 3" xfId="20034"/>
    <cellStyle name="Border 3 7 3 3 2" xfId="33313"/>
    <cellStyle name="Border 3 7 3 3 3" xfId="37176"/>
    <cellStyle name="Border 3 7 3 3 4" xfId="37540"/>
    <cellStyle name="Border 3 7 3 3 5" xfId="24639"/>
    <cellStyle name="Border 3 7 3 3 6" xfId="24429"/>
    <cellStyle name="Border 3 7 3 3 7" xfId="38276"/>
    <cellStyle name="Border 3 7 3 3 8" xfId="38820"/>
    <cellStyle name="Border 3 7 3 4" xfId="24706"/>
    <cellStyle name="Border 3 7 3 5" xfId="35426"/>
    <cellStyle name="Border 3 7 3 6" xfId="34223"/>
    <cellStyle name="Border 3 7 3 7" xfId="33755"/>
    <cellStyle name="Border 3 7 3 8" xfId="38058"/>
    <cellStyle name="Border 3 7 4" xfId="16037"/>
    <cellStyle name="Border 3 7 4 10" xfId="25131"/>
    <cellStyle name="Border 3 7 4 2" xfId="29429"/>
    <cellStyle name="Border 3 7 4 3" xfId="36061"/>
    <cellStyle name="Border 3 7 4 4" xfId="35926"/>
    <cellStyle name="Border 3 7 4 5" xfId="35857"/>
    <cellStyle name="Border 3 7 4 6" xfId="34807"/>
    <cellStyle name="Border 3 7 4 7" xfId="37718"/>
    <cellStyle name="Border 3 7 4 8" xfId="38151"/>
    <cellStyle name="Border 3 7 4 9" xfId="24362"/>
    <cellStyle name="Border 3 7 5" xfId="20032"/>
    <cellStyle name="Border 3 7 5 2" xfId="33311"/>
    <cellStyle name="Border 3 7 5 3" xfId="37174"/>
    <cellStyle name="Border 3 7 5 4" xfId="37538"/>
    <cellStyle name="Border 3 7 5 5" xfId="24422"/>
    <cellStyle name="Border 3 7 5 6" xfId="24477"/>
    <cellStyle name="Border 3 7 5 7" xfId="25287"/>
    <cellStyle name="Border 3 7 5 8" xfId="38818"/>
    <cellStyle name="Border 3 7 6" xfId="24704"/>
    <cellStyle name="Border 3 7 7" xfId="35635"/>
    <cellStyle name="Border 3 7 8" xfId="34826"/>
    <cellStyle name="Border 3 7 9" xfId="24182"/>
    <cellStyle name="Border 3 8" xfId="8737"/>
    <cellStyle name="Border 3 8 10" xfId="34323"/>
    <cellStyle name="Border 3 8 2" xfId="8738"/>
    <cellStyle name="Border 3 8 2 2" xfId="16041"/>
    <cellStyle name="Border 3 8 2 2 10" xfId="20487"/>
    <cellStyle name="Border 3 8 2 2 2" xfId="29433"/>
    <cellStyle name="Border 3 8 2 2 3" xfId="36057"/>
    <cellStyle name="Border 3 8 2 2 4" xfId="36304"/>
    <cellStyle name="Border 3 8 2 2 5" xfId="34313"/>
    <cellStyle name="Border 3 8 2 2 6" xfId="36171"/>
    <cellStyle name="Border 3 8 2 2 7" xfId="35016"/>
    <cellStyle name="Border 3 8 2 2 8" xfId="34704"/>
    <cellStyle name="Border 3 8 2 2 9" xfId="36608"/>
    <cellStyle name="Border 3 8 2 3" xfId="20036"/>
    <cellStyle name="Border 3 8 2 3 2" xfId="33315"/>
    <cellStyle name="Border 3 8 2 3 3" xfId="37178"/>
    <cellStyle name="Border 3 8 2 3 4" xfId="37542"/>
    <cellStyle name="Border 3 8 2 3 5" xfId="33555"/>
    <cellStyle name="Border 3 8 2 3 6" xfId="35642"/>
    <cellStyle name="Border 3 8 2 3 7" xfId="38299"/>
    <cellStyle name="Border 3 8 2 3 8" xfId="38822"/>
    <cellStyle name="Border 3 8 2 4" xfId="24708"/>
    <cellStyle name="Border 3 8 2 5" xfId="35413"/>
    <cellStyle name="Border 3 8 2 6" xfId="20663"/>
    <cellStyle name="Border 3 8 2 7" xfId="36185"/>
    <cellStyle name="Border 3 8 2 8" xfId="35888"/>
    <cellStyle name="Border 3 8 3" xfId="8739"/>
    <cellStyle name="Border 3 8 3 2" xfId="16042"/>
    <cellStyle name="Border 3 8 3 2 10" xfId="20574"/>
    <cellStyle name="Border 3 8 3 2 2" xfId="29434"/>
    <cellStyle name="Border 3 8 3 2 3" xfId="34890"/>
    <cellStyle name="Border 3 8 3 2 4" xfId="34137"/>
    <cellStyle name="Border 3 8 3 2 5" xfId="36230"/>
    <cellStyle name="Border 3 8 3 2 6" xfId="24294"/>
    <cellStyle name="Border 3 8 3 2 7" xfId="34405"/>
    <cellStyle name="Border 3 8 3 2 8" xfId="35905"/>
    <cellStyle name="Border 3 8 3 2 9" xfId="34984"/>
    <cellStyle name="Border 3 8 3 3" xfId="20037"/>
    <cellStyle name="Border 3 8 3 3 2" xfId="33316"/>
    <cellStyle name="Border 3 8 3 3 3" xfId="37179"/>
    <cellStyle name="Border 3 8 3 3 4" xfId="37543"/>
    <cellStyle name="Border 3 8 3 3 5" xfId="33623"/>
    <cellStyle name="Border 3 8 3 3 6" xfId="33826"/>
    <cellStyle name="Border 3 8 3 3 7" xfId="38300"/>
    <cellStyle name="Border 3 8 3 3 8" xfId="38823"/>
    <cellStyle name="Border 3 8 3 4" xfId="24709"/>
    <cellStyle name="Border 3 8 3 5" xfId="36437"/>
    <cellStyle name="Border 3 8 3 6" xfId="38047"/>
    <cellStyle name="Border 3 8 3 7" xfId="24181"/>
    <cellStyle name="Border 3 8 3 8" xfId="37984"/>
    <cellStyle name="Border 3 8 4" xfId="16040"/>
    <cellStyle name="Border 3 8 4 10" xfId="34650"/>
    <cellStyle name="Border 3 8 4 2" xfId="29432"/>
    <cellStyle name="Border 3 8 4 3" xfId="25167"/>
    <cellStyle name="Border 3 8 4 4" xfId="34743"/>
    <cellStyle name="Border 3 8 4 5" xfId="36589"/>
    <cellStyle name="Border 3 8 4 6" xfId="36120"/>
    <cellStyle name="Border 3 8 4 7" xfId="36161"/>
    <cellStyle name="Border 3 8 4 8" xfId="24604"/>
    <cellStyle name="Border 3 8 4 9" xfId="25484"/>
    <cellStyle name="Border 3 8 5" xfId="20035"/>
    <cellStyle name="Border 3 8 5 2" xfId="33314"/>
    <cellStyle name="Border 3 8 5 3" xfId="37177"/>
    <cellStyle name="Border 3 8 5 4" xfId="37541"/>
    <cellStyle name="Border 3 8 5 5" xfId="35438"/>
    <cellStyle name="Border 3 8 5 6" xfId="38078"/>
    <cellStyle name="Border 3 8 5 7" xfId="38277"/>
    <cellStyle name="Border 3 8 5 8" xfId="38821"/>
    <cellStyle name="Border 3 8 6" xfId="24707"/>
    <cellStyle name="Border 3 8 7" xfId="35850"/>
    <cellStyle name="Border 3 8 8" xfId="24598"/>
    <cellStyle name="Border 3 8 9" xfId="37976"/>
    <cellStyle name="Border 3 9" xfId="8740"/>
    <cellStyle name="Border 3 9 10" xfId="33730"/>
    <cellStyle name="Border 3 9 2" xfId="8741"/>
    <cellStyle name="Border 3 9 2 2" xfId="16044"/>
    <cellStyle name="Border 3 9 2 2 10" xfId="20621"/>
    <cellStyle name="Border 3 9 2 2 2" xfId="29436"/>
    <cellStyle name="Border 3 9 2 2 3" xfId="34892"/>
    <cellStyle name="Border 3 9 2 2 4" xfId="34139"/>
    <cellStyle name="Border 3 9 2 2 5" xfId="24497"/>
    <cellStyle name="Border 3 9 2 2 6" xfId="33865"/>
    <cellStyle name="Border 3 9 2 2 7" xfId="36265"/>
    <cellStyle name="Border 3 9 2 2 8" xfId="24434"/>
    <cellStyle name="Border 3 9 2 2 9" xfId="36868"/>
    <cellStyle name="Border 3 9 2 3" xfId="20039"/>
    <cellStyle name="Border 3 9 2 3 2" xfId="33318"/>
    <cellStyle name="Border 3 9 2 3 3" xfId="37181"/>
    <cellStyle name="Border 3 9 2 3 4" xfId="37545"/>
    <cellStyle name="Border 3 9 2 3 5" xfId="25399"/>
    <cellStyle name="Border 3 9 2 3 6" xfId="36781"/>
    <cellStyle name="Border 3 9 2 3 7" xfId="38302"/>
    <cellStyle name="Border 3 9 2 3 8" xfId="38825"/>
    <cellStyle name="Border 3 9 2 4" xfId="24711"/>
    <cellStyle name="Border 3 9 2 5" xfId="37710"/>
    <cellStyle name="Border 3 9 2 6" xfId="20662"/>
    <cellStyle name="Border 3 9 2 7" xfId="34234"/>
    <cellStyle name="Border 3 9 2 8" xfId="24262"/>
    <cellStyle name="Border 3 9 3" xfId="8742"/>
    <cellStyle name="Border 3 9 3 2" xfId="16045"/>
    <cellStyle name="Border 3 9 3 2 10" xfId="36298"/>
    <cellStyle name="Border 3 9 3 2 2" xfId="29437"/>
    <cellStyle name="Border 3 9 3 2 3" xfId="25168"/>
    <cellStyle name="Border 3 9 3 2 4" xfId="35930"/>
    <cellStyle name="Border 3 9 3 2 5" xfId="35153"/>
    <cellStyle name="Border 3 9 3 2 6" xfId="24756"/>
    <cellStyle name="Border 3 9 3 2 7" xfId="36101"/>
    <cellStyle name="Border 3 9 3 2 8" xfId="37359"/>
    <cellStyle name="Border 3 9 3 2 9" xfId="35892"/>
    <cellStyle name="Border 3 9 3 3" xfId="20040"/>
    <cellStyle name="Border 3 9 3 3 2" xfId="33319"/>
    <cellStyle name="Border 3 9 3 3 3" xfId="37182"/>
    <cellStyle name="Border 3 9 3 3 4" xfId="37546"/>
    <cellStyle name="Border 3 9 3 3 5" xfId="33844"/>
    <cellStyle name="Border 3 9 3 3 6" xfId="36178"/>
    <cellStyle name="Border 3 9 3 3 7" xfId="38303"/>
    <cellStyle name="Border 3 9 3 3 8" xfId="38826"/>
    <cellStyle name="Border 3 9 3 4" xfId="24712"/>
    <cellStyle name="Border 3 9 3 5" xfId="36277"/>
    <cellStyle name="Border 3 9 3 6" xfId="20661"/>
    <cellStyle name="Border 3 9 3 7" xfId="36345"/>
    <cellStyle name="Border 3 9 3 8" xfId="35415"/>
    <cellStyle name="Border 3 9 4" xfId="16043"/>
    <cellStyle name="Border 3 9 4 10" xfId="37998"/>
    <cellStyle name="Border 3 9 4 2" xfId="29435"/>
    <cellStyle name="Border 3 9 4 3" xfId="36059"/>
    <cellStyle name="Border 3 9 4 4" xfId="34138"/>
    <cellStyle name="Border 3 9 4 5" xfId="35393"/>
    <cellStyle name="Border 3 9 4 6" xfId="33885"/>
    <cellStyle name="Border 3 9 4 7" xfId="24898"/>
    <cellStyle name="Border 3 9 4 8" xfId="34629"/>
    <cellStyle name="Border 3 9 4 9" xfId="33989"/>
    <cellStyle name="Border 3 9 5" xfId="20038"/>
    <cellStyle name="Border 3 9 5 2" xfId="33317"/>
    <cellStyle name="Border 3 9 5 3" xfId="37180"/>
    <cellStyle name="Border 3 9 5 4" xfId="37544"/>
    <cellStyle name="Border 3 9 5 5" xfId="36512"/>
    <cellStyle name="Border 3 9 5 6" xfId="29627"/>
    <cellStyle name="Border 3 9 5 7" xfId="38301"/>
    <cellStyle name="Border 3 9 5 8" xfId="38824"/>
    <cellStyle name="Border 3 9 6" xfId="24710"/>
    <cellStyle name="Border 3 9 7" xfId="34530"/>
    <cellStyle name="Border 3 9 8" xfId="35356"/>
    <cellStyle name="Border 3 9 9" xfId="24332"/>
    <cellStyle name="Border 4" xfId="8743"/>
    <cellStyle name="Border 4 10" xfId="20660"/>
    <cellStyle name="Border 4 11" xfId="38475"/>
    <cellStyle name="Border 4 12" xfId="35455"/>
    <cellStyle name="Border 4 2" xfId="8744"/>
    <cellStyle name="Border 4 2 10" xfId="38272"/>
    <cellStyle name="Border 4 2 2" xfId="8745"/>
    <cellStyle name="Border 4 2 2 2" xfId="16048"/>
    <cellStyle name="Border 4 2 2 2 10" xfId="25564"/>
    <cellStyle name="Border 4 2 2 2 2" xfId="29440"/>
    <cellStyle name="Border 4 2 2 2 3" xfId="25169"/>
    <cellStyle name="Border 4 2 2 2 4" xfId="24928"/>
    <cellStyle name="Border 4 2 2 2 5" xfId="33918"/>
    <cellStyle name="Border 4 2 2 2 6" xfId="36622"/>
    <cellStyle name="Border 4 2 2 2 7" xfId="24440"/>
    <cellStyle name="Border 4 2 2 2 8" xfId="33707"/>
    <cellStyle name="Border 4 2 2 2 9" xfId="36378"/>
    <cellStyle name="Border 4 2 2 3" xfId="20043"/>
    <cellStyle name="Border 4 2 2 3 2" xfId="33322"/>
    <cellStyle name="Border 4 2 2 3 3" xfId="37185"/>
    <cellStyle name="Border 4 2 2 3 4" xfId="37549"/>
    <cellStyle name="Border 4 2 2 3 5" xfId="34208"/>
    <cellStyle name="Border 4 2 2 3 6" xfId="35252"/>
    <cellStyle name="Border 4 2 2 3 7" xfId="38306"/>
    <cellStyle name="Border 4 2 2 3 8" xfId="38829"/>
    <cellStyle name="Border 4 2 2 4" xfId="24715"/>
    <cellStyle name="Border 4 2 2 5" xfId="37534"/>
    <cellStyle name="Border 4 2 2 6" xfId="20659"/>
    <cellStyle name="Border 4 2 2 7" xfId="20490"/>
    <cellStyle name="Border 4 2 2 8" xfId="38288"/>
    <cellStyle name="Border 4 2 3" xfId="8746"/>
    <cellStyle name="Border 4 2 3 2" xfId="16049"/>
    <cellStyle name="Border 4 2 3 2 10" xfId="35279"/>
    <cellStyle name="Border 4 2 3 2 2" xfId="29441"/>
    <cellStyle name="Border 4 2 3 2 3" xfId="25170"/>
    <cellStyle name="Border 4 2 3 2 4" xfId="34140"/>
    <cellStyle name="Border 4 2 3 2 5" xfId="36588"/>
    <cellStyle name="Border 4 2 3 2 6" xfId="29623"/>
    <cellStyle name="Border 4 2 3 2 7" xfId="34329"/>
    <cellStyle name="Border 4 2 3 2 8" xfId="35369"/>
    <cellStyle name="Border 4 2 3 2 9" xfId="34197"/>
    <cellStyle name="Border 4 2 3 3" xfId="20044"/>
    <cellStyle name="Border 4 2 3 3 2" xfId="33323"/>
    <cellStyle name="Border 4 2 3 3 3" xfId="37186"/>
    <cellStyle name="Border 4 2 3 3 4" xfId="37550"/>
    <cellStyle name="Border 4 2 3 3 5" xfId="36635"/>
    <cellStyle name="Border 4 2 3 3 6" xfId="37882"/>
    <cellStyle name="Border 4 2 3 3 7" xfId="38307"/>
    <cellStyle name="Border 4 2 3 3 8" xfId="38830"/>
    <cellStyle name="Border 4 2 3 4" xfId="24716"/>
    <cellStyle name="Border 4 2 3 5" xfId="33533"/>
    <cellStyle name="Border 4 2 3 6" xfId="29650"/>
    <cellStyle name="Border 4 2 3 7" xfId="25526"/>
    <cellStyle name="Border 4 2 3 8" xfId="35878"/>
    <cellStyle name="Border 4 2 4" xfId="16047"/>
    <cellStyle name="Border 4 2 4 10" xfId="25732"/>
    <cellStyle name="Border 4 2 4 2" xfId="29439"/>
    <cellStyle name="Border 4 2 4 3" xfId="34891"/>
    <cellStyle name="Border 4 2 4 4" xfId="25311"/>
    <cellStyle name="Border 4 2 4 5" xfId="25257"/>
    <cellStyle name="Border 4 2 4 6" xfId="35044"/>
    <cellStyle name="Border 4 2 4 7" xfId="25792"/>
    <cellStyle name="Border 4 2 4 8" xfId="35283"/>
    <cellStyle name="Border 4 2 4 9" xfId="38036"/>
    <cellStyle name="Border 4 2 5" xfId="20042"/>
    <cellStyle name="Border 4 2 5 2" xfId="33321"/>
    <cellStyle name="Border 4 2 5 3" xfId="37184"/>
    <cellStyle name="Border 4 2 5 4" xfId="37548"/>
    <cellStyle name="Border 4 2 5 5" xfId="33624"/>
    <cellStyle name="Border 4 2 5 6" xfId="24778"/>
    <cellStyle name="Border 4 2 5 7" xfId="38305"/>
    <cellStyle name="Border 4 2 5 8" xfId="38828"/>
    <cellStyle name="Border 4 2 6" xfId="24714"/>
    <cellStyle name="Border 4 2 7" xfId="34958"/>
    <cellStyle name="Border 4 2 8" xfId="33872"/>
    <cellStyle name="Border 4 2 9" xfId="33694"/>
    <cellStyle name="Border 4 3" xfId="8747"/>
    <cellStyle name="Border 4 3 10" xfId="34092"/>
    <cellStyle name="Border 4 3 2" xfId="8748"/>
    <cellStyle name="Border 4 3 2 2" xfId="16051"/>
    <cellStyle name="Border 4 3 2 2 10" xfId="37022"/>
    <cellStyle name="Border 4 3 2 2 2" xfId="29443"/>
    <cellStyle name="Border 4 3 2 2 3" xfId="36048"/>
    <cellStyle name="Border 4 3 2 2 4" xfId="35113"/>
    <cellStyle name="Border 4 3 2 2 5" xfId="35045"/>
    <cellStyle name="Border 4 3 2 2 6" xfId="34571"/>
    <cellStyle name="Border 4 3 2 2 7" xfId="34420"/>
    <cellStyle name="Border 4 3 2 2 8" xfId="34404"/>
    <cellStyle name="Border 4 3 2 2 9" xfId="24408"/>
    <cellStyle name="Border 4 3 2 3" xfId="20046"/>
    <cellStyle name="Border 4 3 2 3 2" xfId="33325"/>
    <cellStyle name="Border 4 3 2 3 3" xfId="37188"/>
    <cellStyle name="Border 4 3 2 3 4" xfId="37552"/>
    <cellStyle name="Border 4 3 2 3 5" xfId="25695"/>
    <cellStyle name="Border 4 3 2 3 6" xfId="24400"/>
    <cellStyle name="Border 4 3 2 3 7" xfId="38309"/>
    <cellStyle name="Border 4 3 2 3 8" xfId="38832"/>
    <cellStyle name="Border 4 3 2 4" xfId="24718"/>
    <cellStyle name="Border 4 3 2 5" xfId="35461"/>
    <cellStyle name="Border 4 3 2 6" xfId="33860"/>
    <cellStyle name="Border 4 3 2 7" xfId="35570"/>
    <cellStyle name="Border 4 3 2 8" xfId="34055"/>
    <cellStyle name="Border 4 3 3" xfId="8749"/>
    <cellStyle name="Border 4 3 3 2" xfId="16052"/>
    <cellStyle name="Border 4 3 3 2 10" xfId="36198"/>
    <cellStyle name="Border 4 3 3 2 2" xfId="29444"/>
    <cellStyle name="Border 4 3 3 2 3" xfId="34881"/>
    <cellStyle name="Border 4 3 3 2 4" xfId="34141"/>
    <cellStyle name="Border 4 3 3 2 5" xfId="35392"/>
    <cellStyle name="Border 4 3 3 2 6" xfId="34501"/>
    <cellStyle name="Border 4 3 3 2 7" xfId="36477"/>
    <cellStyle name="Border 4 3 3 2 8" xfId="34721"/>
    <cellStyle name="Border 4 3 3 2 9" xfId="38134"/>
    <cellStyle name="Border 4 3 3 3" xfId="20047"/>
    <cellStyle name="Border 4 3 3 3 2" xfId="33326"/>
    <cellStyle name="Border 4 3 3 3 3" xfId="37189"/>
    <cellStyle name="Border 4 3 3 3 4" xfId="37553"/>
    <cellStyle name="Border 4 3 3 3 5" xfId="25103"/>
    <cellStyle name="Border 4 3 3 3 6" xfId="24260"/>
    <cellStyle name="Border 4 3 3 3 7" xfId="38310"/>
    <cellStyle name="Border 4 3 3 3 8" xfId="38833"/>
    <cellStyle name="Border 4 3 3 4" xfId="24719"/>
    <cellStyle name="Border 4 3 3 5" xfId="33983"/>
    <cellStyle name="Border 4 3 3 6" xfId="37371"/>
    <cellStyle name="Border 4 3 3 7" xfId="38255"/>
    <cellStyle name="Border 4 3 3 8" xfId="38683"/>
    <cellStyle name="Border 4 3 4" xfId="16050"/>
    <cellStyle name="Border 4 3 4 10" xfId="33655"/>
    <cellStyle name="Border 4 3 4 2" xfId="29442"/>
    <cellStyle name="Border 4 3 4 3" xfId="25171"/>
    <cellStyle name="Border 4 3 4 4" xfId="25310"/>
    <cellStyle name="Border 4 3 4 5" xfId="37025"/>
    <cellStyle name="Border 4 3 4 6" xfId="24867"/>
    <cellStyle name="Border 4 3 4 7" xfId="24873"/>
    <cellStyle name="Border 4 3 4 8" xfId="35087"/>
    <cellStyle name="Border 4 3 4 9" xfId="36694"/>
    <cellStyle name="Border 4 3 5" xfId="20045"/>
    <cellStyle name="Border 4 3 5 2" xfId="33324"/>
    <cellStyle name="Border 4 3 5 3" xfId="37187"/>
    <cellStyle name="Border 4 3 5 4" xfId="37551"/>
    <cellStyle name="Border 4 3 5 5" xfId="34965"/>
    <cellStyle name="Border 4 3 5 6" xfId="33788"/>
    <cellStyle name="Border 4 3 5 7" xfId="38308"/>
    <cellStyle name="Border 4 3 5 8" xfId="38831"/>
    <cellStyle name="Border 4 3 6" xfId="24717"/>
    <cellStyle name="Border 4 3 7" xfId="36534"/>
    <cellStyle name="Border 4 3 8" xfId="36191"/>
    <cellStyle name="Border 4 3 9" xfId="35826"/>
    <cellStyle name="Border 4 4" xfId="8750"/>
    <cellStyle name="Border 4 4 2" xfId="16053"/>
    <cellStyle name="Border 4 4 2 10" xfId="35715"/>
    <cellStyle name="Border 4 4 2 2" xfId="29445"/>
    <cellStyle name="Border 4 4 2 3" xfId="36056"/>
    <cellStyle name="Border 4 4 2 4" xfId="34755"/>
    <cellStyle name="Border 4 4 2 5" xfId="24498"/>
    <cellStyle name="Border 4 4 2 6" xfId="34226"/>
    <cellStyle name="Border 4 4 2 7" xfId="36619"/>
    <cellStyle name="Border 4 4 2 8" xfId="36652"/>
    <cellStyle name="Border 4 4 2 9" xfId="34062"/>
    <cellStyle name="Border 4 4 3" xfId="20048"/>
    <cellStyle name="Border 4 4 3 2" xfId="33327"/>
    <cellStyle name="Border 4 4 3 3" xfId="37190"/>
    <cellStyle name="Border 4 4 3 4" xfId="37554"/>
    <cellStyle name="Border 4 4 3 5" xfId="36513"/>
    <cellStyle name="Border 4 4 3 6" xfId="36452"/>
    <cellStyle name="Border 4 4 3 7" xfId="38311"/>
    <cellStyle name="Border 4 4 3 8" xfId="38834"/>
    <cellStyle name="Border 4 4 4" xfId="24720"/>
    <cellStyle name="Border 4 4 5" xfId="34818"/>
    <cellStyle name="Border 4 4 6" xfId="20658"/>
    <cellStyle name="Border 4 4 7" xfId="37016"/>
    <cellStyle name="Border 4 4 8" xfId="33848"/>
    <cellStyle name="Border 4 5" xfId="8751"/>
    <cellStyle name="Border 4 5 2" xfId="16054"/>
    <cellStyle name="Border 4 5 2 10" xfId="24961"/>
    <cellStyle name="Border 4 5 2 2" xfId="29446"/>
    <cellStyle name="Border 4 5 2 3" xfId="34889"/>
    <cellStyle name="Border 4 5 2 4" xfId="35114"/>
    <cellStyle name="Border 4 5 2 5" xfId="24499"/>
    <cellStyle name="Border 4 5 2 6" xfId="37347"/>
    <cellStyle name="Border 4 5 2 7" xfId="38127"/>
    <cellStyle name="Border 4 5 2 8" xfId="34506"/>
    <cellStyle name="Border 4 5 2 9" xfId="35574"/>
    <cellStyle name="Border 4 5 3" xfId="20049"/>
    <cellStyle name="Border 4 5 3 2" xfId="33328"/>
    <cellStyle name="Border 4 5 3 3" xfId="37191"/>
    <cellStyle name="Border 4 5 3 4" xfId="37555"/>
    <cellStyle name="Border 4 5 3 5" xfId="37894"/>
    <cellStyle name="Border 4 5 3 6" xfId="36262"/>
    <cellStyle name="Border 4 5 3 7" xfId="38312"/>
    <cellStyle name="Border 4 5 3 8" xfId="38835"/>
    <cellStyle name="Border 4 5 4" xfId="24721"/>
    <cellStyle name="Border 4 5 5" xfId="24790"/>
    <cellStyle name="Border 4 5 6" xfId="25567"/>
    <cellStyle name="Border 4 5 7" xfId="24180"/>
    <cellStyle name="Border 4 5 8" xfId="33857"/>
    <cellStyle name="Border 4 6" xfId="16046"/>
    <cellStyle name="Border 4 6 10" xfId="25444"/>
    <cellStyle name="Border 4 6 2" xfId="29438"/>
    <cellStyle name="Border 4 6 3" xfId="36058"/>
    <cellStyle name="Border 4 6 4" xfId="24926"/>
    <cellStyle name="Border 4 6 5" xfId="34696"/>
    <cellStyle name="Border 4 6 6" xfId="36640"/>
    <cellStyle name="Border 4 6 7" xfId="37533"/>
    <cellStyle name="Border 4 6 8" xfId="20593"/>
    <cellStyle name="Border 4 6 9" xfId="34021"/>
    <cellStyle name="Border 4 7" xfId="20041"/>
    <cellStyle name="Border 4 7 2" xfId="33320"/>
    <cellStyle name="Border 4 7 3" xfId="37183"/>
    <cellStyle name="Border 4 7 4" xfId="37547"/>
    <cellStyle name="Border 4 7 5" xfId="34378"/>
    <cellStyle name="Border 4 7 6" xfId="36359"/>
    <cellStyle name="Border 4 7 7" xfId="38304"/>
    <cellStyle name="Border 4 7 8" xfId="38827"/>
    <cellStyle name="Border 4 8" xfId="24713"/>
    <cellStyle name="Border 4 9" xfId="33825"/>
    <cellStyle name="Border 5" xfId="8752"/>
    <cellStyle name="Border 5 10" xfId="25512"/>
    <cellStyle name="Border 5 2" xfId="8753"/>
    <cellStyle name="Border 5 2 2" xfId="16056"/>
    <cellStyle name="Border 5 2 2 10" xfId="34387"/>
    <cellStyle name="Border 5 2 2 2" xfId="29448"/>
    <cellStyle name="Border 5 2 2 3" xfId="36055"/>
    <cellStyle name="Border 5 2 2 4" xfId="36308"/>
    <cellStyle name="Border 5 2 2 5" xfId="35854"/>
    <cellStyle name="Border 5 2 2 6" xfId="34651"/>
    <cellStyle name="Border 5 2 2 7" xfId="24876"/>
    <cellStyle name="Border 5 2 2 8" xfId="36706"/>
    <cellStyle name="Border 5 2 2 9" xfId="36690"/>
    <cellStyle name="Border 5 2 3" xfId="20051"/>
    <cellStyle name="Border 5 2 3 2" xfId="33330"/>
    <cellStyle name="Border 5 2 3 3" xfId="37193"/>
    <cellStyle name="Border 5 2 3 4" xfId="37557"/>
    <cellStyle name="Border 5 2 3 5" xfId="25398"/>
    <cellStyle name="Border 5 2 3 6" xfId="36261"/>
    <cellStyle name="Border 5 2 3 7" xfId="38314"/>
    <cellStyle name="Border 5 2 3 8" xfId="38837"/>
    <cellStyle name="Border 5 2 4" xfId="24723"/>
    <cellStyle name="Border 5 2 5" xfId="36610"/>
    <cellStyle name="Border 5 2 6" xfId="20657"/>
    <cellStyle name="Border 5 2 7" xfId="36709"/>
    <cellStyle name="Border 5 2 8" xfId="33664"/>
    <cellStyle name="Border 5 3" xfId="8754"/>
    <cellStyle name="Border 5 3 2" xfId="16057"/>
    <cellStyle name="Border 5 3 2 10" xfId="25435"/>
    <cellStyle name="Border 5 3 2 2" xfId="29449"/>
    <cellStyle name="Border 5 3 2 3" xfId="34888"/>
    <cellStyle name="Border 5 3 2 4" xfId="34142"/>
    <cellStyle name="Border 5 3 2 5" xfId="25258"/>
    <cellStyle name="Border 5 3 2 6" xfId="24441"/>
    <cellStyle name="Border 5 3 2 7" xfId="34610"/>
    <cellStyle name="Border 5 3 2 8" xfId="24594"/>
    <cellStyle name="Border 5 3 2 9" xfId="38064"/>
    <cellStyle name="Border 5 3 3" xfId="20052"/>
    <cellStyle name="Border 5 3 3 2" xfId="33331"/>
    <cellStyle name="Border 5 3 3 3" xfId="37194"/>
    <cellStyle name="Border 5 3 3 4" xfId="37558"/>
    <cellStyle name="Border 5 3 3 5" xfId="34673"/>
    <cellStyle name="Border 5 3 3 6" xfId="37333"/>
    <cellStyle name="Border 5 3 3 7" xfId="38315"/>
    <cellStyle name="Border 5 3 3 8" xfId="38838"/>
    <cellStyle name="Border 5 3 4" xfId="24724"/>
    <cellStyle name="Border 5 3 5" xfId="34979"/>
    <cellStyle name="Border 5 3 6" xfId="36872"/>
    <cellStyle name="Border 5 3 7" xfId="24789"/>
    <cellStyle name="Border 5 3 8" xfId="34227"/>
    <cellStyle name="Border 5 4" xfId="16055"/>
    <cellStyle name="Border 5 4 10" xfId="33737"/>
    <cellStyle name="Border 5 4 2" xfId="29447"/>
    <cellStyle name="Border 5 4 3" xfId="25172"/>
    <cellStyle name="Border 5 4 4" xfId="25309"/>
    <cellStyle name="Border 5 4 5" xfId="34793"/>
    <cellStyle name="Border 5 4 6" xfId="36214"/>
    <cellStyle name="Border 5 4 7" xfId="25036"/>
    <cellStyle name="Border 5 4 8" xfId="34781"/>
    <cellStyle name="Border 5 4 9" xfId="35874"/>
    <cellStyle name="Border 5 5" xfId="20050"/>
    <cellStyle name="Border 5 5 2" xfId="33329"/>
    <cellStyle name="Border 5 5 3" xfId="37192"/>
    <cellStyle name="Border 5 5 4" xfId="37556"/>
    <cellStyle name="Border 5 5 5" xfId="37893"/>
    <cellStyle name="Border 5 5 6" xfId="24357"/>
    <cellStyle name="Border 5 5 7" xfId="38313"/>
    <cellStyle name="Border 5 5 8" xfId="38836"/>
    <cellStyle name="Border 5 6" xfId="24722"/>
    <cellStyle name="Border 5 7" xfId="35566"/>
    <cellStyle name="Border 5 8" xfId="35522"/>
    <cellStyle name="Border 5 9" xfId="38474"/>
    <cellStyle name="Border 6" xfId="8755"/>
    <cellStyle name="Border 6 10" xfId="24979"/>
    <cellStyle name="Border 6 2" xfId="8756"/>
    <cellStyle name="Border 6 2 2" xfId="16059"/>
    <cellStyle name="Border 6 2 2 10" xfId="36603"/>
    <cellStyle name="Border 6 2 2 2" xfId="29451"/>
    <cellStyle name="Border 6 2 2 3" xfId="36052"/>
    <cellStyle name="Border 6 2 2 4" xfId="24927"/>
    <cellStyle name="Border 6 2 2 5" xfId="36584"/>
    <cellStyle name="Border 6 2 2 6" xfId="35347"/>
    <cellStyle name="Border 6 2 2 7" xfId="36495"/>
    <cellStyle name="Border 6 2 2 8" xfId="35365"/>
    <cellStyle name="Border 6 2 2 9" xfId="24249"/>
    <cellStyle name="Border 6 2 3" xfId="20054"/>
    <cellStyle name="Border 6 2 3 2" xfId="33333"/>
    <cellStyle name="Border 6 2 3 3" xfId="37196"/>
    <cellStyle name="Border 6 2 3 4" xfId="37560"/>
    <cellStyle name="Border 6 2 3 5" xfId="37895"/>
    <cellStyle name="Border 6 2 3 6" xfId="24595"/>
    <cellStyle name="Border 6 2 3 7" xfId="38317"/>
    <cellStyle name="Border 6 2 3 8" xfId="38840"/>
    <cellStyle name="Border 6 2 4" xfId="24726"/>
    <cellStyle name="Border 6 2 5" xfId="34733"/>
    <cellStyle name="Border 6 2 6" xfId="36867"/>
    <cellStyle name="Border 6 2 7" xfId="25405"/>
    <cellStyle name="Border 6 2 8" xfId="37373"/>
    <cellStyle name="Border 6 3" xfId="8757"/>
    <cellStyle name="Border 6 3 2" xfId="16060"/>
    <cellStyle name="Border 6 3 2 10" xfId="34580"/>
    <cellStyle name="Border 6 3 2 2" xfId="29452"/>
    <cellStyle name="Border 6 3 2 3" xfId="34885"/>
    <cellStyle name="Border 6 3 2 4" xfId="34143"/>
    <cellStyle name="Border 6 3 2 5" xfId="24886"/>
    <cellStyle name="Border 6 3 2 6" xfId="34973"/>
    <cellStyle name="Border 6 3 2 7" xfId="37462"/>
    <cellStyle name="Border 6 3 2 8" xfId="36728"/>
    <cellStyle name="Border 6 3 2 9" xfId="38057"/>
    <cellStyle name="Border 6 3 3" xfId="20055"/>
    <cellStyle name="Border 6 3 3 2" xfId="33334"/>
    <cellStyle name="Border 6 3 3 3" xfId="37197"/>
    <cellStyle name="Border 6 3 3 4" xfId="37561"/>
    <cellStyle name="Border 6 3 3 5" xfId="35984"/>
    <cellStyle name="Border 6 3 3 6" xfId="37033"/>
    <cellStyle name="Border 6 3 3 7" xfId="38318"/>
    <cellStyle name="Border 6 3 3 8" xfId="38841"/>
    <cellStyle name="Border 6 3 4" xfId="24727"/>
    <cellStyle name="Border 6 3 5" xfId="34490"/>
    <cellStyle name="Border 6 3 6" xfId="37484"/>
    <cellStyle name="Border 6 3 7" xfId="37271"/>
    <cellStyle name="Border 6 3 8" xfId="35841"/>
    <cellStyle name="Border 6 4" xfId="16058"/>
    <cellStyle name="Border 6 4 10" xfId="35484"/>
    <cellStyle name="Border 6 4 2" xfId="29450"/>
    <cellStyle name="Border 6 4 3" xfId="25173"/>
    <cellStyle name="Border 6 4 4" xfId="25308"/>
    <cellStyle name="Border 6 4 5" xfId="25015"/>
    <cellStyle name="Border 6 4 6" xfId="35265"/>
    <cellStyle name="Border 6 4 7" xfId="35357"/>
    <cellStyle name="Border 6 4 8" xfId="24270"/>
    <cellStyle name="Border 6 4 9" xfId="35907"/>
    <cellStyle name="Border 6 5" xfId="20053"/>
    <cellStyle name="Border 6 5 2" xfId="33332"/>
    <cellStyle name="Border 6 5 3" xfId="37195"/>
    <cellStyle name="Border 6 5 4" xfId="37559"/>
    <cellStyle name="Border 6 5 5" xfId="37896"/>
    <cellStyle name="Border 6 5 6" xfId="25514"/>
    <cellStyle name="Border 6 5 7" xfId="38316"/>
    <cellStyle name="Border 6 5 8" xfId="38839"/>
    <cellStyle name="Border 6 6" xfId="24725"/>
    <cellStyle name="Border 6 7" xfId="24476"/>
    <cellStyle name="Border 6 8" xfId="35792"/>
    <cellStyle name="Border 6 9" xfId="35775"/>
    <cellStyle name="Border 7" xfId="8758"/>
    <cellStyle name="Border 7 10" xfId="34627"/>
    <cellStyle name="Border 7 2" xfId="8759"/>
    <cellStyle name="Border 7 2 2" xfId="16062"/>
    <cellStyle name="Border 7 2 2 10" xfId="34036"/>
    <cellStyle name="Border 7 2 2 2" xfId="29454"/>
    <cellStyle name="Border 7 2 2 3" xfId="34887"/>
    <cellStyle name="Border 7 2 2 4" xfId="34756"/>
    <cellStyle name="Border 7 2 2 5" xfId="35388"/>
    <cellStyle name="Border 7 2 2 6" xfId="36377"/>
    <cellStyle name="Border 7 2 2 7" xfId="34536"/>
    <cellStyle name="Border 7 2 2 8" xfId="24481"/>
    <cellStyle name="Border 7 2 2 9" xfId="38133"/>
    <cellStyle name="Border 7 2 3" xfId="20057"/>
    <cellStyle name="Border 7 2 3 2" xfId="33336"/>
    <cellStyle name="Border 7 2 3 3" xfId="37199"/>
    <cellStyle name="Border 7 2 3 4" xfId="37563"/>
    <cellStyle name="Border 7 2 3 5" xfId="37892"/>
    <cellStyle name="Border 7 2 3 6" xfId="33756"/>
    <cellStyle name="Border 7 2 3 7" xfId="38320"/>
    <cellStyle name="Border 7 2 3 8" xfId="38843"/>
    <cellStyle name="Border 7 2 4" xfId="24729"/>
    <cellStyle name="Border 7 2 5" xfId="36718"/>
    <cellStyle name="Border 7 2 6" xfId="25274"/>
    <cellStyle name="Border 7 2 7" xfId="35238"/>
    <cellStyle name="Border 7 2 8" xfId="35551"/>
    <cellStyle name="Border 7 3" xfId="8760"/>
    <cellStyle name="Border 7 3 2" xfId="16063"/>
    <cellStyle name="Border 7 3 2 10" xfId="35474"/>
    <cellStyle name="Border 7 3 2 2" xfId="29455"/>
    <cellStyle name="Border 7 3 2 3" xfId="25174"/>
    <cellStyle name="Border 7 3 2 4" xfId="36307"/>
    <cellStyle name="Border 7 3 2 5" xfId="34311"/>
    <cellStyle name="Border 7 3 2 6" xfId="33950"/>
    <cellStyle name="Border 7 3 2 7" xfId="35848"/>
    <cellStyle name="Border 7 3 2 8" xfId="35247"/>
    <cellStyle name="Border 7 3 2 9" xfId="38258"/>
    <cellStyle name="Border 7 3 3" xfId="20058"/>
    <cellStyle name="Border 7 3 3 2" xfId="33337"/>
    <cellStyle name="Border 7 3 3 3" xfId="37200"/>
    <cellStyle name="Border 7 3 3 4" xfId="37564"/>
    <cellStyle name="Border 7 3 3 5" xfId="33625"/>
    <cellStyle name="Border 7 3 3 6" xfId="35328"/>
    <cellStyle name="Border 7 3 3 7" xfId="38321"/>
    <cellStyle name="Border 7 3 3 8" xfId="38844"/>
    <cellStyle name="Border 7 3 4" xfId="24730"/>
    <cellStyle name="Border 7 3 5" xfId="36228"/>
    <cellStyle name="Border 7 3 6" xfId="35091"/>
    <cellStyle name="Border 7 3 7" xfId="20592"/>
    <cellStyle name="Border 7 3 8" xfId="35462"/>
    <cellStyle name="Border 7 4" xfId="16061"/>
    <cellStyle name="Border 7 4 10" xfId="36432"/>
    <cellStyle name="Border 7 4 2" xfId="29453"/>
    <cellStyle name="Border 7 4 3" xfId="36054"/>
    <cellStyle name="Border 7 4 4" xfId="34144"/>
    <cellStyle name="Border 7 4 5" xfId="25408"/>
    <cellStyle name="Border 7 4 6" xfId="37700"/>
    <cellStyle name="Border 7 4 7" xfId="35917"/>
    <cellStyle name="Border 7 4 8" xfId="33958"/>
    <cellStyle name="Border 7 4 9" xfId="34605"/>
    <cellStyle name="Border 7 5" xfId="20056"/>
    <cellStyle name="Border 7 5 2" xfId="33335"/>
    <cellStyle name="Border 7 5 3" xfId="37198"/>
    <cellStyle name="Border 7 5 4" xfId="37562"/>
    <cellStyle name="Border 7 5 5" xfId="37897"/>
    <cellStyle name="Border 7 5 6" xfId="35020"/>
    <cellStyle name="Border 7 5 7" xfId="38319"/>
    <cellStyle name="Border 7 5 8" xfId="38842"/>
    <cellStyle name="Border 7 6" xfId="24728"/>
    <cellStyle name="Border 7 7" xfId="34068"/>
    <cellStyle name="Border 7 8" xfId="35074"/>
    <cellStyle name="Border 7 9" xfId="24179"/>
    <cellStyle name="Border 8" xfId="8761"/>
    <cellStyle name="Border 8 10" xfId="35581"/>
    <cellStyle name="Border 8 2" xfId="8762"/>
    <cellStyle name="Border 8 2 2" xfId="16065"/>
    <cellStyle name="Border 8 2 2 10" xfId="34453"/>
    <cellStyle name="Border 8 2 2 2" xfId="29457"/>
    <cellStyle name="Border 8 2 2 3" xfId="34886"/>
    <cellStyle name="Border 8 2 2 4" xfId="36309"/>
    <cellStyle name="Border 8 2 2 5" xfId="25253"/>
    <cellStyle name="Border 8 2 2 6" xfId="36182"/>
    <cellStyle name="Border 8 2 2 7" xfId="34076"/>
    <cellStyle name="Border 8 2 2 8" xfId="34470"/>
    <cellStyle name="Border 8 2 2 9" xfId="36648"/>
    <cellStyle name="Border 8 2 3" xfId="20060"/>
    <cellStyle name="Border 8 2 3 2" xfId="33339"/>
    <cellStyle name="Border 8 2 3 3" xfId="37202"/>
    <cellStyle name="Border 8 2 3 4" xfId="37566"/>
    <cellStyle name="Border 8 2 3 5" xfId="25289"/>
    <cellStyle name="Border 8 2 3 6" xfId="25085"/>
    <cellStyle name="Border 8 2 3 7" xfId="38323"/>
    <cellStyle name="Border 8 2 3 8" xfId="38846"/>
    <cellStyle name="Border 8 2 4" xfId="24732"/>
    <cellStyle name="Border 8 2 5" xfId="37709"/>
    <cellStyle name="Border 8 2 6" xfId="29649"/>
    <cellStyle name="Border 8 2 7" xfId="36460"/>
    <cellStyle name="Border 8 2 8" xfId="35822"/>
    <cellStyle name="Border 8 3" xfId="8763"/>
    <cellStyle name="Border 8 3 2" xfId="16066"/>
    <cellStyle name="Border 8 3 2 10" xfId="34624"/>
    <cellStyle name="Border 8 3 2 2" xfId="29458"/>
    <cellStyle name="Border 8 3 2 3" xfId="25175"/>
    <cellStyle name="Border 8 3 2 4" xfId="34145"/>
    <cellStyle name="Border 8 3 2 5" xfId="33917"/>
    <cellStyle name="Border 8 3 2 6" xfId="25737"/>
    <cellStyle name="Border 8 3 2 7" xfId="36096"/>
    <cellStyle name="Border 8 3 2 8" xfId="24225"/>
    <cellStyle name="Border 8 3 2 9" xfId="24216"/>
    <cellStyle name="Border 8 3 3" xfId="20061"/>
    <cellStyle name="Border 8 3 3 2" xfId="33340"/>
    <cellStyle name="Border 8 3 3 3" xfId="37203"/>
    <cellStyle name="Border 8 3 3 4" xfId="37567"/>
    <cellStyle name="Border 8 3 3 5" xfId="25397"/>
    <cellStyle name="Border 8 3 3 6" xfId="36455"/>
    <cellStyle name="Border 8 3 3 7" xfId="38324"/>
    <cellStyle name="Border 8 3 3 8" xfId="38847"/>
    <cellStyle name="Border 8 3 4" xfId="24733"/>
    <cellStyle name="Border 8 3 5" xfId="34625"/>
    <cellStyle name="Border 8 3 6" xfId="35004"/>
    <cellStyle name="Border 8 3 7" xfId="38226"/>
    <cellStyle name="Border 8 3 8" xfId="36013"/>
    <cellStyle name="Border 8 4" xfId="16064"/>
    <cellStyle name="Border 8 4 10" xfId="38392"/>
    <cellStyle name="Border 8 4 2" xfId="29456"/>
    <cellStyle name="Border 8 4 3" xfId="36053"/>
    <cellStyle name="Border 8 4 4" xfId="35929"/>
    <cellStyle name="Border 8 4 5" xfId="35049"/>
    <cellStyle name="Border 8 4 6" xfId="35166"/>
    <cellStyle name="Border 8 4 7" xfId="34957"/>
    <cellStyle name="Border 8 4 8" xfId="24394"/>
    <cellStyle name="Border 8 4 9" xfId="33954"/>
    <cellStyle name="Border 8 5" xfId="20059"/>
    <cellStyle name="Border 8 5 2" xfId="33338"/>
    <cellStyle name="Border 8 5 3" xfId="37201"/>
    <cellStyle name="Border 8 5 4" xfId="37565"/>
    <cellStyle name="Border 8 5 5" xfId="37950"/>
    <cellStyle name="Border 8 5 6" xfId="24223"/>
    <cellStyle name="Border 8 5 7" xfId="38322"/>
    <cellStyle name="Border 8 5 8" xfId="38845"/>
    <cellStyle name="Border 8 6" xfId="24731"/>
    <cellStyle name="Border 8 7" xfId="25413"/>
    <cellStyle name="Border 8 8" xfId="34528"/>
    <cellStyle name="Border 8 9" xfId="38473"/>
    <cellStyle name="Border 9" xfId="8764"/>
    <cellStyle name="Border 9 10" xfId="38463"/>
    <cellStyle name="Border 9 2" xfId="8765"/>
    <cellStyle name="Border 9 2 2" xfId="16068"/>
    <cellStyle name="Border 9 2 2 10" xfId="38298"/>
    <cellStyle name="Border 9 2 2 2" xfId="29460"/>
    <cellStyle name="Border 9 2 2 3" xfId="36049"/>
    <cellStyle name="Border 9 2 2 4" xfId="35112"/>
    <cellStyle name="Border 9 2 2 5" xfId="34312"/>
    <cellStyle name="Border 9 2 2 6" xfId="24885"/>
    <cellStyle name="Border 9 2 2 7" xfId="25021"/>
    <cellStyle name="Border 9 2 2 8" xfId="34371"/>
    <cellStyle name="Border 9 2 2 9" xfId="36451"/>
    <cellStyle name="Border 9 2 3" xfId="20063"/>
    <cellStyle name="Border 9 2 3 2" xfId="33342"/>
    <cellStyle name="Border 9 2 3 3" xfId="37205"/>
    <cellStyle name="Border 9 2 3 4" xfId="37569"/>
    <cellStyle name="Border 9 2 3 5" xfId="34992"/>
    <cellStyle name="Border 9 2 3 6" xfId="25270"/>
    <cellStyle name="Border 9 2 3 7" xfId="38326"/>
    <cellStyle name="Border 9 2 3 8" xfId="38849"/>
    <cellStyle name="Border 9 2 4" xfId="24735"/>
    <cellStyle name="Border 9 2 5" xfId="35170"/>
    <cellStyle name="Border 9 2 6" xfId="25128"/>
    <cellStyle name="Border 9 2 7" xfId="34025"/>
    <cellStyle name="Border 9 2 8" xfId="24343"/>
    <cellStyle name="Border 9 3" xfId="8766"/>
    <cellStyle name="Border 9 3 2" xfId="16069"/>
    <cellStyle name="Border 9 3 2 10" xfId="36494"/>
    <cellStyle name="Border 9 3 2 2" xfId="29461"/>
    <cellStyle name="Border 9 3 2 3" xfId="34882"/>
    <cellStyle name="Border 9 3 2 4" xfId="34146"/>
    <cellStyle name="Border 9 3 2 5" xfId="33916"/>
    <cellStyle name="Border 9 3 2 6" xfId="34050"/>
    <cellStyle name="Border 9 3 2 7" xfId="34508"/>
    <cellStyle name="Border 9 3 2 8" xfId="36561"/>
    <cellStyle name="Border 9 3 2 9" xfId="38073"/>
    <cellStyle name="Border 9 3 3" xfId="20064"/>
    <cellStyle name="Border 9 3 3 2" xfId="33343"/>
    <cellStyle name="Border 9 3 3 3" xfId="37206"/>
    <cellStyle name="Border 9 3 3 4" xfId="37570"/>
    <cellStyle name="Border 9 3 3 5" xfId="25555"/>
    <cellStyle name="Border 9 3 3 6" xfId="25691"/>
    <cellStyle name="Border 9 3 3 7" xfId="38327"/>
    <cellStyle name="Border 9 3 3 8" xfId="38850"/>
    <cellStyle name="Border 9 3 4" xfId="24736"/>
    <cellStyle name="Border 9 3 5" xfId="25339"/>
    <cellStyle name="Border 9 3 6" xfId="24238"/>
    <cellStyle name="Border 9 3 7" xfId="36764"/>
    <cellStyle name="Border 9 3 8" xfId="38977"/>
    <cellStyle name="Border 9 4" xfId="16067"/>
    <cellStyle name="Border 9 4 10" xfId="36748"/>
    <cellStyle name="Border 9 4 2" xfId="29459"/>
    <cellStyle name="Border 9 4 3" xfId="25176"/>
    <cellStyle name="Border 9 4 4" xfId="25307"/>
    <cellStyle name="Border 9 4 5" xfId="36586"/>
    <cellStyle name="Border 9 4 6" xfId="36486"/>
    <cellStyle name="Border 9 4 7" xfId="36565"/>
    <cellStyle name="Border 9 4 8" xfId="37470"/>
    <cellStyle name="Border 9 4 9" xfId="25586"/>
    <cellStyle name="Border 9 5" xfId="20062"/>
    <cellStyle name="Border 9 5 2" xfId="33341"/>
    <cellStyle name="Border 9 5 3" xfId="37204"/>
    <cellStyle name="Border 9 5 4" xfId="37568"/>
    <cellStyle name="Border 9 5 5" xfId="25694"/>
    <cellStyle name="Border 9 5 6" xfId="35470"/>
    <cellStyle name="Border 9 5 7" xfId="38325"/>
    <cellStyle name="Border 9 5 8" xfId="38848"/>
    <cellStyle name="Border 9 6" xfId="24734"/>
    <cellStyle name="Border 9 7" xfId="37973"/>
    <cellStyle name="Border 9 8" xfId="38071"/>
    <cellStyle name="Border 9 9" xfId="34705"/>
    <cellStyle name="Border Heavy" xfId="8767"/>
    <cellStyle name="Border Heavy 2" xfId="8768"/>
    <cellStyle name="Border Heavy 2 2" xfId="8769"/>
    <cellStyle name="Border Heavy 3" xfId="8770"/>
    <cellStyle name="Border Heavy 4" xfId="8771"/>
    <cellStyle name="Border Thin" xfId="8772"/>
    <cellStyle name="Border Thin 2" xfId="8773"/>
    <cellStyle name="Border Thin 2 2" xfId="8774"/>
    <cellStyle name="Border Thin 3" xfId="8775"/>
    <cellStyle name="Border, Bottom" xfId="8776"/>
    <cellStyle name="Border, Bottom 2" xfId="8777"/>
    <cellStyle name="Border, Left" xfId="8778"/>
    <cellStyle name="Border, Right" xfId="8779"/>
    <cellStyle name="Border, Top" xfId="8780"/>
    <cellStyle name="Border, Top 2" xfId="8781"/>
    <cellStyle name="Border_Anaphore 12 31 2008 Draft Analysis 02 19 2009" xfId="8782"/>
    <cellStyle name="Bottom bold border" xfId="8783"/>
    <cellStyle name="Bottom bold border 2" xfId="8784"/>
    <cellStyle name="Bottom bold border 2 2" xfId="8785"/>
    <cellStyle name="Bottom bold border 2 3" xfId="24739"/>
    <cellStyle name="Bottom bold border 2 4" xfId="33684"/>
    <cellStyle name="Bottom bold border 3" xfId="8786"/>
    <cellStyle name="Bottom bold border 3 2" xfId="24740"/>
    <cellStyle name="Bottom bold border 3 3" xfId="33686"/>
    <cellStyle name="Bottom bold border 4" xfId="8787"/>
    <cellStyle name="Bottom bold border 4 2" xfId="24741"/>
    <cellStyle name="Bottom bold border 4 3" xfId="33687"/>
    <cellStyle name="Bottom bold border 5" xfId="8788"/>
    <cellStyle name="Bottom bold border 5 2" xfId="24742"/>
    <cellStyle name="Bottom bold border 5 3" xfId="33688"/>
    <cellStyle name="Bottom Edge" xfId="8789"/>
    <cellStyle name="Bottom Edge 2" xfId="8790"/>
    <cellStyle name="Bottom single border" xfId="8791"/>
    <cellStyle name="Bottom single border 2" xfId="8792"/>
    <cellStyle name="Bottom single border 2 2" xfId="8793"/>
    <cellStyle name="Bottom single border 2 3" xfId="20259"/>
    <cellStyle name="Bottom single border 2 4" xfId="34039"/>
    <cellStyle name="Bottom single border 3" xfId="8794"/>
    <cellStyle name="Bottom single border 3 2" xfId="20260"/>
    <cellStyle name="Bottom single border 3 3" xfId="35306"/>
    <cellStyle name="Bottom single border 4" xfId="8795"/>
    <cellStyle name="Bottom single border 4 2" xfId="20261"/>
    <cellStyle name="Bottom single border 4 3" xfId="20620"/>
    <cellStyle name="Bottom single border 5" xfId="8796"/>
    <cellStyle name="Bottom single border 5 2" xfId="20262"/>
    <cellStyle name="Bottom single border 5 3" xfId="37375"/>
    <cellStyle name="British Pound" xfId="8797"/>
    <cellStyle name="British Pound 10" xfId="8798"/>
    <cellStyle name="British Pound 10 2" xfId="8799"/>
    <cellStyle name="British Pound 10 3" xfId="8800"/>
    <cellStyle name="British Pound 10 4" xfId="8801"/>
    <cellStyle name="British Pound 10 5" xfId="8802"/>
    <cellStyle name="British Pound 10 6" xfId="8803"/>
    <cellStyle name="British Pound 10 7" xfId="8804"/>
    <cellStyle name="British Pound 10 8" xfId="8805"/>
    <cellStyle name="British Pound 10 9" xfId="8806"/>
    <cellStyle name="British Pound 11" xfId="8807"/>
    <cellStyle name="British Pound 11 2" xfId="8808"/>
    <cellStyle name="British Pound 11 2 2" xfId="8809"/>
    <cellStyle name="British Pound 11 2 2 2" xfId="8810"/>
    <cellStyle name="British Pound 11 2 2 3" xfId="8811"/>
    <cellStyle name="British Pound 11 2 2 4" xfId="8812"/>
    <cellStyle name="British Pound 11 2 2 5" xfId="8813"/>
    <cellStyle name="British Pound 11 2 2 6" xfId="8814"/>
    <cellStyle name="British Pound 11 2 2 7" xfId="8815"/>
    <cellStyle name="British Pound 11 2 2 8" xfId="8816"/>
    <cellStyle name="British Pound 11 2 3" xfId="8817"/>
    <cellStyle name="British Pound 11 2 4" xfId="8818"/>
    <cellStyle name="British Pound 11 2 5" xfId="8819"/>
    <cellStyle name="British Pound 11 2 6" xfId="8820"/>
    <cellStyle name="British Pound 11 2 7" xfId="8821"/>
    <cellStyle name="British Pound 11 2 8" xfId="8822"/>
    <cellStyle name="British Pound 11 2 9" xfId="8823"/>
    <cellStyle name="British Pound 11 3" xfId="8824"/>
    <cellStyle name="British Pound 11 3 2" xfId="8825"/>
    <cellStyle name="British Pound 11 3 3" xfId="8826"/>
    <cellStyle name="British Pound 11 3 4" xfId="8827"/>
    <cellStyle name="British Pound 11 3 5" xfId="8828"/>
    <cellStyle name="British Pound 11 3 6" xfId="8829"/>
    <cellStyle name="British Pound 11 3 7" xfId="8830"/>
    <cellStyle name="British Pound 11 3 8" xfId="8831"/>
    <cellStyle name="British Pound 11 4" xfId="8832"/>
    <cellStyle name="British Pound 11 5" xfId="8833"/>
    <cellStyle name="British Pound 11 6" xfId="8834"/>
    <cellStyle name="British Pound 11 7" xfId="8835"/>
    <cellStyle name="British Pound 11 8" xfId="8836"/>
    <cellStyle name="British Pound 11 9" xfId="8837"/>
    <cellStyle name="British Pound 12" xfId="8838"/>
    <cellStyle name="British Pound 12 10" xfId="8839"/>
    <cellStyle name="British Pound 12 11" xfId="8840"/>
    <cellStyle name="British Pound 12 12" xfId="8841"/>
    <cellStyle name="British Pound 12 13" xfId="8842"/>
    <cellStyle name="British Pound 12 14" xfId="8843"/>
    <cellStyle name="British Pound 12 15" xfId="8844"/>
    <cellStyle name="British Pound 12 16" xfId="8845"/>
    <cellStyle name="British Pound 12 2" xfId="8846"/>
    <cellStyle name="British Pound 12 3" xfId="8847"/>
    <cellStyle name="British Pound 12 4" xfId="8848"/>
    <cellStyle name="British Pound 12 5" xfId="8849"/>
    <cellStyle name="British Pound 12 6" xfId="8850"/>
    <cellStyle name="British Pound 12 7" xfId="8851"/>
    <cellStyle name="British Pound 12 8" xfId="8852"/>
    <cellStyle name="British Pound 12 9" xfId="8853"/>
    <cellStyle name="British Pound 13" xfId="8854"/>
    <cellStyle name="British Pound 13 2" xfId="8855"/>
    <cellStyle name="British Pound 13 3" xfId="8856"/>
    <cellStyle name="British Pound 13 4" xfId="8857"/>
    <cellStyle name="British Pound 13 5" xfId="8858"/>
    <cellStyle name="British Pound 13 6" xfId="8859"/>
    <cellStyle name="British Pound 13 7" xfId="8860"/>
    <cellStyle name="British Pound 13 8" xfId="8861"/>
    <cellStyle name="British Pound 13 9" xfId="8862"/>
    <cellStyle name="British Pound 14" xfId="8863"/>
    <cellStyle name="British Pound 14 2" xfId="8864"/>
    <cellStyle name="British Pound 14 3" xfId="8865"/>
    <cellStyle name="British Pound 14 4" xfId="8866"/>
    <cellStyle name="British Pound 14 5" xfId="8867"/>
    <cellStyle name="British Pound 14 6" xfId="8868"/>
    <cellStyle name="British Pound 14 7" xfId="8869"/>
    <cellStyle name="British Pound 14 8" xfId="8870"/>
    <cellStyle name="British Pound 14 9" xfId="8871"/>
    <cellStyle name="British Pound 15" xfId="8872"/>
    <cellStyle name="British Pound 15 2" xfId="8873"/>
    <cellStyle name="British Pound 15 3" xfId="8874"/>
    <cellStyle name="British Pound 15 4" xfId="8875"/>
    <cellStyle name="British Pound 15 5" xfId="8876"/>
    <cellStyle name="British Pound 15 6" xfId="8877"/>
    <cellStyle name="British Pound 15 7" xfId="8878"/>
    <cellStyle name="British Pound 15 8" xfId="8879"/>
    <cellStyle name="British Pound 15 9" xfId="8880"/>
    <cellStyle name="British Pound 16" xfId="8881"/>
    <cellStyle name="British Pound 16 2" xfId="8882"/>
    <cellStyle name="British Pound 16 3" xfId="8883"/>
    <cellStyle name="British Pound 16 4" xfId="8884"/>
    <cellStyle name="British Pound 16 5" xfId="8885"/>
    <cellStyle name="British Pound 16 6" xfId="8886"/>
    <cellStyle name="British Pound 16 7" xfId="8887"/>
    <cellStyle name="British Pound 16 8" xfId="8888"/>
    <cellStyle name="British Pound 16 9" xfId="8889"/>
    <cellStyle name="British Pound 17" xfId="8890"/>
    <cellStyle name="British Pound 17 2" xfId="8891"/>
    <cellStyle name="British Pound 17 3" xfId="8892"/>
    <cellStyle name="British Pound 17 4" xfId="8893"/>
    <cellStyle name="British Pound 17 5" xfId="8894"/>
    <cellStyle name="British Pound 17 6" xfId="8895"/>
    <cellStyle name="British Pound 17 7" xfId="8896"/>
    <cellStyle name="British Pound 17 8" xfId="8897"/>
    <cellStyle name="British Pound 17 9" xfId="8898"/>
    <cellStyle name="British Pound 18" xfId="8899"/>
    <cellStyle name="British Pound 18 2" xfId="8900"/>
    <cellStyle name="British Pound 18 3" xfId="8901"/>
    <cellStyle name="British Pound 18 4" xfId="8902"/>
    <cellStyle name="British Pound 18 5" xfId="8903"/>
    <cellStyle name="British Pound 18 6" xfId="8904"/>
    <cellStyle name="British Pound 18 7" xfId="8905"/>
    <cellStyle name="British Pound 18 8" xfId="8906"/>
    <cellStyle name="British Pound 18 9" xfId="8907"/>
    <cellStyle name="British Pound 19" xfId="8908"/>
    <cellStyle name="British Pound 19 2" xfId="8909"/>
    <cellStyle name="British Pound 19 3" xfId="8910"/>
    <cellStyle name="British Pound 19 4" xfId="8911"/>
    <cellStyle name="British Pound 19 5" xfId="8912"/>
    <cellStyle name="British Pound 19 6" xfId="8913"/>
    <cellStyle name="British Pound 19 7" xfId="8914"/>
    <cellStyle name="British Pound 19 8" xfId="8915"/>
    <cellStyle name="British Pound 19 9" xfId="8916"/>
    <cellStyle name="British Pound 2" xfId="8917"/>
    <cellStyle name="British Pound 2 10" xfId="8918"/>
    <cellStyle name="British Pound 2 11" xfId="8919"/>
    <cellStyle name="British Pound 2 11 2" xfId="8920"/>
    <cellStyle name="British Pound 2 11 3" xfId="8921"/>
    <cellStyle name="British Pound 2 11 4" xfId="8922"/>
    <cellStyle name="British Pound 2 11 5" xfId="8923"/>
    <cellStyle name="British Pound 2 11 6" xfId="8924"/>
    <cellStyle name="British Pound 2 11 7" xfId="8925"/>
    <cellStyle name="British Pound 2 11 8" xfId="8926"/>
    <cellStyle name="British Pound 2 12" xfId="8927"/>
    <cellStyle name="British Pound 2 12 2" xfId="8928"/>
    <cellStyle name="British Pound 2 12 3" xfId="8929"/>
    <cellStyle name="British Pound 2 12 4" xfId="8930"/>
    <cellStyle name="British Pound 2 12 5" xfId="8931"/>
    <cellStyle name="British Pound 2 12 6" xfId="8932"/>
    <cellStyle name="British Pound 2 12 7" xfId="8933"/>
    <cellStyle name="British Pound 2 12 8" xfId="8934"/>
    <cellStyle name="British Pound 2 13" xfId="8935"/>
    <cellStyle name="British Pound 2 14" xfId="8936"/>
    <cellStyle name="British Pound 2 15" xfId="8937"/>
    <cellStyle name="British Pound 2 16" xfId="8938"/>
    <cellStyle name="British Pound 2 17" xfId="8939"/>
    <cellStyle name="British Pound 2 18" xfId="8940"/>
    <cellStyle name="British Pound 2 2" xfId="8941"/>
    <cellStyle name="British Pound 2 2 10" xfId="8942"/>
    <cellStyle name="British Pound 2 2 11" xfId="8943"/>
    <cellStyle name="British Pound 2 2 12" xfId="8944"/>
    <cellStyle name="British Pound 2 2 13" xfId="8945"/>
    <cellStyle name="British Pound 2 2 14" xfId="8946"/>
    <cellStyle name="British Pound 2 2 15" xfId="8947"/>
    <cellStyle name="British Pound 2 2 16" xfId="8948"/>
    <cellStyle name="British Pound 2 2 17" xfId="8949"/>
    <cellStyle name="British Pound 2 2 18" xfId="8950"/>
    <cellStyle name="British Pound 2 2 2" xfId="8951"/>
    <cellStyle name="British Pound 2 2 2 10" xfId="8952"/>
    <cellStyle name="British Pound 2 2 2 11" xfId="8953"/>
    <cellStyle name="British Pound 2 2 2 12" xfId="8954"/>
    <cellStyle name="British Pound 2 2 2 13" xfId="8955"/>
    <cellStyle name="British Pound 2 2 2 14" xfId="8956"/>
    <cellStyle name="British Pound 2 2 2 15" xfId="8957"/>
    <cellStyle name="British Pound 2 2 2 16" xfId="8958"/>
    <cellStyle name="British Pound 2 2 2 2" xfId="8959"/>
    <cellStyle name="British Pound 2 2 2 2 10" xfId="8960"/>
    <cellStyle name="British Pound 2 2 2 2 11" xfId="8961"/>
    <cellStyle name="British Pound 2 2 2 2 12" xfId="8962"/>
    <cellStyle name="British Pound 2 2 2 2 13" xfId="8963"/>
    <cellStyle name="British Pound 2 2 2 2 14" xfId="8964"/>
    <cellStyle name="British Pound 2 2 2 2 15" xfId="8965"/>
    <cellStyle name="British Pound 2 2 2 2 2" xfId="8966"/>
    <cellStyle name="British Pound 2 2 2 2 2 2" xfId="8967"/>
    <cellStyle name="British Pound 2 2 2 2 2 2 2" xfId="8968"/>
    <cellStyle name="British Pound 2 2 2 2 2 2 2 2" xfId="8969"/>
    <cellStyle name="British Pound 2 2 2 2 2 2 2 3" xfId="8970"/>
    <cellStyle name="British Pound 2 2 2 2 2 2 2 4" xfId="8971"/>
    <cellStyle name="British Pound 2 2 2 2 2 2 2 5" xfId="8972"/>
    <cellStyle name="British Pound 2 2 2 2 2 2 2 6" xfId="8973"/>
    <cellStyle name="British Pound 2 2 2 2 2 2 2 7" xfId="8974"/>
    <cellStyle name="British Pound 2 2 2 2 2 2 2 8" xfId="8975"/>
    <cellStyle name="British Pound 2 2 2 2 2 2 3" xfId="8976"/>
    <cellStyle name="British Pound 2 2 2 2 2 2 4" xfId="8977"/>
    <cellStyle name="British Pound 2 2 2 2 2 2 5" xfId="8978"/>
    <cellStyle name="British Pound 2 2 2 2 2 2 6" xfId="8979"/>
    <cellStyle name="British Pound 2 2 2 2 2 2 7" xfId="8980"/>
    <cellStyle name="British Pound 2 2 2 2 2 2 8" xfId="8981"/>
    <cellStyle name="British Pound 2 2 2 2 2 2 9" xfId="8982"/>
    <cellStyle name="British Pound 2 2 2 2 2 3" xfId="8983"/>
    <cellStyle name="British Pound 2 2 2 2 2 4" xfId="8984"/>
    <cellStyle name="British Pound 2 2 2 2 2 5" xfId="8985"/>
    <cellStyle name="British Pound 2 2 2 2 2 6" xfId="8986"/>
    <cellStyle name="British Pound 2 2 2 2 2 7" xfId="8987"/>
    <cellStyle name="British Pound 2 2 2 2 2 8" xfId="8988"/>
    <cellStyle name="British Pound 2 2 2 2 2 9" xfId="8989"/>
    <cellStyle name="British Pound 2 2 2 2 3" xfId="8990"/>
    <cellStyle name="British Pound 2 2 2 2 3 2" xfId="8991"/>
    <cellStyle name="British Pound 2 2 2 2 3 3" xfId="8992"/>
    <cellStyle name="British Pound 2 2 2 2 3 4" xfId="8993"/>
    <cellStyle name="British Pound 2 2 2 2 3 5" xfId="8994"/>
    <cellStyle name="British Pound 2 2 2 2 3 6" xfId="8995"/>
    <cellStyle name="British Pound 2 2 2 2 3 7" xfId="8996"/>
    <cellStyle name="British Pound 2 2 2 2 3 8" xfId="8997"/>
    <cellStyle name="British Pound 2 2 2 2 4" xfId="8998"/>
    <cellStyle name="British Pound 2 2 2 2 5" xfId="8999"/>
    <cellStyle name="British Pound 2 2 2 2 6" xfId="9000"/>
    <cellStyle name="British Pound 2 2 2 2 7" xfId="9001"/>
    <cellStyle name="British Pound 2 2 2 2 8" xfId="9002"/>
    <cellStyle name="British Pound 2 2 2 2 9" xfId="9003"/>
    <cellStyle name="British Pound 2 2 2 3" xfId="9004"/>
    <cellStyle name="British Pound 2 2 2 3 2" xfId="9005"/>
    <cellStyle name="British Pound 2 2 2 3 3" xfId="9006"/>
    <cellStyle name="British Pound 2 2 2 3 4" xfId="9007"/>
    <cellStyle name="British Pound 2 2 2 3 5" xfId="9008"/>
    <cellStyle name="British Pound 2 2 2 3 6" xfId="9009"/>
    <cellStyle name="British Pound 2 2 2 3 7" xfId="9010"/>
    <cellStyle name="British Pound 2 2 2 3 8" xfId="9011"/>
    <cellStyle name="British Pound 2 2 2 4" xfId="9012"/>
    <cellStyle name="British Pound 2 2 2 4 2" xfId="9013"/>
    <cellStyle name="British Pound 2 2 2 4 3" xfId="9014"/>
    <cellStyle name="British Pound 2 2 2 4 4" xfId="9015"/>
    <cellStyle name="British Pound 2 2 2 4 5" xfId="9016"/>
    <cellStyle name="British Pound 2 2 2 4 6" xfId="9017"/>
    <cellStyle name="British Pound 2 2 2 4 7" xfId="9018"/>
    <cellStyle name="British Pound 2 2 2 4 8" xfId="9019"/>
    <cellStyle name="British Pound 2 2 2 5" xfId="9020"/>
    <cellStyle name="British Pound 2 2 2 5 2" xfId="9021"/>
    <cellStyle name="British Pound 2 2 2 5 3" xfId="9022"/>
    <cellStyle name="British Pound 2 2 2 5 4" xfId="9023"/>
    <cellStyle name="British Pound 2 2 2 5 5" xfId="9024"/>
    <cellStyle name="British Pound 2 2 2 5 6" xfId="9025"/>
    <cellStyle name="British Pound 2 2 2 5 7" xfId="9026"/>
    <cellStyle name="British Pound 2 2 2 5 8" xfId="9027"/>
    <cellStyle name="British Pound 2 2 2 6" xfId="9028"/>
    <cellStyle name="British Pound 2 2 2 6 2" xfId="9029"/>
    <cellStyle name="British Pound 2 2 2 6 3" xfId="9030"/>
    <cellStyle name="British Pound 2 2 2 6 4" xfId="9031"/>
    <cellStyle name="British Pound 2 2 2 6 5" xfId="9032"/>
    <cellStyle name="British Pound 2 2 2 6 6" xfId="9033"/>
    <cellStyle name="British Pound 2 2 2 6 7" xfId="9034"/>
    <cellStyle name="British Pound 2 2 2 6 8" xfId="9035"/>
    <cellStyle name="British Pound 2 2 2 7" xfId="9036"/>
    <cellStyle name="British Pound 2 2 2 8" xfId="9037"/>
    <cellStyle name="British Pound 2 2 2 9" xfId="9038"/>
    <cellStyle name="British Pound 2 2 3" xfId="9039"/>
    <cellStyle name="British Pound 2 2 3 10" xfId="9040"/>
    <cellStyle name="British Pound 2 2 3 11" xfId="9041"/>
    <cellStyle name="British Pound 2 2 3 12" xfId="9042"/>
    <cellStyle name="British Pound 2 2 3 13" xfId="9043"/>
    <cellStyle name="British Pound 2 2 3 14" xfId="9044"/>
    <cellStyle name="British Pound 2 2 3 15" xfId="9045"/>
    <cellStyle name="British Pound 2 2 3 16" xfId="9046"/>
    <cellStyle name="British Pound 2 2 3 2" xfId="9047"/>
    <cellStyle name="British Pound 2 2 3 2 2" xfId="9048"/>
    <cellStyle name="British Pound 2 2 3 2 3" xfId="9049"/>
    <cellStyle name="British Pound 2 2 3 2 4" xfId="9050"/>
    <cellStyle name="British Pound 2 2 3 2 5" xfId="9051"/>
    <cellStyle name="British Pound 2 2 3 2 6" xfId="9052"/>
    <cellStyle name="British Pound 2 2 3 2 7" xfId="9053"/>
    <cellStyle name="British Pound 2 2 3 2 8" xfId="9054"/>
    <cellStyle name="British Pound 2 2 3 3" xfId="9055"/>
    <cellStyle name="British Pound 2 2 3 3 2" xfId="9056"/>
    <cellStyle name="British Pound 2 2 3 3 3" xfId="9057"/>
    <cellStyle name="British Pound 2 2 3 3 4" xfId="9058"/>
    <cellStyle name="British Pound 2 2 3 3 5" xfId="9059"/>
    <cellStyle name="British Pound 2 2 3 3 6" xfId="9060"/>
    <cellStyle name="British Pound 2 2 3 3 7" xfId="9061"/>
    <cellStyle name="British Pound 2 2 3 3 8" xfId="9062"/>
    <cellStyle name="British Pound 2 2 3 4" xfId="9063"/>
    <cellStyle name="British Pound 2 2 3 5" xfId="9064"/>
    <cellStyle name="British Pound 2 2 3 6" xfId="9065"/>
    <cellStyle name="British Pound 2 2 3 7" xfId="9066"/>
    <cellStyle name="British Pound 2 2 3 8" xfId="9067"/>
    <cellStyle name="British Pound 2 2 3 9" xfId="9068"/>
    <cellStyle name="British Pound 2 2 4" xfId="9069"/>
    <cellStyle name="British Pound 2 2 4 2" xfId="9070"/>
    <cellStyle name="British Pound 2 2 4 2 2" xfId="9071"/>
    <cellStyle name="British Pound 2 2 4 2 2 2" xfId="9072"/>
    <cellStyle name="British Pound 2 2 4 2 2 3" xfId="9073"/>
    <cellStyle name="British Pound 2 2 4 2 2 4" xfId="9074"/>
    <cellStyle name="British Pound 2 2 4 2 2 5" xfId="9075"/>
    <cellStyle name="British Pound 2 2 4 2 2 6" xfId="9076"/>
    <cellStyle name="British Pound 2 2 4 2 2 7" xfId="9077"/>
    <cellStyle name="British Pound 2 2 4 2 2 8" xfId="9078"/>
    <cellStyle name="British Pound 2 2 4 2 3" xfId="9079"/>
    <cellStyle name="British Pound 2 2 4 2 4" xfId="9080"/>
    <cellStyle name="British Pound 2 2 4 2 5" xfId="9081"/>
    <cellStyle name="British Pound 2 2 4 2 6" xfId="9082"/>
    <cellStyle name="British Pound 2 2 4 2 7" xfId="9083"/>
    <cellStyle name="British Pound 2 2 4 2 8" xfId="9084"/>
    <cellStyle name="British Pound 2 2 4 2 9" xfId="9085"/>
    <cellStyle name="British Pound 2 2 4 3" xfId="9086"/>
    <cellStyle name="British Pound 2 2 4 4" xfId="9087"/>
    <cellStyle name="British Pound 2 2 4 5" xfId="9088"/>
    <cellStyle name="British Pound 2 2 4 6" xfId="9089"/>
    <cellStyle name="British Pound 2 2 4 7" xfId="9090"/>
    <cellStyle name="British Pound 2 2 4 8" xfId="9091"/>
    <cellStyle name="British Pound 2 2 4 9" xfId="9092"/>
    <cellStyle name="British Pound 2 2 5" xfId="9093"/>
    <cellStyle name="British Pound 2 2 6" xfId="9094"/>
    <cellStyle name="British Pound 2 2 7" xfId="9095"/>
    <cellStyle name="British Pound 2 2 7 2" xfId="9096"/>
    <cellStyle name="British Pound 2 2 7 3" xfId="9097"/>
    <cellStyle name="British Pound 2 2 7 4" xfId="9098"/>
    <cellStyle name="British Pound 2 2 7 5" xfId="9099"/>
    <cellStyle name="British Pound 2 2 7 6" xfId="9100"/>
    <cellStyle name="British Pound 2 2 7 7" xfId="9101"/>
    <cellStyle name="British Pound 2 2 7 8" xfId="9102"/>
    <cellStyle name="British Pound 2 2 8" xfId="9103"/>
    <cellStyle name="British Pound 2 2 9" xfId="9104"/>
    <cellStyle name="British Pound 2 3" xfId="9105"/>
    <cellStyle name="British Pound 2 3 10" xfId="9106"/>
    <cellStyle name="British Pound 2 3 11" xfId="9107"/>
    <cellStyle name="British Pound 2 3 12" xfId="9108"/>
    <cellStyle name="British Pound 2 3 13" xfId="9109"/>
    <cellStyle name="British Pound 2 3 14" xfId="9110"/>
    <cellStyle name="British Pound 2 3 15" xfId="9111"/>
    <cellStyle name="British Pound 2 3 16" xfId="9112"/>
    <cellStyle name="British Pound 2 3 2" xfId="9113"/>
    <cellStyle name="British Pound 2 3 2 2" xfId="9114"/>
    <cellStyle name="British Pound 2 3 2 3" xfId="9115"/>
    <cellStyle name="British Pound 2 3 2 4" xfId="9116"/>
    <cellStyle name="British Pound 2 3 2 5" xfId="9117"/>
    <cellStyle name="British Pound 2 3 2 6" xfId="9118"/>
    <cellStyle name="British Pound 2 3 2 7" xfId="9119"/>
    <cellStyle name="British Pound 2 3 2 8" xfId="9120"/>
    <cellStyle name="British Pound 2 3 3" xfId="9121"/>
    <cellStyle name="British Pound 2 3 3 2" xfId="9122"/>
    <cellStyle name="British Pound 2 3 3 3" xfId="9123"/>
    <cellStyle name="British Pound 2 3 3 4" xfId="9124"/>
    <cellStyle name="British Pound 2 3 3 5" xfId="9125"/>
    <cellStyle name="British Pound 2 3 3 6" xfId="9126"/>
    <cellStyle name="British Pound 2 3 3 7" xfId="9127"/>
    <cellStyle name="British Pound 2 3 3 8" xfId="9128"/>
    <cellStyle name="British Pound 2 3 4" xfId="9129"/>
    <cellStyle name="British Pound 2 3 5" xfId="9130"/>
    <cellStyle name="British Pound 2 3 6" xfId="9131"/>
    <cellStyle name="British Pound 2 3 7" xfId="9132"/>
    <cellStyle name="British Pound 2 3 8" xfId="9133"/>
    <cellStyle name="British Pound 2 3 9" xfId="9134"/>
    <cellStyle name="British Pound 2 4" xfId="9135"/>
    <cellStyle name="British Pound 2 4 2" xfId="9136"/>
    <cellStyle name="British Pound 2 4 3" xfId="9137"/>
    <cellStyle name="British Pound 2 4 4" xfId="9138"/>
    <cellStyle name="British Pound 2 4 5" xfId="9139"/>
    <cellStyle name="British Pound 2 4 6" xfId="9140"/>
    <cellStyle name="British Pound 2 4 7" xfId="9141"/>
    <cellStyle name="British Pound 2 4 8" xfId="9142"/>
    <cellStyle name="British Pound 2 4 9" xfId="9143"/>
    <cellStyle name="British Pound 2 5" xfId="9144"/>
    <cellStyle name="British Pound 2 5 2" xfId="9145"/>
    <cellStyle name="British Pound 2 5 3" xfId="9146"/>
    <cellStyle name="British Pound 2 5 4" xfId="9147"/>
    <cellStyle name="British Pound 2 5 5" xfId="9148"/>
    <cellStyle name="British Pound 2 5 6" xfId="9149"/>
    <cellStyle name="British Pound 2 5 7" xfId="9150"/>
    <cellStyle name="British Pound 2 5 8" xfId="9151"/>
    <cellStyle name="British Pound 2 5 9" xfId="9152"/>
    <cellStyle name="British Pound 2 6" xfId="9153"/>
    <cellStyle name="British Pound 2 6 2" xfId="9154"/>
    <cellStyle name="British Pound 2 6 3" xfId="9155"/>
    <cellStyle name="British Pound 2 6 4" xfId="9156"/>
    <cellStyle name="British Pound 2 6 5" xfId="9157"/>
    <cellStyle name="British Pound 2 6 6" xfId="9158"/>
    <cellStyle name="British Pound 2 6 7" xfId="9159"/>
    <cellStyle name="British Pound 2 6 8" xfId="9160"/>
    <cellStyle name="British Pound 2 6 9" xfId="9161"/>
    <cellStyle name="British Pound 2 7" xfId="9162"/>
    <cellStyle name="British Pound 2 7 2" xfId="9163"/>
    <cellStyle name="British Pound 2 7 3" xfId="9164"/>
    <cellStyle name="British Pound 2 7 4" xfId="9165"/>
    <cellStyle name="British Pound 2 7 5" xfId="9166"/>
    <cellStyle name="British Pound 2 7 6" xfId="9167"/>
    <cellStyle name="British Pound 2 7 7" xfId="9168"/>
    <cellStyle name="British Pound 2 7 8" xfId="9169"/>
    <cellStyle name="British Pound 2 7 9" xfId="9170"/>
    <cellStyle name="British Pound 2 8" xfId="9171"/>
    <cellStyle name="British Pound 2 8 2" xfId="9172"/>
    <cellStyle name="British Pound 2 8 3" xfId="9173"/>
    <cellStyle name="British Pound 2 8 4" xfId="9174"/>
    <cellStyle name="British Pound 2 8 5" xfId="9175"/>
    <cellStyle name="British Pound 2 8 6" xfId="9176"/>
    <cellStyle name="British Pound 2 8 7" xfId="9177"/>
    <cellStyle name="British Pound 2 8 8" xfId="9178"/>
    <cellStyle name="British Pound 2 8 9" xfId="9179"/>
    <cellStyle name="British Pound 2 9" xfId="9180"/>
    <cellStyle name="British Pound 2 9 2" xfId="9181"/>
    <cellStyle name="British Pound 2 9 2 2" xfId="9182"/>
    <cellStyle name="British Pound 2 9 2 2 2" xfId="9183"/>
    <cellStyle name="British Pound 2 9 2 2 3" xfId="9184"/>
    <cellStyle name="British Pound 2 9 2 2 4" xfId="9185"/>
    <cellStyle name="British Pound 2 9 2 2 5" xfId="9186"/>
    <cellStyle name="British Pound 2 9 2 2 6" xfId="9187"/>
    <cellStyle name="British Pound 2 9 2 2 7" xfId="9188"/>
    <cellStyle name="British Pound 2 9 2 2 8" xfId="9189"/>
    <cellStyle name="British Pound 2 9 2 3" xfId="9190"/>
    <cellStyle name="British Pound 2 9 2 4" xfId="9191"/>
    <cellStyle name="British Pound 2 9 2 5" xfId="9192"/>
    <cellStyle name="British Pound 2 9 2 6" xfId="9193"/>
    <cellStyle name="British Pound 2 9 2 7" xfId="9194"/>
    <cellStyle name="British Pound 2 9 2 8" xfId="9195"/>
    <cellStyle name="British Pound 2 9 2 9" xfId="9196"/>
    <cellStyle name="British Pound 2 9 3" xfId="9197"/>
    <cellStyle name="British Pound 2 9 4" xfId="9198"/>
    <cellStyle name="British Pound 2 9 5" xfId="9199"/>
    <cellStyle name="British Pound 2 9 6" xfId="9200"/>
    <cellStyle name="British Pound 2 9 7" xfId="9201"/>
    <cellStyle name="British Pound 2 9 8" xfId="9202"/>
    <cellStyle name="British Pound 2 9 9" xfId="9203"/>
    <cellStyle name="British Pound 20" xfId="9204"/>
    <cellStyle name="British Pound 20 2" xfId="9205"/>
    <cellStyle name="British Pound 20 3" xfId="9206"/>
    <cellStyle name="British Pound 20 4" xfId="9207"/>
    <cellStyle name="British Pound 20 5" xfId="9208"/>
    <cellStyle name="British Pound 20 6" xfId="9209"/>
    <cellStyle name="British Pound 20 7" xfId="9210"/>
    <cellStyle name="British Pound 20 8" xfId="9211"/>
    <cellStyle name="British Pound 20 9" xfId="9212"/>
    <cellStyle name="British Pound 21" xfId="9213"/>
    <cellStyle name="British Pound 21 2" xfId="9214"/>
    <cellStyle name="British Pound 21 3" xfId="9215"/>
    <cellStyle name="British Pound 21 4" xfId="9216"/>
    <cellStyle name="British Pound 21 5" xfId="9217"/>
    <cellStyle name="British Pound 21 6" xfId="9218"/>
    <cellStyle name="British Pound 21 7" xfId="9219"/>
    <cellStyle name="British Pound 21 8" xfId="9220"/>
    <cellStyle name="British Pound 21 9" xfId="9221"/>
    <cellStyle name="British Pound 22" xfId="9222"/>
    <cellStyle name="British Pound 22 2" xfId="9223"/>
    <cellStyle name="British Pound 22 3" xfId="9224"/>
    <cellStyle name="British Pound 22 4" xfId="9225"/>
    <cellStyle name="British Pound 22 5" xfId="9226"/>
    <cellStyle name="British Pound 22 6" xfId="9227"/>
    <cellStyle name="British Pound 22 7" xfId="9228"/>
    <cellStyle name="British Pound 22 8" xfId="9229"/>
    <cellStyle name="British Pound 22 9" xfId="9230"/>
    <cellStyle name="British Pound 23" xfId="9231"/>
    <cellStyle name="British Pound 24" xfId="9232"/>
    <cellStyle name="British Pound 25" xfId="9233"/>
    <cellStyle name="British Pound 26" xfId="9234"/>
    <cellStyle name="British Pound 27" xfId="9235"/>
    <cellStyle name="British Pound 28" xfId="9236"/>
    <cellStyle name="British Pound 29" xfId="9237"/>
    <cellStyle name="British Pound 3" xfId="9238"/>
    <cellStyle name="British Pound 3 2" xfId="9239"/>
    <cellStyle name="British Pound 3 2 2" xfId="9240"/>
    <cellStyle name="British Pound 3 2 2 2" xfId="9241"/>
    <cellStyle name="British Pound 3 2 2 2 2" xfId="9242"/>
    <cellStyle name="British Pound 3 2 2 2 2 2" xfId="9243"/>
    <cellStyle name="British Pound 3 2 2 2 2 3" xfId="9244"/>
    <cellStyle name="British Pound 3 2 2 2 2 4" xfId="9245"/>
    <cellStyle name="British Pound 3 2 2 2 2 5" xfId="9246"/>
    <cellStyle name="British Pound 3 2 2 2 2 6" xfId="9247"/>
    <cellStyle name="British Pound 3 2 2 2 2 7" xfId="9248"/>
    <cellStyle name="British Pound 3 2 2 2 2 8" xfId="9249"/>
    <cellStyle name="British Pound 3 2 2 2 3" xfId="9250"/>
    <cellStyle name="British Pound 3 2 2 2 4" xfId="9251"/>
    <cellStyle name="British Pound 3 2 2 2 5" xfId="9252"/>
    <cellStyle name="British Pound 3 2 2 2 6" xfId="9253"/>
    <cellStyle name="British Pound 3 2 2 2 7" xfId="9254"/>
    <cellStyle name="British Pound 3 2 2 2 8" xfId="9255"/>
    <cellStyle name="British Pound 3 2 2 2 9" xfId="9256"/>
    <cellStyle name="British Pound 3 2 2 3" xfId="9257"/>
    <cellStyle name="British Pound 3 2 2 4" xfId="9258"/>
    <cellStyle name="British Pound 3 2 2 5" xfId="9259"/>
    <cellStyle name="British Pound 3 2 2 6" xfId="9260"/>
    <cellStyle name="British Pound 3 2 2 7" xfId="9261"/>
    <cellStyle name="British Pound 3 2 2 8" xfId="9262"/>
    <cellStyle name="British Pound 3 2 2 9" xfId="9263"/>
    <cellStyle name="British Pound 3 2 3" xfId="9264"/>
    <cellStyle name="British Pound 3 2 4" xfId="9265"/>
    <cellStyle name="British Pound 3 2 5" xfId="9266"/>
    <cellStyle name="British Pound 3 2 6" xfId="9267"/>
    <cellStyle name="British Pound 3 2 7" xfId="9268"/>
    <cellStyle name="British Pound 3 2 8" xfId="9269"/>
    <cellStyle name="British Pound 3 2 9" xfId="9270"/>
    <cellStyle name="British Pound 3 3" xfId="9271"/>
    <cellStyle name="British Pound 3 4" xfId="9272"/>
    <cellStyle name="British Pound 3 5" xfId="9273"/>
    <cellStyle name="British Pound 3 6" xfId="9274"/>
    <cellStyle name="British Pound 3 6 2" xfId="9275"/>
    <cellStyle name="British Pound 3 6 3" xfId="9276"/>
    <cellStyle name="British Pound 3 6 4" xfId="9277"/>
    <cellStyle name="British Pound 3 6 5" xfId="9278"/>
    <cellStyle name="British Pound 3 6 6" xfId="9279"/>
    <cellStyle name="British Pound 3 6 7" xfId="9280"/>
    <cellStyle name="British Pound 3 6 8" xfId="9281"/>
    <cellStyle name="British Pound 3 7" xfId="9282"/>
    <cellStyle name="British Pound 3 8" xfId="9283"/>
    <cellStyle name="British Pound 3 9" xfId="9284"/>
    <cellStyle name="British Pound 30" xfId="9285"/>
    <cellStyle name="British Pound 31" xfId="9286"/>
    <cellStyle name="British Pound 32" xfId="9287"/>
    <cellStyle name="British Pound 33" xfId="9288"/>
    <cellStyle name="British Pound 34" xfId="9289"/>
    <cellStyle name="British Pound 35" xfId="9290"/>
    <cellStyle name="British Pound 36" xfId="9291"/>
    <cellStyle name="British Pound 37" xfId="9292"/>
    <cellStyle name="British Pound 4" xfId="9293"/>
    <cellStyle name="British Pound 4 2" xfId="9294"/>
    <cellStyle name="British Pound 4 3" xfId="9295"/>
    <cellStyle name="British Pound 4 4" xfId="9296"/>
    <cellStyle name="British Pound 4 5" xfId="9297"/>
    <cellStyle name="British Pound 4 6" xfId="9298"/>
    <cellStyle name="British Pound 4 7" xfId="9299"/>
    <cellStyle name="British Pound 4 8" xfId="9300"/>
    <cellStyle name="British Pound 4 9" xfId="9301"/>
    <cellStyle name="British Pound 5" xfId="9302"/>
    <cellStyle name="British Pound 5 2" xfId="9303"/>
    <cellStyle name="British Pound 5 3" xfId="9304"/>
    <cellStyle name="British Pound 5 4" xfId="9305"/>
    <cellStyle name="British Pound 5 5" xfId="9306"/>
    <cellStyle name="British Pound 5 6" xfId="9307"/>
    <cellStyle name="British Pound 5 7" xfId="9308"/>
    <cellStyle name="British Pound 5 8" xfId="9309"/>
    <cellStyle name="British Pound 5 9" xfId="9310"/>
    <cellStyle name="British Pound 6" xfId="9311"/>
    <cellStyle name="British Pound 6 2" xfId="9312"/>
    <cellStyle name="British Pound 6 3" xfId="9313"/>
    <cellStyle name="British Pound 6 4" xfId="9314"/>
    <cellStyle name="British Pound 6 5" xfId="9315"/>
    <cellStyle name="British Pound 6 6" xfId="9316"/>
    <cellStyle name="British Pound 6 7" xfId="9317"/>
    <cellStyle name="British Pound 6 8" xfId="9318"/>
    <cellStyle name="British Pound 6 9" xfId="9319"/>
    <cellStyle name="British Pound 7" xfId="9320"/>
    <cellStyle name="British Pound 7 2" xfId="9321"/>
    <cellStyle name="British Pound 7 3" xfId="9322"/>
    <cellStyle name="British Pound 7 4" xfId="9323"/>
    <cellStyle name="British Pound 7 5" xfId="9324"/>
    <cellStyle name="British Pound 7 6" xfId="9325"/>
    <cellStyle name="British Pound 7 7" xfId="9326"/>
    <cellStyle name="British Pound 7 8" xfId="9327"/>
    <cellStyle name="British Pound 7 9" xfId="9328"/>
    <cellStyle name="British Pound 8" xfId="9329"/>
    <cellStyle name="British Pound 8 10" xfId="9330"/>
    <cellStyle name="British Pound 8 11" xfId="9331"/>
    <cellStyle name="British Pound 8 12" xfId="9332"/>
    <cellStyle name="British Pound 8 13" xfId="9333"/>
    <cellStyle name="British Pound 8 14" xfId="9334"/>
    <cellStyle name="British Pound 8 15" xfId="9335"/>
    <cellStyle name="British Pound 8 16" xfId="9336"/>
    <cellStyle name="British Pound 8 2" xfId="9337"/>
    <cellStyle name="British Pound 8 2 2" xfId="9338"/>
    <cellStyle name="British Pound 8 2 3" xfId="9339"/>
    <cellStyle name="British Pound 8 2 4" xfId="9340"/>
    <cellStyle name="British Pound 8 2 5" xfId="9341"/>
    <cellStyle name="British Pound 8 2 6" xfId="9342"/>
    <cellStyle name="British Pound 8 2 7" xfId="9343"/>
    <cellStyle name="British Pound 8 2 8" xfId="9344"/>
    <cellStyle name="British Pound 8 3" xfId="9345"/>
    <cellStyle name="British Pound 8 3 2" xfId="9346"/>
    <cellStyle name="British Pound 8 3 3" xfId="9347"/>
    <cellStyle name="British Pound 8 3 4" xfId="9348"/>
    <cellStyle name="British Pound 8 3 5" xfId="9349"/>
    <cellStyle name="British Pound 8 3 6" xfId="9350"/>
    <cellStyle name="British Pound 8 3 7" xfId="9351"/>
    <cellStyle name="British Pound 8 3 8" xfId="9352"/>
    <cellStyle name="British Pound 8 4" xfId="9353"/>
    <cellStyle name="British Pound 8 5" xfId="9354"/>
    <cellStyle name="British Pound 8 6" xfId="9355"/>
    <cellStyle name="British Pound 8 7" xfId="9356"/>
    <cellStyle name="British Pound 8 8" xfId="9357"/>
    <cellStyle name="British Pound 8 9" xfId="9358"/>
    <cellStyle name="British Pound 9" xfId="9359"/>
    <cellStyle name="British Pound 9 2" xfId="9360"/>
    <cellStyle name="British Pound 9 3" xfId="9361"/>
    <cellStyle name="British Pound 9 4" xfId="9362"/>
    <cellStyle name="British Pound 9 5" xfId="9363"/>
    <cellStyle name="British Pound 9 6" xfId="9364"/>
    <cellStyle name="British Pound 9 7" xfId="9365"/>
    <cellStyle name="British Pound 9 8" xfId="9366"/>
    <cellStyle name="British Pound 9 9" xfId="9367"/>
    <cellStyle name="BrödText" xfId="9368"/>
    <cellStyle name="BrödText 2" xfId="9369"/>
    <cellStyle name="BrödText 2 2" xfId="9370"/>
    <cellStyle name="BrödText 3" xfId="9371"/>
    <cellStyle name="BrödText 4" xfId="9372"/>
    <cellStyle name="BrödText 5" xfId="9373"/>
    <cellStyle name="Buena" xfId="9374"/>
    <cellStyle name="Bullet" xfId="9375"/>
    <cellStyle name="Bullet 2" xfId="9376"/>
    <cellStyle name="CABEÇALHO" xfId="9377"/>
    <cellStyle name="Cadre" xfId="9378"/>
    <cellStyle name="Cadre 2" xfId="9379"/>
    <cellStyle name="Calc" xfId="9380"/>
    <cellStyle name="Calc # [0]" xfId="9381"/>
    <cellStyle name="Calc # [1]" xfId="9382"/>
    <cellStyle name="Calc # [2]" xfId="9383"/>
    <cellStyle name="Calc % [0]" xfId="9384"/>
    <cellStyle name="Calc % [1]" xfId="9385"/>
    <cellStyle name="Calc % [2]" xfId="9386"/>
    <cellStyle name="Calc 2" xfId="9387"/>
    <cellStyle name="Calc Currency (0)" xfId="9388"/>
    <cellStyle name="Calc Currency (0) 10" xfId="9389"/>
    <cellStyle name="Calc Currency (0) 10 10" xfId="9390"/>
    <cellStyle name="Calc Currency (0) 10 11" xfId="9391"/>
    <cellStyle name="Calc Currency (0) 10 2" xfId="9392"/>
    <cellStyle name="Calc Currency (0) 10 2 2" xfId="9393"/>
    <cellStyle name="Calc Currency (0) 10 2 3" xfId="9394"/>
    <cellStyle name="Calc Currency (0) 10 2 4" xfId="9395"/>
    <cellStyle name="Calc Currency (0) 10 2 5" xfId="9396"/>
    <cellStyle name="Calc Currency (0) 10 2 6" xfId="9397"/>
    <cellStyle name="Calc Currency (0) 10 2 7" xfId="9398"/>
    <cellStyle name="Calc Currency (0) 10 2 8" xfId="9399"/>
    <cellStyle name="Calc Currency (0) 10 2 9" xfId="9400"/>
    <cellStyle name="Calc Currency (0) 10 3" xfId="9401"/>
    <cellStyle name="Calc Currency (0) 10 3 2" xfId="9402"/>
    <cellStyle name="Calc Currency (0) 10 3 3" xfId="9403"/>
    <cellStyle name="Calc Currency (0) 10 3 4" xfId="9404"/>
    <cellStyle name="Calc Currency (0) 10 3 5" xfId="9405"/>
    <cellStyle name="Calc Currency (0) 10 3 6" xfId="9406"/>
    <cellStyle name="Calc Currency (0) 10 3 7" xfId="9407"/>
    <cellStyle name="Calc Currency (0) 10 3 8" xfId="9408"/>
    <cellStyle name="Calc Currency (0) 10 3 9" xfId="9409"/>
    <cellStyle name="Calc Currency (0) 10 4" xfId="9410"/>
    <cellStyle name="Calc Currency (0) 10 5" xfId="9411"/>
    <cellStyle name="Calc Currency (0) 10 6" xfId="9412"/>
    <cellStyle name="Calc Currency (0) 10 7" xfId="9413"/>
    <cellStyle name="Calc Currency (0) 10 8" xfId="9414"/>
    <cellStyle name="Calc Currency (0) 10 9" xfId="9415"/>
    <cellStyle name="Calc Currency (0) 11" xfId="9416"/>
    <cellStyle name="Calc Currency (0) 11 2" xfId="9417"/>
    <cellStyle name="Calc Currency (0) 11 3" xfId="9418"/>
    <cellStyle name="Calc Currency (0) 11 4" xfId="9419"/>
    <cellStyle name="Calc Currency (0) 11 5" xfId="9420"/>
    <cellStyle name="Calc Currency (0) 11 6" xfId="9421"/>
    <cellStyle name="Calc Currency (0) 11 7" xfId="9422"/>
    <cellStyle name="Calc Currency (0) 11 8" xfId="9423"/>
    <cellStyle name="Calc Currency (0) 11 9" xfId="9424"/>
    <cellStyle name="Calc Currency (0) 12" xfId="9425"/>
    <cellStyle name="Calc Currency (0) 12 2" xfId="9426"/>
    <cellStyle name="Calc Currency (0) 12 3" xfId="9427"/>
    <cellStyle name="Calc Currency (0) 12 4" xfId="9428"/>
    <cellStyle name="Calc Currency (0) 12 5" xfId="9429"/>
    <cellStyle name="Calc Currency (0) 12 6" xfId="9430"/>
    <cellStyle name="Calc Currency (0) 12 7" xfId="9431"/>
    <cellStyle name="Calc Currency (0) 12 8" xfId="9432"/>
    <cellStyle name="Calc Currency (0) 12 9" xfId="9433"/>
    <cellStyle name="Calc Currency (0) 13" xfId="9434"/>
    <cellStyle name="Calc Currency (0) 13 10" xfId="9435"/>
    <cellStyle name="Calc Currency (0) 13 11" xfId="9436"/>
    <cellStyle name="Calc Currency (0) 13 12" xfId="9437"/>
    <cellStyle name="Calc Currency (0) 13 13" xfId="9438"/>
    <cellStyle name="Calc Currency (0) 13 14" xfId="9439"/>
    <cellStyle name="Calc Currency (0) 13 15" xfId="9440"/>
    <cellStyle name="Calc Currency (0) 13 16" xfId="9441"/>
    <cellStyle name="Calc Currency (0) 13 2" xfId="9442"/>
    <cellStyle name="Calc Currency (0) 13 3" xfId="9443"/>
    <cellStyle name="Calc Currency (0) 13 4" xfId="9444"/>
    <cellStyle name="Calc Currency (0) 13 5" xfId="9445"/>
    <cellStyle name="Calc Currency (0) 13 6" xfId="9446"/>
    <cellStyle name="Calc Currency (0) 13 7" xfId="9447"/>
    <cellStyle name="Calc Currency (0) 13 8" xfId="9448"/>
    <cellStyle name="Calc Currency (0) 13 9" xfId="9449"/>
    <cellStyle name="Calc Currency (0) 14" xfId="9450"/>
    <cellStyle name="Calc Currency (0) 14 10" xfId="9451"/>
    <cellStyle name="Calc Currency (0) 14 11" xfId="9452"/>
    <cellStyle name="Calc Currency (0) 14 12" xfId="9453"/>
    <cellStyle name="Calc Currency (0) 14 13" xfId="9454"/>
    <cellStyle name="Calc Currency (0) 14 14" xfId="9455"/>
    <cellStyle name="Calc Currency (0) 14 15" xfId="9456"/>
    <cellStyle name="Calc Currency (0) 14 16" xfId="9457"/>
    <cellStyle name="Calc Currency (0) 14 2" xfId="9458"/>
    <cellStyle name="Calc Currency (0) 14 3" xfId="9459"/>
    <cellStyle name="Calc Currency (0) 14 4" xfId="9460"/>
    <cellStyle name="Calc Currency (0) 14 5" xfId="9461"/>
    <cellStyle name="Calc Currency (0) 14 6" xfId="9462"/>
    <cellStyle name="Calc Currency (0) 14 7" xfId="9463"/>
    <cellStyle name="Calc Currency (0) 14 8" xfId="9464"/>
    <cellStyle name="Calc Currency (0) 14 9" xfId="9465"/>
    <cellStyle name="Calc Currency (0) 15" xfId="9466"/>
    <cellStyle name="Calc Currency (0) 15 10" xfId="9467"/>
    <cellStyle name="Calc Currency (0) 15 11" xfId="9468"/>
    <cellStyle name="Calc Currency (0) 15 12" xfId="9469"/>
    <cellStyle name="Calc Currency (0) 15 13" xfId="9470"/>
    <cellStyle name="Calc Currency (0) 15 14" xfId="9471"/>
    <cellStyle name="Calc Currency (0) 15 15" xfId="9472"/>
    <cellStyle name="Calc Currency (0) 15 16" xfId="9473"/>
    <cellStyle name="Calc Currency (0) 15 2" xfId="9474"/>
    <cellStyle name="Calc Currency (0) 15 3" xfId="9475"/>
    <cellStyle name="Calc Currency (0) 15 4" xfId="9476"/>
    <cellStyle name="Calc Currency (0) 15 5" xfId="9477"/>
    <cellStyle name="Calc Currency (0) 15 6" xfId="9478"/>
    <cellStyle name="Calc Currency (0) 15 7" xfId="9479"/>
    <cellStyle name="Calc Currency (0) 15 8" xfId="9480"/>
    <cellStyle name="Calc Currency (0) 15 9" xfId="9481"/>
    <cellStyle name="Calc Currency (0) 16" xfId="9482"/>
    <cellStyle name="Calc Currency (0) 16 2" xfId="9483"/>
    <cellStyle name="Calc Currency (0) 16 3" xfId="9484"/>
    <cellStyle name="Calc Currency (0) 16 4" xfId="9485"/>
    <cellStyle name="Calc Currency (0) 16 5" xfId="9486"/>
    <cellStyle name="Calc Currency (0) 16 6" xfId="9487"/>
    <cellStyle name="Calc Currency (0) 16 7" xfId="9488"/>
    <cellStyle name="Calc Currency (0) 16 8" xfId="9489"/>
    <cellStyle name="Calc Currency (0) 16 9" xfId="9490"/>
    <cellStyle name="Calc Currency (0) 17" xfId="9491"/>
    <cellStyle name="Calc Currency (0) 17 2" xfId="9492"/>
    <cellStyle name="Calc Currency (0) 17 3" xfId="9493"/>
    <cellStyle name="Calc Currency (0) 17 4" xfId="9494"/>
    <cellStyle name="Calc Currency (0) 17 5" xfId="9495"/>
    <cellStyle name="Calc Currency (0) 17 6" xfId="9496"/>
    <cellStyle name="Calc Currency (0) 17 7" xfId="9497"/>
    <cellStyle name="Calc Currency (0) 17 8" xfId="9498"/>
    <cellStyle name="Calc Currency (0) 17 9" xfId="9499"/>
    <cellStyle name="Calc Currency (0) 18" xfId="9500"/>
    <cellStyle name="Calc Currency (0) 18 2" xfId="9501"/>
    <cellStyle name="Calc Currency (0) 18 3" xfId="9502"/>
    <cellStyle name="Calc Currency (0) 18 4" xfId="9503"/>
    <cellStyle name="Calc Currency (0) 18 5" xfId="9504"/>
    <cellStyle name="Calc Currency (0) 18 6" xfId="9505"/>
    <cellStyle name="Calc Currency (0) 18 7" xfId="9506"/>
    <cellStyle name="Calc Currency (0) 18 8" xfId="9507"/>
    <cellStyle name="Calc Currency (0) 18 9" xfId="9508"/>
    <cellStyle name="Calc Currency (0) 19" xfId="9509"/>
    <cellStyle name="Calc Currency (0) 19 2" xfId="9510"/>
    <cellStyle name="Calc Currency (0) 19 3" xfId="9511"/>
    <cellStyle name="Calc Currency (0) 19 4" xfId="9512"/>
    <cellStyle name="Calc Currency (0) 19 5" xfId="9513"/>
    <cellStyle name="Calc Currency (0) 19 6" xfId="9514"/>
    <cellStyle name="Calc Currency (0) 19 7" xfId="9515"/>
    <cellStyle name="Calc Currency (0) 19 8" xfId="9516"/>
    <cellStyle name="Calc Currency (0) 19 9" xfId="9517"/>
    <cellStyle name="Calc Currency (0) 2" xfId="9518"/>
    <cellStyle name="Calc Currency (0) 2 10" xfId="9519"/>
    <cellStyle name="Calc Currency (0) 2 10 2" xfId="9520"/>
    <cellStyle name="Calc Currency (0) 2 10 3" xfId="9521"/>
    <cellStyle name="Calc Currency (0) 2 11" xfId="9522"/>
    <cellStyle name="Calc Currency (0) 2 11 2" xfId="9523"/>
    <cellStyle name="Calc Currency (0) 2 11 2 2" xfId="9524"/>
    <cellStyle name="Calc Currency (0) 2 11 2 3" xfId="9525"/>
    <cellStyle name="Calc Currency (0) 2 11 3" xfId="9526"/>
    <cellStyle name="Calc Currency (0) 2 12" xfId="9527"/>
    <cellStyle name="Calc Currency (0) 2 13" xfId="9528"/>
    <cellStyle name="Calc Currency (0) 2 14" xfId="9529"/>
    <cellStyle name="Calc Currency (0) 2 2" xfId="9530"/>
    <cellStyle name="Calc Currency (0) 2 2 10" xfId="9531"/>
    <cellStyle name="Calc Currency (0) 2 2 11" xfId="9532"/>
    <cellStyle name="Calc Currency (0) 2 2 12" xfId="9533"/>
    <cellStyle name="Calc Currency (0) 2 2 13" xfId="9534"/>
    <cellStyle name="Calc Currency (0) 2 2 14" xfId="9535"/>
    <cellStyle name="Calc Currency (0) 2 2 15" xfId="9536"/>
    <cellStyle name="Calc Currency (0) 2 2 16" xfId="9537"/>
    <cellStyle name="Calc Currency (0) 2 2 17" xfId="9538"/>
    <cellStyle name="Calc Currency (0) 2 2 18" xfId="9539"/>
    <cellStyle name="Calc Currency (0) 2 2 2" xfId="9540"/>
    <cellStyle name="Calc Currency (0) 2 2 2 2" xfId="9541"/>
    <cellStyle name="Calc Currency (0) 2 2 2 2 2" xfId="9542"/>
    <cellStyle name="Calc Currency (0) 2 2 2 2 3" xfId="9543"/>
    <cellStyle name="Calc Currency (0) 2 2 2 2 4" xfId="9544"/>
    <cellStyle name="Calc Currency (0) 2 2 2 2 5" xfId="9545"/>
    <cellStyle name="Calc Currency (0) 2 2 2 2 6" xfId="9546"/>
    <cellStyle name="Calc Currency (0) 2 2 2 2 7" xfId="9547"/>
    <cellStyle name="Calc Currency (0) 2 2 2 2 8" xfId="9548"/>
    <cellStyle name="Calc Currency (0) 2 2 2 3" xfId="9549"/>
    <cellStyle name="Calc Currency (0) 2 2 2 4" xfId="9550"/>
    <cellStyle name="Calc Currency (0) 2 2 2 5" xfId="9551"/>
    <cellStyle name="Calc Currency (0) 2 2 2 6" xfId="9552"/>
    <cellStyle name="Calc Currency (0) 2 2 2 7" xfId="9553"/>
    <cellStyle name="Calc Currency (0) 2 2 2 8" xfId="9554"/>
    <cellStyle name="Calc Currency (0) 2 2 2 9" xfId="9555"/>
    <cellStyle name="Calc Currency (0) 2 2 3" xfId="9556"/>
    <cellStyle name="Calc Currency (0) 2 2 3 2" xfId="9557"/>
    <cellStyle name="Calc Currency (0) 2 2 3 3" xfId="9558"/>
    <cellStyle name="Calc Currency (0) 2 2 3 4" xfId="9559"/>
    <cellStyle name="Calc Currency (0) 2 2 3 5" xfId="9560"/>
    <cellStyle name="Calc Currency (0) 2 2 3 6" xfId="9561"/>
    <cellStyle name="Calc Currency (0) 2 2 3 7" xfId="9562"/>
    <cellStyle name="Calc Currency (0) 2 2 3 8" xfId="9563"/>
    <cellStyle name="Calc Currency (0) 2 2 3 9" xfId="9564"/>
    <cellStyle name="Calc Currency (0) 2 2 4" xfId="9565"/>
    <cellStyle name="Calc Currency (0) 2 2 5" xfId="9566"/>
    <cellStyle name="Calc Currency (0) 2 2 6" xfId="9567"/>
    <cellStyle name="Calc Currency (0) 2 2 7" xfId="9568"/>
    <cellStyle name="Calc Currency (0) 2 2 8" xfId="9569"/>
    <cellStyle name="Calc Currency (0) 2 2 9" xfId="9570"/>
    <cellStyle name="Calc Currency (0) 2 3" xfId="9571"/>
    <cellStyle name="Calc Currency (0) 2 3 10" xfId="9572"/>
    <cellStyle name="Calc Currency (0) 2 3 11" xfId="9573"/>
    <cellStyle name="Calc Currency (0) 2 3 12" xfId="9574"/>
    <cellStyle name="Calc Currency (0) 2 3 13" xfId="9575"/>
    <cellStyle name="Calc Currency (0) 2 3 14" xfId="9576"/>
    <cellStyle name="Calc Currency (0) 2 3 15" xfId="9577"/>
    <cellStyle name="Calc Currency (0) 2 3 16" xfId="9578"/>
    <cellStyle name="Calc Currency (0) 2 3 2" xfId="9579"/>
    <cellStyle name="Calc Currency (0) 2 3 2 2" xfId="9580"/>
    <cellStyle name="Calc Currency (0) 2 3 2 2 2" xfId="9581"/>
    <cellStyle name="Calc Currency (0) 2 3 2 2 2 2" xfId="9582"/>
    <cellStyle name="Calc Currency (0) 2 3 2 2 2 2 2" xfId="9583"/>
    <cellStyle name="Calc Currency (0) 2 3 2 2 2 2 3" xfId="9584"/>
    <cellStyle name="Calc Currency (0) 2 3 2 2 2 2 4" xfId="9585"/>
    <cellStyle name="Calc Currency (0) 2 3 2 2 2 2 5" xfId="9586"/>
    <cellStyle name="Calc Currency (0) 2 3 2 2 2 2 6" xfId="9587"/>
    <cellStyle name="Calc Currency (0) 2 3 2 2 2 2 7" xfId="9588"/>
    <cellStyle name="Calc Currency (0) 2 3 2 2 2 2 8" xfId="9589"/>
    <cellStyle name="Calc Currency (0) 2 3 2 2 2 3" xfId="9590"/>
    <cellStyle name="Calc Currency (0) 2 3 2 2 2 4" xfId="9591"/>
    <cellStyle name="Calc Currency (0) 2 3 2 2 2 5" xfId="9592"/>
    <cellStyle name="Calc Currency (0) 2 3 2 2 2 6" xfId="9593"/>
    <cellStyle name="Calc Currency (0) 2 3 2 2 2 7" xfId="9594"/>
    <cellStyle name="Calc Currency (0) 2 3 2 2 2 8" xfId="9595"/>
    <cellStyle name="Calc Currency (0) 2 3 2 2 2 9" xfId="9596"/>
    <cellStyle name="Calc Currency (0) 2 3 2 2 3" xfId="9597"/>
    <cellStyle name="Calc Currency (0) 2 3 2 2 4" xfId="9598"/>
    <cellStyle name="Calc Currency (0) 2 3 2 2 5" xfId="9599"/>
    <cellStyle name="Calc Currency (0) 2 3 2 2 6" xfId="9600"/>
    <cellStyle name="Calc Currency (0) 2 3 2 2 7" xfId="9601"/>
    <cellStyle name="Calc Currency (0) 2 3 2 2 8" xfId="9602"/>
    <cellStyle name="Calc Currency (0) 2 3 2 2 9" xfId="9603"/>
    <cellStyle name="Calc Currency (0) 2 3 2 3" xfId="9604"/>
    <cellStyle name="Calc Currency (0) 2 3 2 4" xfId="9605"/>
    <cellStyle name="Calc Currency (0) 2 3 2 5" xfId="9606"/>
    <cellStyle name="Calc Currency (0) 2 3 2 6" xfId="9607"/>
    <cellStyle name="Calc Currency (0) 2 3 2 7" xfId="9608"/>
    <cellStyle name="Calc Currency (0) 2 3 2 8" xfId="9609"/>
    <cellStyle name="Calc Currency (0) 2 3 2 9" xfId="9610"/>
    <cellStyle name="Calc Currency (0) 2 3 3" xfId="9611"/>
    <cellStyle name="Calc Currency (0) 2 3 3 2" xfId="9612"/>
    <cellStyle name="Calc Currency (0) 2 3 3 3" xfId="9613"/>
    <cellStyle name="Calc Currency (0) 2 3 3 4" xfId="9614"/>
    <cellStyle name="Calc Currency (0) 2 3 3 5" xfId="9615"/>
    <cellStyle name="Calc Currency (0) 2 3 3 6" xfId="9616"/>
    <cellStyle name="Calc Currency (0) 2 3 3 7" xfId="9617"/>
    <cellStyle name="Calc Currency (0) 2 3 3 8" xfId="9618"/>
    <cellStyle name="Calc Currency (0) 2 3 4" xfId="9619"/>
    <cellStyle name="Calc Currency (0) 2 3 4 2" xfId="9620"/>
    <cellStyle name="Calc Currency (0) 2 3 4 3" xfId="9621"/>
    <cellStyle name="Calc Currency (0) 2 3 4 4" xfId="9622"/>
    <cellStyle name="Calc Currency (0) 2 3 4 5" xfId="9623"/>
    <cellStyle name="Calc Currency (0) 2 3 4 6" xfId="9624"/>
    <cellStyle name="Calc Currency (0) 2 3 4 7" xfId="9625"/>
    <cellStyle name="Calc Currency (0) 2 3 4 8" xfId="9626"/>
    <cellStyle name="Calc Currency (0) 2 3 5" xfId="9627"/>
    <cellStyle name="Calc Currency (0) 2 3 5 2" xfId="9628"/>
    <cellStyle name="Calc Currency (0) 2 3 5 3" xfId="9629"/>
    <cellStyle name="Calc Currency (0) 2 3 5 4" xfId="9630"/>
    <cellStyle name="Calc Currency (0) 2 3 5 5" xfId="9631"/>
    <cellStyle name="Calc Currency (0) 2 3 5 6" xfId="9632"/>
    <cellStyle name="Calc Currency (0) 2 3 5 7" xfId="9633"/>
    <cellStyle name="Calc Currency (0) 2 3 5 8" xfId="9634"/>
    <cellStyle name="Calc Currency (0) 2 3 6" xfId="9635"/>
    <cellStyle name="Calc Currency (0) 2 3 6 2" xfId="9636"/>
    <cellStyle name="Calc Currency (0) 2 3 6 3" xfId="9637"/>
    <cellStyle name="Calc Currency (0) 2 3 6 4" xfId="9638"/>
    <cellStyle name="Calc Currency (0) 2 3 6 5" xfId="9639"/>
    <cellStyle name="Calc Currency (0) 2 3 6 6" xfId="9640"/>
    <cellStyle name="Calc Currency (0) 2 3 6 7" xfId="9641"/>
    <cellStyle name="Calc Currency (0) 2 3 6 8" xfId="9642"/>
    <cellStyle name="Calc Currency (0) 2 3 7" xfId="9643"/>
    <cellStyle name="Calc Currency (0) 2 3 8" xfId="9644"/>
    <cellStyle name="Calc Currency (0) 2 3 9" xfId="9645"/>
    <cellStyle name="Calc Currency (0) 2 4" xfId="9646"/>
    <cellStyle name="Calc Currency (0) 2 4 2" xfId="9647"/>
    <cellStyle name="Calc Currency (0) 2 4 3" xfId="9648"/>
    <cellStyle name="Calc Currency (0) 2 5" xfId="9649"/>
    <cellStyle name="Calc Currency (0) 2 5 2" xfId="9650"/>
    <cellStyle name="Calc Currency (0) 2 5 3" xfId="9651"/>
    <cellStyle name="Calc Currency (0) 2 6" xfId="9652"/>
    <cellStyle name="Calc Currency (0) 2 6 2" xfId="9653"/>
    <cellStyle name="Calc Currency (0) 2 6 3" xfId="9654"/>
    <cellStyle name="Calc Currency (0) 2 7" xfId="9655"/>
    <cellStyle name="Calc Currency (0) 2 7 2" xfId="9656"/>
    <cellStyle name="Calc Currency (0) 2 7 3" xfId="9657"/>
    <cellStyle name="Calc Currency (0) 2 8" xfId="9658"/>
    <cellStyle name="Calc Currency (0) 2 8 2" xfId="9659"/>
    <cellStyle name="Calc Currency (0) 2 8 3" xfId="9660"/>
    <cellStyle name="Calc Currency (0) 2 9" xfId="9661"/>
    <cellStyle name="Calc Currency (0) 2 9 2" xfId="9662"/>
    <cellStyle name="Calc Currency (0) 2 9 3" xfId="9663"/>
    <cellStyle name="Calc Currency (0) 2_You Plus DCF Workpapers" xfId="9664"/>
    <cellStyle name="Calc Currency (0) 20" xfId="9665"/>
    <cellStyle name="Calc Currency (0) 20 2" xfId="9666"/>
    <cellStyle name="Calc Currency (0) 20 3" xfId="9667"/>
    <cellStyle name="Calc Currency (0) 20 4" xfId="9668"/>
    <cellStyle name="Calc Currency (0) 20 5" xfId="9669"/>
    <cellStyle name="Calc Currency (0) 20 6" xfId="9670"/>
    <cellStyle name="Calc Currency (0) 20 7" xfId="9671"/>
    <cellStyle name="Calc Currency (0) 20 8" xfId="9672"/>
    <cellStyle name="Calc Currency (0) 20 9" xfId="9673"/>
    <cellStyle name="Calc Currency (0) 21" xfId="9674"/>
    <cellStyle name="Calc Currency (0) 21 2" xfId="9675"/>
    <cellStyle name="Calc Currency (0) 21 3" xfId="9676"/>
    <cellStyle name="Calc Currency (0) 21 4" xfId="9677"/>
    <cellStyle name="Calc Currency (0) 21 5" xfId="9678"/>
    <cellStyle name="Calc Currency (0) 21 6" xfId="9679"/>
    <cellStyle name="Calc Currency (0) 21 7" xfId="9680"/>
    <cellStyle name="Calc Currency (0) 21 8" xfId="9681"/>
    <cellStyle name="Calc Currency (0) 21 9" xfId="9682"/>
    <cellStyle name="Calc Currency (0) 22" xfId="9683"/>
    <cellStyle name="Calc Currency (0) 22 2" xfId="9684"/>
    <cellStyle name="Calc Currency (0) 22 3" xfId="9685"/>
    <cellStyle name="Calc Currency (0) 22 4" xfId="9686"/>
    <cellStyle name="Calc Currency (0) 22 5" xfId="9687"/>
    <cellStyle name="Calc Currency (0) 22 6" xfId="9688"/>
    <cellStyle name="Calc Currency (0) 22 7" xfId="9689"/>
    <cellStyle name="Calc Currency (0) 22 8" xfId="9690"/>
    <cellStyle name="Calc Currency (0) 22 9" xfId="9691"/>
    <cellStyle name="Calc Currency (0) 23" xfId="9692"/>
    <cellStyle name="Calc Currency (0) 24" xfId="9693"/>
    <cellStyle name="Calc Currency (0) 25" xfId="9694"/>
    <cellStyle name="Calc Currency (0) 26" xfId="9695"/>
    <cellStyle name="Calc Currency (0) 27" xfId="9696"/>
    <cellStyle name="Calc Currency (0) 28" xfId="9697"/>
    <cellStyle name="Calc Currency (0) 29" xfId="9698"/>
    <cellStyle name="Calc Currency (0) 3" xfId="9699"/>
    <cellStyle name="Calc Currency (0) 3 10" xfId="9700"/>
    <cellStyle name="Calc Currency (0) 3 11" xfId="9701"/>
    <cellStyle name="Calc Currency (0) 3 2" xfId="9702"/>
    <cellStyle name="Calc Currency (0) 3 2 10" xfId="9703"/>
    <cellStyle name="Calc Currency (0) 3 2 11" xfId="9704"/>
    <cellStyle name="Calc Currency (0) 3 2 12" xfId="9705"/>
    <cellStyle name="Calc Currency (0) 3 2 13" xfId="9706"/>
    <cellStyle name="Calc Currency (0) 3 2 14" xfId="9707"/>
    <cellStyle name="Calc Currency (0) 3 2 15" xfId="9708"/>
    <cellStyle name="Calc Currency (0) 3 2 16" xfId="9709"/>
    <cellStyle name="Calc Currency (0) 3 2 2" xfId="9710"/>
    <cellStyle name="Calc Currency (0) 3 2 2 2" xfId="9711"/>
    <cellStyle name="Calc Currency (0) 3 2 2 3" xfId="9712"/>
    <cellStyle name="Calc Currency (0) 3 2 3" xfId="9713"/>
    <cellStyle name="Calc Currency (0) 3 2 3 2" xfId="9714"/>
    <cellStyle name="Calc Currency (0) 3 2 3 3" xfId="9715"/>
    <cellStyle name="Calc Currency (0) 3 2 3 4" xfId="9716"/>
    <cellStyle name="Calc Currency (0) 3 2 3 5" xfId="9717"/>
    <cellStyle name="Calc Currency (0) 3 2 3 6" xfId="9718"/>
    <cellStyle name="Calc Currency (0) 3 2 3 7" xfId="9719"/>
    <cellStyle name="Calc Currency (0) 3 2 3 8" xfId="9720"/>
    <cellStyle name="Calc Currency (0) 3 2 4" xfId="9721"/>
    <cellStyle name="Calc Currency (0) 3 2 5" xfId="9722"/>
    <cellStyle name="Calc Currency (0) 3 2 6" xfId="9723"/>
    <cellStyle name="Calc Currency (0) 3 2 7" xfId="9724"/>
    <cellStyle name="Calc Currency (0) 3 2 8" xfId="9725"/>
    <cellStyle name="Calc Currency (0) 3 2 9" xfId="9726"/>
    <cellStyle name="Calc Currency (0) 3 3" xfId="9727"/>
    <cellStyle name="Calc Currency (0) 3 3 2" xfId="9728"/>
    <cellStyle name="Calc Currency (0) 3 3 2 2" xfId="9729"/>
    <cellStyle name="Calc Currency (0) 3 3 2 2 2" xfId="9730"/>
    <cellStyle name="Calc Currency (0) 3 3 2 2 2 2" xfId="9731"/>
    <cellStyle name="Calc Currency (0) 3 3 2 2 2 3" xfId="9732"/>
    <cellStyle name="Calc Currency (0) 3 3 2 2 2 4" xfId="9733"/>
    <cellStyle name="Calc Currency (0) 3 3 2 2 2 5" xfId="9734"/>
    <cellStyle name="Calc Currency (0) 3 3 2 2 2 6" xfId="9735"/>
    <cellStyle name="Calc Currency (0) 3 3 2 2 2 7" xfId="9736"/>
    <cellStyle name="Calc Currency (0) 3 3 2 2 2 8" xfId="9737"/>
    <cellStyle name="Calc Currency (0) 3 3 2 2 3" xfId="9738"/>
    <cellStyle name="Calc Currency (0) 3 3 2 2 4" xfId="9739"/>
    <cellStyle name="Calc Currency (0) 3 3 2 2 5" xfId="9740"/>
    <cellStyle name="Calc Currency (0) 3 3 2 2 6" xfId="9741"/>
    <cellStyle name="Calc Currency (0) 3 3 2 2 7" xfId="9742"/>
    <cellStyle name="Calc Currency (0) 3 3 2 2 8" xfId="9743"/>
    <cellStyle name="Calc Currency (0) 3 3 2 2 9" xfId="9744"/>
    <cellStyle name="Calc Currency (0) 3 3 2 3" xfId="9745"/>
    <cellStyle name="Calc Currency (0) 3 3 2 4" xfId="9746"/>
    <cellStyle name="Calc Currency (0) 3 3 2 5" xfId="9747"/>
    <cellStyle name="Calc Currency (0) 3 3 2 6" xfId="9748"/>
    <cellStyle name="Calc Currency (0) 3 3 2 7" xfId="9749"/>
    <cellStyle name="Calc Currency (0) 3 3 2 8" xfId="9750"/>
    <cellStyle name="Calc Currency (0) 3 3 2 9" xfId="9751"/>
    <cellStyle name="Calc Currency (0) 3 3 3" xfId="9752"/>
    <cellStyle name="Calc Currency (0) 3 3 3 2" xfId="9753"/>
    <cellStyle name="Calc Currency (0) 3 3 3 3" xfId="9754"/>
    <cellStyle name="Calc Currency (0) 3 3 3 4" xfId="9755"/>
    <cellStyle name="Calc Currency (0) 3 3 3 5" xfId="9756"/>
    <cellStyle name="Calc Currency (0) 3 3 3 6" xfId="9757"/>
    <cellStyle name="Calc Currency (0) 3 3 3 7" xfId="9758"/>
    <cellStyle name="Calc Currency (0) 3 3 3 8" xfId="9759"/>
    <cellStyle name="Calc Currency (0) 3 3 4" xfId="9760"/>
    <cellStyle name="Calc Currency (0) 3 3 5" xfId="9761"/>
    <cellStyle name="Calc Currency (0) 3 3 6" xfId="9762"/>
    <cellStyle name="Calc Currency (0) 3 3 7" xfId="9763"/>
    <cellStyle name="Calc Currency (0) 3 3 8" xfId="9764"/>
    <cellStyle name="Calc Currency (0) 3 3 9" xfId="9765"/>
    <cellStyle name="Calc Currency (0) 3 4" xfId="9766"/>
    <cellStyle name="Calc Currency (0) 3 4 2" xfId="9767"/>
    <cellStyle name="Calc Currency (0) 3 4 3" xfId="9768"/>
    <cellStyle name="Calc Currency (0) 3 4 4" xfId="9769"/>
    <cellStyle name="Calc Currency (0) 3 4 5" xfId="9770"/>
    <cellStyle name="Calc Currency (0) 3 4 6" xfId="9771"/>
    <cellStyle name="Calc Currency (0) 3 4 7" xfId="9772"/>
    <cellStyle name="Calc Currency (0) 3 4 8" xfId="9773"/>
    <cellStyle name="Calc Currency (0) 3 5" xfId="9774"/>
    <cellStyle name="Calc Currency (0) 3 6" xfId="9775"/>
    <cellStyle name="Calc Currency (0) 3 7" xfId="9776"/>
    <cellStyle name="Calc Currency (0) 3 8" xfId="9777"/>
    <cellStyle name="Calc Currency (0) 3 9" xfId="9778"/>
    <cellStyle name="Calc Currency (0) 30" xfId="9779"/>
    <cellStyle name="Calc Currency (0) 31" xfId="9780"/>
    <cellStyle name="Calc Currency (0) 32" xfId="9781"/>
    <cellStyle name="Calc Currency (0) 33" xfId="9782"/>
    <cellStyle name="Calc Currency (0) 34" xfId="9783"/>
    <cellStyle name="Calc Currency (0) 35" xfId="9784"/>
    <cellStyle name="Calc Currency (0) 36" xfId="9785"/>
    <cellStyle name="Calc Currency (0) 4" xfId="9786"/>
    <cellStyle name="Calc Currency (0) 4 10" xfId="9787"/>
    <cellStyle name="Calc Currency (0) 4 11" xfId="9788"/>
    <cellStyle name="Calc Currency (0) 4 2" xfId="9789"/>
    <cellStyle name="Calc Currency (0) 4 2 2" xfId="9790"/>
    <cellStyle name="Calc Currency (0) 4 2 3" xfId="9791"/>
    <cellStyle name="Calc Currency (0) 4 2 4" xfId="9792"/>
    <cellStyle name="Calc Currency (0) 4 2 5" xfId="9793"/>
    <cellStyle name="Calc Currency (0) 4 2 6" xfId="9794"/>
    <cellStyle name="Calc Currency (0) 4 2 7" xfId="9795"/>
    <cellStyle name="Calc Currency (0) 4 2 8" xfId="9796"/>
    <cellStyle name="Calc Currency (0) 4 2 9" xfId="9797"/>
    <cellStyle name="Calc Currency (0) 4 3" xfId="9798"/>
    <cellStyle name="Calc Currency (0) 4 3 2" xfId="9799"/>
    <cellStyle name="Calc Currency (0) 4 3 3" xfId="9800"/>
    <cellStyle name="Calc Currency (0) 4 3 4" xfId="9801"/>
    <cellStyle name="Calc Currency (0) 4 3 5" xfId="9802"/>
    <cellStyle name="Calc Currency (0) 4 3 6" xfId="9803"/>
    <cellStyle name="Calc Currency (0) 4 3 7" xfId="9804"/>
    <cellStyle name="Calc Currency (0) 4 3 8" xfId="9805"/>
    <cellStyle name="Calc Currency (0) 4 3 9" xfId="9806"/>
    <cellStyle name="Calc Currency (0) 4 4" xfId="9807"/>
    <cellStyle name="Calc Currency (0) 4 5" xfId="9808"/>
    <cellStyle name="Calc Currency (0) 4 6" xfId="9809"/>
    <cellStyle name="Calc Currency (0) 4 7" xfId="9810"/>
    <cellStyle name="Calc Currency (0) 4 8" xfId="9811"/>
    <cellStyle name="Calc Currency (0) 4 9" xfId="9812"/>
    <cellStyle name="Calc Currency (0) 5" xfId="9813"/>
    <cellStyle name="Calc Currency (0) 5 10" xfId="9814"/>
    <cellStyle name="Calc Currency (0) 5 11" xfId="9815"/>
    <cellStyle name="Calc Currency (0) 5 2" xfId="9816"/>
    <cellStyle name="Calc Currency (0) 5 2 10" xfId="9817"/>
    <cellStyle name="Calc Currency (0) 5 2 11" xfId="9818"/>
    <cellStyle name="Calc Currency (0) 5 2 12" xfId="9819"/>
    <cellStyle name="Calc Currency (0) 5 2 13" xfId="9820"/>
    <cellStyle name="Calc Currency (0) 5 2 14" xfId="9821"/>
    <cellStyle name="Calc Currency (0) 5 2 15" xfId="9822"/>
    <cellStyle name="Calc Currency (0) 5 2 16" xfId="9823"/>
    <cellStyle name="Calc Currency (0) 5 2 2" xfId="9824"/>
    <cellStyle name="Calc Currency (0) 5 2 2 2" xfId="9825"/>
    <cellStyle name="Calc Currency (0) 5 2 2 2 2" xfId="9826"/>
    <cellStyle name="Calc Currency (0) 5 2 2 2 3" xfId="9827"/>
    <cellStyle name="Calc Currency (0) 5 2 2 3" xfId="9828"/>
    <cellStyle name="Calc Currency (0) 5 2 3" xfId="9829"/>
    <cellStyle name="Calc Currency (0) 5 2 4" xfId="9830"/>
    <cellStyle name="Calc Currency (0) 5 2 5" xfId="9831"/>
    <cellStyle name="Calc Currency (0) 5 2 6" xfId="9832"/>
    <cellStyle name="Calc Currency (0) 5 2 7" xfId="9833"/>
    <cellStyle name="Calc Currency (0) 5 2 8" xfId="9834"/>
    <cellStyle name="Calc Currency (0) 5 2 9" xfId="9835"/>
    <cellStyle name="Calc Currency (0) 5 3" xfId="9836"/>
    <cellStyle name="Calc Currency (0) 5 3 2" xfId="9837"/>
    <cellStyle name="Calc Currency (0) 5 3 3" xfId="9838"/>
    <cellStyle name="Calc Currency (0) 5 3 4" xfId="9839"/>
    <cellStyle name="Calc Currency (0) 5 3 5" xfId="9840"/>
    <cellStyle name="Calc Currency (0) 5 3 6" xfId="9841"/>
    <cellStyle name="Calc Currency (0) 5 3 7" xfId="9842"/>
    <cellStyle name="Calc Currency (0) 5 3 8" xfId="9843"/>
    <cellStyle name="Calc Currency (0) 5 3 9" xfId="9844"/>
    <cellStyle name="Calc Currency (0) 5 4" xfId="9845"/>
    <cellStyle name="Calc Currency (0) 5 5" xfId="9846"/>
    <cellStyle name="Calc Currency (0) 5 6" xfId="9847"/>
    <cellStyle name="Calc Currency (0) 5 6 2" xfId="9848"/>
    <cellStyle name="Calc Currency (0) 5 6 3" xfId="9849"/>
    <cellStyle name="Calc Currency (0) 5 6 4" xfId="9850"/>
    <cellStyle name="Calc Currency (0) 5 6 5" xfId="9851"/>
    <cellStyle name="Calc Currency (0) 5 6 6" xfId="9852"/>
    <cellStyle name="Calc Currency (0) 5 6 7" xfId="9853"/>
    <cellStyle name="Calc Currency (0) 5 6 8" xfId="9854"/>
    <cellStyle name="Calc Currency (0) 5 7" xfId="9855"/>
    <cellStyle name="Calc Currency (0) 5 8" xfId="9856"/>
    <cellStyle name="Calc Currency (0) 5 9" xfId="9857"/>
    <cellStyle name="Calc Currency (0) 6" xfId="9858"/>
    <cellStyle name="Calc Currency (0) 6 10" xfId="9859"/>
    <cellStyle name="Calc Currency (0) 6 11" xfId="9860"/>
    <cellStyle name="Calc Currency (0) 6 2" xfId="9861"/>
    <cellStyle name="Calc Currency (0) 6 2 2" xfId="9862"/>
    <cellStyle name="Calc Currency (0) 6 2 3" xfId="9863"/>
    <cellStyle name="Calc Currency (0) 6 2 4" xfId="9864"/>
    <cellStyle name="Calc Currency (0) 6 2 5" xfId="9865"/>
    <cellStyle name="Calc Currency (0) 6 2 6" xfId="9866"/>
    <cellStyle name="Calc Currency (0) 6 2 7" xfId="9867"/>
    <cellStyle name="Calc Currency (0) 6 2 8" xfId="9868"/>
    <cellStyle name="Calc Currency (0) 6 2 9" xfId="9869"/>
    <cellStyle name="Calc Currency (0) 6 3" xfId="9870"/>
    <cellStyle name="Calc Currency (0) 6 3 2" xfId="9871"/>
    <cellStyle name="Calc Currency (0) 6 3 3" xfId="9872"/>
    <cellStyle name="Calc Currency (0) 6 3 4" xfId="9873"/>
    <cellStyle name="Calc Currency (0) 6 3 5" xfId="9874"/>
    <cellStyle name="Calc Currency (0) 6 3 6" xfId="9875"/>
    <cellStyle name="Calc Currency (0) 6 3 7" xfId="9876"/>
    <cellStyle name="Calc Currency (0) 6 3 8" xfId="9877"/>
    <cellStyle name="Calc Currency (0) 6 3 9" xfId="9878"/>
    <cellStyle name="Calc Currency (0) 6 4" xfId="9879"/>
    <cellStyle name="Calc Currency (0) 6 5" xfId="9880"/>
    <cellStyle name="Calc Currency (0) 6 6" xfId="9881"/>
    <cellStyle name="Calc Currency (0) 6 7" xfId="9882"/>
    <cellStyle name="Calc Currency (0) 6 8" xfId="9883"/>
    <cellStyle name="Calc Currency (0) 6 9" xfId="9884"/>
    <cellStyle name="Calc Currency (0) 7" xfId="9885"/>
    <cellStyle name="Calc Currency (0) 7 10" xfId="9886"/>
    <cellStyle name="Calc Currency (0) 7 11" xfId="9887"/>
    <cellStyle name="Calc Currency (0) 7 2" xfId="9888"/>
    <cellStyle name="Calc Currency (0) 7 2 2" xfId="9889"/>
    <cellStyle name="Calc Currency (0) 7 2 3" xfId="9890"/>
    <cellStyle name="Calc Currency (0) 7 2 4" xfId="9891"/>
    <cellStyle name="Calc Currency (0) 7 2 5" xfId="9892"/>
    <cellStyle name="Calc Currency (0) 7 2 6" xfId="9893"/>
    <cellStyle name="Calc Currency (0) 7 2 7" xfId="9894"/>
    <cellStyle name="Calc Currency (0) 7 2 8" xfId="9895"/>
    <cellStyle name="Calc Currency (0) 7 2 9" xfId="9896"/>
    <cellStyle name="Calc Currency (0) 7 3" xfId="9897"/>
    <cellStyle name="Calc Currency (0) 7 3 2" xfId="9898"/>
    <cellStyle name="Calc Currency (0) 7 3 3" xfId="9899"/>
    <cellStyle name="Calc Currency (0) 7 3 4" xfId="9900"/>
    <cellStyle name="Calc Currency (0) 7 3 5" xfId="9901"/>
    <cellStyle name="Calc Currency (0) 7 3 6" xfId="9902"/>
    <cellStyle name="Calc Currency (0) 7 3 7" xfId="9903"/>
    <cellStyle name="Calc Currency (0) 7 3 8" xfId="9904"/>
    <cellStyle name="Calc Currency (0) 7 3 9" xfId="9905"/>
    <cellStyle name="Calc Currency (0) 7 4" xfId="9906"/>
    <cellStyle name="Calc Currency (0) 7 5" xfId="9907"/>
    <cellStyle name="Calc Currency (0) 7 6" xfId="9908"/>
    <cellStyle name="Calc Currency (0) 7 7" xfId="9909"/>
    <cellStyle name="Calc Currency (0) 7 8" xfId="9910"/>
    <cellStyle name="Calc Currency (0) 7 9" xfId="9911"/>
    <cellStyle name="Calc Currency (0) 8" xfId="9912"/>
    <cellStyle name="Calc Currency (0) 8 10" xfId="9913"/>
    <cellStyle name="Calc Currency (0) 8 11" xfId="9914"/>
    <cellStyle name="Calc Currency (0) 8 2" xfId="9915"/>
    <cellStyle name="Calc Currency (0) 8 2 2" xfId="9916"/>
    <cellStyle name="Calc Currency (0) 8 2 3" xfId="9917"/>
    <cellStyle name="Calc Currency (0) 8 2 4" xfId="9918"/>
    <cellStyle name="Calc Currency (0) 8 2 5" xfId="9919"/>
    <cellStyle name="Calc Currency (0) 8 2 6" xfId="9920"/>
    <cellStyle name="Calc Currency (0) 8 2 7" xfId="9921"/>
    <cellStyle name="Calc Currency (0) 8 2 8" xfId="9922"/>
    <cellStyle name="Calc Currency (0) 8 2 9" xfId="9923"/>
    <cellStyle name="Calc Currency (0) 8 3" xfId="9924"/>
    <cellStyle name="Calc Currency (0) 8 3 2" xfId="9925"/>
    <cellStyle name="Calc Currency (0) 8 3 3" xfId="9926"/>
    <cellStyle name="Calc Currency (0) 8 3 4" xfId="9927"/>
    <cellStyle name="Calc Currency (0) 8 3 5" xfId="9928"/>
    <cellStyle name="Calc Currency (0) 8 3 6" xfId="9929"/>
    <cellStyle name="Calc Currency (0) 8 3 7" xfId="9930"/>
    <cellStyle name="Calc Currency (0) 8 3 8" xfId="9931"/>
    <cellStyle name="Calc Currency (0) 8 3 9" xfId="9932"/>
    <cellStyle name="Calc Currency (0) 8 4" xfId="9933"/>
    <cellStyle name="Calc Currency (0) 8 5" xfId="9934"/>
    <cellStyle name="Calc Currency (0) 8 6" xfId="9935"/>
    <cellStyle name="Calc Currency (0) 8 7" xfId="9936"/>
    <cellStyle name="Calc Currency (0) 8 8" xfId="9937"/>
    <cellStyle name="Calc Currency (0) 8 9" xfId="9938"/>
    <cellStyle name="Calc Currency (0) 9" xfId="9939"/>
    <cellStyle name="Calc Currency (0) 9 10" xfId="9940"/>
    <cellStyle name="Calc Currency (0) 9 11" xfId="9941"/>
    <cellStyle name="Calc Currency (0) 9 2" xfId="9942"/>
    <cellStyle name="Calc Currency (0) 9 2 10" xfId="9943"/>
    <cellStyle name="Calc Currency (0) 9 2 11" xfId="9944"/>
    <cellStyle name="Calc Currency (0) 9 2 12" xfId="9945"/>
    <cellStyle name="Calc Currency (0) 9 2 13" xfId="9946"/>
    <cellStyle name="Calc Currency (0) 9 2 14" xfId="9947"/>
    <cellStyle name="Calc Currency (0) 9 2 15" xfId="9948"/>
    <cellStyle name="Calc Currency (0) 9 2 16" xfId="9949"/>
    <cellStyle name="Calc Currency (0) 9 2 2" xfId="9950"/>
    <cellStyle name="Calc Currency (0) 9 2 3" xfId="9951"/>
    <cellStyle name="Calc Currency (0) 9 2 4" xfId="9952"/>
    <cellStyle name="Calc Currency (0) 9 2 5" xfId="9953"/>
    <cellStyle name="Calc Currency (0) 9 2 6" xfId="9954"/>
    <cellStyle name="Calc Currency (0) 9 2 7" xfId="9955"/>
    <cellStyle name="Calc Currency (0) 9 2 8" xfId="9956"/>
    <cellStyle name="Calc Currency (0) 9 2 9" xfId="9957"/>
    <cellStyle name="Calc Currency (0) 9 3" xfId="9958"/>
    <cellStyle name="Calc Currency (0) 9 3 2" xfId="9959"/>
    <cellStyle name="Calc Currency (0) 9 3 3" xfId="9960"/>
    <cellStyle name="Calc Currency (0) 9 3 4" xfId="9961"/>
    <cellStyle name="Calc Currency (0) 9 3 5" xfId="9962"/>
    <cellStyle name="Calc Currency (0) 9 3 6" xfId="9963"/>
    <cellStyle name="Calc Currency (0) 9 3 7" xfId="9964"/>
    <cellStyle name="Calc Currency (0) 9 3 8" xfId="9965"/>
    <cellStyle name="Calc Currency (0) 9 3 9" xfId="9966"/>
    <cellStyle name="Calc Currency (0) 9 4" xfId="9967"/>
    <cellStyle name="Calc Currency (0) 9 4 2" xfId="9968"/>
    <cellStyle name="Calc Currency (0) 9 4 3" xfId="9969"/>
    <cellStyle name="Calc Currency (0) 9 4 4" xfId="9970"/>
    <cellStyle name="Calc Currency (0) 9 4 5" xfId="9971"/>
    <cellStyle name="Calc Currency (0) 9 4 6" xfId="9972"/>
    <cellStyle name="Calc Currency (0) 9 4 7" xfId="9973"/>
    <cellStyle name="Calc Currency (0) 9 4 8" xfId="9974"/>
    <cellStyle name="Calc Currency (0) 9 5" xfId="9975"/>
    <cellStyle name="Calc Currency (0) 9 6" xfId="9976"/>
    <cellStyle name="Calc Currency (0) 9 7" xfId="9977"/>
    <cellStyle name="Calc Currency (0) 9 8" xfId="9978"/>
    <cellStyle name="Calc Currency (0) 9 9" xfId="9979"/>
    <cellStyle name="Calc Currency (2)" xfId="9980"/>
    <cellStyle name="Calc Currency (2) 10" xfId="9981"/>
    <cellStyle name="Calc Currency (2) 11" xfId="9982"/>
    <cellStyle name="Calc Currency (2) 11 2" xfId="9983"/>
    <cellStyle name="Calc Currency (2) 11 2 2" xfId="9984"/>
    <cellStyle name="Calc Currency (2) 11 2 3" xfId="9985"/>
    <cellStyle name="Calc Currency (2) 11 2 4" xfId="9986"/>
    <cellStyle name="Calc Currency (2) 11 2 5" xfId="9987"/>
    <cellStyle name="Calc Currency (2) 11 2 6" xfId="9988"/>
    <cellStyle name="Calc Currency (2) 11 2 7" xfId="9989"/>
    <cellStyle name="Calc Currency (2) 11 2 8" xfId="9990"/>
    <cellStyle name="Calc Currency (2) 11 3" xfId="9991"/>
    <cellStyle name="Calc Currency (2) 11 4" xfId="9992"/>
    <cellStyle name="Calc Currency (2) 11 5" xfId="9993"/>
    <cellStyle name="Calc Currency (2) 11 6" xfId="9994"/>
    <cellStyle name="Calc Currency (2) 11 7" xfId="9995"/>
    <cellStyle name="Calc Currency (2) 11 8" xfId="9996"/>
    <cellStyle name="Calc Currency (2) 12" xfId="9997"/>
    <cellStyle name="Calc Currency (2) 12 2" xfId="9998"/>
    <cellStyle name="Calc Currency (2) 12 3" xfId="9999"/>
    <cellStyle name="Calc Currency (2) 12 4" xfId="10000"/>
    <cellStyle name="Calc Currency (2) 12 5" xfId="10001"/>
    <cellStyle name="Calc Currency (2) 12 6" xfId="10002"/>
    <cellStyle name="Calc Currency (2) 12 7" xfId="10003"/>
    <cellStyle name="Calc Currency (2) 12 8" xfId="10004"/>
    <cellStyle name="Calc Currency (2) 13" xfId="10005"/>
    <cellStyle name="Calc Currency (2) 14" xfId="10006"/>
    <cellStyle name="Calc Currency (2) 15" xfId="10007"/>
    <cellStyle name="Calc Currency (2) 16" xfId="10008"/>
    <cellStyle name="Calc Currency (2) 17" xfId="10009"/>
    <cellStyle name="Calc Currency (2) 18" xfId="10010"/>
    <cellStyle name="Calc Currency (2) 19" xfId="10011"/>
    <cellStyle name="Calc Currency (2) 2" xfId="10012"/>
    <cellStyle name="Calc Currency (2) 2 10" xfId="10013"/>
    <cellStyle name="Calc Currency (2) 2 10 2" xfId="10014"/>
    <cellStyle name="Calc Currency (2) 2 10 3" xfId="10015"/>
    <cellStyle name="Calc Currency (2) 2 10 4" xfId="10016"/>
    <cellStyle name="Calc Currency (2) 2 10 5" xfId="10017"/>
    <cellStyle name="Calc Currency (2) 2 10 6" xfId="10018"/>
    <cellStyle name="Calc Currency (2) 2 10 7" xfId="10019"/>
    <cellStyle name="Calc Currency (2) 2 10 8" xfId="10020"/>
    <cellStyle name="Calc Currency (2) 2 10 9" xfId="10021"/>
    <cellStyle name="Calc Currency (2) 2 11" xfId="10022"/>
    <cellStyle name="Calc Currency (2) 2 11 2" xfId="10023"/>
    <cellStyle name="Calc Currency (2) 2 11 2 2" xfId="10024"/>
    <cellStyle name="Calc Currency (2) 2 11 2 3" xfId="10025"/>
    <cellStyle name="Calc Currency (2) 2 11 2 4" xfId="10026"/>
    <cellStyle name="Calc Currency (2) 2 11 2 5" xfId="10027"/>
    <cellStyle name="Calc Currency (2) 2 11 2 6" xfId="10028"/>
    <cellStyle name="Calc Currency (2) 2 11 2 7" xfId="10029"/>
    <cellStyle name="Calc Currency (2) 2 11 2 8" xfId="10030"/>
    <cellStyle name="Calc Currency (2) 2 11 3" xfId="10031"/>
    <cellStyle name="Calc Currency (2) 2 11 4" xfId="10032"/>
    <cellStyle name="Calc Currency (2) 2 11 5" xfId="10033"/>
    <cellStyle name="Calc Currency (2) 2 11 6" xfId="10034"/>
    <cellStyle name="Calc Currency (2) 2 11 7" xfId="10035"/>
    <cellStyle name="Calc Currency (2) 2 11 8" xfId="10036"/>
    <cellStyle name="Calc Currency (2) 2 11 9" xfId="10037"/>
    <cellStyle name="Calc Currency (2) 2 12" xfId="10038"/>
    <cellStyle name="Calc Currency (2) 2 13" xfId="10039"/>
    <cellStyle name="Calc Currency (2) 2 14" xfId="10040"/>
    <cellStyle name="Calc Currency (2) 2 15" xfId="10041"/>
    <cellStyle name="Calc Currency (2) 2 16" xfId="10042"/>
    <cellStyle name="Calc Currency (2) 2 17" xfId="10043"/>
    <cellStyle name="Calc Currency (2) 2 18" xfId="10044"/>
    <cellStyle name="Calc Currency (2) 2 19" xfId="10045"/>
    <cellStyle name="Calc Currency (2) 2 2" xfId="10046"/>
    <cellStyle name="Calc Currency (2) 2 2 10" xfId="10047"/>
    <cellStyle name="Calc Currency (2) 2 2 11" xfId="10048"/>
    <cellStyle name="Calc Currency (2) 2 2 12" xfId="10049"/>
    <cellStyle name="Calc Currency (2) 2 2 13" xfId="10050"/>
    <cellStyle name="Calc Currency (2) 2 2 14" xfId="10051"/>
    <cellStyle name="Calc Currency (2) 2 2 15" xfId="10052"/>
    <cellStyle name="Calc Currency (2) 2 2 16" xfId="10053"/>
    <cellStyle name="Calc Currency (2) 2 2 17" xfId="10054"/>
    <cellStyle name="Calc Currency (2) 2 2 2" xfId="10055"/>
    <cellStyle name="Calc Currency (2) 2 2 2 10" xfId="10056"/>
    <cellStyle name="Calc Currency (2) 2 2 2 11" xfId="10057"/>
    <cellStyle name="Calc Currency (2) 2 2 2 12" xfId="10058"/>
    <cellStyle name="Calc Currency (2) 2 2 2 13" xfId="10059"/>
    <cellStyle name="Calc Currency (2) 2 2 2 14" xfId="10060"/>
    <cellStyle name="Calc Currency (2) 2 2 2 15" xfId="10061"/>
    <cellStyle name="Calc Currency (2) 2 2 2 2" xfId="10062"/>
    <cellStyle name="Calc Currency (2) 2 2 2 2 2" xfId="10063"/>
    <cellStyle name="Calc Currency (2) 2 2 2 2 3" xfId="10064"/>
    <cellStyle name="Calc Currency (2) 2 2 2 2 4" xfId="10065"/>
    <cellStyle name="Calc Currency (2) 2 2 2 2 5" xfId="10066"/>
    <cellStyle name="Calc Currency (2) 2 2 2 2 6" xfId="10067"/>
    <cellStyle name="Calc Currency (2) 2 2 2 2 7" xfId="10068"/>
    <cellStyle name="Calc Currency (2) 2 2 2 2 8" xfId="10069"/>
    <cellStyle name="Calc Currency (2) 2 2 2 3" xfId="10070"/>
    <cellStyle name="Calc Currency (2) 2 2 2 4" xfId="10071"/>
    <cellStyle name="Calc Currency (2) 2 2 2 5" xfId="10072"/>
    <cellStyle name="Calc Currency (2) 2 2 2 6" xfId="10073"/>
    <cellStyle name="Calc Currency (2) 2 2 2 7" xfId="10074"/>
    <cellStyle name="Calc Currency (2) 2 2 2 8" xfId="10075"/>
    <cellStyle name="Calc Currency (2) 2 2 2 9" xfId="10076"/>
    <cellStyle name="Calc Currency (2) 2 2 3" xfId="10077"/>
    <cellStyle name="Calc Currency (2) 2 2 3 2" xfId="10078"/>
    <cellStyle name="Calc Currency (2) 2 2 3 3" xfId="10079"/>
    <cellStyle name="Calc Currency (2) 2 2 3 4" xfId="10080"/>
    <cellStyle name="Calc Currency (2) 2 2 3 5" xfId="10081"/>
    <cellStyle name="Calc Currency (2) 2 2 3 6" xfId="10082"/>
    <cellStyle name="Calc Currency (2) 2 2 3 7" xfId="10083"/>
    <cellStyle name="Calc Currency (2) 2 2 3 8" xfId="10084"/>
    <cellStyle name="Calc Currency (2) 2 2 4" xfId="10085"/>
    <cellStyle name="Calc Currency (2) 2 2 5" xfId="10086"/>
    <cellStyle name="Calc Currency (2) 2 2 6" xfId="10087"/>
    <cellStyle name="Calc Currency (2) 2 2 7" xfId="10088"/>
    <cellStyle name="Calc Currency (2) 2 2 8" xfId="10089"/>
    <cellStyle name="Calc Currency (2) 2 2 9" xfId="10090"/>
    <cellStyle name="Calc Currency (2) 2 3" xfId="10091"/>
    <cellStyle name="Calc Currency (2) 2 3 2" xfId="10092"/>
    <cellStyle name="Calc Currency (2) 2 3 3" xfId="10093"/>
    <cellStyle name="Calc Currency (2) 2 3 4" xfId="10094"/>
    <cellStyle name="Calc Currency (2) 2 3 5" xfId="10095"/>
    <cellStyle name="Calc Currency (2) 2 3 6" xfId="10096"/>
    <cellStyle name="Calc Currency (2) 2 3 7" xfId="10097"/>
    <cellStyle name="Calc Currency (2) 2 3 8" xfId="10098"/>
    <cellStyle name="Calc Currency (2) 2 4" xfId="10099"/>
    <cellStyle name="Calc Currency (2) 2 4 2" xfId="10100"/>
    <cellStyle name="Calc Currency (2) 2 4 3" xfId="10101"/>
    <cellStyle name="Calc Currency (2) 2 4 4" xfId="10102"/>
    <cellStyle name="Calc Currency (2) 2 4 5" xfId="10103"/>
    <cellStyle name="Calc Currency (2) 2 4 6" xfId="10104"/>
    <cellStyle name="Calc Currency (2) 2 4 7" xfId="10105"/>
    <cellStyle name="Calc Currency (2) 2 4 8" xfId="10106"/>
    <cellStyle name="Calc Currency (2) 2 5" xfId="10107"/>
    <cellStyle name="Calc Currency (2) 2 5 2" xfId="10108"/>
    <cellStyle name="Calc Currency (2) 2 5 3" xfId="10109"/>
    <cellStyle name="Calc Currency (2) 2 5 4" xfId="10110"/>
    <cellStyle name="Calc Currency (2) 2 5 5" xfId="10111"/>
    <cellStyle name="Calc Currency (2) 2 5 6" xfId="10112"/>
    <cellStyle name="Calc Currency (2) 2 5 7" xfId="10113"/>
    <cellStyle name="Calc Currency (2) 2 5 8" xfId="10114"/>
    <cellStyle name="Calc Currency (2) 2 6" xfId="10115"/>
    <cellStyle name="Calc Currency (2) 2 6 2" xfId="10116"/>
    <cellStyle name="Calc Currency (2) 2 6 3" xfId="10117"/>
    <cellStyle name="Calc Currency (2) 2 6 4" xfId="10118"/>
    <cellStyle name="Calc Currency (2) 2 6 5" xfId="10119"/>
    <cellStyle name="Calc Currency (2) 2 6 6" xfId="10120"/>
    <cellStyle name="Calc Currency (2) 2 6 7" xfId="10121"/>
    <cellStyle name="Calc Currency (2) 2 6 8" xfId="10122"/>
    <cellStyle name="Calc Currency (2) 2 7" xfId="10123"/>
    <cellStyle name="Calc Currency (2) 2 7 2" xfId="10124"/>
    <cellStyle name="Calc Currency (2) 2 7 3" xfId="10125"/>
    <cellStyle name="Calc Currency (2) 2 7 4" xfId="10126"/>
    <cellStyle name="Calc Currency (2) 2 7 5" xfId="10127"/>
    <cellStyle name="Calc Currency (2) 2 7 6" xfId="10128"/>
    <cellStyle name="Calc Currency (2) 2 7 7" xfId="10129"/>
    <cellStyle name="Calc Currency (2) 2 7 8" xfId="10130"/>
    <cellStyle name="Calc Currency (2) 2 8" xfId="10131"/>
    <cellStyle name="Calc Currency (2) 2 8 2" xfId="10132"/>
    <cellStyle name="Calc Currency (2) 2 8 3" xfId="10133"/>
    <cellStyle name="Calc Currency (2) 2 8 4" xfId="10134"/>
    <cellStyle name="Calc Currency (2) 2 8 5" xfId="10135"/>
    <cellStyle name="Calc Currency (2) 2 8 6" xfId="10136"/>
    <cellStyle name="Calc Currency (2) 2 8 7" xfId="10137"/>
    <cellStyle name="Calc Currency (2) 2 8 8" xfId="10138"/>
    <cellStyle name="Calc Currency (2) 2 9" xfId="10139"/>
    <cellStyle name="Calc Currency (2) 2 9 2" xfId="10140"/>
    <cellStyle name="Calc Currency (2) 2 9 3" xfId="10141"/>
    <cellStyle name="Calc Currency (2) 2 9 4" xfId="10142"/>
    <cellStyle name="Calc Currency (2) 2 9 5" xfId="10143"/>
    <cellStyle name="Calc Currency (2) 2 9 6" xfId="10144"/>
    <cellStyle name="Calc Currency (2) 2 9 7" xfId="10145"/>
    <cellStyle name="Calc Currency (2) 2 9 8" xfId="10146"/>
    <cellStyle name="Calc Currency (2) 2 9 9" xfId="10147"/>
    <cellStyle name="Calc Currency (2) 20" xfId="10148"/>
    <cellStyle name="Calc Currency (2) 21" xfId="10149"/>
    <cellStyle name="Calc Currency (2) 22" xfId="10150"/>
    <cellStyle name="Calc Currency (2) 23" xfId="10151"/>
    <cellStyle name="Calc Currency (2) 24" xfId="10152"/>
    <cellStyle name="Calc Currency (2) 25" xfId="10153"/>
    <cellStyle name="Calc Currency (2) 26" xfId="10154"/>
    <cellStyle name="Calc Currency (2) 27" xfId="10155"/>
    <cellStyle name="Calc Currency (2) 28" xfId="10156"/>
    <cellStyle name="Calc Currency (2) 29" xfId="10157"/>
    <cellStyle name="Calc Currency (2) 3" xfId="10158"/>
    <cellStyle name="Calc Currency (2) 30" xfId="10159"/>
    <cellStyle name="Calc Currency (2) 31" xfId="10160"/>
    <cellStyle name="Calc Currency (2) 32" xfId="10161"/>
    <cellStyle name="Calc Currency (2) 33" xfId="10162"/>
    <cellStyle name="Calc Currency (2) 34" xfId="10163"/>
    <cellStyle name="Calc Currency (2) 35" xfId="10164"/>
    <cellStyle name="Calc Currency (2) 36" xfId="10165"/>
    <cellStyle name="Calc Currency (2) 4" xfId="10166"/>
    <cellStyle name="Calc Currency (2) 5" xfId="10167"/>
    <cellStyle name="Calc Currency (2) 6" xfId="10168"/>
    <cellStyle name="Calc Currency (2) 7" xfId="10169"/>
    <cellStyle name="Calc Currency (2) 8" xfId="10170"/>
    <cellStyle name="Calc Currency (2) 8 2" xfId="10171"/>
    <cellStyle name="Calc Currency (2) 8 3" xfId="10172"/>
    <cellStyle name="Calc Currency (2) 8 4" xfId="10173"/>
    <cellStyle name="Calc Currency (2) 8 5" xfId="10174"/>
    <cellStyle name="Calc Currency (2) 8 6" xfId="10175"/>
    <cellStyle name="Calc Currency (2) 8 7" xfId="10176"/>
    <cellStyle name="Calc Currency (2) 8 8" xfId="10177"/>
    <cellStyle name="Calc Currency (2) 9" xfId="10178"/>
    <cellStyle name="Calc Percent (0)" xfId="10179"/>
    <cellStyle name="Calc Percent (0) 10" xfId="10180"/>
    <cellStyle name="Calc Percent (0) 11" xfId="10181"/>
    <cellStyle name="Calc Percent (0) 11 2" xfId="10182"/>
    <cellStyle name="Calc Percent (0) 11 2 2" xfId="10183"/>
    <cellStyle name="Calc Percent (0) 11 2 3" xfId="10184"/>
    <cellStyle name="Calc Percent (0) 11 2 4" xfId="10185"/>
    <cellStyle name="Calc Percent (0) 11 2 5" xfId="10186"/>
    <cellStyle name="Calc Percent (0) 11 2 6" xfId="10187"/>
    <cellStyle name="Calc Percent (0) 11 2 7" xfId="10188"/>
    <cellStyle name="Calc Percent (0) 11 2 8" xfId="10189"/>
    <cellStyle name="Calc Percent (0) 11 3" xfId="10190"/>
    <cellStyle name="Calc Percent (0) 11 4" xfId="10191"/>
    <cellStyle name="Calc Percent (0) 11 5" xfId="10192"/>
    <cellStyle name="Calc Percent (0) 11 6" xfId="10193"/>
    <cellStyle name="Calc Percent (0) 11 7" xfId="10194"/>
    <cellStyle name="Calc Percent (0) 11 8" xfId="10195"/>
    <cellStyle name="Calc Percent (0) 12" xfId="10196"/>
    <cellStyle name="Calc Percent (0) 12 2" xfId="10197"/>
    <cellStyle name="Calc Percent (0) 12 3" xfId="10198"/>
    <cellStyle name="Calc Percent (0) 12 4" xfId="10199"/>
    <cellStyle name="Calc Percent (0) 12 5" xfId="10200"/>
    <cellStyle name="Calc Percent (0) 12 6" xfId="10201"/>
    <cellStyle name="Calc Percent (0) 12 7" xfId="10202"/>
    <cellStyle name="Calc Percent (0) 12 8" xfId="10203"/>
    <cellStyle name="Calc Percent (0) 13" xfId="10204"/>
    <cellStyle name="Calc Percent (0) 14" xfId="10205"/>
    <cellStyle name="Calc Percent (0) 15" xfId="10206"/>
    <cellStyle name="Calc Percent (0) 16" xfId="10207"/>
    <cellStyle name="Calc Percent (0) 17" xfId="10208"/>
    <cellStyle name="Calc Percent (0) 18" xfId="10209"/>
    <cellStyle name="Calc Percent (0) 19" xfId="10210"/>
    <cellStyle name="Calc Percent (0) 2" xfId="10211"/>
    <cellStyle name="Calc Percent (0) 2 10" xfId="10212"/>
    <cellStyle name="Calc Percent (0) 2 10 2" xfId="10213"/>
    <cellStyle name="Calc Percent (0) 2 10 3" xfId="10214"/>
    <cellStyle name="Calc Percent (0) 2 10 4" xfId="10215"/>
    <cellStyle name="Calc Percent (0) 2 10 5" xfId="10216"/>
    <cellStyle name="Calc Percent (0) 2 10 6" xfId="10217"/>
    <cellStyle name="Calc Percent (0) 2 10 7" xfId="10218"/>
    <cellStyle name="Calc Percent (0) 2 10 8" xfId="10219"/>
    <cellStyle name="Calc Percent (0) 2 10 9" xfId="10220"/>
    <cellStyle name="Calc Percent (0) 2 11" xfId="10221"/>
    <cellStyle name="Calc Percent (0) 2 11 2" xfId="10222"/>
    <cellStyle name="Calc Percent (0) 2 11 2 2" xfId="10223"/>
    <cellStyle name="Calc Percent (0) 2 11 2 3" xfId="10224"/>
    <cellStyle name="Calc Percent (0) 2 11 2 4" xfId="10225"/>
    <cellStyle name="Calc Percent (0) 2 11 2 5" xfId="10226"/>
    <cellStyle name="Calc Percent (0) 2 11 2 6" xfId="10227"/>
    <cellStyle name="Calc Percent (0) 2 11 2 7" xfId="10228"/>
    <cellStyle name="Calc Percent (0) 2 11 2 8" xfId="10229"/>
    <cellStyle name="Calc Percent (0) 2 11 3" xfId="10230"/>
    <cellStyle name="Calc Percent (0) 2 11 4" xfId="10231"/>
    <cellStyle name="Calc Percent (0) 2 11 5" xfId="10232"/>
    <cellStyle name="Calc Percent (0) 2 11 6" xfId="10233"/>
    <cellStyle name="Calc Percent (0) 2 11 7" xfId="10234"/>
    <cellStyle name="Calc Percent (0) 2 11 8" xfId="10235"/>
    <cellStyle name="Calc Percent (0) 2 11 9" xfId="10236"/>
    <cellStyle name="Calc Percent (0) 2 12" xfId="10237"/>
    <cellStyle name="Calc Percent (0) 2 13" xfId="10238"/>
    <cellStyle name="Calc Percent (0) 2 14" xfId="10239"/>
    <cellStyle name="Calc Percent (0) 2 15" xfId="10240"/>
    <cellStyle name="Calc Percent (0) 2 16" xfId="10241"/>
    <cellStyle name="Calc Percent (0) 2 17" xfId="10242"/>
    <cellStyle name="Calc Percent (0) 2 18" xfId="10243"/>
    <cellStyle name="Calc Percent (0) 2 19" xfId="10244"/>
    <cellStyle name="Calc Percent (0) 2 2" xfId="10245"/>
    <cellStyle name="Calc Percent (0) 2 2 10" xfId="10246"/>
    <cellStyle name="Calc Percent (0) 2 2 11" xfId="10247"/>
    <cellStyle name="Calc Percent (0) 2 2 12" xfId="10248"/>
    <cellStyle name="Calc Percent (0) 2 2 13" xfId="10249"/>
    <cellStyle name="Calc Percent (0) 2 2 14" xfId="10250"/>
    <cellStyle name="Calc Percent (0) 2 2 15" xfId="10251"/>
    <cellStyle name="Calc Percent (0) 2 2 16" xfId="10252"/>
    <cellStyle name="Calc Percent (0) 2 2 17" xfId="10253"/>
    <cellStyle name="Calc Percent (0) 2 2 2" xfId="10254"/>
    <cellStyle name="Calc Percent (0) 2 2 2 10" xfId="10255"/>
    <cellStyle name="Calc Percent (0) 2 2 2 11" xfId="10256"/>
    <cellStyle name="Calc Percent (0) 2 2 2 12" xfId="10257"/>
    <cellStyle name="Calc Percent (0) 2 2 2 13" xfId="10258"/>
    <cellStyle name="Calc Percent (0) 2 2 2 14" xfId="10259"/>
    <cellStyle name="Calc Percent (0) 2 2 2 15" xfId="10260"/>
    <cellStyle name="Calc Percent (0) 2 2 2 2" xfId="10261"/>
    <cellStyle name="Calc Percent (0) 2 2 2 2 2" xfId="10262"/>
    <cellStyle name="Calc Percent (0) 2 2 2 2 3" xfId="10263"/>
    <cellStyle name="Calc Percent (0) 2 2 2 2 4" xfId="10264"/>
    <cellStyle name="Calc Percent (0) 2 2 2 2 5" xfId="10265"/>
    <cellStyle name="Calc Percent (0) 2 2 2 2 6" xfId="10266"/>
    <cellStyle name="Calc Percent (0) 2 2 2 2 7" xfId="10267"/>
    <cellStyle name="Calc Percent (0) 2 2 2 2 8" xfId="10268"/>
    <cellStyle name="Calc Percent (0) 2 2 2 3" xfId="10269"/>
    <cellStyle name="Calc Percent (0) 2 2 2 4" xfId="10270"/>
    <cellStyle name="Calc Percent (0) 2 2 2 5" xfId="10271"/>
    <cellStyle name="Calc Percent (0) 2 2 2 6" xfId="10272"/>
    <cellStyle name="Calc Percent (0) 2 2 2 7" xfId="10273"/>
    <cellStyle name="Calc Percent (0) 2 2 2 8" xfId="10274"/>
    <cellStyle name="Calc Percent (0) 2 2 2 9" xfId="10275"/>
    <cellStyle name="Calc Percent (0) 2 2 3" xfId="10276"/>
    <cellStyle name="Calc Percent (0) 2 2 3 2" xfId="10277"/>
    <cellStyle name="Calc Percent (0) 2 2 3 3" xfId="10278"/>
    <cellStyle name="Calc Percent (0) 2 2 3 4" xfId="10279"/>
    <cellStyle name="Calc Percent (0) 2 2 3 5" xfId="10280"/>
    <cellStyle name="Calc Percent (0) 2 2 3 6" xfId="10281"/>
    <cellStyle name="Calc Percent (0) 2 2 3 7" xfId="10282"/>
    <cellStyle name="Calc Percent (0) 2 2 3 8" xfId="10283"/>
    <cellStyle name="Calc Percent (0) 2 2 4" xfId="10284"/>
    <cellStyle name="Calc Percent (0) 2 2 5" xfId="10285"/>
    <cellStyle name="Calc Percent (0) 2 2 6" xfId="10286"/>
    <cellStyle name="Calc Percent (0) 2 2 7" xfId="10287"/>
    <cellStyle name="Calc Percent (0) 2 2 8" xfId="10288"/>
    <cellStyle name="Calc Percent (0) 2 2 9" xfId="10289"/>
    <cellStyle name="Calc Percent (0) 2 3" xfId="10290"/>
    <cellStyle name="Calc Percent (0) 2 3 2" xfId="10291"/>
    <cellStyle name="Calc Percent (0) 2 3 3" xfId="10292"/>
    <cellStyle name="Calc Percent (0) 2 3 4" xfId="10293"/>
    <cellStyle name="Calc Percent (0) 2 3 5" xfId="10294"/>
    <cellStyle name="Calc Percent (0) 2 3 6" xfId="10295"/>
    <cellStyle name="Calc Percent (0) 2 3 7" xfId="10296"/>
    <cellStyle name="Calc Percent (0) 2 3 8" xfId="10297"/>
    <cellStyle name="Calc Percent (0) 2 4" xfId="10298"/>
    <cellStyle name="Calc Percent (0) 2 4 2" xfId="10299"/>
    <cellStyle name="Calc Percent (0) 2 4 3" xfId="10300"/>
    <cellStyle name="Calc Percent (0) 2 4 4" xfId="10301"/>
    <cellStyle name="Calc Percent (0) 2 4 5" xfId="10302"/>
    <cellStyle name="Calc Percent (0) 2 4 6" xfId="10303"/>
    <cellStyle name="Calc Percent (0) 2 4 7" xfId="10304"/>
    <cellStyle name="Calc Percent (0) 2 4 8" xfId="10305"/>
    <cellStyle name="Calc Percent (0) 2 5" xfId="10306"/>
    <cellStyle name="Calc Percent (0) 2 5 2" xfId="10307"/>
    <cellStyle name="Calc Percent (0) 2 5 3" xfId="10308"/>
    <cellStyle name="Calc Percent (0) 2 5 4" xfId="10309"/>
    <cellStyle name="Calc Percent (0) 2 5 5" xfId="10310"/>
    <cellStyle name="Calc Percent (0) 2 5 6" xfId="10311"/>
    <cellStyle name="Calc Percent (0) 2 5 7" xfId="10312"/>
    <cellStyle name="Calc Percent (0) 2 5 8" xfId="10313"/>
    <cellStyle name="Calc Percent (0) 2 6" xfId="10314"/>
    <cellStyle name="Calc Percent (0) 2 6 2" xfId="10315"/>
    <cellStyle name="Calc Percent (0) 2 6 3" xfId="10316"/>
    <cellStyle name="Calc Percent (0) 2 6 4" xfId="10317"/>
    <cellStyle name="Calc Percent (0) 2 6 5" xfId="10318"/>
    <cellStyle name="Calc Percent (0) 2 6 6" xfId="10319"/>
    <cellStyle name="Calc Percent (0) 2 6 7" xfId="10320"/>
    <cellStyle name="Calc Percent (0) 2 6 8" xfId="10321"/>
    <cellStyle name="Calc Percent (0) 2 7" xfId="10322"/>
    <cellStyle name="Calc Percent (0) 2 7 2" xfId="10323"/>
    <cellStyle name="Calc Percent (0) 2 7 3" xfId="10324"/>
    <cellStyle name="Calc Percent (0) 2 7 4" xfId="10325"/>
    <cellStyle name="Calc Percent (0) 2 7 5" xfId="10326"/>
    <cellStyle name="Calc Percent (0) 2 7 6" xfId="10327"/>
    <cellStyle name="Calc Percent (0) 2 7 7" xfId="10328"/>
    <cellStyle name="Calc Percent (0) 2 7 8" xfId="10329"/>
    <cellStyle name="Calc Percent (0) 2 8" xfId="10330"/>
    <cellStyle name="Calc Percent (0) 2 8 2" xfId="10331"/>
    <cellStyle name="Calc Percent (0) 2 8 3" xfId="10332"/>
    <cellStyle name="Calc Percent (0) 2 8 4" xfId="10333"/>
    <cellStyle name="Calc Percent (0) 2 8 5" xfId="10334"/>
    <cellStyle name="Calc Percent (0) 2 8 6" xfId="10335"/>
    <cellStyle name="Calc Percent (0) 2 8 7" xfId="10336"/>
    <cellStyle name="Calc Percent (0) 2 8 8" xfId="10337"/>
    <cellStyle name="Calc Percent (0) 2 9" xfId="10338"/>
    <cellStyle name="Calc Percent (0) 2 9 2" xfId="10339"/>
    <cellStyle name="Calc Percent (0) 2 9 3" xfId="10340"/>
    <cellStyle name="Calc Percent (0) 2 9 4" xfId="10341"/>
    <cellStyle name="Calc Percent (0) 2 9 5" xfId="10342"/>
    <cellStyle name="Calc Percent (0) 2 9 6" xfId="10343"/>
    <cellStyle name="Calc Percent (0) 2 9 7" xfId="10344"/>
    <cellStyle name="Calc Percent (0) 2 9 8" xfId="10345"/>
    <cellStyle name="Calc Percent (0) 2 9 9" xfId="10346"/>
    <cellStyle name="Calc Percent (0) 20" xfId="10347"/>
    <cellStyle name="Calc Percent (0) 21" xfId="10348"/>
    <cellStyle name="Calc Percent (0) 22" xfId="10349"/>
    <cellStyle name="Calc Percent (0) 23" xfId="10350"/>
    <cellStyle name="Calc Percent (0) 24" xfId="10351"/>
    <cellStyle name="Calc Percent (0) 25" xfId="10352"/>
    <cellStyle name="Calc Percent (0) 26" xfId="10353"/>
    <cellStyle name="Calc Percent (0) 27" xfId="10354"/>
    <cellStyle name="Calc Percent (0) 28" xfId="10355"/>
    <cellStyle name="Calc Percent (0) 29" xfId="10356"/>
    <cellStyle name="Calc Percent (0) 3" xfId="10357"/>
    <cellStyle name="Calc Percent (0) 30" xfId="10358"/>
    <cellStyle name="Calc Percent (0) 31" xfId="10359"/>
    <cellStyle name="Calc Percent (0) 32" xfId="10360"/>
    <cellStyle name="Calc Percent (0) 33" xfId="10361"/>
    <cellStyle name="Calc Percent (0) 34" xfId="10362"/>
    <cellStyle name="Calc Percent (0) 35" xfId="10363"/>
    <cellStyle name="Calc Percent (0) 36" xfId="10364"/>
    <cellStyle name="Calc Percent (0) 4" xfId="10365"/>
    <cellStyle name="Calc Percent (0) 5" xfId="10366"/>
    <cellStyle name="Calc Percent (0) 6" xfId="10367"/>
    <cellStyle name="Calc Percent (0) 7" xfId="10368"/>
    <cellStyle name="Calc Percent (0) 8" xfId="10369"/>
    <cellStyle name="Calc Percent (0) 8 2" xfId="10370"/>
    <cellStyle name="Calc Percent (0) 8 3" xfId="10371"/>
    <cellStyle name="Calc Percent (0) 8 4" xfId="10372"/>
    <cellStyle name="Calc Percent (0) 8 5" xfId="10373"/>
    <cellStyle name="Calc Percent (0) 8 6" xfId="10374"/>
    <cellStyle name="Calc Percent (0) 8 7" xfId="10375"/>
    <cellStyle name="Calc Percent (0) 8 8" xfId="10376"/>
    <cellStyle name="Calc Percent (0) 9" xfId="10377"/>
    <cellStyle name="Calc Percent (1)" xfId="10378"/>
    <cellStyle name="Calc Percent (1) 10" xfId="10379"/>
    <cellStyle name="Calc Percent (1) 10 10" xfId="10380"/>
    <cellStyle name="Calc Percent (1) 10 11" xfId="10381"/>
    <cellStyle name="Calc Percent (1) 10 2" xfId="10382"/>
    <cellStyle name="Calc Percent (1) 10 2 2" xfId="10383"/>
    <cellStyle name="Calc Percent (1) 10 2 3" xfId="10384"/>
    <cellStyle name="Calc Percent (1) 10 2 4" xfId="10385"/>
    <cellStyle name="Calc Percent (1) 10 2 5" xfId="10386"/>
    <cellStyle name="Calc Percent (1) 10 2 6" xfId="10387"/>
    <cellStyle name="Calc Percent (1) 10 2 7" xfId="10388"/>
    <cellStyle name="Calc Percent (1) 10 2 8" xfId="10389"/>
    <cellStyle name="Calc Percent (1) 10 2 9" xfId="10390"/>
    <cellStyle name="Calc Percent (1) 10 3" xfId="10391"/>
    <cellStyle name="Calc Percent (1) 10 3 2" xfId="10392"/>
    <cellStyle name="Calc Percent (1) 10 3 3" xfId="10393"/>
    <cellStyle name="Calc Percent (1) 10 3 4" xfId="10394"/>
    <cellStyle name="Calc Percent (1) 10 3 5" xfId="10395"/>
    <cellStyle name="Calc Percent (1) 10 3 6" xfId="10396"/>
    <cellStyle name="Calc Percent (1) 10 3 7" xfId="10397"/>
    <cellStyle name="Calc Percent (1) 10 3 8" xfId="10398"/>
    <cellStyle name="Calc Percent (1) 10 3 9" xfId="10399"/>
    <cellStyle name="Calc Percent (1) 10 4" xfId="10400"/>
    <cellStyle name="Calc Percent (1) 10 5" xfId="10401"/>
    <cellStyle name="Calc Percent (1) 10 6" xfId="10402"/>
    <cellStyle name="Calc Percent (1) 10 7" xfId="10403"/>
    <cellStyle name="Calc Percent (1) 10 8" xfId="10404"/>
    <cellStyle name="Calc Percent (1) 10 9" xfId="10405"/>
    <cellStyle name="Calc Percent (1) 11" xfId="10406"/>
    <cellStyle name="Calc Percent (1) 11 2" xfId="10407"/>
    <cellStyle name="Calc Percent (1) 11 3" xfId="10408"/>
    <cellStyle name="Calc Percent (1) 11 4" xfId="10409"/>
    <cellStyle name="Calc Percent (1) 11 5" xfId="10410"/>
    <cellStyle name="Calc Percent (1) 11 6" xfId="10411"/>
    <cellStyle name="Calc Percent (1) 11 7" xfId="10412"/>
    <cellStyle name="Calc Percent (1) 11 8" xfId="10413"/>
    <cellStyle name="Calc Percent (1) 11 9" xfId="10414"/>
    <cellStyle name="Calc Percent (1) 12" xfId="10415"/>
    <cellStyle name="Calc Percent (1) 12 2" xfId="10416"/>
    <cellStyle name="Calc Percent (1) 12 3" xfId="10417"/>
    <cellStyle name="Calc Percent (1) 12 4" xfId="10418"/>
    <cellStyle name="Calc Percent (1) 12 5" xfId="10419"/>
    <cellStyle name="Calc Percent (1) 12 6" xfId="10420"/>
    <cellStyle name="Calc Percent (1) 12 7" xfId="10421"/>
    <cellStyle name="Calc Percent (1) 12 8" xfId="10422"/>
    <cellStyle name="Calc Percent (1) 12 9" xfId="10423"/>
    <cellStyle name="Calc Percent (1) 13" xfId="10424"/>
    <cellStyle name="Calc Percent (1) 13 10" xfId="10425"/>
    <cellStyle name="Calc Percent (1) 13 11" xfId="10426"/>
    <cellStyle name="Calc Percent (1) 13 12" xfId="10427"/>
    <cellStyle name="Calc Percent (1) 13 13" xfId="10428"/>
    <cellStyle name="Calc Percent (1) 13 14" xfId="10429"/>
    <cellStyle name="Calc Percent (1) 13 15" xfId="10430"/>
    <cellStyle name="Calc Percent (1) 13 16" xfId="10431"/>
    <cellStyle name="Calc Percent (1) 13 2" xfId="10432"/>
    <cellStyle name="Calc Percent (1) 13 3" xfId="10433"/>
    <cellStyle name="Calc Percent (1) 13 4" xfId="10434"/>
    <cellStyle name="Calc Percent (1) 13 5" xfId="10435"/>
    <cellStyle name="Calc Percent (1) 13 6" xfId="10436"/>
    <cellStyle name="Calc Percent (1) 13 7" xfId="10437"/>
    <cellStyle name="Calc Percent (1) 13 8" xfId="10438"/>
    <cellStyle name="Calc Percent (1) 13 9" xfId="10439"/>
    <cellStyle name="Calc Percent (1) 14" xfId="10440"/>
    <cellStyle name="Calc Percent (1) 14 10" xfId="10441"/>
    <cellStyle name="Calc Percent (1) 14 11" xfId="10442"/>
    <cellStyle name="Calc Percent (1) 14 12" xfId="10443"/>
    <cellStyle name="Calc Percent (1) 14 13" xfId="10444"/>
    <cellStyle name="Calc Percent (1) 14 14" xfId="10445"/>
    <cellStyle name="Calc Percent (1) 14 15" xfId="10446"/>
    <cellStyle name="Calc Percent (1) 14 16" xfId="10447"/>
    <cellStyle name="Calc Percent (1) 14 2" xfId="10448"/>
    <cellStyle name="Calc Percent (1) 14 3" xfId="10449"/>
    <cellStyle name="Calc Percent (1) 14 4" xfId="10450"/>
    <cellStyle name="Calc Percent (1) 14 5" xfId="10451"/>
    <cellStyle name="Calc Percent (1) 14 6" xfId="10452"/>
    <cellStyle name="Calc Percent (1) 14 7" xfId="10453"/>
    <cellStyle name="Calc Percent (1) 14 8" xfId="10454"/>
    <cellStyle name="Calc Percent (1) 14 9" xfId="10455"/>
    <cellStyle name="Calc Percent (1) 15" xfId="10456"/>
    <cellStyle name="Calc Percent (1) 15 10" xfId="10457"/>
    <cellStyle name="Calc Percent (1) 15 11" xfId="10458"/>
    <cellStyle name="Calc Percent (1) 15 12" xfId="10459"/>
    <cellStyle name="Calc Percent (1) 15 13" xfId="10460"/>
    <cellStyle name="Calc Percent (1) 15 14" xfId="10461"/>
    <cellStyle name="Calc Percent (1) 15 15" xfId="10462"/>
    <cellStyle name="Calc Percent (1) 15 16" xfId="10463"/>
    <cellStyle name="Calc Percent (1) 15 2" xfId="10464"/>
    <cellStyle name="Calc Percent (1) 15 3" xfId="10465"/>
    <cellStyle name="Calc Percent (1) 15 4" xfId="10466"/>
    <cellStyle name="Calc Percent (1) 15 5" xfId="10467"/>
    <cellStyle name="Calc Percent (1) 15 6" xfId="10468"/>
    <cellStyle name="Calc Percent (1) 15 7" xfId="10469"/>
    <cellStyle name="Calc Percent (1) 15 8" xfId="10470"/>
    <cellStyle name="Calc Percent (1) 15 9" xfId="10471"/>
    <cellStyle name="Calc Percent (1) 16" xfId="10472"/>
    <cellStyle name="Calc Percent (1) 16 2" xfId="10473"/>
    <cellStyle name="Calc Percent (1) 16 3" xfId="10474"/>
    <cellStyle name="Calc Percent (1) 16 4" xfId="10475"/>
    <cellStyle name="Calc Percent (1) 16 5" xfId="10476"/>
    <cellStyle name="Calc Percent (1) 16 6" xfId="10477"/>
    <cellStyle name="Calc Percent (1) 16 7" xfId="10478"/>
    <cellStyle name="Calc Percent (1) 16 8" xfId="10479"/>
    <cellStyle name="Calc Percent (1) 16 9" xfId="10480"/>
    <cellStyle name="Calc Percent (1) 17" xfId="10481"/>
    <cellStyle name="Calc Percent (1) 17 2" xfId="10482"/>
    <cellStyle name="Calc Percent (1) 17 3" xfId="10483"/>
    <cellStyle name="Calc Percent (1) 17 4" xfId="10484"/>
    <cellStyle name="Calc Percent (1) 17 5" xfId="10485"/>
    <cellStyle name="Calc Percent (1) 17 6" xfId="10486"/>
    <cellStyle name="Calc Percent (1) 17 7" xfId="10487"/>
    <cellStyle name="Calc Percent (1) 17 8" xfId="10488"/>
    <cellStyle name="Calc Percent (1) 17 9" xfId="10489"/>
    <cellStyle name="Calc Percent (1) 18" xfId="10490"/>
    <cellStyle name="Calc Percent (1) 18 2" xfId="10491"/>
    <cellStyle name="Calc Percent (1) 18 3" xfId="10492"/>
    <cellStyle name="Calc Percent (1) 18 4" xfId="10493"/>
    <cellStyle name="Calc Percent (1) 18 5" xfId="10494"/>
    <cellStyle name="Calc Percent (1) 18 6" xfId="10495"/>
    <cellStyle name="Calc Percent (1) 18 7" xfId="10496"/>
    <cellStyle name="Calc Percent (1) 18 8" xfId="10497"/>
    <cellStyle name="Calc Percent (1) 18 9" xfId="10498"/>
    <cellStyle name="Calc Percent (1) 19" xfId="10499"/>
    <cellStyle name="Calc Percent (1) 19 2" xfId="10500"/>
    <cellStyle name="Calc Percent (1) 19 3" xfId="10501"/>
    <cellStyle name="Calc Percent (1) 19 4" xfId="10502"/>
    <cellStyle name="Calc Percent (1) 19 5" xfId="10503"/>
    <cellStyle name="Calc Percent (1) 19 6" xfId="10504"/>
    <cellStyle name="Calc Percent (1) 19 7" xfId="10505"/>
    <cellStyle name="Calc Percent (1) 19 8" xfId="10506"/>
    <cellStyle name="Calc Percent (1) 19 9" xfId="10507"/>
    <cellStyle name="Calc Percent (1) 2" xfId="10508"/>
    <cellStyle name="Calc Percent (1) 2 10" xfId="10509"/>
    <cellStyle name="Calc Percent (1) 2 10 2" xfId="10510"/>
    <cellStyle name="Calc Percent (1) 2 10 3" xfId="10511"/>
    <cellStyle name="Calc Percent (1) 2 11" xfId="10512"/>
    <cellStyle name="Calc Percent (1) 2 11 2" xfId="10513"/>
    <cellStyle name="Calc Percent (1) 2 11 2 2" xfId="10514"/>
    <cellStyle name="Calc Percent (1) 2 11 2 3" xfId="10515"/>
    <cellStyle name="Calc Percent (1) 2 11 3" xfId="10516"/>
    <cellStyle name="Calc Percent (1) 2 12" xfId="10517"/>
    <cellStyle name="Calc Percent (1) 2 13" xfId="10518"/>
    <cellStyle name="Calc Percent (1) 2 14" xfId="10519"/>
    <cellStyle name="Calc Percent (1) 2 2" xfId="10520"/>
    <cellStyle name="Calc Percent (1) 2 2 10" xfId="10521"/>
    <cellStyle name="Calc Percent (1) 2 2 11" xfId="10522"/>
    <cellStyle name="Calc Percent (1) 2 2 12" xfId="10523"/>
    <cellStyle name="Calc Percent (1) 2 2 13" xfId="10524"/>
    <cellStyle name="Calc Percent (1) 2 2 14" xfId="10525"/>
    <cellStyle name="Calc Percent (1) 2 2 15" xfId="10526"/>
    <cellStyle name="Calc Percent (1) 2 2 16" xfId="10527"/>
    <cellStyle name="Calc Percent (1) 2 2 17" xfId="10528"/>
    <cellStyle name="Calc Percent (1) 2 2 18" xfId="10529"/>
    <cellStyle name="Calc Percent (1) 2 2 2" xfId="10530"/>
    <cellStyle name="Calc Percent (1) 2 2 2 2" xfId="10531"/>
    <cellStyle name="Calc Percent (1) 2 2 2 2 2" xfId="10532"/>
    <cellStyle name="Calc Percent (1) 2 2 2 2 3" xfId="10533"/>
    <cellStyle name="Calc Percent (1) 2 2 2 2 4" xfId="10534"/>
    <cellStyle name="Calc Percent (1) 2 2 2 2 5" xfId="10535"/>
    <cellStyle name="Calc Percent (1) 2 2 2 2 6" xfId="10536"/>
    <cellStyle name="Calc Percent (1) 2 2 2 2 7" xfId="10537"/>
    <cellStyle name="Calc Percent (1) 2 2 2 2 8" xfId="10538"/>
    <cellStyle name="Calc Percent (1) 2 2 2 3" xfId="10539"/>
    <cellStyle name="Calc Percent (1) 2 2 2 4" xfId="10540"/>
    <cellStyle name="Calc Percent (1) 2 2 2 5" xfId="10541"/>
    <cellStyle name="Calc Percent (1) 2 2 2 6" xfId="10542"/>
    <cellStyle name="Calc Percent (1) 2 2 2 7" xfId="10543"/>
    <cellStyle name="Calc Percent (1) 2 2 2 8" xfId="10544"/>
    <cellStyle name="Calc Percent (1) 2 2 2 9" xfId="10545"/>
    <cellStyle name="Calc Percent (1) 2 2 3" xfId="10546"/>
    <cellStyle name="Calc Percent (1) 2 2 3 2" xfId="10547"/>
    <cellStyle name="Calc Percent (1) 2 2 3 3" xfId="10548"/>
    <cellStyle name="Calc Percent (1) 2 2 3 4" xfId="10549"/>
    <cellStyle name="Calc Percent (1) 2 2 3 5" xfId="10550"/>
    <cellStyle name="Calc Percent (1) 2 2 3 6" xfId="10551"/>
    <cellStyle name="Calc Percent (1) 2 2 3 7" xfId="10552"/>
    <cellStyle name="Calc Percent (1) 2 2 3 8" xfId="10553"/>
    <cellStyle name="Calc Percent (1) 2 2 3 9" xfId="10554"/>
    <cellStyle name="Calc Percent (1) 2 2 4" xfId="10555"/>
    <cellStyle name="Calc Percent (1) 2 2 5" xfId="10556"/>
    <cellStyle name="Calc Percent (1) 2 2 6" xfId="10557"/>
    <cellStyle name="Calc Percent (1) 2 2 7" xfId="10558"/>
    <cellStyle name="Calc Percent (1) 2 2 8" xfId="10559"/>
    <cellStyle name="Calc Percent (1) 2 2 9" xfId="10560"/>
    <cellStyle name="Calc Percent (1) 2 3" xfId="10561"/>
    <cellStyle name="Calc Percent (1) 2 3 10" xfId="10562"/>
    <cellStyle name="Calc Percent (1) 2 3 11" xfId="10563"/>
    <cellStyle name="Calc Percent (1) 2 3 12" xfId="10564"/>
    <cellStyle name="Calc Percent (1) 2 3 13" xfId="10565"/>
    <cellStyle name="Calc Percent (1) 2 3 14" xfId="10566"/>
    <cellStyle name="Calc Percent (1) 2 3 15" xfId="10567"/>
    <cellStyle name="Calc Percent (1) 2 3 16" xfId="10568"/>
    <cellStyle name="Calc Percent (1) 2 3 2" xfId="10569"/>
    <cellStyle name="Calc Percent (1) 2 3 2 2" xfId="10570"/>
    <cellStyle name="Calc Percent (1) 2 3 2 2 2" xfId="10571"/>
    <cellStyle name="Calc Percent (1) 2 3 2 2 2 2" xfId="10572"/>
    <cellStyle name="Calc Percent (1) 2 3 2 2 2 2 2" xfId="10573"/>
    <cellStyle name="Calc Percent (1) 2 3 2 2 2 2 3" xfId="10574"/>
    <cellStyle name="Calc Percent (1) 2 3 2 2 2 2 4" xfId="10575"/>
    <cellStyle name="Calc Percent (1) 2 3 2 2 2 2 5" xfId="10576"/>
    <cellStyle name="Calc Percent (1) 2 3 2 2 2 2 6" xfId="10577"/>
    <cellStyle name="Calc Percent (1) 2 3 2 2 2 2 7" xfId="10578"/>
    <cellStyle name="Calc Percent (1) 2 3 2 2 2 2 8" xfId="10579"/>
    <cellStyle name="Calc Percent (1) 2 3 2 2 2 3" xfId="10580"/>
    <cellStyle name="Calc Percent (1) 2 3 2 2 2 4" xfId="10581"/>
    <cellStyle name="Calc Percent (1) 2 3 2 2 2 5" xfId="10582"/>
    <cellStyle name="Calc Percent (1) 2 3 2 2 2 6" xfId="10583"/>
    <cellStyle name="Calc Percent (1) 2 3 2 2 2 7" xfId="10584"/>
    <cellStyle name="Calc Percent (1) 2 3 2 2 2 8" xfId="10585"/>
    <cellStyle name="Calc Percent (1) 2 3 2 2 2 9" xfId="10586"/>
    <cellStyle name="Calc Percent (1) 2 3 2 2 3" xfId="10587"/>
    <cellStyle name="Calc Percent (1) 2 3 2 2 4" xfId="10588"/>
    <cellStyle name="Calc Percent (1) 2 3 2 2 5" xfId="10589"/>
    <cellStyle name="Calc Percent (1) 2 3 2 2 6" xfId="10590"/>
    <cellStyle name="Calc Percent (1) 2 3 2 2 7" xfId="10591"/>
    <cellStyle name="Calc Percent (1) 2 3 2 2 8" xfId="10592"/>
    <cellStyle name="Calc Percent (1) 2 3 2 2 9" xfId="10593"/>
    <cellStyle name="Calc Percent (1) 2 3 2 3" xfId="10594"/>
    <cellStyle name="Calc Percent (1) 2 3 2 4" xfId="10595"/>
    <cellStyle name="Calc Percent (1) 2 3 2 5" xfId="10596"/>
    <cellStyle name="Calc Percent (1) 2 3 2 6" xfId="10597"/>
    <cellStyle name="Calc Percent (1) 2 3 2 7" xfId="10598"/>
    <cellStyle name="Calc Percent (1) 2 3 2 8" xfId="10599"/>
    <cellStyle name="Calc Percent (1) 2 3 2 9" xfId="10600"/>
    <cellStyle name="Calc Percent (1) 2 3 3" xfId="10601"/>
    <cellStyle name="Calc Percent (1) 2 3 3 2" xfId="10602"/>
    <cellStyle name="Calc Percent (1) 2 3 3 3" xfId="10603"/>
    <cellStyle name="Calc Percent (1) 2 3 3 4" xfId="10604"/>
    <cellStyle name="Calc Percent (1) 2 3 3 5" xfId="10605"/>
    <cellStyle name="Calc Percent (1) 2 3 3 6" xfId="10606"/>
    <cellStyle name="Calc Percent (1) 2 3 3 7" xfId="10607"/>
    <cellStyle name="Calc Percent (1) 2 3 3 8" xfId="10608"/>
    <cellStyle name="Calc Percent (1) 2 3 4" xfId="10609"/>
    <cellStyle name="Calc Percent (1) 2 3 4 2" xfId="10610"/>
    <cellStyle name="Calc Percent (1) 2 3 4 3" xfId="10611"/>
    <cellStyle name="Calc Percent (1) 2 3 4 4" xfId="10612"/>
    <cellStyle name="Calc Percent (1) 2 3 4 5" xfId="10613"/>
    <cellStyle name="Calc Percent (1) 2 3 4 6" xfId="10614"/>
    <cellStyle name="Calc Percent (1) 2 3 4 7" xfId="10615"/>
    <cellStyle name="Calc Percent (1) 2 3 4 8" xfId="10616"/>
    <cellStyle name="Calc Percent (1) 2 3 5" xfId="10617"/>
    <cellStyle name="Calc Percent (1) 2 3 5 2" xfId="10618"/>
    <cellStyle name="Calc Percent (1) 2 3 5 3" xfId="10619"/>
    <cellStyle name="Calc Percent (1) 2 3 5 4" xfId="10620"/>
    <cellStyle name="Calc Percent (1) 2 3 5 5" xfId="10621"/>
    <cellStyle name="Calc Percent (1) 2 3 5 6" xfId="10622"/>
    <cellStyle name="Calc Percent (1) 2 3 5 7" xfId="10623"/>
    <cellStyle name="Calc Percent (1) 2 3 5 8" xfId="10624"/>
    <cellStyle name="Calc Percent (1) 2 3 6" xfId="10625"/>
    <cellStyle name="Calc Percent (1) 2 3 6 2" xfId="10626"/>
    <cellStyle name="Calc Percent (1) 2 3 6 3" xfId="10627"/>
    <cellStyle name="Calc Percent (1) 2 3 6 4" xfId="10628"/>
    <cellStyle name="Calc Percent (1) 2 3 6 5" xfId="10629"/>
    <cellStyle name="Calc Percent (1) 2 3 6 6" xfId="10630"/>
    <cellStyle name="Calc Percent (1) 2 3 6 7" xfId="10631"/>
    <cellStyle name="Calc Percent (1) 2 3 6 8" xfId="10632"/>
    <cellStyle name="Calc Percent (1) 2 3 7" xfId="10633"/>
    <cellStyle name="Calc Percent (1) 2 3 8" xfId="10634"/>
    <cellStyle name="Calc Percent (1) 2 3 9" xfId="10635"/>
    <cellStyle name="Calc Percent (1) 2 4" xfId="10636"/>
    <cellStyle name="Calc Percent (1) 2 4 2" xfId="10637"/>
    <cellStyle name="Calc Percent (1) 2 4 3" xfId="10638"/>
    <cellStyle name="Calc Percent (1) 2 5" xfId="10639"/>
    <cellStyle name="Calc Percent (1) 2 5 2" xfId="10640"/>
    <cellStyle name="Calc Percent (1) 2 5 3" xfId="10641"/>
    <cellStyle name="Calc Percent (1) 2 6" xfId="10642"/>
    <cellStyle name="Calc Percent (1) 2 6 2" xfId="10643"/>
    <cellStyle name="Calc Percent (1) 2 6 3" xfId="10644"/>
    <cellStyle name="Calc Percent (1) 2 7" xfId="10645"/>
    <cellStyle name="Calc Percent (1) 2 7 2" xfId="10646"/>
    <cellStyle name="Calc Percent (1) 2 7 3" xfId="10647"/>
    <cellStyle name="Calc Percent (1) 2 8" xfId="10648"/>
    <cellStyle name="Calc Percent (1) 2 8 2" xfId="10649"/>
    <cellStyle name="Calc Percent (1) 2 8 3" xfId="10650"/>
    <cellStyle name="Calc Percent (1) 2 9" xfId="10651"/>
    <cellStyle name="Calc Percent (1) 2 9 2" xfId="10652"/>
    <cellStyle name="Calc Percent (1) 2 9 3" xfId="10653"/>
    <cellStyle name="Calc Percent (1) 2_You Plus DCF Workpapers" xfId="10654"/>
    <cellStyle name="Calc Percent (1) 20" xfId="10655"/>
    <cellStyle name="Calc Percent (1) 20 2" xfId="10656"/>
    <cellStyle name="Calc Percent (1) 20 3" xfId="10657"/>
    <cellStyle name="Calc Percent (1) 20 4" xfId="10658"/>
    <cellStyle name="Calc Percent (1) 20 5" xfId="10659"/>
    <cellStyle name="Calc Percent (1) 20 6" xfId="10660"/>
    <cellStyle name="Calc Percent (1) 20 7" xfId="10661"/>
    <cellStyle name="Calc Percent (1) 20 8" xfId="10662"/>
    <cellStyle name="Calc Percent (1) 20 9" xfId="10663"/>
    <cellStyle name="Calc Percent (1) 21" xfId="10664"/>
    <cellStyle name="Calc Percent (1) 21 2" xfId="10665"/>
    <cellStyle name="Calc Percent (1) 21 3" xfId="10666"/>
    <cellStyle name="Calc Percent (1) 21 4" xfId="10667"/>
    <cellStyle name="Calc Percent (1) 21 5" xfId="10668"/>
    <cellStyle name="Calc Percent (1) 21 6" xfId="10669"/>
    <cellStyle name="Calc Percent (1) 21 7" xfId="10670"/>
    <cellStyle name="Calc Percent (1) 21 8" xfId="10671"/>
    <cellStyle name="Calc Percent (1) 21 9" xfId="10672"/>
    <cellStyle name="Calc Percent (1) 22" xfId="10673"/>
    <cellStyle name="Calc Percent (1) 22 2" xfId="10674"/>
    <cellStyle name="Calc Percent (1) 22 3" xfId="10675"/>
    <cellStyle name="Calc Percent (1) 22 4" xfId="10676"/>
    <cellStyle name="Calc Percent (1) 22 5" xfId="10677"/>
    <cellStyle name="Calc Percent (1) 22 6" xfId="10678"/>
    <cellStyle name="Calc Percent (1) 22 7" xfId="10679"/>
    <cellStyle name="Calc Percent (1) 22 8" xfId="10680"/>
    <cellStyle name="Calc Percent (1) 22 9" xfId="10681"/>
    <cellStyle name="Calc Percent (1) 23" xfId="10682"/>
    <cellStyle name="Calc Percent (1) 24" xfId="10683"/>
    <cellStyle name="Calc Percent (1) 25" xfId="10684"/>
    <cellStyle name="Calc Percent (1) 26" xfId="10685"/>
    <cellStyle name="Calc Percent (1) 27" xfId="10686"/>
    <cellStyle name="Calc Percent (1) 28" xfId="10687"/>
    <cellStyle name="Calc Percent (1) 29" xfId="10688"/>
    <cellStyle name="Calc Percent (1) 3" xfId="10689"/>
    <cellStyle name="Calc Percent (1) 3 10" xfId="10690"/>
    <cellStyle name="Calc Percent (1) 3 11" xfId="10691"/>
    <cellStyle name="Calc Percent (1) 3 2" xfId="10692"/>
    <cellStyle name="Calc Percent (1) 3 2 10" xfId="10693"/>
    <cellStyle name="Calc Percent (1) 3 2 11" xfId="10694"/>
    <cellStyle name="Calc Percent (1) 3 2 12" xfId="10695"/>
    <cellStyle name="Calc Percent (1) 3 2 13" xfId="10696"/>
    <cellStyle name="Calc Percent (1) 3 2 14" xfId="10697"/>
    <cellStyle name="Calc Percent (1) 3 2 15" xfId="10698"/>
    <cellStyle name="Calc Percent (1) 3 2 16" xfId="10699"/>
    <cellStyle name="Calc Percent (1) 3 2 2" xfId="10700"/>
    <cellStyle name="Calc Percent (1) 3 2 2 2" xfId="10701"/>
    <cellStyle name="Calc Percent (1) 3 2 2 3" xfId="10702"/>
    <cellStyle name="Calc Percent (1) 3 2 3" xfId="10703"/>
    <cellStyle name="Calc Percent (1) 3 2 3 2" xfId="10704"/>
    <cellStyle name="Calc Percent (1) 3 2 3 3" xfId="10705"/>
    <cellStyle name="Calc Percent (1) 3 2 3 4" xfId="10706"/>
    <cellStyle name="Calc Percent (1) 3 2 3 5" xfId="10707"/>
    <cellStyle name="Calc Percent (1) 3 2 3 6" xfId="10708"/>
    <cellStyle name="Calc Percent (1) 3 2 3 7" xfId="10709"/>
    <cellStyle name="Calc Percent (1) 3 2 3 8" xfId="10710"/>
    <cellStyle name="Calc Percent (1) 3 2 4" xfId="10711"/>
    <cellStyle name="Calc Percent (1) 3 2 5" xfId="10712"/>
    <cellStyle name="Calc Percent (1) 3 2 6" xfId="10713"/>
    <cellStyle name="Calc Percent (1) 3 2 7" xfId="10714"/>
    <cellStyle name="Calc Percent (1) 3 2 8" xfId="10715"/>
    <cellStyle name="Calc Percent (1) 3 2 9" xfId="10716"/>
    <cellStyle name="Calc Percent (1) 3 3" xfId="10717"/>
    <cellStyle name="Calc Percent (1) 3 3 2" xfId="10718"/>
    <cellStyle name="Calc Percent (1) 3 3 2 2" xfId="10719"/>
    <cellStyle name="Calc Percent (1) 3 3 2 2 2" xfId="10720"/>
    <cellStyle name="Calc Percent (1) 3 3 2 2 2 2" xfId="10721"/>
    <cellStyle name="Calc Percent (1) 3 3 2 2 2 3" xfId="10722"/>
    <cellStyle name="Calc Percent (1) 3 3 2 2 2 4" xfId="10723"/>
    <cellStyle name="Calc Percent (1) 3 3 2 2 2 5" xfId="10724"/>
    <cellStyle name="Calc Percent (1) 3 3 2 2 2 6" xfId="10725"/>
    <cellStyle name="Calc Percent (1) 3 3 2 2 2 7" xfId="10726"/>
    <cellStyle name="Calc Percent (1) 3 3 2 2 2 8" xfId="10727"/>
    <cellStyle name="Calc Percent (1) 3 3 2 2 3" xfId="10728"/>
    <cellStyle name="Calc Percent (1) 3 3 2 2 4" xfId="10729"/>
    <cellStyle name="Calc Percent (1) 3 3 2 2 5" xfId="10730"/>
    <cellStyle name="Calc Percent (1) 3 3 2 2 6" xfId="10731"/>
    <cellStyle name="Calc Percent (1) 3 3 2 2 7" xfId="10732"/>
    <cellStyle name="Calc Percent (1) 3 3 2 2 8" xfId="10733"/>
    <cellStyle name="Calc Percent (1) 3 3 2 2 9" xfId="10734"/>
    <cellStyle name="Calc Percent (1) 3 3 2 3" xfId="10735"/>
    <cellStyle name="Calc Percent (1) 3 3 2 4" xfId="10736"/>
    <cellStyle name="Calc Percent (1) 3 3 2 5" xfId="10737"/>
    <cellStyle name="Calc Percent (1) 3 3 2 6" xfId="10738"/>
    <cellStyle name="Calc Percent (1) 3 3 2 7" xfId="10739"/>
    <cellStyle name="Calc Percent (1) 3 3 2 8" xfId="10740"/>
    <cellStyle name="Calc Percent (1) 3 3 2 9" xfId="10741"/>
    <cellStyle name="Calc Percent (1) 3 3 3" xfId="10742"/>
    <cellStyle name="Calc Percent (1) 3 3 3 2" xfId="10743"/>
    <cellStyle name="Calc Percent (1) 3 3 3 3" xfId="10744"/>
    <cellStyle name="Calc Percent (1) 3 3 3 4" xfId="10745"/>
    <cellStyle name="Calc Percent (1) 3 3 3 5" xfId="10746"/>
    <cellStyle name="Calc Percent (1) 3 3 3 6" xfId="10747"/>
    <cellStyle name="Calc Percent (1) 3 3 3 7" xfId="10748"/>
    <cellStyle name="Calc Percent (1) 3 3 3 8" xfId="10749"/>
    <cellStyle name="Calc Percent (1) 3 3 4" xfId="10750"/>
    <cellStyle name="Calc Percent (1) 3 3 5" xfId="10751"/>
    <cellStyle name="Calc Percent (1) 3 3 6" xfId="10752"/>
    <cellStyle name="Calc Percent (1) 3 3 7" xfId="10753"/>
    <cellStyle name="Calc Percent (1) 3 3 8" xfId="10754"/>
    <cellStyle name="Calc Percent (1) 3 3 9" xfId="10755"/>
    <cellStyle name="Calc Percent (1) 3 4" xfId="10756"/>
    <cellStyle name="Calc Percent (1) 3 4 2" xfId="10757"/>
    <cellStyle name="Calc Percent (1) 3 4 3" xfId="10758"/>
    <cellStyle name="Calc Percent (1) 3 4 4" xfId="10759"/>
    <cellStyle name="Calc Percent (1) 3 4 5" xfId="10760"/>
    <cellStyle name="Calc Percent (1) 3 4 6" xfId="10761"/>
    <cellStyle name="Calc Percent (1) 3 4 7" xfId="10762"/>
    <cellStyle name="Calc Percent (1) 3 4 8" xfId="10763"/>
    <cellStyle name="Calc Percent (1) 3 5" xfId="10764"/>
    <cellStyle name="Calc Percent (1) 3 6" xfId="10765"/>
    <cellStyle name="Calc Percent (1) 3 7" xfId="10766"/>
    <cellStyle name="Calc Percent (1) 3 8" xfId="10767"/>
    <cellStyle name="Calc Percent (1) 3 9" xfId="10768"/>
    <cellStyle name="Calc Percent (1) 30" xfId="10769"/>
    <cellStyle name="Calc Percent (1) 31" xfId="10770"/>
    <cellStyle name="Calc Percent (1) 32" xfId="10771"/>
    <cellStyle name="Calc Percent (1) 33" xfId="10772"/>
    <cellStyle name="Calc Percent (1) 34" xfId="10773"/>
    <cellStyle name="Calc Percent (1) 35" xfId="10774"/>
    <cellStyle name="Calc Percent (1) 36" xfId="10775"/>
    <cellStyle name="Calc Percent (1) 4" xfId="10776"/>
    <cellStyle name="Calc Percent (1) 4 10" xfId="10777"/>
    <cellStyle name="Calc Percent (1) 4 11" xfId="10778"/>
    <cellStyle name="Calc Percent (1) 4 2" xfId="10779"/>
    <cellStyle name="Calc Percent (1) 4 2 2" xfId="10780"/>
    <cellStyle name="Calc Percent (1) 4 2 3" xfId="10781"/>
    <cellStyle name="Calc Percent (1) 4 2 4" xfId="10782"/>
    <cellStyle name="Calc Percent (1) 4 2 5" xfId="10783"/>
    <cellStyle name="Calc Percent (1) 4 2 6" xfId="10784"/>
    <cellStyle name="Calc Percent (1) 4 2 7" xfId="10785"/>
    <cellStyle name="Calc Percent (1) 4 2 8" xfId="10786"/>
    <cellStyle name="Calc Percent (1) 4 2 9" xfId="10787"/>
    <cellStyle name="Calc Percent (1) 4 3" xfId="10788"/>
    <cellStyle name="Calc Percent (1) 4 3 2" xfId="10789"/>
    <cellStyle name="Calc Percent (1) 4 3 3" xfId="10790"/>
    <cellStyle name="Calc Percent (1) 4 3 4" xfId="10791"/>
    <cellStyle name="Calc Percent (1) 4 3 5" xfId="10792"/>
    <cellStyle name="Calc Percent (1) 4 3 6" xfId="10793"/>
    <cellStyle name="Calc Percent (1) 4 3 7" xfId="10794"/>
    <cellStyle name="Calc Percent (1) 4 3 8" xfId="10795"/>
    <cellStyle name="Calc Percent (1) 4 3 9" xfId="10796"/>
    <cellStyle name="Calc Percent (1) 4 4" xfId="10797"/>
    <cellStyle name="Calc Percent (1) 4 5" xfId="10798"/>
    <cellStyle name="Calc Percent (1) 4 6" xfId="10799"/>
    <cellStyle name="Calc Percent (1) 4 7" xfId="10800"/>
    <cellStyle name="Calc Percent (1) 4 8" xfId="10801"/>
    <cellStyle name="Calc Percent (1) 4 9" xfId="10802"/>
    <cellStyle name="Calc Percent (1) 5" xfId="10803"/>
    <cellStyle name="Calc Percent (1) 5 10" xfId="10804"/>
    <cellStyle name="Calc Percent (1) 5 11" xfId="10805"/>
    <cellStyle name="Calc Percent (1) 5 2" xfId="10806"/>
    <cellStyle name="Calc Percent (1) 5 2 10" xfId="10807"/>
    <cellStyle name="Calc Percent (1) 5 2 11" xfId="10808"/>
    <cellStyle name="Calc Percent (1) 5 2 12" xfId="10809"/>
    <cellStyle name="Calc Percent (1) 5 2 13" xfId="10810"/>
    <cellStyle name="Calc Percent (1) 5 2 14" xfId="10811"/>
    <cellStyle name="Calc Percent (1) 5 2 15" xfId="10812"/>
    <cellStyle name="Calc Percent (1) 5 2 16" xfId="10813"/>
    <cellStyle name="Calc Percent (1) 5 2 2" xfId="10814"/>
    <cellStyle name="Calc Percent (1) 5 2 2 2" xfId="10815"/>
    <cellStyle name="Calc Percent (1) 5 2 2 2 2" xfId="10816"/>
    <cellStyle name="Calc Percent (1) 5 2 2 2 3" xfId="10817"/>
    <cellStyle name="Calc Percent (1) 5 2 2 3" xfId="10818"/>
    <cellStyle name="Calc Percent (1) 5 2 3" xfId="10819"/>
    <cellStyle name="Calc Percent (1) 5 2 4" xfId="10820"/>
    <cellStyle name="Calc Percent (1) 5 2 5" xfId="10821"/>
    <cellStyle name="Calc Percent (1) 5 2 6" xfId="10822"/>
    <cellStyle name="Calc Percent (1) 5 2 7" xfId="10823"/>
    <cellStyle name="Calc Percent (1) 5 2 8" xfId="10824"/>
    <cellStyle name="Calc Percent (1) 5 2 9" xfId="10825"/>
    <cellStyle name="Calc Percent (1) 5 3" xfId="10826"/>
    <cellStyle name="Calc Percent (1) 5 3 2" xfId="10827"/>
    <cellStyle name="Calc Percent (1) 5 3 3" xfId="10828"/>
    <cellStyle name="Calc Percent (1) 5 3 4" xfId="10829"/>
    <cellStyle name="Calc Percent (1) 5 3 5" xfId="10830"/>
    <cellStyle name="Calc Percent (1) 5 3 6" xfId="10831"/>
    <cellStyle name="Calc Percent (1) 5 3 7" xfId="10832"/>
    <cellStyle name="Calc Percent (1) 5 3 8" xfId="10833"/>
    <cellStyle name="Calc Percent (1) 5 3 9" xfId="10834"/>
    <cellStyle name="Calc Percent (1) 5 4" xfId="10835"/>
    <cellStyle name="Calc Percent (1) 5 5" xfId="10836"/>
    <cellStyle name="Calc Percent (1) 5 6" xfId="10837"/>
    <cellStyle name="Calc Percent (1) 5 6 2" xfId="10838"/>
    <cellStyle name="Calc Percent (1) 5 6 3" xfId="10839"/>
    <cellStyle name="Calc Percent (1) 5 6 4" xfId="10840"/>
    <cellStyle name="Calc Percent (1) 5 6 5" xfId="10841"/>
    <cellStyle name="Calc Percent (1) 5 6 6" xfId="10842"/>
    <cellStyle name="Calc Percent (1) 5 6 7" xfId="10843"/>
    <cellStyle name="Calc Percent (1) 5 6 8" xfId="10844"/>
    <cellStyle name="Calc Percent (1) 5 7" xfId="10845"/>
    <cellStyle name="Calc Percent (1) 5 8" xfId="10846"/>
    <cellStyle name="Calc Percent (1) 5 9" xfId="10847"/>
    <cellStyle name="Calc Percent (1) 6" xfId="10848"/>
    <cellStyle name="Calc Percent (1) 6 10" xfId="10849"/>
    <cellStyle name="Calc Percent (1) 6 11" xfId="10850"/>
    <cellStyle name="Calc Percent (1) 6 2" xfId="10851"/>
    <cellStyle name="Calc Percent (1) 6 2 2" xfId="10852"/>
    <cellStyle name="Calc Percent (1) 6 2 3" xfId="10853"/>
    <cellStyle name="Calc Percent (1) 6 2 4" xfId="10854"/>
    <cellStyle name="Calc Percent (1) 6 2 5" xfId="10855"/>
    <cellStyle name="Calc Percent (1) 6 2 6" xfId="10856"/>
    <cellStyle name="Calc Percent (1) 6 2 7" xfId="10857"/>
    <cellStyle name="Calc Percent (1) 6 2 8" xfId="10858"/>
    <cellStyle name="Calc Percent (1) 6 2 9" xfId="10859"/>
    <cellStyle name="Calc Percent (1) 6 3" xfId="10860"/>
    <cellStyle name="Calc Percent (1) 6 3 2" xfId="10861"/>
    <cellStyle name="Calc Percent (1) 6 3 3" xfId="10862"/>
    <cellStyle name="Calc Percent (1) 6 3 4" xfId="10863"/>
    <cellStyle name="Calc Percent (1) 6 3 5" xfId="10864"/>
    <cellStyle name="Calc Percent (1) 6 3 6" xfId="10865"/>
    <cellStyle name="Calc Percent (1) 6 3 7" xfId="10866"/>
    <cellStyle name="Calc Percent (1) 6 3 8" xfId="10867"/>
    <cellStyle name="Calc Percent (1) 6 3 9" xfId="10868"/>
    <cellStyle name="Calc Percent (1) 6 4" xfId="10869"/>
    <cellStyle name="Calc Percent (1) 6 5" xfId="10870"/>
    <cellStyle name="Calc Percent (1) 6 6" xfId="10871"/>
    <cellStyle name="Calc Percent (1) 6 7" xfId="10872"/>
    <cellStyle name="Calc Percent (1) 6 8" xfId="10873"/>
    <cellStyle name="Calc Percent (1) 6 9" xfId="10874"/>
    <cellStyle name="Calc Percent (1) 7" xfId="10875"/>
    <cellStyle name="Calc Percent (1) 7 10" xfId="10876"/>
    <cellStyle name="Calc Percent (1) 7 11" xfId="10877"/>
    <cellStyle name="Calc Percent (1) 7 2" xfId="10878"/>
    <cellStyle name="Calc Percent (1) 7 2 2" xfId="10879"/>
    <cellStyle name="Calc Percent (1) 7 2 3" xfId="10880"/>
    <cellStyle name="Calc Percent (1) 7 2 4" xfId="10881"/>
    <cellStyle name="Calc Percent (1) 7 2 5" xfId="10882"/>
    <cellStyle name="Calc Percent (1) 7 2 6" xfId="10883"/>
    <cellStyle name="Calc Percent (1) 7 2 7" xfId="10884"/>
    <cellStyle name="Calc Percent (1) 7 2 8" xfId="10885"/>
    <cellStyle name="Calc Percent (1) 7 2 9" xfId="10886"/>
    <cellStyle name="Calc Percent (1) 7 3" xfId="10887"/>
    <cellStyle name="Calc Percent (1) 7 3 2" xfId="10888"/>
    <cellStyle name="Calc Percent (1) 7 3 3" xfId="10889"/>
    <cellStyle name="Calc Percent (1) 7 3 4" xfId="10890"/>
    <cellStyle name="Calc Percent (1) 7 3 5" xfId="10891"/>
    <cellStyle name="Calc Percent (1) 7 3 6" xfId="10892"/>
    <cellStyle name="Calc Percent (1) 7 3 7" xfId="10893"/>
    <cellStyle name="Calc Percent (1) 7 3 8" xfId="10894"/>
    <cellStyle name="Calc Percent (1) 7 3 9" xfId="10895"/>
    <cellStyle name="Calc Percent (1) 7 4" xfId="10896"/>
    <cellStyle name="Calc Percent (1) 7 5" xfId="10897"/>
    <cellStyle name="Calc Percent (1) 7 6" xfId="10898"/>
    <cellStyle name="Calc Percent (1) 7 7" xfId="10899"/>
    <cellStyle name="Calc Percent (1) 7 8" xfId="10900"/>
    <cellStyle name="Calc Percent (1) 7 9" xfId="10901"/>
    <cellStyle name="Calc Percent (1) 8" xfId="10902"/>
    <cellStyle name="Calc Percent (1) 8 10" xfId="10903"/>
    <cellStyle name="Calc Percent (1) 8 11" xfId="10904"/>
    <cellStyle name="Calc Percent (1) 8 2" xfId="10905"/>
    <cellStyle name="Calc Percent (1) 8 2 2" xfId="10906"/>
    <cellStyle name="Calc Percent (1) 8 2 3" xfId="10907"/>
    <cellStyle name="Calc Percent (1) 8 2 4" xfId="10908"/>
    <cellStyle name="Calc Percent (1) 8 2 5" xfId="10909"/>
    <cellStyle name="Calc Percent (1) 8 2 6" xfId="10910"/>
    <cellStyle name="Calc Percent (1) 8 2 7" xfId="10911"/>
    <cellStyle name="Calc Percent (1) 8 2 8" xfId="10912"/>
    <cellStyle name="Calc Percent (1) 8 2 9" xfId="10913"/>
    <cellStyle name="Calc Percent (1) 8 3" xfId="10914"/>
    <cellStyle name="Calc Percent (1) 8 3 2" xfId="10915"/>
    <cellStyle name="Calc Percent (1) 8 3 3" xfId="10916"/>
    <cellStyle name="Calc Percent (1) 8 3 4" xfId="10917"/>
    <cellStyle name="Calc Percent (1) 8 3 5" xfId="10918"/>
    <cellStyle name="Calc Percent (1) 8 3 6" xfId="10919"/>
    <cellStyle name="Calc Percent (1) 8 3 7" xfId="10920"/>
    <cellStyle name="Calc Percent (1) 8 3 8" xfId="10921"/>
    <cellStyle name="Calc Percent (1) 8 3 9" xfId="10922"/>
    <cellStyle name="Calc Percent (1) 8 4" xfId="10923"/>
    <cellStyle name="Calc Percent (1) 8 5" xfId="10924"/>
    <cellStyle name="Calc Percent (1) 8 6" xfId="10925"/>
    <cellStyle name="Calc Percent (1) 8 7" xfId="10926"/>
    <cellStyle name="Calc Percent (1) 8 8" xfId="10927"/>
    <cellStyle name="Calc Percent (1) 8 9" xfId="10928"/>
    <cellStyle name="Calc Percent (1) 9" xfId="10929"/>
    <cellStyle name="Calc Percent (1) 9 10" xfId="10930"/>
    <cellStyle name="Calc Percent (1) 9 11" xfId="10931"/>
    <cellStyle name="Calc Percent (1) 9 2" xfId="10932"/>
    <cellStyle name="Calc Percent (1) 9 2 10" xfId="10933"/>
    <cellStyle name="Calc Percent (1) 9 2 11" xfId="10934"/>
    <cellStyle name="Calc Percent (1) 9 2 12" xfId="10935"/>
    <cellStyle name="Calc Percent (1) 9 2 13" xfId="10936"/>
    <cellStyle name="Calc Percent (1) 9 2 14" xfId="10937"/>
    <cellStyle name="Calc Percent (1) 9 2 15" xfId="10938"/>
    <cellStyle name="Calc Percent (1) 9 2 16" xfId="10939"/>
    <cellStyle name="Calc Percent (1) 9 2 2" xfId="10940"/>
    <cellStyle name="Calc Percent (1) 9 2 3" xfId="10941"/>
    <cellStyle name="Calc Percent (1) 9 2 4" xfId="10942"/>
    <cellStyle name="Calc Percent (1) 9 2 5" xfId="10943"/>
    <cellStyle name="Calc Percent (1) 9 2 6" xfId="10944"/>
    <cellStyle name="Calc Percent (1) 9 2 7" xfId="10945"/>
    <cellStyle name="Calc Percent (1) 9 2 8" xfId="10946"/>
    <cellStyle name="Calc Percent (1) 9 2 9" xfId="10947"/>
    <cellStyle name="Calc Percent (1) 9 3" xfId="10948"/>
    <cellStyle name="Calc Percent (1) 9 3 2" xfId="10949"/>
    <cellStyle name="Calc Percent (1) 9 3 3" xfId="10950"/>
    <cellStyle name="Calc Percent (1) 9 3 4" xfId="10951"/>
    <cellStyle name="Calc Percent (1) 9 3 5" xfId="10952"/>
    <cellStyle name="Calc Percent (1) 9 3 6" xfId="10953"/>
    <cellStyle name="Calc Percent (1) 9 3 7" xfId="10954"/>
    <cellStyle name="Calc Percent (1) 9 3 8" xfId="10955"/>
    <cellStyle name="Calc Percent (1) 9 3 9" xfId="10956"/>
    <cellStyle name="Calc Percent (1) 9 4" xfId="10957"/>
    <cellStyle name="Calc Percent (1) 9 4 2" xfId="10958"/>
    <cellStyle name="Calc Percent (1) 9 4 3" xfId="10959"/>
    <cellStyle name="Calc Percent (1) 9 4 4" xfId="10960"/>
    <cellStyle name="Calc Percent (1) 9 4 5" xfId="10961"/>
    <cellStyle name="Calc Percent (1) 9 4 6" xfId="10962"/>
    <cellStyle name="Calc Percent (1) 9 4 7" xfId="10963"/>
    <cellStyle name="Calc Percent (1) 9 4 8" xfId="10964"/>
    <cellStyle name="Calc Percent (1) 9 5" xfId="10965"/>
    <cellStyle name="Calc Percent (1) 9 6" xfId="10966"/>
    <cellStyle name="Calc Percent (1) 9 7" xfId="10967"/>
    <cellStyle name="Calc Percent (1) 9 8" xfId="10968"/>
    <cellStyle name="Calc Percent (1) 9 9" xfId="10969"/>
    <cellStyle name="Calc Percent (2)" xfId="10970"/>
    <cellStyle name="Calc Units (0)" xfId="10971"/>
    <cellStyle name="Calc Units (1)" xfId="10972"/>
    <cellStyle name="Calc Units (2)" xfId="10973"/>
    <cellStyle name="Calc x [1]" xfId="10974"/>
    <cellStyle name="Calc$" xfId="10975"/>
    <cellStyle name="Calc$ 2" xfId="10976"/>
    <cellStyle name="Calc%" xfId="10977"/>
    <cellStyle name="Calc% 2" xfId="10978"/>
    <cellStyle name="Calculation 10" xfId="10979"/>
    <cellStyle name="Calculation 11" xfId="10980"/>
    <cellStyle name="Calculation 12" xfId="10981"/>
    <cellStyle name="Calculation 13" xfId="10982"/>
    <cellStyle name="Calculation 14" xfId="10983"/>
    <cellStyle name="Calculation 2" xfId="10984"/>
    <cellStyle name="Calculation 2 2" xfId="10985"/>
    <cellStyle name="Calculation 2 2 10" xfId="35895"/>
    <cellStyle name="Calculation 2 2 11" xfId="29662"/>
    <cellStyle name="Calculation 2 2 12" xfId="35145"/>
    <cellStyle name="Calculation 2 2 13" xfId="25645"/>
    <cellStyle name="Calculation 2 2 2" xfId="10986"/>
    <cellStyle name="Calculation 2 2 2 10" xfId="34031"/>
    <cellStyle name="Calculation 2 2 2 11" xfId="35573"/>
    <cellStyle name="Calculation 2 2 2 12" xfId="36115"/>
    <cellStyle name="Calculation 2 2 2 2" xfId="20066"/>
    <cellStyle name="Calculation 2 2 2 2 10" xfId="38329"/>
    <cellStyle name="Calculation 2 2 2 2 11" xfId="38557"/>
    <cellStyle name="Calculation 2 2 2 2 12" xfId="38852"/>
    <cellStyle name="Calculation 2 2 2 2 13" xfId="39053"/>
    <cellStyle name="Calculation 2 2 2 2 14" xfId="24632"/>
    <cellStyle name="Calculation 2 2 2 2 15" xfId="39295"/>
    <cellStyle name="Calculation 2 2 2 2 2" xfId="33345"/>
    <cellStyle name="Calculation 2 2 2 2 3" xfId="36883"/>
    <cellStyle name="Calculation 2 2 2 2 4" xfId="37208"/>
    <cellStyle name="Calculation 2 2 2 2 5" xfId="37572"/>
    <cellStyle name="Calculation 2 2 2 2 6" xfId="37800"/>
    <cellStyle name="Calculation 2 2 2 2 7" xfId="36629"/>
    <cellStyle name="Calculation 2 2 2 2 8" xfId="35873"/>
    <cellStyle name="Calculation 2 2 2 2 9" xfId="38152"/>
    <cellStyle name="Calculation 2 2 2 3" xfId="25355"/>
    <cellStyle name="Calculation 2 2 2 4" xfId="34239"/>
    <cellStyle name="Calculation 2 2 2 5" xfId="35342"/>
    <cellStyle name="Calculation 2 2 2 6" xfId="33711"/>
    <cellStyle name="Calculation 2 2 2 7" xfId="25112"/>
    <cellStyle name="Calculation 2 2 2 8" xfId="34411"/>
    <cellStyle name="Calculation 2 2 2 9" xfId="34108"/>
    <cellStyle name="Calculation 2 2 3" xfId="20065"/>
    <cellStyle name="Calculation 2 2 3 10" xfId="38328"/>
    <cellStyle name="Calculation 2 2 3 11" xfId="38556"/>
    <cellStyle name="Calculation 2 2 3 12" xfId="38851"/>
    <cellStyle name="Calculation 2 2 3 13" xfId="39052"/>
    <cellStyle name="Calculation 2 2 3 14" xfId="34102"/>
    <cellStyle name="Calculation 2 2 3 15" xfId="39294"/>
    <cellStyle name="Calculation 2 2 3 2" xfId="33344"/>
    <cellStyle name="Calculation 2 2 3 3" xfId="36882"/>
    <cellStyle name="Calculation 2 2 3 4" xfId="37207"/>
    <cellStyle name="Calculation 2 2 3 5" xfId="37571"/>
    <cellStyle name="Calculation 2 2 3 6" xfId="37799"/>
    <cellStyle name="Calculation 2 2 3 7" xfId="24638"/>
    <cellStyle name="Calculation 2 2 3 8" xfId="33996"/>
    <cellStyle name="Calculation 2 2 3 9" xfId="38084"/>
    <cellStyle name="Calculation 2 2 4" xfId="25354"/>
    <cellStyle name="Calculation 2 2 5" xfId="34238"/>
    <cellStyle name="Calculation 2 2 6" xfId="36555"/>
    <cellStyle name="Calculation 2 2 7" xfId="34995"/>
    <cellStyle name="Calculation 2 2 8" xfId="35714"/>
    <cellStyle name="Calculation 2 2 9" xfId="37356"/>
    <cellStyle name="Calculation 3" xfId="10987"/>
    <cellStyle name="Calculation 3 2" xfId="10988"/>
    <cellStyle name="Calculation 3 2 10" xfId="35946"/>
    <cellStyle name="Calculation 3 2 11" xfId="25267"/>
    <cellStyle name="Calculation 3 2 12" xfId="36246"/>
    <cellStyle name="Calculation 3 2 13" xfId="33646"/>
    <cellStyle name="Calculation 3 2 2" xfId="10989"/>
    <cellStyle name="Calculation 3 2 2 10" xfId="24229"/>
    <cellStyle name="Calculation 3 2 2 11" xfId="25293"/>
    <cellStyle name="Calculation 3 2 2 12" xfId="34832"/>
    <cellStyle name="Calculation 3 2 2 2" xfId="20068"/>
    <cellStyle name="Calculation 3 2 2 2 10" xfId="38331"/>
    <cellStyle name="Calculation 3 2 2 2 11" xfId="38559"/>
    <cellStyle name="Calculation 3 2 2 2 12" xfId="38854"/>
    <cellStyle name="Calculation 3 2 2 2 13" xfId="39055"/>
    <cellStyle name="Calculation 3 2 2 2 14" xfId="38980"/>
    <cellStyle name="Calculation 3 2 2 2 15" xfId="39297"/>
    <cellStyle name="Calculation 3 2 2 2 2" xfId="33347"/>
    <cellStyle name="Calculation 3 2 2 2 3" xfId="36885"/>
    <cellStyle name="Calculation 3 2 2 2 4" xfId="37210"/>
    <cellStyle name="Calculation 3 2 2 2 5" xfId="37574"/>
    <cellStyle name="Calculation 3 2 2 2 6" xfId="37802"/>
    <cellStyle name="Calculation 3 2 2 2 7" xfId="35343"/>
    <cellStyle name="Calculation 3 2 2 2 8" xfId="25025"/>
    <cellStyle name="Calculation 3 2 2 2 9" xfId="38154"/>
    <cellStyle name="Calculation 3 2 2 3" xfId="25357"/>
    <cellStyle name="Calculation 3 2 2 4" xfId="34242"/>
    <cellStyle name="Calculation 3 2 2 5" xfId="35340"/>
    <cellStyle name="Calculation 3 2 2 6" xfId="33712"/>
    <cellStyle name="Calculation 3 2 2 7" xfId="29615"/>
    <cellStyle name="Calculation 3 2 2 8" xfId="36563"/>
    <cellStyle name="Calculation 3 2 2 9" xfId="33819"/>
    <cellStyle name="Calculation 3 2 3" xfId="20067"/>
    <cellStyle name="Calculation 3 2 3 10" xfId="38330"/>
    <cellStyle name="Calculation 3 2 3 11" xfId="38558"/>
    <cellStyle name="Calculation 3 2 3 12" xfId="38853"/>
    <cellStyle name="Calculation 3 2 3 13" xfId="39054"/>
    <cellStyle name="Calculation 3 2 3 14" xfId="36219"/>
    <cellStyle name="Calculation 3 2 3 15" xfId="39296"/>
    <cellStyle name="Calculation 3 2 3 2" xfId="33346"/>
    <cellStyle name="Calculation 3 2 3 3" xfId="36884"/>
    <cellStyle name="Calculation 3 2 3 4" xfId="37209"/>
    <cellStyle name="Calculation 3 2 3 5" xfId="37573"/>
    <cellStyle name="Calculation 3 2 3 6" xfId="37801"/>
    <cellStyle name="Calculation 3 2 3 7" xfId="36664"/>
    <cellStyle name="Calculation 3 2 3 8" xfId="34551"/>
    <cellStyle name="Calculation 3 2 3 9" xfId="38153"/>
    <cellStyle name="Calculation 3 2 4" xfId="25356"/>
    <cellStyle name="Calculation 3 2 5" xfId="34241"/>
    <cellStyle name="Calculation 3 2 6" xfId="36554"/>
    <cellStyle name="Calculation 3 2 7" xfId="36167"/>
    <cellStyle name="Calculation 3 2 8" xfId="24438"/>
    <cellStyle name="Calculation 3 2 9" xfId="34820"/>
    <cellStyle name="Calculation 4" xfId="10990"/>
    <cellStyle name="Calculation 5" xfId="10991"/>
    <cellStyle name="Calculation 6" xfId="10992"/>
    <cellStyle name="Calculation 7" xfId="10993"/>
    <cellStyle name="Calculation 8" xfId="10994"/>
    <cellStyle name="Calculation 9" xfId="10995"/>
    <cellStyle name="Cálculo" xfId="10996"/>
    <cellStyle name="Cancel" xfId="10997"/>
    <cellStyle name="Caption" xfId="10998"/>
    <cellStyle name="Case" xfId="10999"/>
    <cellStyle name="Case %" xfId="11000"/>
    <cellStyle name="Case 2" xfId="11001"/>
    <cellStyle name="Cash Flow Statement" xfId="11002"/>
    <cellStyle name="Cash Flow Statement 2" xfId="11003"/>
    <cellStyle name="Cash Flow Statement 2 2" xfId="11004"/>
    <cellStyle name="Cash Flow Statement 3" xfId="11005"/>
    <cellStyle name="Cash Flow Statement 4" xfId="11006"/>
    <cellStyle name="Cash Flow Statement 5" xfId="11007"/>
    <cellStyle name="category" xfId="11008"/>
    <cellStyle name="Category Name" xfId="11009"/>
    <cellStyle name="Category Name 10" xfId="34247"/>
    <cellStyle name="Category Name 11" xfId="35338"/>
    <cellStyle name="Category Name 12" xfId="33715"/>
    <cellStyle name="Category Name 13" xfId="25269"/>
    <cellStyle name="Category Name 14" xfId="25263"/>
    <cellStyle name="Category Name 15" xfId="38131"/>
    <cellStyle name="Category Name 16" xfId="33710"/>
    <cellStyle name="Category Name 17" xfId="25043"/>
    <cellStyle name="Category Name 2" xfId="11010"/>
    <cellStyle name="Category Name 2 10" xfId="24584"/>
    <cellStyle name="Category Name 2 11" xfId="25529"/>
    <cellStyle name="Category Name 2 12" xfId="34932"/>
    <cellStyle name="Category Name 2 13" xfId="25284"/>
    <cellStyle name="Category Name 2 14" xfId="24953"/>
    <cellStyle name="Category Name 2 15" xfId="35469"/>
    <cellStyle name="Category Name 2 16" xfId="37785"/>
    <cellStyle name="Category Name 2 2" xfId="11011"/>
    <cellStyle name="Category Name 2 2 10" xfId="25794"/>
    <cellStyle name="Category Name 2 2 11" xfId="33757"/>
    <cellStyle name="Category Name 2 2 12" xfId="36711"/>
    <cellStyle name="Category Name 2 2 13" xfId="35475"/>
    <cellStyle name="Category Name 2 2 14" xfId="29618"/>
    <cellStyle name="Category Name 2 2 2" xfId="11012"/>
    <cellStyle name="Category Name 2 2 2 10" xfId="35869"/>
    <cellStyle name="Category Name 2 2 2 11" xfId="36269"/>
    <cellStyle name="Category Name 2 2 2 12" xfId="34281"/>
    <cellStyle name="Category Name 2 2 2 13" xfId="25673"/>
    <cellStyle name="Category Name 2 2 2 2" xfId="11013"/>
    <cellStyle name="Category Name 2 2 2 2 10" xfId="36985"/>
    <cellStyle name="Category Name 2 2 2 2 11" xfId="35180"/>
    <cellStyle name="Category Name 2 2 2 2 12" xfId="35571"/>
    <cellStyle name="Category Name 2 2 2 2 2" xfId="16074"/>
    <cellStyle name="Category Name 2 2 2 2 2 10" xfId="20485"/>
    <cellStyle name="Category Name 2 2 2 2 2 11" xfId="34684"/>
    <cellStyle name="Category Name 2 2 2 2 2 12" xfId="25416"/>
    <cellStyle name="Category Name 2 2 2 2 2 13" xfId="34549"/>
    <cellStyle name="Category Name 2 2 2 2 2 2" xfId="29466"/>
    <cellStyle name="Category Name 2 2 2 2 2 3" xfId="35655"/>
    <cellStyle name="Category Name 2 2 2 2 2 4" xfId="34883"/>
    <cellStyle name="Category Name 2 2 2 2 2 5" xfId="24923"/>
    <cellStyle name="Category Name 2 2 2 2 2 6" xfId="34310"/>
    <cellStyle name="Category Name 2 2 2 2 2 7" xfId="35578"/>
    <cellStyle name="Category Name 2 2 2 2 2 8" xfId="25635"/>
    <cellStyle name="Category Name 2 2 2 2 2 9" xfId="37952"/>
    <cellStyle name="Category Name 2 2 2 2 3" xfId="20073"/>
    <cellStyle name="Category Name 2 2 2 2 3 10" xfId="38336"/>
    <cellStyle name="Category Name 2 2 2 2 3 11" xfId="38564"/>
    <cellStyle name="Category Name 2 2 2 2 3 12" xfId="38859"/>
    <cellStyle name="Category Name 2 2 2 2 3 13" xfId="39060"/>
    <cellStyle name="Category Name 2 2 2 2 3 14" xfId="39178"/>
    <cellStyle name="Category Name 2 2 2 2 3 15" xfId="39302"/>
    <cellStyle name="Category Name 2 2 2 2 3 2" xfId="33352"/>
    <cellStyle name="Category Name 2 2 2 2 3 3" xfId="36890"/>
    <cellStyle name="Category Name 2 2 2 2 3 4" xfId="37215"/>
    <cellStyle name="Category Name 2 2 2 2 3 5" xfId="37579"/>
    <cellStyle name="Category Name 2 2 2 2 3 6" xfId="37807"/>
    <cellStyle name="Category Name 2 2 2 2 3 7" xfId="34521"/>
    <cellStyle name="Category Name 2 2 2 2 3 8" xfId="37430"/>
    <cellStyle name="Category Name 2 2 2 2 3 9" xfId="38159"/>
    <cellStyle name="Category Name 2 2 2 2 4" xfId="25366"/>
    <cellStyle name="Category Name 2 2 2 2 5" xfId="34251"/>
    <cellStyle name="Category Name 2 2 2 2 6" xfId="24585"/>
    <cellStyle name="Category Name 2 2 2 2 7" xfId="34996"/>
    <cellStyle name="Category Name 2 2 2 2 8" xfId="35633"/>
    <cellStyle name="Category Name 2 2 2 2 9" xfId="37463"/>
    <cellStyle name="Category Name 2 2 2 3" xfId="16073"/>
    <cellStyle name="Category Name 2 2 2 3 10" xfId="25084"/>
    <cellStyle name="Category Name 2 2 2 3 11" xfId="33641"/>
    <cellStyle name="Category Name 2 2 2 3 12" xfId="24884"/>
    <cellStyle name="Category Name 2 2 2 3 13" xfId="34554"/>
    <cellStyle name="Category Name 2 2 2 3 2" xfId="29465"/>
    <cellStyle name="Category Name 2 2 2 3 3" xfId="35654"/>
    <cellStyle name="Category Name 2 2 2 3 4" xfId="36050"/>
    <cellStyle name="Category Name 2 2 2 3 5" xfId="25303"/>
    <cellStyle name="Category Name 2 2 2 3 6" xfId="25016"/>
    <cellStyle name="Category Name 2 2 2 3 7" xfId="36981"/>
    <cellStyle name="Category Name 2 2 2 3 8" xfId="36369"/>
    <cellStyle name="Category Name 2 2 2 3 9" xfId="37523"/>
    <cellStyle name="Category Name 2 2 2 4" xfId="20072"/>
    <cellStyle name="Category Name 2 2 2 4 10" xfId="38335"/>
    <cellStyle name="Category Name 2 2 2 4 11" xfId="38563"/>
    <cellStyle name="Category Name 2 2 2 4 12" xfId="38858"/>
    <cellStyle name="Category Name 2 2 2 4 13" xfId="39059"/>
    <cellStyle name="Category Name 2 2 2 4 14" xfId="38976"/>
    <cellStyle name="Category Name 2 2 2 4 15" xfId="39301"/>
    <cellStyle name="Category Name 2 2 2 4 2" xfId="33351"/>
    <cellStyle name="Category Name 2 2 2 4 3" xfId="36889"/>
    <cellStyle name="Category Name 2 2 2 4 4" xfId="37214"/>
    <cellStyle name="Category Name 2 2 2 4 5" xfId="37578"/>
    <cellStyle name="Category Name 2 2 2 4 6" xfId="37806"/>
    <cellStyle name="Category Name 2 2 2 4 7" xfId="24881"/>
    <cellStyle name="Category Name 2 2 2 4 8" xfId="37029"/>
    <cellStyle name="Category Name 2 2 2 4 9" xfId="38158"/>
    <cellStyle name="Category Name 2 2 2 5" xfId="25365"/>
    <cellStyle name="Category Name 2 2 2 6" xfId="34250"/>
    <cellStyle name="Category Name 2 2 2 7" xfId="35337"/>
    <cellStyle name="Category Name 2 2 2 8" xfId="25537"/>
    <cellStyle name="Category Name 2 2 2 9" xfId="24880"/>
    <cellStyle name="Category Name 2 2 3" xfId="11014"/>
    <cellStyle name="Category Name 2 2 3 10" xfId="25329"/>
    <cellStyle name="Category Name 2 2 3 11" xfId="34717"/>
    <cellStyle name="Category Name 2 2 3 12" xfId="34687"/>
    <cellStyle name="Category Name 2 2 3 2" xfId="16075"/>
    <cellStyle name="Category Name 2 2 3 2 10" xfId="34293"/>
    <cellStyle name="Category Name 2 2 3 2 11" xfId="25641"/>
    <cellStyle name="Category Name 2 2 3 2 12" xfId="38125"/>
    <cellStyle name="Category Name 2 2 3 2 13" xfId="36273"/>
    <cellStyle name="Category Name 2 2 3 2 2" xfId="29467"/>
    <cellStyle name="Category Name 2 2 3 2 3" xfId="35656"/>
    <cellStyle name="Category Name 2 2 3 2 4" xfId="25178"/>
    <cellStyle name="Category Name 2 2 3 2 5" xfId="34754"/>
    <cellStyle name="Category Name 2 2 3 2 6" xfId="25410"/>
    <cellStyle name="Category Name 2 2 3 2 7" xfId="36487"/>
    <cellStyle name="Category Name 2 2 3 2 8" xfId="33768"/>
    <cellStyle name="Category Name 2 2 3 2 9" xfId="35816"/>
    <cellStyle name="Category Name 2 2 3 3" xfId="20074"/>
    <cellStyle name="Category Name 2 2 3 3 10" xfId="38337"/>
    <cellStyle name="Category Name 2 2 3 3 11" xfId="38565"/>
    <cellStyle name="Category Name 2 2 3 3 12" xfId="38860"/>
    <cellStyle name="Category Name 2 2 3 3 13" xfId="39061"/>
    <cellStyle name="Category Name 2 2 3 3 14" xfId="39179"/>
    <cellStyle name="Category Name 2 2 3 3 15" xfId="39303"/>
    <cellStyle name="Category Name 2 2 3 3 2" xfId="33353"/>
    <cellStyle name="Category Name 2 2 3 3 3" xfId="36891"/>
    <cellStyle name="Category Name 2 2 3 3 4" xfId="37216"/>
    <cellStyle name="Category Name 2 2 3 3 5" xfId="37580"/>
    <cellStyle name="Category Name 2 2 3 3 6" xfId="37808"/>
    <cellStyle name="Category Name 2 2 3 3 7" xfId="37939"/>
    <cellStyle name="Category Name 2 2 3 3 8" xfId="34332"/>
    <cellStyle name="Category Name 2 2 3 3 9" xfId="38160"/>
    <cellStyle name="Category Name 2 2 3 4" xfId="25367"/>
    <cellStyle name="Category Name 2 2 3 5" xfId="34252"/>
    <cellStyle name="Category Name 2 2 3 6" xfId="24586"/>
    <cellStyle name="Category Name 2 2 3 7" xfId="33716"/>
    <cellStyle name="Category Name 2 2 3 8" xfId="36220"/>
    <cellStyle name="Category Name 2 2 3 9" xfId="24396"/>
    <cellStyle name="Category Name 2 2 4" xfId="16072"/>
    <cellStyle name="Category Name 2 2 4 10" xfId="35815"/>
    <cellStyle name="Category Name 2 2 4 11" xfId="38218"/>
    <cellStyle name="Category Name 2 2 4 12" xfId="35897"/>
    <cellStyle name="Category Name 2 2 4 13" xfId="35884"/>
    <cellStyle name="Category Name 2 2 4 2" xfId="29464"/>
    <cellStyle name="Category Name 2 2 4 3" xfId="35653"/>
    <cellStyle name="Category Name 2 2 4 4" xfId="25177"/>
    <cellStyle name="Category Name 2 2 4 5" xfId="34149"/>
    <cellStyle name="Category Name 2 2 4 6" xfId="36349"/>
    <cellStyle name="Category Name 2 2 4 7" xfId="34575"/>
    <cellStyle name="Category Name 2 2 4 8" xfId="34402"/>
    <cellStyle name="Category Name 2 2 4 9" xfId="35636"/>
    <cellStyle name="Category Name 2 2 5" xfId="20071"/>
    <cellStyle name="Category Name 2 2 5 10" xfId="38334"/>
    <cellStyle name="Category Name 2 2 5 11" xfId="38562"/>
    <cellStyle name="Category Name 2 2 5 12" xfId="38857"/>
    <cellStyle name="Category Name 2 2 5 13" xfId="39058"/>
    <cellStyle name="Category Name 2 2 5 14" xfId="38975"/>
    <cellStyle name="Category Name 2 2 5 15" xfId="39300"/>
    <cellStyle name="Category Name 2 2 5 2" xfId="33350"/>
    <cellStyle name="Category Name 2 2 5 3" xfId="36888"/>
    <cellStyle name="Category Name 2 2 5 4" xfId="37213"/>
    <cellStyle name="Category Name 2 2 5 5" xfId="37577"/>
    <cellStyle name="Category Name 2 2 5 6" xfId="37805"/>
    <cellStyle name="Category Name 2 2 5 7" xfId="36666"/>
    <cellStyle name="Category Name 2 2 5 8" xfId="34510"/>
    <cellStyle name="Category Name 2 2 5 9" xfId="38157"/>
    <cellStyle name="Category Name 2 2 6" xfId="25364"/>
    <cellStyle name="Category Name 2 2 7" xfId="34249"/>
    <cellStyle name="Category Name 2 2 8" xfId="36553"/>
    <cellStyle name="Category Name 2 2 9" xfId="34987"/>
    <cellStyle name="Category Name 2 3" xfId="11015"/>
    <cellStyle name="Category Name 2 3 10" xfId="36217"/>
    <cellStyle name="Category Name 2 3 11" xfId="34601"/>
    <cellStyle name="Category Name 2 3 12" xfId="24275"/>
    <cellStyle name="Category Name 2 3 13" xfId="33892"/>
    <cellStyle name="Category Name 2 3 14" xfId="24860"/>
    <cellStyle name="Category Name 2 3 2" xfId="11016"/>
    <cellStyle name="Category Name 2 3 2 10" xfId="35497"/>
    <cellStyle name="Category Name 2 3 2 11" xfId="34244"/>
    <cellStyle name="Category Name 2 3 2 12" xfId="36717"/>
    <cellStyle name="Category Name 2 3 2 13" xfId="34196"/>
    <cellStyle name="Category Name 2 3 2 2" xfId="11017"/>
    <cellStyle name="Category Name 2 3 2 2 10" xfId="29655"/>
    <cellStyle name="Category Name 2 3 2 2 11" xfId="25428"/>
    <cellStyle name="Category Name 2 3 2 2 12" xfId="24259"/>
    <cellStyle name="Category Name 2 3 2 2 2" xfId="16078"/>
    <cellStyle name="Category Name 2 3 2 2 2 10" xfId="24770"/>
    <cellStyle name="Category Name 2 3 2 2 2 11" xfId="35881"/>
    <cellStyle name="Category Name 2 3 2 2 2 12" xfId="38274"/>
    <cellStyle name="Category Name 2 3 2 2 2 13" xfId="36617"/>
    <cellStyle name="Category Name 2 3 2 2 2 2" xfId="29470"/>
    <cellStyle name="Category Name 2 3 2 2 2 3" xfId="35659"/>
    <cellStyle name="Category Name 2 3 2 2 2 4" xfId="25181"/>
    <cellStyle name="Category Name 2 3 2 2 2 5" xfId="35928"/>
    <cellStyle name="Category Name 2 3 2 2 2 6" xfId="33915"/>
    <cellStyle name="Category Name 2 3 2 2 2 7" xfId="36249"/>
    <cellStyle name="Category Name 2 3 2 2 2 8" xfId="25351"/>
    <cellStyle name="Category Name 2 3 2 2 2 9" xfId="25633"/>
    <cellStyle name="Category Name 2 3 2 2 3" xfId="20077"/>
    <cellStyle name="Category Name 2 3 2 2 3 10" xfId="38340"/>
    <cellStyle name="Category Name 2 3 2 2 3 11" xfId="38568"/>
    <cellStyle name="Category Name 2 3 2 2 3 12" xfId="38863"/>
    <cellStyle name="Category Name 2 3 2 2 3 13" xfId="39064"/>
    <cellStyle name="Category Name 2 3 2 2 3 14" xfId="39182"/>
    <cellStyle name="Category Name 2 3 2 2 3 15" xfId="39306"/>
    <cellStyle name="Category Name 2 3 2 2 3 2" xfId="33356"/>
    <cellStyle name="Category Name 2 3 2 2 3 3" xfId="36894"/>
    <cellStyle name="Category Name 2 3 2 2 3 4" xfId="37219"/>
    <cellStyle name="Category Name 2 3 2 2 3 5" xfId="37583"/>
    <cellStyle name="Category Name 2 3 2 2 3 6" xfId="37811"/>
    <cellStyle name="Category Name 2 3 2 2 3 7" xfId="35433"/>
    <cellStyle name="Category Name 2 3 2 2 3 8" xfId="34383"/>
    <cellStyle name="Category Name 2 3 2 2 3 9" xfId="38163"/>
    <cellStyle name="Category Name 2 3 2 2 4" xfId="25370"/>
    <cellStyle name="Category Name 2 3 2 2 5" xfId="34255"/>
    <cellStyle name="Category Name 2 3 2 2 6" xfId="35329"/>
    <cellStyle name="Category Name 2 3 2 2 7" xfId="33717"/>
    <cellStyle name="Category Name 2 3 2 2 8" xfId="34471"/>
    <cellStyle name="Category Name 2 3 2 2 9" xfId="24231"/>
    <cellStyle name="Category Name 2 3 2 3" xfId="16077"/>
    <cellStyle name="Category Name 2 3 2 3 10" xfId="37737"/>
    <cellStyle name="Category Name 2 3 2 3 11" xfId="35735"/>
    <cellStyle name="Category Name 2 3 2 3 12" xfId="25754"/>
    <cellStyle name="Category Name 2 3 2 3 13" xfId="38457"/>
    <cellStyle name="Category Name 2 3 2 3 2" xfId="29469"/>
    <cellStyle name="Category Name 2 3 2 3 3" xfId="35658"/>
    <cellStyle name="Category Name 2 3 2 3 4" xfId="25180"/>
    <cellStyle name="Category Name 2 3 2 3 5" xfId="34150"/>
    <cellStyle name="Category Name 2 3 2 3 6" xfId="37024"/>
    <cellStyle name="Category Name 2 3 2 3 7" xfId="36762"/>
    <cellStyle name="Category Name 2 3 2 3 8" xfId="35814"/>
    <cellStyle name="Category Name 2 3 2 3 9" xfId="37981"/>
    <cellStyle name="Category Name 2 3 2 4" xfId="20076"/>
    <cellStyle name="Category Name 2 3 2 4 10" xfId="38339"/>
    <cellStyle name="Category Name 2 3 2 4 11" xfId="38567"/>
    <cellStyle name="Category Name 2 3 2 4 12" xfId="38862"/>
    <cellStyle name="Category Name 2 3 2 4 13" xfId="39063"/>
    <cellStyle name="Category Name 2 3 2 4 14" xfId="39181"/>
    <cellStyle name="Category Name 2 3 2 4 15" xfId="39305"/>
    <cellStyle name="Category Name 2 3 2 4 2" xfId="33355"/>
    <cellStyle name="Category Name 2 3 2 4 3" xfId="36893"/>
    <cellStyle name="Category Name 2 3 2 4 4" xfId="37218"/>
    <cellStyle name="Category Name 2 3 2 4 5" xfId="37582"/>
    <cellStyle name="Category Name 2 3 2 4 6" xfId="37810"/>
    <cellStyle name="Category Name 2 3 2 4 7" xfId="34207"/>
    <cellStyle name="Category Name 2 3 2 4 8" xfId="36564"/>
    <cellStyle name="Category Name 2 3 2 4 9" xfId="38162"/>
    <cellStyle name="Category Name 2 3 2 5" xfId="25369"/>
    <cellStyle name="Category Name 2 3 2 6" xfId="34254"/>
    <cellStyle name="Category Name 2 3 2 7" xfId="36544"/>
    <cellStyle name="Category Name 2 3 2 8" xfId="36168"/>
    <cellStyle name="Category Name 2 3 2 9" xfId="24794"/>
    <cellStyle name="Category Name 2 3 3" xfId="11018"/>
    <cellStyle name="Category Name 2 3 3 10" xfId="36218"/>
    <cellStyle name="Category Name 2 3 3 11" xfId="33544"/>
    <cellStyle name="Category Name 2 3 3 12" xfId="36758"/>
    <cellStyle name="Category Name 2 3 3 2" xfId="16079"/>
    <cellStyle name="Category Name 2 3 3 2 10" xfId="35414"/>
    <cellStyle name="Category Name 2 3 3 2 11" xfId="36989"/>
    <cellStyle name="Category Name 2 3 3 2 12" xfId="36756"/>
    <cellStyle name="Category Name 2 3 3 2 13" xfId="33856"/>
    <cellStyle name="Category Name 2 3 3 2 2" xfId="29471"/>
    <cellStyle name="Category Name 2 3 3 2 3" xfId="35660"/>
    <cellStyle name="Category Name 2 3 3 2 4" xfId="36037"/>
    <cellStyle name="Category Name 2 3 3 2 5" xfId="35116"/>
    <cellStyle name="Category Name 2 3 3 2 6" xfId="35389"/>
    <cellStyle name="Category Name 2 3 3 2 7" xfId="35733"/>
    <cellStyle name="Category Name 2 3 3 2 8" xfId="36469"/>
    <cellStyle name="Category Name 2 3 3 2 9" xfId="25226"/>
    <cellStyle name="Category Name 2 3 3 3" xfId="20078"/>
    <cellStyle name="Category Name 2 3 3 3 10" xfId="38341"/>
    <cellStyle name="Category Name 2 3 3 3 11" xfId="38569"/>
    <cellStyle name="Category Name 2 3 3 3 12" xfId="38864"/>
    <cellStyle name="Category Name 2 3 3 3 13" xfId="39065"/>
    <cellStyle name="Category Name 2 3 3 3 14" xfId="39183"/>
    <cellStyle name="Category Name 2 3 3 3 15" xfId="39307"/>
    <cellStyle name="Category Name 2 3 3 3 2" xfId="33357"/>
    <cellStyle name="Category Name 2 3 3 3 3" xfId="36895"/>
    <cellStyle name="Category Name 2 3 3 3 4" xfId="37220"/>
    <cellStyle name="Category Name 2 3 3 3 5" xfId="37584"/>
    <cellStyle name="Category Name 2 3 3 3 6" xfId="37812"/>
    <cellStyle name="Category Name 2 3 3 3 7" xfId="34059"/>
    <cellStyle name="Category Name 2 3 3 3 8" xfId="37039"/>
    <cellStyle name="Category Name 2 3 3 3 9" xfId="38164"/>
    <cellStyle name="Category Name 2 3 3 4" xfId="25371"/>
    <cellStyle name="Category Name 2 3 3 5" xfId="34256"/>
    <cellStyle name="Category Name 2 3 3 6" xfId="36552"/>
    <cellStyle name="Category Name 2 3 3 7" xfId="25533"/>
    <cellStyle name="Category Name 2 3 3 8" xfId="34718"/>
    <cellStyle name="Category Name 2 3 3 9" xfId="34518"/>
    <cellStyle name="Category Name 2 3 4" xfId="16076"/>
    <cellStyle name="Category Name 2 3 4 10" xfId="35233"/>
    <cellStyle name="Category Name 2 3 4 11" xfId="33799"/>
    <cellStyle name="Category Name 2 3 4 12" xfId="36102"/>
    <cellStyle name="Category Name 2 3 4 13" xfId="38622"/>
    <cellStyle name="Category Name 2 3 4 2" xfId="29468"/>
    <cellStyle name="Category Name 2 3 4 3" xfId="35657"/>
    <cellStyle name="Category Name 2 3 4 4" xfId="25179"/>
    <cellStyle name="Category Name 2 3 4 5" xfId="24925"/>
    <cellStyle name="Category Name 2 3 4 6" xfId="36585"/>
    <cellStyle name="Category Name 2 3 4 7" xfId="36671"/>
    <cellStyle name="Category Name 2 3 4 8" xfId="35421"/>
    <cellStyle name="Category Name 2 3 4 9" xfId="33997"/>
    <cellStyle name="Category Name 2 3 5" xfId="20075"/>
    <cellStyle name="Category Name 2 3 5 10" xfId="38338"/>
    <cellStyle name="Category Name 2 3 5 11" xfId="38566"/>
    <cellStyle name="Category Name 2 3 5 12" xfId="38861"/>
    <cellStyle name="Category Name 2 3 5 13" xfId="39062"/>
    <cellStyle name="Category Name 2 3 5 14" xfId="39180"/>
    <cellStyle name="Category Name 2 3 5 15" xfId="39304"/>
    <cellStyle name="Category Name 2 3 5 2" xfId="33354"/>
    <cellStyle name="Category Name 2 3 5 3" xfId="36892"/>
    <cellStyle name="Category Name 2 3 5 4" xfId="37217"/>
    <cellStyle name="Category Name 2 3 5 5" xfId="37581"/>
    <cellStyle name="Category Name 2 3 5 6" xfId="37809"/>
    <cellStyle name="Category Name 2 3 5 7" xfId="25102"/>
    <cellStyle name="Category Name 2 3 5 8" xfId="36708"/>
    <cellStyle name="Category Name 2 3 5 9" xfId="38161"/>
    <cellStyle name="Category Name 2 3 6" xfId="25368"/>
    <cellStyle name="Category Name 2 3 7" xfId="34253"/>
    <cellStyle name="Category Name 2 3 8" xfId="24587"/>
    <cellStyle name="Category Name 2 3 9" xfId="25536"/>
    <cellStyle name="Category Name 2 4" xfId="11019"/>
    <cellStyle name="Category Name 2 4 10" xfId="35055"/>
    <cellStyle name="Category Name 2 4 11" xfId="37454"/>
    <cellStyle name="Category Name 2 4 12" xfId="38228"/>
    <cellStyle name="Category Name 2 4 13" xfId="35508"/>
    <cellStyle name="Category Name 2 4 14" xfId="38046"/>
    <cellStyle name="Category Name 2 4 2" xfId="11020"/>
    <cellStyle name="Category Name 2 4 2 10" xfId="24334"/>
    <cellStyle name="Category Name 2 4 2 11" xfId="37648"/>
    <cellStyle name="Category Name 2 4 2 12" xfId="25522"/>
    <cellStyle name="Category Name 2 4 2 13" xfId="38042"/>
    <cellStyle name="Category Name 2 4 2 2" xfId="11021"/>
    <cellStyle name="Category Name 2 4 2 2 10" xfId="37868"/>
    <cellStyle name="Category Name 2 4 2 2 11" xfId="34435"/>
    <cellStyle name="Category Name 2 4 2 2 12" xfId="37639"/>
    <cellStyle name="Category Name 2 4 2 2 2" xfId="16082"/>
    <cellStyle name="Category Name 2 4 2 2 2 10" xfId="38063"/>
    <cellStyle name="Category Name 2 4 2 2 2 11" xfId="37336"/>
    <cellStyle name="Category Name 2 4 2 2 2 12" xfId="24242"/>
    <cellStyle name="Category Name 2 4 2 2 2 13" xfId="35872"/>
    <cellStyle name="Category Name 2 4 2 2 2 2" xfId="29474"/>
    <cellStyle name="Category Name 2 4 2 2 2 3" xfId="35663"/>
    <cellStyle name="Category Name 2 4 2 2 2 4" xfId="34880"/>
    <cellStyle name="Category Name 2 4 2 2 2 5" xfId="35117"/>
    <cellStyle name="Category Name 2 4 2 2 2 6" xfId="36581"/>
    <cellStyle name="Category Name 2 4 2 2 2 7" xfId="34079"/>
    <cellStyle name="Category Name 2 4 2 2 2 8" xfId="29628"/>
    <cellStyle name="Category Name 2 4 2 2 2 9" xfId="24388"/>
    <cellStyle name="Category Name 2 4 2 2 3" xfId="20081"/>
    <cellStyle name="Category Name 2 4 2 2 3 10" xfId="38344"/>
    <cellStyle name="Category Name 2 4 2 2 3 11" xfId="38572"/>
    <cellStyle name="Category Name 2 4 2 2 3 12" xfId="38867"/>
    <cellStyle name="Category Name 2 4 2 2 3 13" xfId="39068"/>
    <cellStyle name="Category Name 2 4 2 2 3 14" xfId="39186"/>
    <cellStyle name="Category Name 2 4 2 2 3 15" xfId="39310"/>
    <cellStyle name="Category Name 2 4 2 2 3 2" xfId="33360"/>
    <cellStyle name="Category Name 2 4 2 2 3 3" xfId="36898"/>
    <cellStyle name="Category Name 2 4 2 2 3 4" xfId="37223"/>
    <cellStyle name="Category Name 2 4 2 2 3 5" xfId="37587"/>
    <cellStyle name="Category Name 2 4 2 2 3 6" xfId="37815"/>
    <cellStyle name="Category Name 2 4 2 2 3 7" xfId="36264"/>
    <cellStyle name="Category Name 2 4 2 2 3 8" xfId="24411"/>
    <cellStyle name="Category Name 2 4 2 2 3 9" xfId="38167"/>
    <cellStyle name="Category Name 2 4 2 2 4" xfId="25374"/>
    <cellStyle name="Category Name 2 4 2 2 5" xfId="34259"/>
    <cellStyle name="Category Name 2 4 2 2 6" xfId="36551"/>
    <cellStyle name="Category Name 2 4 2 2 7" xfId="25060"/>
    <cellStyle name="Category Name 2 4 2 2 8" xfId="35161"/>
    <cellStyle name="Category Name 2 4 2 2 9" xfId="25092"/>
    <cellStyle name="Category Name 2 4 2 3" xfId="16081"/>
    <cellStyle name="Category Name 2 4 2 3 10" xfId="37978"/>
    <cellStyle name="Category Name 2 4 2 3 11" xfId="37388"/>
    <cellStyle name="Category Name 2 4 2 3 12" xfId="24214"/>
    <cellStyle name="Category Name 2 4 2 3 13" xfId="38552"/>
    <cellStyle name="Category Name 2 4 2 3 2" xfId="29473"/>
    <cellStyle name="Category Name 2 4 2 3 3" xfId="35662"/>
    <cellStyle name="Category Name 2 4 2 3 4" xfId="36047"/>
    <cellStyle name="Category Name 2 4 2 3 5" xfId="34758"/>
    <cellStyle name="Category Name 2 4 2 3 6" xfId="24502"/>
    <cellStyle name="Category Name 2 4 2 3 7" xfId="24342"/>
    <cellStyle name="Category Name 2 4 2 3 8" xfId="34217"/>
    <cellStyle name="Category Name 2 4 2 3 9" xfId="34724"/>
    <cellStyle name="Category Name 2 4 2 4" xfId="20080"/>
    <cellStyle name="Category Name 2 4 2 4 10" xfId="38343"/>
    <cellStyle name="Category Name 2 4 2 4 11" xfId="38571"/>
    <cellStyle name="Category Name 2 4 2 4 12" xfId="38866"/>
    <cellStyle name="Category Name 2 4 2 4 13" xfId="39067"/>
    <cellStyle name="Category Name 2 4 2 4 14" xfId="39185"/>
    <cellStyle name="Category Name 2 4 2 4 15" xfId="39309"/>
    <cellStyle name="Category Name 2 4 2 4 2" xfId="33359"/>
    <cellStyle name="Category Name 2 4 2 4 3" xfId="36897"/>
    <cellStyle name="Category Name 2 4 2 4 4" xfId="37222"/>
    <cellStyle name="Category Name 2 4 2 4 5" xfId="37586"/>
    <cellStyle name="Category Name 2 4 2 4 6" xfId="37814"/>
    <cellStyle name="Category Name 2 4 2 4 7" xfId="25563"/>
    <cellStyle name="Category Name 2 4 2 4 8" xfId="35992"/>
    <cellStyle name="Category Name 2 4 2 4 9" xfId="38166"/>
    <cellStyle name="Category Name 2 4 2 5" xfId="25373"/>
    <cellStyle name="Category Name 2 4 2 6" xfId="34258"/>
    <cellStyle name="Category Name 2 4 2 7" xfId="24588"/>
    <cellStyle name="Category Name 2 4 2 8" xfId="25535"/>
    <cellStyle name="Category Name 2 4 2 9" xfId="37352"/>
    <cellStyle name="Category Name 2 4 3" xfId="11022"/>
    <cellStyle name="Category Name 2 4 3 10" xfId="35762"/>
    <cellStyle name="Category Name 2 4 3 11" xfId="37307"/>
    <cellStyle name="Category Name 2 4 3 12" xfId="35270"/>
    <cellStyle name="Category Name 2 4 3 2" xfId="16083"/>
    <cellStyle name="Category Name 2 4 3 2 10" xfId="24988"/>
    <cellStyle name="Category Name 2 4 3 2 11" xfId="24768"/>
    <cellStyle name="Category Name 2 4 3 2 12" xfId="35855"/>
    <cellStyle name="Category Name 2 4 3 2 13" xfId="25640"/>
    <cellStyle name="Category Name 2 4 3 2 2" xfId="29475"/>
    <cellStyle name="Category Name 2 4 3 2 3" xfId="35664"/>
    <cellStyle name="Category Name 2 4 3 2 4" xfId="25182"/>
    <cellStyle name="Category Name 2 4 3 2 5" xfId="25306"/>
    <cellStyle name="Category Name 2 4 3 2 6" xfId="35972"/>
    <cellStyle name="Category Name 2 4 3 2 7" xfId="24755"/>
    <cellStyle name="Category Name 2 4 3 2 8" xfId="29611"/>
    <cellStyle name="Category Name 2 4 3 2 9" xfId="24981"/>
    <cellStyle name="Category Name 2 4 3 3" xfId="20082"/>
    <cellStyle name="Category Name 2 4 3 3 10" xfId="38345"/>
    <cellStyle name="Category Name 2 4 3 3 11" xfId="38573"/>
    <cellStyle name="Category Name 2 4 3 3 12" xfId="38868"/>
    <cellStyle name="Category Name 2 4 3 3 13" xfId="39069"/>
    <cellStyle name="Category Name 2 4 3 3 14" xfId="39187"/>
    <cellStyle name="Category Name 2 4 3 3 15" xfId="39311"/>
    <cellStyle name="Category Name 2 4 3 3 2" xfId="33361"/>
    <cellStyle name="Category Name 2 4 3 3 3" xfId="36899"/>
    <cellStyle name="Category Name 2 4 3 3 4" xfId="37224"/>
    <cellStyle name="Category Name 2 4 3 3 5" xfId="37588"/>
    <cellStyle name="Category Name 2 4 3 3 6" xfId="37816"/>
    <cellStyle name="Category Name 2 4 3 3 7" xfId="33554"/>
    <cellStyle name="Category Name 2 4 3 3 8" xfId="35418"/>
    <cellStyle name="Category Name 2 4 3 3 9" xfId="38168"/>
    <cellStyle name="Category Name 2 4 3 4" xfId="25375"/>
    <cellStyle name="Category Name 2 4 3 5" xfId="34260"/>
    <cellStyle name="Category Name 2 4 3 6" xfId="35335"/>
    <cellStyle name="Category Name 2 4 3 7" xfId="33718"/>
    <cellStyle name="Category Name 2 4 3 8" xfId="35795"/>
    <cellStyle name="Category Name 2 4 3 9" xfId="37387"/>
    <cellStyle name="Category Name 2 4 4" xfId="16080"/>
    <cellStyle name="Category Name 2 4 4 10" xfId="36391"/>
    <cellStyle name="Category Name 2 4 4 11" xfId="34757"/>
    <cellStyle name="Category Name 2 4 4 12" xfId="24272"/>
    <cellStyle name="Category Name 2 4 4 13" xfId="38250"/>
    <cellStyle name="Category Name 2 4 4 2" xfId="29472"/>
    <cellStyle name="Category Name 2 4 4 3" xfId="35661"/>
    <cellStyle name="Category Name 2 4 4 4" xfId="34870"/>
    <cellStyle name="Category Name 2 4 4 5" xfId="34151"/>
    <cellStyle name="Category Name 2 4 4 6" xfId="24501"/>
    <cellStyle name="Category Name 2 4 4 7" xfId="36683"/>
    <cellStyle name="Category Name 2 4 4 8" xfId="34237"/>
    <cellStyle name="Category Name 2 4 4 9" xfId="37790"/>
    <cellStyle name="Category Name 2 4 5" xfId="20079"/>
    <cellStyle name="Category Name 2 4 5 10" xfId="38342"/>
    <cellStyle name="Category Name 2 4 5 11" xfId="38570"/>
    <cellStyle name="Category Name 2 4 5 12" xfId="38865"/>
    <cellStyle name="Category Name 2 4 5 13" xfId="39066"/>
    <cellStyle name="Category Name 2 4 5 14" xfId="39184"/>
    <cellStyle name="Category Name 2 4 5 15" xfId="39308"/>
    <cellStyle name="Category Name 2 4 5 2" xfId="33358"/>
    <cellStyle name="Category Name 2 4 5 3" xfId="36896"/>
    <cellStyle name="Category Name 2 4 5 4" xfId="37221"/>
    <cellStyle name="Category Name 2 4 5 5" xfId="37585"/>
    <cellStyle name="Category Name 2 4 5 6" xfId="37813"/>
    <cellStyle name="Category Name 2 4 5 7" xfId="33626"/>
    <cellStyle name="Category Name 2 4 5 8" xfId="36463"/>
    <cellStyle name="Category Name 2 4 5 9" xfId="38165"/>
    <cellStyle name="Category Name 2 4 6" xfId="25372"/>
    <cellStyle name="Category Name 2 4 7" xfId="34257"/>
    <cellStyle name="Category Name 2 4 8" xfId="35336"/>
    <cellStyle name="Category Name 2 4 9" xfId="36169"/>
    <cellStyle name="Category Name 2 5" xfId="11023"/>
    <cellStyle name="Category Name 2 5 10" xfId="37966"/>
    <cellStyle name="Category Name 2 5 11" xfId="36983"/>
    <cellStyle name="Category Name 2 5 12" xfId="37344"/>
    <cellStyle name="Category Name 2 5 2" xfId="16084"/>
    <cellStyle name="Category Name 2 5 2 10" xfId="35519"/>
    <cellStyle name="Category Name 2 5 2 11" xfId="36374"/>
    <cellStyle name="Category Name 2 5 2 12" xfId="35791"/>
    <cellStyle name="Category Name 2 5 2 13" xfId="34674"/>
    <cellStyle name="Category Name 2 5 2 2" xfId="29476"/>
    <cellStyle name="Category Name 2 5 2 3" xfId="35665"/>
    <cellStyle name="Category Name 2 5 2 4" xfId="36046"/>
    <cellStyle name="Category Name 2 5 2 5" xfId="36311"/>
    <cellStyle name="Category Name 2 5 2 6" xfId="33911"/>
    <cellStyle name="Category Name 2 5 2 7" xfId="36281"/>
    <cellStyle name="Category Name 2 5 2 8" xfId="25082"/>
    <cellStyle name="Category Name 2 5 2 9" xfId="37369"/>
    <cellStyle name="Category Name 2 5 3" xfId="20083"/>
    <cellStyle name="Category Name 2 5 3 10" xfId="38346"/>
    <cellStyle name="Category Name 2 5 3 11" xfId="38574"/>
    <cellStyle name="Category Name 2 5 3 12" xfId="38869"/>
    <cellStyle name="Category Name 2 5 3 13" xfId="39070"/>
    <cellStyle name="Category Name 2 5 3 14" xfId="39188"/>
    <cellStyle name="Category Name 2 5 3 15" xfId="39312"/>
    <cellStyle name="Category Name 2 5 3 2" xfId="33362"/>
    <cellStyle name="Category Name 2 5 3 3" xfId="36900"/>
    <cellStyle name="Category Name 2 5 3 4" xfId="37225"/>
    <cellStyle name="Category Name 2 5 3 5" xfId="37589"/>
    <cellStyle name="Category Name 2 5 3 6" xfId="37817"/>
    <cellStyle name="Category Name 2 5 3 7" xfId="34777"/>
    <cellStyle name="Category Name 2 5 3 8" xfId="37432"/>
    <cellStyle name="Category Name 2 5 3 9" xfId="38169"/>
    <cellStyle name="Category Name 2 5 4" xfId="25376"/>
    <cellStyle name="Category Name 2 5 5" xfId="34261"/>
    <cellStyle name="Category Name 2 5 6" xfId="24589"/>
    <cellStyle name="Category Name 2 5 7" xfId="25534"/>
    <cellStyle name="Category Name 2 5 8" xfId="36105"/>
    <cellStyle name="Category Name 2 5 9" xfId="34397"/>
    <cellStyle name="Category Name 2 6" xfId="16071"/>
    <cellStyle name="Category Name 2 6 10" xfId="37334"/>
    <cellStyle name="Category Name 2 6 11" xfId="36245"/>
    <cellStyle name="Category Name 2 6 12" xfId="37716"/>
    <cellStyle name="Category Name 2 6 13" xfId="25802"/>
    <cellStyle name="Category Name 2 6 2" xfId="29463"/>
    <cellStyle name="Category Name 2 6 3" xfId="35652"/>
    <cellStyle name="Category Name 2 6 4" xfId="34884"/>
    <cellStyle name="Category Name 2 6 5" xfId="34148"/>
    <cellStyle name="Category Name 2 6 6" xfId="24500"/>
    <cellStyle name="Category Name 2 6 7" xfId="29622"/>
    <cellStyle name="Category Name 2 6 8" xfId="25046"/>
    <cellStyle name="Category Name 2 6 9" xfId="36288"/>
    <cellStyle name="Category Name 2 7" xfId="20070"/>
    <cellStyle name="Category Name 2 7 10" xfId="38333"/>
    <cellStyle name="Category Name 2 7 11" xfId="38561"/>
    <cellStyle name="Category Name 2 7 12" xfId="38856"/>
    <cellStyle name="Category Name 2 7 13" xfId="39057"/>
    <cellStyle name="Category Name 2 7 14" xfId="38981"/>
    <cellStyle name="Category Name 2 7 15" xfId="39299"/>
    <cellStyle name="Category Name 2 7 2" xfId="33349"/>
    <cellStyle name="Category Name 2 7 3" xfId="36887"/>
    <cellStyle name="Category Name 2 7 4" xfId="37212"/>
    <cellStyle name="Category Name 2 7 5" xfId="37576"/>
    <cellStyle name="Category Name 2 7 6" xfId="37804"/>
    <cellStyle name="Category Name 2 7 7" xfId="24581"/>
    <cellStyle name="Category Name 2 7 8" xfId="35774"/>
    <cellStyle name="Category Name 2 7 9" xfId="38156"/>
    <cellStyle name="Category Name 2 8" xfId="25363"/>
    <cellStyle name="Category Name 2 9" xfId="34248"/>
    <cellStyle name="Category Name 3" xfId="11024"/>
    <cellStyle name="Category Name 3 10" xfId="34997"/>
    <cellStyle name="Category Name 3 11" xfId="36456"/>
    <cellStyle name="Category Name 3 12" xfId="35128"/>
    <cellStyle name="Category Name 3 13" xfId="24519"/>
    <cellStyle name="Category Name 3 14" xfId="37386"/>
    <cellStyle name="Category Name 3 15" xfId="34084"/>
    <cellStyle name="Category Name 3 2" xfId="11025"/>
    <cellStyle name="Category Name 3 2 10" xfId="37499"/>
    <cellStyle name="Category Name 3 2 11" xfId="20612"/>
    <cellStyle name="Category Name 3 2 12" xfId="34478"/>
    <cellStyle name="Category Name 3 2 13" xfId="36160"/>
    <cellStyle name="Category Name 3 2 2" xfId="11026"/>
    <cellStyle name="Category Name 3 2 2 10" xfId="35250"/>
    <cellStyle name="Category Name 3 2 2 11" xfId="20539"/>
    <cellStyle name="Category Name 3 2 2 12" xfId="33938"/>
    <cellStyle name="Category Name 3 2 2 2" xfId="16087"/>
    <cellStyle name="Category Name 3 2 2 2 10" xfId="34057"/>
    <cellStyle name="Category Name 3 2 2 2 11" xfId="37520"/>
    <cellStyle name="Category Name 3 2 2 2 12" xfId="33835"/>
    <cellStyle name="Category Name 3 2 2 2 13" xfId="34456"/>
    <cellStyle name="Category Name 3 2 2 2 2" xfId="29479"/>
    <cellStyle name="Category Name 3 2 2 2 3" xfId="35668"/>
    <cellStyle name="Category Name 3 2 2 2 4" xfId="36043"/>
    <cellStyle name="Category Name 3 2 2 2 5" xfId="24924"/>
    <cellStyle name="Category Name 3 2 2 2 6" xfId="35386"/>
    <cellStyle name="Category Name 3 2 2 2 7" xfId="29621"/>
    <cellStyle name="Category Name 3 2 2 2 8" xfId="37028"/>
    <cellStyle name="Category Name 3 2 2 2 9" xfId="35978"/>
    <cellStyle name="Category Name 3 2 2 3" xfId="20086"/>
    <cellStyle name="Category Name 3 2 2 3 10" xfId="38349"/>
    <cellStyle name="Category Name 3 2 2 3 11" xfId="38577"/>
    <cellStyle name="Category Name 3 2 2 3 12" xfId="38872"/>
    <cellStyle name="Category Name 3 2 2 3 13" xfId="39073"/>
    <cellStyle name="Category Name 3 2 2 3 14" xfId="39191"/>
    <cellStyle name="Category Name 3 2 2 3 15" xfId="39315"/>
    <cellStyle name="Category Name 3 2 2 3 2" xfId="33365"/>
    <cellStyle name="Category Name 3 2 2 3 3" xfId="36903"/>
    <cellStyle name="Category Name 3 2 2 3 4" xfId="37228"/>
    <cellStyle name="Category Name 3 2 2 3 5" xfId="37592"/>
    <cellStyle name="Category Name 3 2 2 3 6" xfId="37820"/>
    <cellStyle name="Category Name 3 2 2 3 7" xfId="29654"/>
    <cellStyle name="Category Name 3 2 2 3 8" xfId="25086"/>
    <cellStyle name="Category Name 3 2 2 3 9" xfId="38172"/>
    <cellStyle name="Category Name 3 2 2 4" xfId="25379"/>
    <cellStyle name="Category Name 3 2 2 5" xfId="34264"/>
    <cellStyle name="Category Name 3 2 2 6" xfId="36550"/>
    <cellStyle name="Category Name 3 2 2 7" xfId="33720"/>
    <cellStyle name="Category Name 3 2 2 8" xfId="25551"/>
    <cellStyle name="Category Name 3 2 2 9" xfId="33691"/>
    <cellStyle name="Category Name 3 2 3" xfId="16086"/>
    <cellStyle name="Category Name 3 2 3 10" xfId="37274"/>
    <cellStyle name="Category Name 3 2 3 11" xfId="34014"/>
    <cellStyle name="Category Name 3 2 3 12" xfId="34655"/>
    <cellStyle name="Category Name 3 2 3 13" xfId="38278"/>
    <cellStyle name="Category Name 3 2 3 2" xfId="29478"/>
    <cellStyle name="Category Name 3 2 3 3" xfId="35667"/>
    <cellStyle name="Category Name 3 2 3 4" xfId="25183"/>
    <cellStyle name="Category Name 3 2 3 5" xfId="25305"/>
    <cellStyle name="Category Name 3 2 3 6" xfId="36237"/>
    <cellStyle name="Category Name 3 2 3 7" xfId="33951"/>
    <cellStyle name="Category Name 3 2 3 8" xfId="36154"/>
    <cellStyle name="Category Name 3 2 3 9" xfId="25491"/>
    <cellStyle name="Category Name 3 2 4" xfId="20085"/>
    <cellStyle name="Category Name 3 2 4 10" xfId="38348"/>
    <cellStyle name="Category Name 3 2 4 11" xfId="38576"/>
    <cellStyle name="Category Name 3 2 4 12" xfId="38871"/>
    <cellStyle name="Category Name 3 2 4 13" xfId="39072"/>
    <cellStyle name="Category Name 3 2 4 14" xfId="39190"/>
    <cellStyle name="Category Name 3 2 4 15" xfId="39314"/>
    <cellStyle name="Category Name 3 2 4 2" xfId="33364"/>
    <cellStyle name="Category Name 3 2 4 3" xfId="36902"/>
    <cellStyle name="Category Name 3 2 4 4" xfId="37227"/>
    <cellStyle name="Category Name 3 2 4 5" xfId="37591"/>
    <cellStyle name="Category Name 3 2 4 6" xfId="37819"/>
    <cellStyle name="Category Name 3 2 4 7" xfId="24580"/>
    <cellStyle name="Category Name 3 2 4 8" xfId="35995"/>
    <cellStyle name="Category Name 3 2 4 9" xfId="38171"/>
    <cellStyle name="Category Name 3 2 5" xfId="25378"/>
    <cellStyle name="Category Name 3 2 6" xfId="34263"/>
    <cellStyle name="Category Name 3 2 7" xfId="35332"/>
    <cellStyle name="Category Name 3 2 8" xfId="33719"/>
    <cellStyle name="Category Name 3 2 9" xfId="24865"/>
    <cellStyle name="Category Name 3 3" xfId="11027"/>
    <cellStyle name="Category Name 3 3 10" xfId="36684"/>
    <cellStyle name="Category Name 3 3 11" xfId="33863"/>
    <cellStyle name="Category Name 3 3 12" xfId="37788"/>
    <cellStyle name="Category Name 3 3 13" xfId="34730"/>
    <cellStyle name="Category Name 3 3 2" xfId="11028"/>
    <cellStyle name="Category Name 3 3 2 10" xfId="37698"/>
    <cellStyle name="Category Name 3 3 2 11" xfId="24991"/>
    <cellStyle name="Category Name 3 3 2 12" xfId="25480"/>
    <cellStyle name="Category Name 3 3 2 2" xfId="16089"/>
    <cellStyle name="Category Name 3 3 2 2 10" xfId="37979"/>
    <cellStyle name="Category Name 3 3 2 2 11" xfId="36376"/>
    <cellStyle name="Category Name 3 3 2 2 12" xfId="34198"/>
    <cellStyle name="Category Name 3 3 2 2 13" xfId="24782"/>
    <cellStyle name="Category Name 3 3 2 2 2" xfId="29481"/>
    <cellStyle name="Category Name 3 3 2 2 3" xfId="35670"/>
    <cellStyle name="Category Name 3 3 2 2 4" xfId="36045"/>
    <cellStyle name="Category Name 3 3 2 2 5" xfId="34154"/>
    <cellStyle name="Category Name 3 3 2 2 6" xfId="25409"/>
    <cellStyle name="Category Name 3 3 2 2 7" xfId="25414"/>
    <cellStyle name="Category Name 3 3 2 2 8" xfId="25072"/>
    <cellStyle name="Category Name 3 3 2 2 9" xfId="24395"/>
    <cellStyle name="Category Name 3 3 2 3" xfId="20088"/>
    <cellStyle name="Category Name 3 3 2 3 10" xfId="38351"/>
    <cellStyle name="Category Name 3 3 2 3 11" xfId="38579"/>
    <cellStyle name="Category Name 3 3 2 3 12" xfId="38874"/>
    <cellStyle name="Category Name 3 3 2 3 13" xfId="39075"/>
    <cellStyle name="Category Name 3 3 2 3 14" xfId="39193"/>
    <cellStyle name="Category Name 3 3 2 3 15" xfId="39317"/>
    <cellStyle name="Category Name 3 3 2 3 2" xfId="33367"/>
    <cellStyle name="Category Name 3 3 2 3 3" xfId="36905"/>
    <cellStyle name="Category Name 3 3 2 3 4" xfId="37230"/>
    <cellStyle name="Category Name 3 3 2 3 5" xfId="37594"/>
    <cellStyle name="Category Name 3 3 2 3 6" xfId="37822"/>
    <cellStyle name="Category Name 3 3 2 3 7" xfId="37940"/>
    <cellStyle name="Category Name 3 3 2 3 8" xfId="36754"/>
    <cellStyle name="Category Name 3 3 2 3 9" xfId="38174"/>
    <cellStyle name="Category Name 3 3 2 4" xfId="25381"/>
    <cellStyle name="Category Name 3 3 2 5" xfId="34266"/>
    <cellStyle name="Category Name 3 3 2 6" xfId="24590"/>
    <cellStyle name="Category Name 3 3 2 7" xfId="36170"/>
    <cellStyle name="Category Name 3 3 2 8" xfId="36611"/>
    <cellStyle name="Category Name 3 3 2 9" xfId="35424"/>
    <cellStyle name="Category Name 3 3 3" xfId="16088"/>
    <cellStyle name="Category Name 3 3 3 10" xfId="34038"/>
    <cellStyle name="Category Name 3 3 3 11" xfId="25360"/>
    <cellStyle name="Category Name 3 3 3 12" xfId="35576"/>
    <cellStyle name="Category Name 3 3 3 13" xfId="33758"/>
    <cellStyle name="Category Name 3 3 3 2" xfId="29480"/>
    <cellStyle name="Category Name 3 3 3 3" xfId="35669"/>
    <cellStyle name="Category Name 3 3 3 4" xfId="34876"/>
    <cellStyle name="Category Name 3 3 3 5" xfId="34153"/>
    <cellStyle name="Category Name 3 3 3 6" xfId="35150"/>
    <cellStyle name="Category Name 3 3 3 7" xfId="24341"/>
    <cellStyle name="Category Name 3 3 3 8" xfId="33792"/>
    <cellStyle name="Category Name 3 3 3 9" xfId="37472"/>
    <cellStyle name="Category Name 3 3 4" xfId="20087"/>
    <cellStyle name="Category Name 3 3 4 10" xfId="38350"/>
    <cellStyle name="Category Name 3 3 4 11" xfId="38578"/>
    <cellStyle name="Category Name 3 3 4 12" xfId="38873"/>
    <cellStyle name="Category Name 3 3 4 13" xfId="39074"/>
    <cellStyle name="Category Name 3 3 4 14" xfId="39192"/>
    <cellStyle name="Category Name 3 3 4 15" xfId="39316"/>
    <cellStyle name="Category Name 3 3 4 2" xfId="33366"/>
    <cellStyle name="Category Name 3 3 4 3" xfId="36904"/>
    <cellStyle name="Category Name 3 3 4 4" xfId="37229"/>
    <cellStyle name="Category Name 3 3 4 5" xfId="37593"/>
    <cellStyle name="Category Name 3 3 4 6" xfId="37821"/>
    <cellStyle name="Category Name 3 3 4 7" xfId="35294"/>
    <cellStyle name="Category Name 3 3 4 8" xfId="34615"/>
    <cellStyle name="Category Name 3 3 4 9" xfId="38173"/>
    <cellStyle name="Category Name 3 3 5" xfId="25380"/>
    <cellStyle name="Category Name 3 3 6" xfId="34265"/>
    <cellStyle name="Category Name 3 3 7" xfId="35334"/>
    <cellStyle name="Category Name 3 3 8" xfId="25530"/>
    <cellStyle name="Category Name 3 3 9" xfId="35546"/>
    <cellStyle name="Category Name 3 4" xfId="11029"/>
    <cellStyle name="Category Name 3 4 10" xfId="25678"/>
    <cellStyle name="Category Name 3 4 11" xfId="37728"/>
    <cellStyle name="Category Name 3 4 12" xfId="25790"/>
    <cellStyle name="Category Name 3 4 2" xfId="16090"/>
    <cellStyle name="Category Name 3 4 2 10" xfId="33894"/>
    <cellStyle name="Category Name 3 4 2 11" xfId="24371"/>
    <cellStyle name="Category Name 3 4 2 12" xfId="35465"/>
    <cellStyle name="Category Name 3 4 2 13" xfId="35302"/>
    <cellStyle name="Category Name 3 4 2 2" xfId="29482"/>
    <cellStyle name="Category Name 3 4 2 3" xfId="35671"/>
    <cellStyle name="Category Name 3 4 2 4" xfId="34878"/>
    <cellStyle name="Category Name 3 4 2 5" xfId="34759"/>
    <cellStyle name="Category Name 3 4 2 6" xfId="36583"/>
    <cellStyle name="Category Name 3 4 2 7" xfId="37345"/>
    <cellStyle name="Category Name 3 4 2 8" xfId="24338"/>
    <cellStyle name="Category Name 3 4 2 9" xfId="37789"/>
    <cellStyle name="Category Name 3 4 3" xfId="20089"/>
    <cellStyle name="Category Name 3 4 3 10" xfId="38352"/>
    <cellStyle name="Category Name 3 4 3 11" xfId="38580"/>
    <cellStyle name="Category Name 3 4 3 12" xfId="38875"/>
    <cellStyle name="Category Name 3 4 3 13" xfId="39076"/>
    <cellStyle name="Category Name 3 4 3 14" xfId="39194"/>
    <cellStyle name="Category Name 3 4 3 15" xfId="39318"/>
    <cellStyle name="Category Name 3 4 3 2" xfId="33368"/>
    <cellStyle name="Category Name 3 4 3 3" xfId="36906"/>
    <cellStyle name="Category Name 3 4 3 4" xfId="37231"/>
    <cellStyle name="Category Name 3 4 3 5" xfId="37595"/>
    <cellStyle name="Category Name 3 4 3 6" xfId="37823"/>
    <cellStyle name="Category Name 3 4 3 7" xfId="33964"/>
    <cellStyle name="Category Name 3 4 3 8" xfId="34200"/>
    <cellStyle name="Category Name 3 4 3 9" xfId="38175"/>
    <cellStyle name="Category Name 3 4 4" xfId="25382"/>
    <cellStyle name="Category Name 3 4 5" xfId="34267"/>
    <cellStyle name="Category Name 3 4 6" xfId="36549"/>
    <cellStyle name="Category Name 3 4 7" xfId="25532"/>
    <cellStyle name="Category Name 3 4 8" xfId="35523"/>
    <cellStyle name="Category Name 3 4 9" xfId="35028"/>
    <cellStyle name="Category Name 3 5" xfId="16085"/>
    <cellStyle name="Category Name 3 5 10" xfId="24224"/>
    <cellStyle name="Category Name 3 5 11" xfId="37350"/>
    <cellStyle name="Category Name 3 5 12" xfId="20584"/>
    <cellStyle name="Category Name 3 5 13" xfId="38096"/>
    <cellStyle name="Category Name 3 5 2" xfId="29477"/>
    <cellStyle name="Category Name 3 5 3" xfId="35666"/>
    <cellStyle name="Category Name 3 5 4" xfId="34879"/>
    <cellStyle name="Category Name 3 5 5" xfId="34152"/>
    <cellStyle name="Category Name 3 5 6" xfId="37023"/>
    <cellStyle name="Category Name 3 5 7" xfId="24608"/>
    <cellStyle name="Category Name 3 5 8" xfId="34617"/>
    <cellStyle name="Category Name 3 5 9" xfId="36007"/>
    <cellStyle name="Category Name 3 6" xfId="20084"/>
    <cellStyle name="Category Name 3 6 10" xfId="38347"/>
    <cellStyle name="Category Name 3 6 11" xfId="38575"/>
    <cellStyle name="Category Name 3 6 12" xfId="38870"/>
    <cellStyle name="Category Name 3 6 13" xfId="39071"/>
    <cellStyle name="Category Name 3 6 14" xfId="39189"/>
    <cellStyle name="Category Name 3 6 15" xfId="39313"/>
    <cellStyle name="Category Name 3 6 2" xfId="33363"/>
    <cellStyle name="Category Name 3 6 3" xfId="36901"/>
    <cellStyle name="Category Name 3 6 4" xfId="37226"/>
    <cellStyle name="Category Name 3 6 5" xfId="37590"/>
    <cellStyle name="Category Name 3 6 6" xfId="37818"/>
    <cellStyle name="Category Name 3 6 7" xfId="34409"/>
    <cellStyle name="Category Name 3 6 8" xfId="37304"/>
    <cellStyle name="Category Name 3 6 9" xfId="38170"/>
    <cellStyle name="Category Name 3 7" xfId="25377"/>
    <cellStyle name="Category Name 3 8" xfId="34262"/>
    <cellStyle name="Category Name 3 9" xfId="36548"/>
    <cellStyle name="Category Name 4" xfId="11030"/>
    <cellStyle name="Category Name 4 10" xfId="25281"/>
    <cellStyle name="Category Name 4 11" xfId="24296"/>
    <cellStyle name="Category Name 4 12" xfId="37438"/>
    <cellStyle name="Category Name 4 13" xfId="34609"/>
    <cellStyle name="Category Name 4 14" xfId="36649"/>
    <cellStyle name="Category Name 4 2" xfId="11031"/>
    <cellStyle name="Category Name 4 2 10" xfId="37500"/>
    <cellStyle name="Category Name 4 2 11" xfId="38056"/>
    <cellStyle name="Category Name 4 2 12" xfId="34989"/>
    <cellStyle name="Category Name 4 2 13" xfId="34468"/>
    <cellStyle name="Category Name 4 2 2" xfId="11032"/>
    <cellStyle name="Category Name 4 2 2 10" xfId="38031"/>
    <cellStyle name="Category Name 4 2 2 11" xfId="24872"/>
    <cellStyle name="Category Name 4 2 2 12" xfId="36688"/>
    <cellStyle name="Category Name 4 2 2 2" xfId="16093"/>
    <cellStyle name="Category Name 4 2 2 2 10" xfId="33838"/>
    <cellStyle name="Category Name 4 2 2 2 11" xfId="25076"/>
    <cellStyle name="Category Name 4 2 2 2 12" xfId="24525"/>
    <cellStyle name="Category Name 4 2 2 2 13" xfId="29609"/>
    <cellStyle name="Category Name 4 2 2 2 2" xfId="29485"/>
    <cellStyle name="Category Name 4 2 2 2 3" xfId="35674"/>
    <cellStyle name="Category Name 4 2 2 2 4" xfId="34877"/>
    <cellStyle name="Category Name 4 2 2 2 5" xfId="36312"/>
    <cellStyle name="Category Name 4 2 2 2 6" xfId="35973"/>
    <cellStyle name="Category Name 4 2 2 2 7" xfId="25352"/>
    <cellStyle name="Category Name 4 2 2 2 8" xfId="36753"/>
    <cellStyle name="Category Name 4 2 2 2 9" xfId="35456"/>
    <cellStyle name="Category Name 4 2 2 3" xfId="20092"/>
    <cellStyle name="Category Name 4 2 2 3 10" xfId="38355"/>
    <cellStyle name="Category Name 4 2 2 3 11" xfId="38583"/>
    <cellStyle name="Category Name 4 2 2 3 12" xfId="38878"/>
    <cellStyle name="Category Name 4 2 2 3 13" xfId="39079"/>
    <cellStyle name="Category Name 4 2 2 3 14" xfId="39197"/>
    <cellStyle name="Category Name 4 2 2 3 15" xfId="39321"/>
    <cellStyle name="Category Name 4 2 2 3 2" xfId="33371"/>
    <cellStyle name="Category Name 4 2 2 3 3" xfId="36909"/>
    <cellStyle name="Category Name 4 2 2 3 4" xfId="37234"/>
    <cellStyle name="Category Name 4 2 2 3 5" xfId="37598"/>
    <cellStyle name="Category Name 4 2 2 3 6" xfId="37826"/>
    <cellStyle name="Category Name 4 2 2 3 7" xfId="34675"/>
    <cellStyle name="Category Name 4 2 2 3 8" xfId="24879"/>
    <cellStyle name="Category Name 4 2 2 3 9" xfId="38178"/>
    <cellStyle name="Category Name 4 2 2 4" xfId="25385"/>
    <cellStyle name="Category Name 4 2 2 5" xfId="34270"/>
    <cellStyle name="Category Name 4 2 2 6" xfId="24592"/>
    <cellStyle name="Category Name 4 2 2 7" xfId="25531"/>
    <cellStyle name="Category Name 4 2 2 8" xfId="33705"/>
    <cellStyle name="Category Name 4 2 2 9" xfId="24432"/>
    <cellStyle name="Category Name 4 2 3" xfId="16092"/>
    <cellStyle name="Category Name 4 2 3 10" xfId="37453"/>
    <cellStyle name="Category Name 4 2 3 11" xfId="20583"/>
    <cellStyle name="Category Name 4 2 3 12" xfId="35307"/>
    <cellStyle name="Category Name 4 2 3 13" xfId="20610"/>
    <cellStyle name="Category Name 4 2 3 2" xfId="29484"/>
    <cellStyle name="Category Name 4 2 3 3" xfId="35673"/>
    <cellStyle name="Category Name 4 2 3 4" xfId="36044"/>
    <cellStyle name="Category Name 4 2 3 5" xfId="35932"/>
    <cellStyle name="Category Name 4 2 3 6" xfId="35048"/>
    <cellStyle name="Category Name 4 2 3 7" xfId="35266"/>
    <cellStyle name="Category Name 4 2 3 8" xfId="35980"/>
    <cellStyle name="Category Name 4 2 3 9" xfId="24965"/>
    <cellStyle name="Category Name 4 2 4" xfId="20091"/>
    <cellStyle name="Category Name 4 2 4 10" xfId="38354"/>
    <cellStyle name="Category Name 4 2 4 11" xfId="38582"/>
    <cellStyle name="Category Name 4 2 4 12" xfId="38877"/>
    <cellStyle name="Category Name 4 2 4 13" xfId="39078"/>
    <cellStyle name="Category Name 4 2 4 14" xfId="39196"/>
    <cellStyle name="Category Name 4 2 4 15" xfId="39320"/>
    <cellStyle name="Category Name 4 2 4 2" xfId="33370"/>
    <cellStyle name="Category Name 4 2 4 3" xfId="36908"/>
    <cellStyle name="Category Name 4 2 4 4" xfId="37233"/>
    <cellStyle name="Category Name 4 2 4 5" xfId="37597"/>
    <cellStyle name="Category Name 4 2 4 6" xfId="37825"/>
    <cellStyle name="Category Name 4 2 4 7" xfId="33845"/>
    <cellStyle name="Category Name 4 2 4 8" xfId="36615"/>
    <cellStyle name="Category Name 4 2 4 9" xfId="38177"/>
    <cellStyle name="Category Name 4 2 5" xfId="25384"/>
    <cellStyle name="Category Name 4 2 6" xfId="34269"/>
    <cellStyle name="Category Name 4 2 7" xfId="24591"/>
    <cellStyle name="Category Name 4 2 8" xfId="33721"/>
    <cellStyle name="Category Name 4 2 9" xfId="20562"/>
    <cellStyle name="Category Name 4 3" xfId="11033"/>
    <cellStyle name="Category Name 4 3 10" xfId="38093"/>
    <cellStyle name="Category Name 4 3 11" xfId="25758"/>
    <cellStyle name="Category Name 4 3 12" xfId="34394"/>
    <cellStyle name="Category Name 4 3 2" xfId="16094"/>
    <cellStyle name="Category Name 4 3 2 10" xfId="24373"/>
    <cellStyle name="Category Name 4 3 2 11" xfId="24415"/>
    <cellStyle name="Category Name 4 3 2 12" xfId="33728"/>
    <cellStyle name="Category Name 4 3 2 13" xfId="34336"/>
    <cellStyle name="Category Name 4 3 2 2" xfId="29486"/>
    <cellStyle name="Category Name 4 3 2 3" xfId="35675"/>
    <cellStyle name="Category Name 4 3 2 4" xfId="25185"/>
    <cellStyle name="Category Name 4 3 2 5" xfId="34155"/>
    <cellStyle name="Category Name 4 3 2 6" xfId="33914"/>
    <cellStyle name="Category Name 4 3 2 7" xfId="24406"/>
    <cellStyle name="Category Name 4 3 2 8" xfId="35041"/>
    <cellStyle name="Category Name 4 3 2 9" xfId="36535"/>
    <cellStyle name="Category Name 4 3 3" xfId="20093"/>
    <cellStyle name="Category Name 4 3 3 10" xfId="38356"/>
    <cellStyle name="Category Name 4 3 3 11" xfId="38584"/>
    <cellStyle name="Category Name 4 3 3 12" xfId="38879"/>
    <cellStyle name="Category Name 4 3 3 13" xfId="39080"/>
    <cellStyle name="Category Name 4 3 3 14" xfId="39198"/>
    <cellStyle name="Category Name 4 3 3 15" xfId="39322"/>
    <cellStyle name="Category Name 4 3 3 2" xfId="33372"/>
    <cellStyle name="Category Name 4 3 3 3" xfId="36910"/>
    <cellStyle name="Category Name 4 3 3 4" xfId="37235"/>
    <cellStyle name="Category Name 4 3 3 5" xfId="37599"/>
    <cellStyle name="Category Name 4 3 3 6" xfId="37827"/>
    <cellStyle name="Category Name 4 3 3 7" xfId="34790"/>
    <cellStyle name="Category Name 4 3 3 8" xfId="36141"/>
    <cellStyle name="Category Name 4 3 3 9" xfId="38179"/>
    <cellStyle name="Category Name 4 3 4" xfId="25386"/>
    <cellStyle name="Category Name 4 3 5" xfId="34271"/>
    <cellStyle name="Category Name 4 3 6" xfId="36545"/>
    <cellStyle name="Category Name 4 3 7" xfId="34998"/>
    <cellStyle name="Category Name 4 3 8" xfId="36948"/>
    <cellStyle name="Category Name 4 3 9" xfId="24964"/>
    <cellStyle name="Category Name 4 4" xfId="16091"/>
    <cellStyle name="Category Name 4 4 10" xfId="36676"/>
    <cellStyle name="Category Name 4 4 11" xfId="34016"/>
    <cellStyle name="Category Name 4 4 12" xfId="35593"/>
    <cellStyle name="Category Name 4 4 13" xfId="36980"/>
    <cellStyle name="Category Name 4 4 2" xfId="29483"/>
    <cellStyle name="Category Name 4 4 3" xfId="35672"/>
    <cellStyle name="Category Name 4 4 4" xfId="25184"/>
    <cellStyle name="Category Name 4 4 5" xfId="36310"/>
    <cellStyle name="Category Name 4 4 6" xfId="35967"/>
    <cellStyle name="Category Name 4 4 7" xfId="34573"/>
    <cellStyle name="Category Name 4 4 8" xfId="35363"/>
    <cellStyle name="Category Name 4 4 9" xfId="35528"/>
    <cellStyle name="Category Name 4 5" xfId="20090"/>
    <cellStyle name="Category Name 4 5 10" xfId="38353"/>
    <cellStyle name="Category Name 4 5 11" xfId="38581"/>
    <cellStyle name="Category Name 4 5 12" xfId="38876"/>
    <cellStyle name="Category Name 4 5 13" xfId="39077"/>
    <cellStyle name="Category Name 4 5 14" xfId="39195"/>
    <cellStyle name="Category Name 4 5 15" xfId="39319"/>
    <cellStyle name="Category Name 4 5 2" xfId="33369"/>
    <cellStyle name="Category Name 4 5 3" xfId="36907"/>
    <cellStyle name="Category Name 4 5 4" xfId="37232"/>
    <cellStyle name="Category Name 4 5 5" xfId="37596"/>
    <cellStyle name="Category Name 4 5 6" xfId="37824"/>
    <cellStyle name="Category Name 4 5 7" xfId="36137"/>
    <cellStyle name="Category Name 4 5 8" xfId="36689"/>
    <cellStyle name="Category Name 4 5 9" xfId="38176"/>
    <cellStyle name="Category Name 4 6" xfId="25383"/>
    <cellStyle name="Category Name 4 7" xfId="34268"/>
    <cellStyle name="Category Name 4 8" xfId="35333"/>
    <cellStyle name="Category Name 4 9" xfId="25059"/>
    <cellStyle name="Category Name 5" xfId="11034"/>
    <cellStyle name="Category Name 5 10" xfId="36702"/>
    <cellStyle name="Category Name 5 11" xfId="34406"/>
    <cellStyle name="Category Name 5 12" xfId="25438"/>
    <cellStyle name="Category Name 5 13" xfId="24222"/>
    <cellStyle name="Category Name 5 14" xfId="25094"/>
    <cellStyle name="Category Name 5 2" xfId="11035"/>
    <cellStyle name="Category Name 5 2 10" xfId="34109"/>
    <cellStyle name="Category Name 5 2 11" xfId="34579"/>
    <cellStyle name="Category Name 5 2 12" xfId="25756"/>
    <cellStyle name="Category Name 5 2 13" xfId="25589"/>
    <cellStyle name="Category Name 5 2 2" xfId="11036"/>
    <cellStyle name="Category Name 5 2 2 10" xfId="25717"/>
    <cellStyle name="Category Name 5 2 2 11" xfId="34384"/>
    <cellStyle name="Category Name 5 2 2 12" xfId="34335"/>
    <cellStyle name="Category Name 5 2 2 2" xfId="16097"/>
    <cellStyle name="Category Name 5 2 2 2 10" xfId="35731"/>
    <cellStyle name="Category Name 5 2 2 2 11" xfId="37459"/>
    <cellStyle name="Category Name 5 2 2 2 12" xfId="33968"/>
    <cellStyle name="Category Name 5 2 2 2 13" xfId="38230"/>
    <cellStyle name="Category Name 5 2 2 2 2" xfId="29489"/>
    <cellStyle name="Category Name 5 2 2 2 3" xfId="35678"/>
    <cellStyle name="Category Name 5 2 2 2 4" xfId="34874"/>
    <cellStyle name="Category Name 5 2 2 2 5" xfId="34156"/>
    <cellStyle name="Category Name 5 2 2 2 6" xfId="33913"/>
    <cellStyle name="Category Name 5 2 2 2 7" xfId="33651"/>
    <cellStyle name="Category Name 5 2 2 2 8" xfId="35504"/>
    <cellStyle name="Category Name 5 2 2 2 9" xfId="37670"/>
    <cellStyle name="Category Name 5 2 2 3" xfId="20096"/>
    <cellStyle name="Category Name 5 2 2 3 10" xfId="38359"/>
    <cellStyle name="Category Name 5 2 2 3 11" xfId="38587"/>
    <cellStyle name="Category Name 5 2 2 3 12" xfId="38882"/>
    <cellStyle name="Category Name 5 2 2 3 13" xfId="39083"/>
    <cellStyle name="Category Name 5 2 2 3 14" xfId="39201"/>
    <cellStyle name="Category Name 5 2 2 3 15" xfId="39325"/>
    <cellStyle name="Category Name 5 2 2 3 2" xfId="33375"/>
    <cellStyle name="Category Name 5 2 2 3 3" xfId="36913"/>
    <cellStyle name="Category Name 5 2 2 3 4" xfId="37238"/>
    <cellStyle name="Category Name 5 2 2 3 5" xfId="37602"/>
    <cellStyle name="Category Name 5 2 2 3 6" xfId="37830"/>
    <cellStyle name="Category Name 5 2 2 3 7" xfId="25350"/>
    <cellStyle name="Category Name 5 2 2 3 8" xfId="25639"/>
    <cellStyle name="Category Name 5 2 2 3 9" xfId="38182"/>
    <cellStyle name="Category Name 5 2 2 4" xfId="25389"/>
    <cellStyle name="Category Name 5 2 2 5" xfId="34274"/>
    <cellStyle name="Category Name 5 2 2 6" xfId="35331"/>
    <cellStyle name="Category Name 5 2 2 7" xfId="33724"/>
    <cellStyle name="Category Name 5 2 2 8" xfId="25793"/>
    <cellStyle name="Category Name 5 2 2 9" xfId="37501"/>
    <cellStyle name="Category Name 5 2 3" xfId="16096"/>
    <cellStyle name="Category Name 5 2 3 10" xfId="35997"/>
    <cellStyle name="Category Name 5 2 3 11" xfId="35260"/>
    <cellStyle name="Category Name 5 2 3 12" xfId="34739"/>
    <cellStyle name="Category Name 5 2 3 13" xfId="34097"/>
    <cellStyle name="Category Name 5 2 3 2" xfId="29488"/>
    <cellStyle name="Category Name 5 2 3 3" xfId="35677"/>
    <cellStyle name="Category Name 5 2 3 4" xfId="36041"/>
    <cellStyle name="Category Name 5 2 3 5" xfId="35115"/>
    <cellStyle name="Category Name 5 2 3 6" xfId="24891"/>
    <cellStyle name="Category Name 5 2 3 7" xfId="25734"/>
    <cellStyle name="Category Name 5 2 3 8" xfId="25340"/>
    <cellStyle name="Category Name 5 2 3 9" xfId="34983"/>
    <cellStyle name="Category Name 5 2 4" xfId="20095"/>
    <cellStyle name="Category Name 5 2 4 10" xfId="38358"/>
    <cellStyle name="Category Name 5 2 4 11" xfId="38586"/>
    <cellStyle name="Category Name 5 2 4 12" xfId="38881"/>
    <cellStyle name="Category Name 5 2 4 13" xfId="39082"/>
    <cellStyle name="Category Name 5 2 4 14" xfId="39200"/>
    <cellStyle name="Category Name 5 2 4 15" xfId="39324"/>
    <cellStyle name="Category Name 5 2 4 2" xfId="33374"/>
    <cellStyle name="Category Name 5 2 4 3" xfId="36912"/>
    <cellStyle name="Category Name 5 2 4 4" xfId="37237"/>
    <cellStyle name="Category Name 5 2 4 5" xfId="37601"/>
    <cellStyle name="Category Name 5 2 4 6" xfId="37829"/>
    <cellStyle name="Category Name 5 2 4 7" xfId="34390"/>
    <cellStyle name="Category Name 5 2 4 8" xfId="34210"/>
    <cellStyle name="Category Name 5 2 4 9" xfId="38181"/>
    <cellStyle name="Category Name 5 2 5" xfId="25388"/>
    <cellStyle name="Category Name 5 2 6" xfId="34273"/>
    <cellStyle name="Category Name 5 2 7" xfId="36547"/>
    <cellStyle name="Category Name 5 2 8" xfId="33723"/>
    <cellStyle name="Category Name 5 2 9" xfId="35358"/>
    <cellStyle name="Category Name 5 3" xfId="11037"/>
    <cellStyle name="Category Name 5 3 10" xfId="24788"/>
    <cellStyle name="Category Name 5 3 11" xfId="35738"/>
    <cellStyle name="Category Name 5 3 12" xfId="33731"/>
    <cellStyle name="Category Name 5 3 2" xfId="16098"/>
    <cellStyle name="Category Name 5 3 2 10" xfId="34080"/>
    <cellStyle name="Category Name 5 3 2 11" xfId="37530"/>
    <cellStyle name="Category Name 5 3 2 12" xfId="33802"/>
    <cellStyle name="Category Name 5 3 2 13" xfId="36180"/>
    <cellStyle name="Category Name 5 3 2 2" xfId="29490"/>
    <cellStyle name="Category Name 5 3 2 3" xfId="35679"/>
    <cellStyle name="Category Name 5 3 2 4" xfId="36042"/>
    <cellStyle name="Category Name 5 3 2 5" xfId="34157"/>
    <cellStyle name="Category Name 5 3 2 6" xfId="24503"/>
    <cellStyle name="Category Name 5 3 2 7" xfId="24292"/>
    <cellStyle name="Category Name 5 3 2 8" xfId="35035"/>
    <cellStyle name="Category Name 5 3 2 9" xfId="34235"/>
    <cellStyle name="Category Name 5 3 3" xfId="20097"/>
    <cellStyle name="Category Name 5 3 3 10" xfId="38360"/>
    <cellStyle name="Category Name 5 3 3 11" xfId="38588"/>
    <cellStyle name="Category Name 5 3 3 12" xfId="38883"/>
    <cellStyle name="Category Name 5 3 3 13" xfId="39084"/>
    <cellStyle name="Category Name 5 3 3 14" xfId="39202"/>
    <cellStyle name="Category Name 5 3 3 15" xfId="39326"/>
    <cellStyle name="Category Name 5 3 3 2" xfId="33376"/>
    <cellStyle name="Category Name 5 3 3 3" xfId="36914"/>
    <cellStyle name="Category Name 5 3 3 4" xfId="37239"/>
    <cellStyle name="Category Name 5 3 3 5" xfId="37603"/>
    <cellStyle name="Category Name 5 3 3 6" xfId="37831"/>
    <cellStyle name="Category Name 5 3 3 7" xfId="24992"/>
    <cellStyle name="Category Name 5 3 3 8" xfId="24583"/>
    <cellStyle name="Category Name 5 3 3 9" xfId="38183"/>
    <cellStyle name="Category Name 5 3 4" xfId="25390"/>
    <cellStyle name="Category Name 5 3 5" xfId="34275"/>
    <cellStyle name="Category Name 5 3 6" xfId="24593"/>
    <cellStyle name="Category Name 5 3 7" xfId="33725"/>
    <cellStyle name="Category Name 5 3 8" xfId="35444"/>
    <cellStyle name="Category Name 5 3 9" xfId="25277"/>
    <cellStyle name="Category Name 5 4" xfId="16095"/>
    <cellStyle name="Category Name 5 4 10" xfId="33692"/>
    <cellStyle name="Category Name 5 4 11" xfId="35951"/>
    <cellStyle name="Category Name 5 4 12" xfId="38051"/>
    <cellStyle name="Category Name 5 4 13" xfId="34950"/>
    <cellStyle name="Category Name 5 4 2" xfId="29487"/>
    <cellStyle name="Category Name 5 4 3" xfId="35676"/>
    <cellStyle name="Category Name 5 4 4" xfId="25186"/>
    <cellStyle name="Category Name 5 4 5" xfId="25304"/>
    <cellStyle name="Category Name 5 4 6" xfId="35387"/>
    <cellStyle name="Category Name 5 4 7" xfId="34370"/>
    <cellStyle name="Category Name 5 4 8" xfId="34082"/>
    <cellStyle name="Category Name 5 4 9" xfId="34976"/>
    <cellStyle name="Category Name 5 5" xfId="20094"/>
    <cellStyle name="Category Name 5 5 10" xfId="38357"/>
    <cellStyle name="Category Name 5 5 11" xfId="38585"/>
    <cellStyle name="Category Name 5 5 12" xfId="38880"/>
    <cellStyle name="Category Name 5 5 13" xfId="39081"/>
    <cellStyle name="Category Name 5 5 14" xfId="39199"/>
    <cellStyle name="Category Name 5 5 15" xfId="39323"/>
    <cellStyle name="Category Name 5 5 2" xfId="33373"/>
    <cellStyle name="Category Name 5 5 3" xfId="36911"/>
    <cellStyle name="Category Name 5 5 4" xfId="37236"/>
    <cellStyle name="Category Name 5 5 5" xfId="37600"/>
    <cellStyle name="Category Name 5 5 6" xfId="37828"/>
    <cellStyle name="Category Name 5 5 7" xfId="34520"/>
    <cellStyle name="Category Name 5 5 8" xfId="35006"/>
    <cellStyle name="Category Name 5 5 9" xfId="38180"/>
    <cellStyle name="Category Name 5 6" xfId="25387"/>
    <cellStyle name="Category Name 5 7" xfId="34272"/>
    <cellStyle name="Category Name 5 8" xfId="35330"/>
    <cellStyle name="Category Name 5 9" xfId="33722"/>
    <cellStyle name="Category Name 6" xfId="11038"/>
    <cellStyle name="Category Name 6 10" xfId="35906"/>
    <cellStyle name="Category Name 6 11" xfId="35038"/>
    <cellStyle name="Category Name 6 12" xfId="35535"/>
    <cellStyle name="Category Name 6 2" xfId="16099"/>
    <cellStyle name="Category Name 6 2 10" xfId="25320"/>
    <cellStyle name="Category Name 6 2 11" xfId="34951"/>
    <cellStyle name="Category Name 6 2 12" xfId="35813"/>
    <cellStyle name="Category Name 6 2 13" xfId="36651"/>
    <cellStyle name="Category Name 6 2 2" xfId="29491"/>
    <cellStyle name="Category Name 6 2 3" xfId="35680"/>
    <cellStyle name="Category Name 6 2 4" xfId="34875"/>
    <cellStyle name="Category Name 6 2 5" xfId="35931"/>
    <cellStyle name="Category Name 6 2 6" xfId="36582"/>
    <cellStyle name="Category Name 6 2 7" xfId="33970"/>
    <cellStyle name="Category Name 6 2 8" xfId="25523"/>
    <cellStyle name="Category Name 6 2 9" xfId="33852"/>
    <cellStyle name="Category Name 6 3" xfId="20098"/>
    <cellStyle name="Category Name 6 3 10" xfId="38361"/>
    <cellStyle name="Category Name 6 3 11" xfId="38589"/>
    <cellStyle name="Category Name 6 3 12" xfId="38884"/>
    <cellStyle name="Category Name 6 3 13" xfId="39085"/>
    <cellStyle name="Category Name 6 3 14" xfId="39203"/>
    <cellStyle name="Category Name 6 3 15" xfId="39327"/>
    <cellStyle name="Category Name 6 3 2" xfId="33377"/>
    <cellStyle name="Category Name 6 3 3" xfId="36915"/>
    <cellStyle name="Category Name 6 3 4" xfId="37240"/>
    <cellStyle name="Category Name 6 3 5" xfId="37604"/>
    <cellStyle name="Category Name 6 3 6" xfId="37832"/>
    <cellStyle name="Category Name 6 3 7" xfId="25056"/>
    <cellStyle name="Category Name 6 3 8" xfId="35447"/>
    <cellStyle name="Category Name 6 3 9" xfId="38184"/>
    <cellStyle name="Category Name 6 4" xfId="25391"/>
    <cellStyle name="Category Name 6 5" xfId="34276"/>
    <cellStyle name="Category Name 6 6" xfId="36546"/>
    <cellStyle name="Category Name 6 7" xfId="25525"/>
    <cellStyle name="Category Name 6 8" xfId="24952"/>
    <cellStyle name="Category Name 6 9" xfId="35846"/>
    <cellStyle name="Category Name 7" xfId="16070"/>
    <cellStyle name="Category Name 7 10" xfId="34977"/>
    <cellStyle name="Category Name 7 11" xfId="36192"/>
    <cellStyle name="Category Name 7 12" xfId="35079"/>
    <cellStyle name="Category Name 7 13" xfId="33939"/>
    <cellStyle name="Category Name 7 2" xfId="29462"/>
    <cellStyle name="Category Name 7 3" xfId="35651"/>
    <cellStyle name="Category Name 7 4" xfId="36051"/>
    <cellStyle name="Category Name 7 5" xfId="34147"/>
    <cellStyle name="Category Name 7 6" xfId="35390"/>
    <cellStyle name="Category Name 7 7" xfId="25115"/>
    <cellStyle name="Category Name 7 8" xfId="36789"/>
    <cellStyle name="Category Name 7 9" xfId="37669"/>
    <cellStyle name="Category Name 8" xfId="20069"/>
    <cellStyle name="Category Name 8 10" xfId="38332"/>
    <cellStyle name="Category Name 8 11" xfId="38560"/>
    <cellStyle name="Category Name 8 12" xfId="38855"/>
    <cellStyle name="Category Name 8 13" xfId="39056"/>
    <cellStyle name="Category Name 8 14" xfId="34537"/>
    <cellStyle name="Category Name 8 15" xfId="39298"/>
    <cellStyle name="Category Name 8 2" xfId="33348"/>
    <cellStyle name="Category Name 8 3" xfId="36886"/>
    <cellStyle name="Category Name 8 4" xfId="37211"/>
    <cellStyle name="Category Name 8 5" xfId="37575"/>
    <cellStyle name="Category Name 8 6" xfId="37803"/>
    <cellStyle name="Category Name 8 7" xfId="35030"/>
    <cellStyle name="Category Name 8 8" xfId="24392"/>
    <cellStyle name="Category Name 8 9" xfId="38155"/>
    <cellStyle name="Category Name 9" xfId="25362"/>
    <cellStyle name="Celda de comprobación" xfId="11039"/>
    <cellStyle name="Celda vinculada" xfId="11040"/>
    <cellStyle name="Célula de Verificação" xfId="11041"/>
    <cellStyle name="Célula Vinculada" xfId="11042"/>
    <cellStyle name="Center" xfId="11043"/>
    <cellStyle name="Center 2" xfId="11044"/>
    <cellStyle name="Center 2 2" xfId="20263"/>
    <cellStyle name="Center 2 3" xfId="34103"/>
    <cellStyle name="Center 3" xfId="11045"/>
    <cellStyle name="Center 3 2" xfId="20264"/>
    <cellStyle name="Center 3 3" xfId="34778"/>
    <cellStyle name="Center 4" xfId="20265"/>
    <cellStyle name="Center 5" xfId="35514"/>
    <cellStyle name="CenterBold" xfId="11046"/>
    <cellStyle name="Centered Heading" xfId="11047"/>
    <cellStyle name="Centered Heading 2" xfId="11048"/>
    <cellStyle name="CenterItalic" xfId="11049"/>
    <cellStyle name="Cents" xfId="11050"/>
    <cellStyle name="Cents 2" xfId="11051"/>
    <cellStyle name="Changeable" xfId="11052"/>
    <cellStyle name="ChartingText" xfId="11053"/>
    <cellStyle name="ChartingText 2" xfId="11054"/>
    <cellStyle name="ChartingText 3" xfId="11055"/>
    <cellStyle name="ChartingText 4" xfId="11056"/>
    <cellStyle name="ChartingText 5" xfId="33585"/>
    <cellStyle name="Check Cell 10" xfId="11057"/>
    <cellStyle name="Check Cell 11" xfId="11058"/>
    <cellStyle name="Check Cell 12" xfId="11059"/>
    <cellStyle name="Check Cell 13" xfId="11060"/>
    <cellStyle name="Check Cell 2" xfId="11061"/>
    <cellStyle name="Check Cell 3" xfId="11062"/>
    <cellStyle name="Check Cell 4" xfId="11063"/>
    <cellStyle name="Check Cell 5" xfId="11064"/>
    <cellStyle name="Check Cell 6" xfId="11065"/>
    <cellStyle name="Check Cell 7" xfId="11066"/>
    <cellStyle name="Check Cell 8" xfId="11067"/>
    <cellStyle name="Check Cell 9" xfId="11068"/>
    <cellStyle name="CHPTop" xfId="11069"/>
    <cellStyle name="Co. Names" xfId="11070"/>
    <cellStyle name="Code" xfId="11071"/>
    <cellStyle name="Code 2" xfId="11072"/>
    <cellStyle name="Colhead_left" xfId="11073"/>
    <cellStyle name="ColHeading" xfId="11074"/>
    <cellStyle name="colheadleft" xfId="11075"/>
    <cellStyle name="colheadright" xfId="11076"/>
    <cellStyle name="Color" xfId="11077"/>
    <cellStyle name="Color 2" xfId="11078"/>
    <cellStyle name="Column Header" xfId="11079"/>
    <cellStyle name="Column Header 2" xfId="11080"/>
    <cellStyle name="Column Header 3" xfId="25402"/>
    <cellStyle name="Column Header 4" xfId="34283"/>
    <cellStyle name="Column Headings" xfId="11081"/>
    <cellStyle name="Column_Title" xfId="11082"/>
    <cellStyle name="column1" xfId="11083"/>
    <cellStyle name="column1 2" xfId="11084"/>
    <cellStyle name="column1BigNoWrap" xfId="11085"/>
    <cellStyle name="column1BigNoWrap 2" xfId="11086"/>
    <cellStyle name="column1Date" xfId="11087"/>
    <cellStyle name="column1Date 2" xfId="11088"/>
    <cellStyle name="column1Date 2 2" xfId="11089"/>
    <cellStyle name="column1Date 3" xfId="11090"/>
    <cellStyle name="column1Date 4" xfId="11091"/>
    <cellStyle name="column1Date 5" xfId="11092"/>
    <cellStyle name="column2Date" xfId="11093"/>
    <cellStyle name="column2Date 2" xfId="11094"/>
    <cellStyle name="column2Date 3" xfId="11095"/>
    <cellStyle name="column2Date 3 2" xfId="20266"/>
    <cellStyle name="column2Date 3 3" xfId="33666"/>
    <cellStyle name="column3Date" xfId="11096"/>
    <cellStyle name="column3Date 2" xfId="11097"/>
    <cellStyle name="column3Date 3" xfId="11098"/>
    <cellStyle name="column3Date 3 2" xfId="20267"/>
    <cellStyle name="column3Date 3 3" xfId="24428"/>
    <cellStyle name="ColumnHeaderNormal" xfId="11099"/>
    <cellStyle name="ColumnHeaderNormal 2" xfId="11100"/>
    <cellStyle name="ColumnHeaderNormal 3" xfId="11101"/>
    <cellStyle name="ColumnHeaderNormal 4" xfId="11102"/>
    <cellStyle name="ColumnHeaderNormal 5" xfId="33586"/>
    <cellStyle name="Comma" xfId="12427" builtinId="3"/>
    <cellStyle name="Comma  - Style1" xfId="11103"/>
    <cellStyle name="Comma  - Style2" xfId="11104"/>
    <cellStyle name="Comma  - Style3" xfId="11105"/>
    <cellStyle name="Comma  - Style4" xfId="11106"/>
    <cellStyle name="Comma  - Style5" xfId="11107"/>
    <cellStyle name="Comma  - Style6" xfId="11108"/>
    <cellStyle name="Comma  - Style7" xfId="11109"/>
    <cellStyle name="Comma  - Style8" xfId="11110"/>
    <cellStyle name="Comma %" xfId="11111"/>
    <cellStyle name="Comma (1)" xfId="11112"/>
    <cellStyle name="Comma (1) 2" xfId="11113"/>
    <cellStyle name="Comma (1) 2 2" xfId="11114"/>
    <cellStyle name="Comma (1) 3" xfId="11115"/>
    <cellStyle name="Comma (1) 4" xfId="11116"/>
    <cellStyle name="Comma (1) 5" xfId="11117"/>
    <cellStyle name="Comma ," xfId="11118"/>
    <cellStyle name="Comma [0] 2" xfId="11119"/>
    <cellStyle name="Comma [0] 2 2" xfId="11120"/>
    <cellStyle name="Comma [0] 3" xfId="11121"/>
    <cellStyle name="Comma [0] 3 2" xfId="11122"/>
    <cellStyle name="Comma [0] 4" xfId="11123"/>
    <cellStyle name="Comma [0] 5" xfId="11124"/>
    <cellStyle name="Comma [0] 6" xfId="33570"/>
    <cellStyle name="Comma [0] 7" xfId="33574"/>
    <cellStyle name="Comma [00]" xfId="11125"/>
    <cellStyle name="Comma [1]" xfId="11126"/>
    <cellStyle name="Comma [1] 2" xfId="11127"/>
    <cellStyle name="Comma [2]" xfId="11128"/>
    <cellStyle name="Comma [2] 2" xfId="11129"/>
    <cellStyle name="Comma [3]" xfId="11130"/>
    <cellStyle name="Comma [3] 2" xfId="11131"/>
    <cellStyle name="Comma [4]" xfId="11132"/>
    <cellStyle name="Comma 0" xfId="11133"/>
    <cellStyle name="Comma 0*" xfId="11134"/>
    <cellStyle name="Comma 0* 2" xfId="11135"/>
    <cellStyle name="Comma 0.0" xfId="11136"/>
    <cellStyle name="Comma 0.0 2" xfId="11137"/>
    <cellStyle name="Comma 0.0%" xfId="11138"/>
    <cellStyle name="Comma 0.0% 2" xfId="11139"/>
    <cellStyle name="Comma 0.00" xfId="11140"/>
    <cellStyle name="Comma 0.00 2" xfId="11141"/>
    <cellStyle name="Comma 0.00%" xfId="11142"/>
    <cellStyle name="Comma 0.00% 2" xfId="11143"/>
    <cellStyle name="Comma 0.00_Aprio - Public Comps1" xfId="11144"/>
    <cellStyle name="Comma 0.000" xfId="11145"/>
    <cellStyle name="Comma 0.000 2" xfId="11146"/>
    <cellStyle name="Comma 0.000%" xfId="11147"/>
    <cellStyle name="Comma 0.000% 2" xfId="11148"/>
    <cellStyle name="Comma 0.000_Aprio - Public Comps1" xfId="11149"/>
    <cellStyle name="Comma 0_comps" xfId="11150"/>
    <cellStyle name="Comma 10" xfId="11151"/>
    <cellStyle name="Comma 10 2" xfId="20391"/>
    <cellStyle name="Comma 11" xfId="11152"/>
    <cellStyle name="Comma 12" xfId="11153"/>
    <cellStyle name="Comma 13" xfId="1"/>
    <cellStyle name="Comma 13 2" xfId="12428"/>
    <cellStyle name="Comma 13 2 2" xfId="25820"/>
    <cellStyle name="Comma 13 3" xfId="16384"/>
    <cellStyle name="Comma 13 3 2" xfId="29663"/>
    <cellStyle name="Comma 13 4" xfId="20432"/>
    <cellStyle name="Comma 14" xfId="11154"/>
    <cellStyle name="Comma 15" xfId="16217"/>
    <cellStyle name="Comma 15 2" xfId="20390"/>
    <cellStyle name="Comma 16" xfId="20268"/>
    <cellStyle name="Comma 16 2" xfId="20429"/>
    <cellStyle name="Comma 16 2 2" xfId="33577"/>
    <cellStyle name="Comma 16 2 3" xfId="20427"/>
    <cellStyle name="Comma 16 2 3 2" xfId="20385"/>
    <cellStyle name="Comma 16 2 3 2 2" xfId="20394"/>
    <cellStyle name="Comma 16 2 3 2 2 2" xfId="20401"/>
    <cellStyle name="Comma 16 2 3 2 2 2 2" xfId="20423"/>
    <cellStyle name="Comma 16 2 3 2 2 3" xfId="20418"/>
    <cellStyle name="Comma 16 2 3 2 3" xfId="20416"/>
    <cellStyle name="Comma 16 3" xfId="20396"/>
    <cellStyle name="Comma 17" xfId="20406"/>
    <cellStyle name="Comma 17 2" xfId="33567"/>
    <cellStyle name="Comma 18" xfId="20411"/>
    <cellStyle name="Comma 2" xfId="11155"/>
    <cellStyle name="Comma 2 2" xfId="11156"/>
    <cellStyle name="Comma 2 2 2" xfId="11157"/>
    <cellStyle name="Comma 2 3" xfId="11158"/>
    <cellStyle name="Comma 2 3 2" xfId="11159"/>
    <cellStyle name="Comma 2 3 3" xfId="11160"/>
    <cellStyle name="Comma 2 3 3 2" xfId="16100"/>
    <cellStyle name="Comma 2 3 3 2 2" xfId="29492"/>
    <cellStyle name="Comma 2 3 3 3" xfId="20099"/>
    <cellStyle name="Comma 2 3 3 3 2" xfId="33378"/>
    <cellStyle name="Comma 2 3 3 4" xfId="25417"/>
    <cellStyle name="Comma 2 4" xfId="11161"/>
    <cellStyle name="Comma 2 4 2" xfId="11162"/>
    <cellStyle name="Comma 2 5" xfId="11163"/>
    <cellStyle name="Comma 2 5 2" xfId="11164"/>
    <cellStyle name="Comma 2 6" xfId="11165"/>
    <cellStyle name="Comma 2*" xfId="11166"/>
    <cellStyle name="Comma 2* 2" xfId="11167"/>
    <cellStyle name="Comma 2_2008 SVB Financial Information v.2" xfId="11168"/>
    <cellStyle name="Comma 24 2" xfId="20269"/>
    <cellStyle name="Comma 24 2 2" xfId="20270"/>
    <cellStyle name="Comma 24 2 2 2" xfId="33528"/>
    <cellStyle name="Comma 24 2 3" xfId="33527"/>
    <cellStyle name="Comma 3" xfId="11169"/>
    <cellStyle name="Comma 3 2" xfId="11170"/>
    <cellStyle name="Comma 3 2 2" xfId="11171"/>
    <cellStyle name="Comma 3 2 3" xfId="20271"/>
    <cellStyle name="Comma 3 3" xfId="11172"/>
    <cellStyle name="Comma 3 3 2" xfId="11173"/>
    <cellStyle name="Comma 3 4" xfId="11174"/>
    <cellStyle name="Comma 3 5" xfId="11175"/>
    <cellStyle name="Comma 3 6" xfId="16101"/>
    <cellStyle name="Comma 3 6 2" xfId="29493"/>
    <cellStyle name="Comma 3 7" xfId="20100"/>
    <cellStyle name="Comma 3 7 2" xfId="33379"/>
    <cellStyle name="Comma 3 8" xfId="20404"/>
    <cellStyle name="Comma 3 9" xfId="25420"/>
    <cellStyle name="Comma 3*" xfId="11176"/>
    <cellStyle name="Comma 39" xfId="12426"/>
    <cellStyle name="Comma 4" xfId="11177"/>
    <cellStyle name="Comma 4 2" xfId="11178"/>
    <cellStyle name="Comma 4 5" xfId="12425"/>
    <cellStyle name="Comma 5" xfId="11179"/>
    <cellStyle name="Comma 5 2" xfId="11180"/>
    <cellStyle name="Comma 6" xfId="11181"/>
    <cellStyle name="Comma 6 2" xfId="11182"/>
    <cellStyle name="Comma 6 2 2" xfId="16102"/>
    <cellStyle name="Comma 6 2 2 2" xfId="29494"/>
    <cellStyle name="Comma 6 2 3" xfId="20101"/>
    <cellStyle name="Comma 6 2 3 2" xfId="33380"/>
    <cellStyle name="Comma 6 2 4" xfId="25423"/>
    <cellStyle name="Comma 6 3" xfId="11183"/>
    <cellStyle name="Comma 7" xfId="11184"/>
    <cellStyle name="Comma 7 2" xfId="11185"/>
    <cellStyle name="Comma 7 2 2" xfId="16103"/>
    <cellStyle name="Comma 7 2 2 2" xfId="29495"/>
    <cellStyle name="Comma 7 2 3" xfId="20102"/>
    <cellStyle name="Comma 7 2 3 2" xfId="33381"/>
    <cellStyle name="Comma 7 2 4" xfId="25424"/>
    <cellStyle name="Comma 7 3" xfId="11186"/>
    <cellStyle name="Comma 7 3 2" xfId="16104"/>
    <cellStyle name="Comma 7 3 2 2" xfId="29496"/>
    <cellStyle name="Comma 7 3 3" xfId="20103"/>
    <cellStyle name="Comma 7 3 3 2" xfId="33382"/>
    <cellStyle name="Comma 7 3 4" xfId="25425"/>
    <cellStyle name="Comma 8" xfId="11187"/>
    <cellStyle name="Comma 9" xfId="11188"/>
    <cellStyle name="Comma Input" xfId="11189"/>
    <cellStyle name="Comma Input 2" xfId="11190"/>
    <cellStyle name="Comma Input 2 2" xfId="11191"/>
    <cellStyle name="Comma Input 3" xfId="11192"/>
    <cellStyle name="Comma Input 4" xfId="11193"/>
    <cellStyle name="Comma Input 5" xfId="11194"/>
    <cellStyle name="comma zerodec" xfId="11195"/>
    <cellStyle name="Comma*" xfId="11196"/>
    <cellStyle name="Comma0" xfId="11197"/>
    <cellStyle name="Comma0 - Modelo1" xfId="11198"/>
    <cellStyle name="Comma0 - Modelo1 2" xfId="11199"/>
    <cellStyle name="Comma0 - Style1" xfId="11200"/>
    <cellStyle name="Comma0 - Style1 2" xfId="11201"/>
    <cellStyle name="Comma0 - Style2" xfId="11202"/>
    <cellStyle name="Comma0 - Style3" xfId="11203"/>
    <cellStyle name="Comma0 - Style4" xfId="11204"/>
    <cellStyle name="Comma0 2" xfId="11205"/>
    <cellStyle name="Comma0_~8944579" xfId="11206"/>
    <cellStyle name="Comma1" xfId="11207"/>
    <cellStyle name="Comma1 - Modelo2" xfId="11208"/>
    <cellStyle name="Comma1 - Modelo2 2" xfId="11209"/>
    <cellStyle name="Comma1 - Style2" xfId="11210"/>
    <cellStyle name="Comma1 - Style2 2" xfId="11211"/>
    <cellStyle name="Comma1 2" xfId="11212"/>
    <cellStyle name="Comma2" xfId="11213"/>
    <cellStyle name="Comma2 2" xfId="11214"/>
    <cellStyle name="Comments" xfId="11215"/>
    <cellStyle name="Company" xfId="11216"/>
    <cellStyle name="Company 2" xfId="11217"/>
    <cellStyle name="Company Name" xfId="11218"/>
    <cellStyle name="Company Name 2" xfId="11219"/>
    <cellStyle name="Company_Boston Power VD 01 31 2008 Model 02 26 2008" xfId="11220"/>
    <cellStyle name="CompanyName" xfId="11221"/>
    <cellStyle name="CompanyName 2" xfId="11222"/>
    <cellStyle name="Compressed" xfId="11223"/>
    <cellStyle name="Copied" xfId="11224"/>
    <cellStyle name="Copied 2" xfId="11225"/>
    <cellStyle name="COST1" xfId="11226"/>
    <cellStyle name="Coverage" xfId="11227"/>
    <cellStyle name="CR Comma" xfId="11228"/>
    <cellStyle name="CR Comma 2" xfId="11229"/>
    <cellStyle name="CR Currency" xfId="11230"/>
    <cellStyle name="CR Currency 2" xfId="11231"/>
    <cellStyle name="Curr $ [0]" xfId="11232"/>
    <cellStyle name="Curr $ [0] 2" xfId="11233"/>
    <cellStyle name="Curr $ [0] 3" xfId="11234"/>
    <cellStyle name="Curr $ [2]" xfId="11235"/>
    <cellStyle name="Curr $ [2] 2" xfId="11236"/>
    <cellStyle name="Curr $ [2] 3" xfId="11237"/>
    <cellStyle name="Curr $k [0]" xfId="11238"/>
    <cellStyle name="Curr $k [0] 2" xfId="11239"/>
    <cellStyle name="Curr $k [0] 3" xfId="11240"/>
    <cellStyle name="Curr £ [0]" xfId="11241"/>
    <cellStyle name="Curr £ [0] 2" xfId="11242"/>
    <cellStyle name="Curr £ [0] 3" xfId="11243"/>
    <cellStyle name="Curr £ [2]" xfId="11244"/>
    <cellStyle name="Curr £ [2] 2" xfId="11245"/>
    <cellStyle name="Curr £ [2] 3" xfId="11246"/>
    <cellStyle name="CurRatio" xfId="11247"/>
    <cellStyle name="Curren - Style2" xfId="11248"/>
    <cellStyle name="Curren - Style2 2" xfId="11249"/>
    <cellStyle name="Curren - Style4" xfId="11250"/>
    <cellStyle name="Currency" xfId="20305" builtinId="4"/>
    <cellStyle name="Currency %" xfId="11251"/>
    <cellStyle name="Currency % 2" xfId="11252"/>
    <cellStyle name="Currency ($)" xfId="11253"/>
    <cellStyle name="Currency (£)" xfId="11254"/>
    <cellStyle name="Currency (0.00)" xfId="11255"/>
    <cellStyle name="Currency (0.00) 10" xfId="34337"/>
    <cellStyle name="Currency (0.00) 11" xfId="24616"/>
    <cellStyle name="Currency (0.00) 12" xfId="35803"/>
    <cellStyle name="Currency (0.00) 13" xfId="24382"/>
    <cellStyle name="Currency (0.00) 14" xfId="36250"/>
    <cellStyle name="Currency (0.00) 15" xfId="35088"/>
    <cellStyle name="Currency (0.00) 16" xfId="36703"/>
    <cellStyle name="Currency (0.00) 17" xfId="35960"/>
    <cellStyle name="Currency (0.00) 2" xfId="11256"/>
    <cellStyle name="Currency (0.00) 2 10" xfId="36531"/>
    <cellStyle name="Currency (0.00) 2 11" xfId="25055"/>
    <cellStyle name="Currency (0.00) 2 12" xfId="24966"/>
    <cellStyle name="Currency (0.00) 2 13" xfId="37046"/>
    <cellStyle name="Currency (0.00) 2 14" xfId="20609"/>
    <cellStyle name="Currency (0.00) 2 15" xfId="24344"/>
    <cellStyle name="Currency (0.00) 2 16" xfId="25238"/>
    <cellStyle name="Currency (0.00) 2 2" xfId="11257"/>
    <cellStyle name="Currency (0.00) 2 2 10" xfId="35547"/>
    <cellStyle name="Currency (0.00) 2 2 11" xfId="24233"/>
    <cellStyle name="Currency (0.00) 2 2 12" xfId="38249"/>
    <cellStyle name="Currency (0.00) 2 2 13" xfId="34631"/>
    <cellStyle name="Currency (0.00) 2 2 14" xfId="35970"/>
    <cellStyle name="Currency (0.00) 2 2 2" xfId="11258"/>
    <cellStyle name="Currency (0.00) 2 2 2 10" xfId="37384"/>
    <cellStyle name="Currency (0.00) 2 2 2 11" xfId="24970"/>
    <cellStyle name="Currency (0.00) 2 2 2 12" xfId="35129"/>
    <cellStyle name="Currency (0.00) 2 2 2 13" xfId="25240"/>
    <cellStyle name="Currency (0.00) 2 2 2 2" xfId="11259"/>
    <cellStyle name="Currency (0.00) 2 2 2 2 10" xfId="36766"/>
    <cellStyle name="Currency (0.00) 2 2 2 2 11" xfId="37989"/>
    <cellStyle name="Currency (0.00) 2 2 2 2 12" xfId="38283"/>
    <cellStyle name="Currency (0.00) 2 2 2 2 2" xfId="16109"/>
    <cellStyle name="Currency (0.00) 2 2 2 2 2 10" xfId="25037"/>
    <cellStyle name="Currency (0.00) 2 2 2 2 2 11" xfId="35376"/>
    <cellStyle name="Currency (0.00) 2 2 2 2 2 12" xfId="24874"/>
    <cellStyle name="Currency (0.00) 2 2 2 2 2 13" xfId="34398"/>
    <cellStyle name="Currency (0.00) 2 2 2 2 2 2" xfId="29501"/>
    <cellStyle name="Currency (0.00) 2 2 2 2 2 3" xfId="35688"/>
    <cellStyle name="Currency (0.00) 2 2 2 2 2 4" xfId="25187"/>
    <cellStyle name="Currency (0.00) 2 2 2 2 2 5" xfId="34760"/>
    <cellStyle name="Currency (0.00) 2 2 2 2 2 6" xfId="24892"/>
    <cellStyle name="Currency (0.00) 2 2 2 2 2 7" xfId="36559"/>
    <cellStyle name="Currency (0.00) 2 2 2 2 2 8" xfId="25089"/>
    <cellStyle name="Currency (0.00) 2 2 2 2 2 9" xfId="24954"/>
    <cellStyle name="Currency (0.00) 2 2 2 2 3" xfId="20108"/>
    <cellStyle name="Currency (0.00) 2 2 2 2 3 10" xfId="38366"/>
    <cellStyle name="Currency (0.00) 2 2 2 2 3 11" xfId="38594"/>
    <cellStyle name="Currency (0.00) 2 2 2 2 3 12" xfId="38889"/>
    <cellStyle name="Currency (0.00) 2 2 2 2 3 13" xfId="39090"/>
    <cellStyle name="Currency (0.00) 2 2 2 2 3 14" xfId="39208"/>
    <cellStyle name="Currency (0.00) 2 2 2 2 3 15" xfId="39332"/>
    <cellStyle name="Currency (0.00) 2 2 2 2 3 2" xfId="33387"/>
    <cellStyle name="Currency (0.00) 2 2 2 2 3 3" xfId="36921"/>
    <cellStyle name="Currency (0.00) 2 2 2 2 3 4" xfId="37245"/>
    <cellStyle name="Currency (0.00) 2 2 2 2 3 5" xfId="37611"/>
    <cellStyle name="Currency (0.00) 2 2 2 2 3 6" xfId="37838"/>
    <cellStyle name="Currency (0.00) 2 2 2 2 3 7" xfId="36722"/>
    <cellStyle name="Currency (0.00) 2 2 2 2 3 8" xfId="37431"/>
    <cellStyle name="Currency (0.00) 2 2 2 2 3 9" xfId="38190"/>
    <cellStyle name="Currency (0.00) 2 2 2 2 4" xfId="25451"/>
    <cellStyle name="Currency (0.00) 2 2 2 2 5" xfId="34341"/>
    <cellStyle name="Currency (0.00) 2 2 2 2 6" xfId="35316"/>
    <cellStyle name="Currency (0.00) 2 2 2 2 7" xfId="33547"/>
    <cellStyle name="Currency (0.00) 2 2 2 2 8" xfId="34476"/>
    <cellStyle name="Currency (0.00) 2 2 2 2 9" xfId="36129"/>
    <cellStyle name="Currency (0.00) 2 2 2 3" xfId="16108"/>
    <cellStyle name="Currency (0.00) 2 2 2 3 10" xfId="36725"/>
    <cellStyle name="Currency (0.00) 2 2 2 3 11" xfId="35787"/>
    <cellStyle name="Currency (0.00) 2 2 2 3 12" xfId="24913"/>
    <cellStyle name="Currency (0.00) 2 2 2 3 13" xfId="34410"/>
    <cellStyle name="Currency (0.00) 2 2 2 3 2" xfId="29500"/>
    <cellStyle name="Currency (0.00) 2 2 2 3 3" xfId="35687"/>
    <cellStyle name="Currency (0.00) 2 2 2 3 4" xfId="34873"/>
    <cellStyle name="Currency (0.00) 2 2 2 3 5" xfId="34160"/>
    <cellStyle name="Currency (0.00) 2 2 2 3 6" xfId="24505"/>
    <cellStyle name="Currency (0.00) 2 2 2 3 7" xfId="36292"/>
    <cellStyle name="Currency (0.00) 2 2 2 3 8" xfId="34442"/>
    <cellStyle name="Currency (0.00) 2 2 2 3 9" xfId="24353"/>
    <cellStyle name="Currency (0.00) 2 2 2 4" xfId="20107"/>
    <cellStyle name="Currency (0.00) 2 2 2 4 10" xfId="38365"/>
    <cellStyle name="Currency (0.00) 2 2 2 4 11" xfId="38593"/>
    <cellStyle name="Currency (0.00) 2 2 2 4 12" xfId="38888"/>
    <cellStyle name="Currency (0.00) 2 2 2 4 13" xfId="39089"/>
    <cellStyle name="Currency (0.00) 2 2 2 4 14" xfId="39207"/>
    <cellStyle name="Currency (0.00) 2 2 2 4 15" xfId="39331"/>
    <cellStyle name="Currency (0.00) 2 2 2 4 2" xfId="33386"/>
    <cellStyle name="Currency (0.00) 2 2 2 4 3" xfId="36920"/>
    <cellStyle name="Currency (0.00) 2 2 2 4 4" xfId="37244"/>
    <cellStyle name="Currency (0.00) 2 2 2 4 5" xfId="37610"/>
    <cellStyle name="Currency (0.00) 2 2 2 4 6" xfId="37837"/>
    <cellStyle name="Currency (0.00) 2 2 2 4 7" xfId="29657"/>
    <cellStyle name="Currency (0.00) 2 2 2 4 8" xfId="34072"/>
    <cellStyle name="Currency (0.00) 2 2 2 4 9" xfId="38189"/>
    <cellStyle name="Currency (0.00) 2 2 2 5" xfId="25450"/>
    <cellStyle name="Currency (0.00) 2 2 2 6" xfId="34340"/>
    <cellStyle name="Currency (0.00) 2 2 2 7" xfId="36533"/>
    <cellStyle name="Currency (0.00) 2 2 2 8" xfId="33740"/>
    <cellStyle name="Currency (0.00) 2 2 2 9" xfId="34327"/>
    <cellStyle name="Currency (0.00) 2 2 3" xfId="11260"/>
    <cellStyle name="Currency (0.00) 2 2 3 10" xfId="37867"/>
    <cellStyle name="Currency (0.00) 2 2 3 11" xfId="36571"/>
    <cellStyle name="Currency (0.00) 2 2 3 12" xfId="34833"/>
    <cellStyle name="Currency (0.00) 2 2 3 2" xfId="16110"/>
    <cellStyle name="Currency (0.00) 2 2 3 2 10" xfId="35011"/>
    <cellStyle name="Currency (0.00) 2 2 3 2 11" xfId="35001"/>
    <cellStyle name="Currency (0.00) 2 2 3 2 12" xfId="33859"/>
    <cellStyle name="Currency (0.00) 2 2 3 2 13" xfId="36103"/>
    <cellStyle name="Currency (0.00) 2 2 3 2 2" xfId="29502"/>
    <cellStyle name="Currency (0.00) 2 2 3 2 3" xfId="35689"/>
    <cellStyle name="Currency (0.00) 2 2 3 2 4" xfId="36039"/>
    <cellStyle name="Currency (0.00) 2 2 3 2 5" xfId="34161"/>
    <cellStyle name="Currency (0.00) 2 2 3 2 6" xfId="34693"/>
    <cellStyle name="Currency (0.00) 2 2 3 2 7" xfId="35908"/>
    <cellStyle name="Currency (0.00) 2 2 3 2 8" xfId="24980"/>
    <cellStyle name="Currency (0.00) 2 2 3 2 9" xfId="24346"/>
    <cellStyle name="Currency (0.00) 2 2 3 3" xfId="20109"/>
    <cellStyle name="Currency (0.00) 2 2 3 3 10" xfId="38367"/>
    <cellStyle name="Currency (0.00) 2 2 3 3 11" xfId="38595"/>
    <cellStyle name="Currency (0.00) 2 2 3 3 12" xfId="38890"/>
    <cellStyle name="Currency (0.00) 2 2 3 3 13" xfId="39091"/>
    <cellStyle name="Currency (0.00) 2 2 3 3 14" xfId="39209"/>
    <cellStyle name="Currency (0.00) 2 2 3 3 15" xfId="39333"/>
    <cellStyle name="Currency (0.00) 2 2 3 3 2" xfId="33388"/>
    <cellStyle name="Currency (0.00) 2 2 3 3 3" xfId="36922"/>
    <cellStyle name="Currency (0.00) 2 2 3 3 4" xfId="37246"/>
    <cellStyle name="Currency (0.00) 2 2 3 3 5" xfId="37612"/>
    <cellStyle name="Currency (0.00) 2 2 3 3 6" xfId="37839"/>
    <cellStyle name="Currency (0.00) 2 2 3 3 7" xfId="25101"/>
    <cellStyle name="Currency (0.00) 2 2 3 3 8" xfId="34988"/>
    <cellStyle name="Currency (0.00) 2 2 3 3 9" xfId="38191"/>
    <cellStyle name="Currency (0.00) 2 2 3 4" xfId="25452"/>
    <cellStyle name="Currency (0.00) 2 2 3 5" xfId="34342"/>
    <cellStyle name="Currency (0.00) 2 2 3 6" xfId="24617"/>
    <cellStyle name="Currency (0.00) 2 2 3 7" xfId="35003"/>
    <cellStyle name="Currency (0.00) 2 2 3 8" xfId="36866"/>
    <cellStyle name="Currency (0.00) 2 2 3 9" xfId="33982"/>
    <cellStyle name="Currency (0.00) 2 2 4" xfId="16107"/>
    <cellStyle name="Currency (0.00) 2 2 4 10" xfId="35509"/>
    <cellStyle name="Currency (0.00) 2 2 4 11" xfId="33674"/>
    <cellStyle name="Currency (0.00) 2 2 4 12" xfId="38462"/>
    <cellStyle name="Currency (0.00) 2 2 4 13" xfId="24607"/>
    <cellStyle name="Currency (0.00) 2 2 4 2" xfId="29499"/>
    <cellStyle name="Currency (0.00) 2 2 4 3" xfId="35686"/>
    <cellStyle name="Currency (0.00) 2 2 4 4" xfId="36040"/>
    <cellStyle name="Currency (0.00) 2 2 4 5" xfId="34159"/>
    <cellStyle name="Currency (0.00) 2 2 4 6" xfId="24504"/>
    <cellStyle name="Currency (0.00) 2 2 4 7" xfId="35785"/>
    <cellStyle name="Currency (0.00) 2 2 4 8" xfId="24905"/>
    <cellStyle name="Currency (0.00) 2 2 4 9" xfId="37529"/>
    <cellStyle name="Currency (0.00) 2 2 5" xfId="20106"/>
    <cellStyle name="Currency (0.00) 2 2 5 10" xfId="38364"/>
    <cellStyle name="Currency (0.00) 2 2 5 11" xfId="38592"/>
    <cellStyle name="Currency (0.00) 2 2 5 12" xfId="38887"/>
    <cellStyle name="Currency (0.00) 2 2 5 13" xfId="39088"/>
    <cellStyle name="Currency (0.00) 2 2 5 14" xfId="39206"/>
    <cellStyle name="Currency (0.00) 2 2 5 15" xfId="39330"/>
    <cellStyle name="Currency (0.00) 2 2 5 2" xfId="33385"/>
    <cellStyle name="Currency (0.00) 2 2 5 3" xfId="36919"/>
    <cellStyle name="Currency (0.00) 2 2 5 4" xfId="37243"/>
    <cellStyle name="Currency (0.00) 2 2 5 5" xfId="37609"/>
    <cellStyle name="Currency (0.00) 2 2 5 6" xfId="37836"/>
    <cellStyle name="Currency (0.00) 2 2 5 7" xfId="35477"/>
    <cellStyle name="Currency (0.00) 2 2 5 8" xfId="35348"/>
    <cellStyle name="Currency (0.00) 2 2 5 9" xfId="38188"/>
    <cellStyle name="Currency (0.00) 2 2 6" xfId="25449"/>
    <cellStyle name="Currency (0.00) 2 2 7" xfId="34339"/>
    <cellStyle name="Currency (0.00) 2 2 8" xfId="35314"/>
    <cellStyle name="Currency (0.00) 2 2 9" xfId="33739"/>
    <cellStyle name="Currency (0.00) 2 3" xfId="11261"/>
    <cellStyle name="Currency (0.00) 2 3 10" xfId="35240"/>
    <cellStyle name="Currency (0.00) 2 3 11" xfId="35594"/>
    <cellStyle name="Currency (0.00) 2 3 12" xfId="33529"/>
    <cellStyle name="Currency (0.00) 2 3 13" xfId="35165"/>
    <cellStyle name="Currency (0.00) 2 3 14" xfId="34968"/>
    <cellStyle name="Currency (0.00) 2 3 2" xfId="11262"/>
    <cellStyle name="Currency (0.00) 2 3 2 10" xfId="33967"/>
    <cellStyle name="Currency (0.00) 2 3 2 11" xfId="36386"/>
    <cellStyle name="Currency (0.00) 2 3 2 12" xfId="36274"/>
    <cellStyle name="Currency (0.00) 2 3 2 13" xfId="25045"/>
    <cellStyle name="Currency (0.00) 2 3 2 2" xfId="11263"/>
    <cellStyle name="Currency (0.00) 2 3 2 2 10" xfId="35452"/>
    <cellStyle name="Currency (0.00) 2 3 2 2 11" xfId="34294"/>
    <cellStyle name="Currency (0.00) 2 3 2 2 12" xfId="37272"/>
    <cellStyle name="Currency (0.00) 2 3 2 2 2" xfId="16113"/>
    <cellStyle name="Currency (0.00) 2 3 2 2 2 10" xfId="25346"/>
    <cellStyle name="Currency (0.00) 2 3 2 2 2 11" xfId="24345"/>
    <cellStyle name="Currency (0.00) 2 3 2 2 2 12" xfId="34740"/>
    <cellStyle name="Currency (0.00) 2 3 2 2 2 13" xfId="38554"/>
    <cellStyle name="Currency (0.00) 2 3 2 2 2 2" xfId="29505"/>
    <cellStyle name="Currency (0.00) 2 3 2 2 2 3" xfId="35692"/>
    <cellStyle name="Currency (0.00) 2 3 2 2 2 4" xfId="25189"/>
    <cellStyle name="Currency (0.00) 2 3 2 2 2 5" xfId="35933"/>
    <cellStyle name="Currency (0.00) 2 3 2 2 2 6" xfId="24506"/>
    <cellStyle name="Currency (0.00) 2 3 2 2 2 7" xfId="36260"/>
    <cellStyle name="Currency (0.00) 2 3 2 2 2 8" xfId="29612"/>
    <cellStyle name="Currency (0.00) 2 3 2 2 2 9" xfId="37946"/>
    <cellStyle name="Currency (0.00) 2 3 2 2 3" xfId="20112"/>
    <cellStyle name="Currency (0.00) 2 3 2 2 3 10" xfId="38370"/>
    <cellStyle name="Currency (0.00) 2 3 2 2 3 11" xfId="38598"/>
    <cellStyle name="Currency (0.00) 2 3 2 2 3 12" xfId="38893"/>
    <cellStyle name="Currency (0.00) 2 3 2 2 3 13" xfId="39094"/>
    <cellStyle name="Currency (0.00) 2 3 2 2 3 14" xfId="39212"/>
    <cellStyle name="Currency (0.00) 2 3 2 2 3 15" xfId="39336"/>
    <cellStyle name="Currency (0.00) 2 3 2 2 3 2" xfId="33391"/>
    <cellStyle name="Currency (0.00) 2 3 2 2 3 3" xfId="36925"/>
    <cellStyle name="Currency (0.00) 2 3 2 2 3 4" xfId="37249"/>
    <cellStyle name="Currency (0.00) 2 3 2 2 3 5" xfId="37615"/>
    <cellStyle name="Currency (0.00) 2 3 2 2 3 6" xfId="37842"/>
    <cellStyle name="Currency (0.00) 2 3 2 2 3 7" xfId="25521"/>
    <cellStyle name="Currency (0.00) 2 3 2 2 3 8" xfId="24783"/>
    <cellStyle name="Currency (0.00) 2 3 2 2 3 9" xfId="38194"/>
    <cellStyle name="Currency (0.00) 2 3 2 2 4" xfId="25455"/>
    <cellStyle name="Currency (0.00) 2 3 2 2 5" xfId="34345"/>
    <cellStyle name="Currency (0.00) 2 3 2 2 6" xfId="24618"/>
    <cellStyle name="Currency (0.00) 2 3 2 2 7" xfId="33741"/>
    <cellStyle name="Currency (0.00) 2 3 2 2 8" xfId="20560"/>
    <cellStyle name="Currency (0.00) 2 3 2 2 9" xfId="34107"/>
    <cellStyle name="Currency (0.00) 2 3 2 3" xfId="16112"/>
    <cellStyle name="Currency (0.00) 2 3 2 3 10" xfId="34497"/>
    <cellStyle name="Currency (0.00) 2 3 2 3 11" xfId="34091"/>
    <cellStyle name="Currency (0.00) 2 3 2 3 12" xfId="25097"/>
    <cellStyle name="Currency (0.00) 2 3 2 3 13" xfId="38044"/>
    <cellStyle name="Currency (0.00) 2 3 2 3 2" xfId="29504"/>
    <cellStyle name="Currency (0.00) 2 3 2 3 3" xfId="35691"/>
    <cellStyle name="Currency (0.00) 2 3 2 3 4" xfId="25188"/>
    <cellStyle name="Currency (0.00) 2 3 2 3 5" xfId="36319"/>
    <cellStyle name="Currency (0.00) 2 3 2 3 6" xfId="34694"/>
    <cellStyle name="Currency (0.00) 2 3 2 3 7" xfId="35896"/>
    <cellStyle name="Currency (0.00) 2 3 2 3 8" xfId="29629"/>
    <cellStyle name="Currency (0.00) 2 3 2 3 9" xfId="34333"/>
    <cellStyle name="Currency (0.00) 2 3 2 4" xfId="20111"/>
    <cellStyle name="Currency (0.00) 2 3 2 4 10" xfId="38369"/>
    <cellStyle name="Currency (0.00) 2 3 2 4 11" xfId="38597"/>
    <cellStyle name="Currency (0.00) 2 3 2 4 12" xfId="38892"/>
    <cellStyle name="Currency (0.00) 2 3 2 4 13" xfId="39093"/>
    <cellStyle name="Currency (0.00) 2 3 2 4 14" xfId="39211"/>
    <cellStyle name="Currency (0.00) 2 3 2 4 15" xfId="39335"/>
    <cellStyle name="Currency (0.00) 2 3 2 4 2" xfId="33390"/>
    <cellStyle name="Currency (0.00) 2 3 2 4 3" xfId="36924"/>
    <cellStyle name="Currency (0.00) 2 3 2 4 4" xfId="37248"/>
    <cellStyle name="Currency (0.00) 2 3 2 4 5" xfId="37614"/>
    <cellStyle name="Currency (0.00) 2 3 2 4 6" xfId="37841"/>
    <cellStyle name="Currency (0.00) 2 3 2 4 7" xfId="33876"/>
    <cellStyle name="Currency (0.00) 2 3 2 4 8" xfId="24379"/>
    <cellStyle name="Currency (0.00) 2 3 2 4 9" xfId="38193"/>
    <cellStyle name="Currency (0.00) 2 3 2 5" xfId="25454"/>
    <cellStyle name="Currency (0.00) 2 3 2 6" xfId="34344"/>
    <cellStyle name="Currency (0.00) 2 3 2 7" xfId="35315"/>
    <cellStyle name="Currency (0.00) 2 3 2 8" xfId="36176"/>
    <cellStyle name="Currency (0.00) 2 3 2 9" xfId="35861"/>
    <cellStyle name="Currency (0.00) 2 3 3" xfId="11264"/>
    <cellStyle name="Currency (0.00) 2 3 3 10" xfId="33733"/>
    <cellStyle name="Currency (0.00) 2 3 3 11" xfId="25715"/>
    <cellStyle name="Currency (0.00) 2 3 3 12" xfId="24215"/>
    <cellStyle name="Currency (0.00) 2 3 3 2" xfId="16114"/>
    <cellStyle name="Currency (0.00) 2 3 3 2 10" xfId="35952"/>
    <cellStyle name="Currency (0.00) 2 3 3 2 11" xfId="33811"/>
    <cellStyle name="Currency (0.00) 2 3 3 2 12" xfId="33862"/>
    <cellStyle name="Currency (0.00) 2 3 3 2 13" xfId="37661"/>
    <cellStyle name="Currency (0.00) 2 3 3 2 2" xfId="29506"/>
    <cellStyle name="Currency (0.00) 2 3 3 2 3" xfId="35693"/>
    <cellStyle name="Currency (0.00) 2 3 3 2 4" xfId="25190"/>
    <cellStyle name="Currency (0.00) 2 3 3 2 5" xfId="36313"/>
    <cellStyle name="Currency (0.00) 2 3 3 2 6" xfId="34308"/>
    <cellStyle name="Currency (0.00) 2 3 3 2 7" xfId="36481"/>
    <cellStyle name="Currency (0.00) 2 3 3 2 8" xfId="33946"/>
    <cellStyle name="Currency (0.00) 2 3 3 2 9" xfId="20564"/>
    <cellStyle name="Currency (0.00) 2 3 3 3" xfId="20113"/>
    <cellStyle name="Currency (0.00) 2 3 3 3 10" xfId="38371"/>
    <cellStyle name="Currency (0.00) 2 3 3 3 11" xfId="38599"/>
    <cellStyle name="Currency (0.00) 2 3 3 3 12" xfId="38894"/>
    <cellStyle name="Currency (0.00) 2 3 3 3 13" xfId="39095"/>
    <cellStyle name="Currency (0.00) 2 3 3 3 14" xfId="39213"/>
    <cellStyle name="Currency (0.00) 2 3 3 3 15" xfId="39337"/>
    <cellStyle name="Currency (0.00) 2 3 3 3 2" xfId="33392"/>
    <cellStyle name="Currency (0.00) 2 3 3 3 3" xfId="36926"/>
    <cellStyle name="Currency (0.00) 2 3 3 3 4" xfId="37250"/>
    <cellStyle name="Currency (0.00) 2 3 3 3 5" xfId="37616"/>
    <cellStyle name="Currency (0.00) 2 3 3 3 6" xfId="37843"/>
    <cellStyle name="Currency (0.00) 2 3 3 3 7" xfId="33976"/>
    <cellStyle name="Currency (0.00) 2 3 3 3 8" xfId="34002"/>
    <cellStyle name="Currency (0.00) 2 3 3 3 9" xfId="38195"/>
    <cellStyle name="Currency (0.00) 2 3 3 4" xfId="25456"/>
    <cellStyle name="Currency (0.00) 2 3 3 5" xfId="34346"/>
    <cellStyle name="Currency (0.00) 2 3 3 6" xfId="24619"/>
    <cellStyle name="Currency (0.00) 2 3 3 7" xfId="35804"/>
    <cellStyle name="Currency (0.00) 2 3 3 8" xfId="35345"/>
    <cellStyle name="Currency (0.00) 2 3 3 9" xfId="34517"/>
    <cellStyle name="Currency (0.00) 2 3 4" xfId="16111"/>
    <cellStyle name="Currency (0.00) 2 3 4 10" xfId="34240"/>
    <cellStyle name="Currency (0.00) 2 3 4 11" xfId="24243"/>
    <cellStyle name="Currency (0.00) 2 3 4 12" xfId="25637"/>
    <cellStyle name="Currency (0.00) 2 3 4 13" xfId="24401"/>
    <cellStyle name="Currency (0.00) 2 3 4 2" xfId="29503"/>
    <cellStyle name="Currency (0.00) 2 3 4 3" xfId="35690"/>
    <cellStyle name="Currency (0.00) 2 3 4 4" xfId="34872"/>
    <cellStyle name="Currency (0.00) 2 3 4 5" xfId="34162"/>
    <cellStyle name="Currency (0.00) 2 3 4 6" xfId="25260"/>
    <cellStyle name="Currency (0.00) 2 3 4 7" xfId="35425"/>
    <cellStyle name="Currency (0.00) 2 3 4 8" xfId="35999"/>
    <cellStyle name="Currency (0.00) 2 3 4 9" xfId="35912"/>
    <cellStyle name="Currency (0.00) 2 3 5" xfId="20110"/>
    <cellStyle name="Currency (0.00) 2 3 5 10" xfId="38368"/>
    <cellStyle name="Currency (0.00) 2 3 5 11" xfId="38596"/>
    <cellStyle name="Currency (0.00) 2 3 5 12" xfId="38891"/>
    <cellStyle name="Currency (0.00) 2 3 5 13" xfId="39092"/>
    <cellStyle name="Currency (0.00) 2 3 5 14" xfId="39210"/>
    <cellStyle name="Currency (0.00) 2 3 5 15" xfId="39334"/>
    <cellStyle name="Currency (0.00) 2 3 5 2" xfId="33389"/>
    <cellStyle name="Currency (0.00) 2 3 5 3" xfId="36923"/>
    <cellStyle name="Currency (0.00) 2 3 5 4" xfId="37247"/>
    <cellStyle name="Currency (0.00) 2 3 5 5" xfId="37613"/>
    <cellStyle name="Currency (0.00) 2 3 5 6" xfId="37840"/>
    <cellStyle name="Currency (0.00) 2 3 5 7" xfId="36337"/>
    <cellStyle name="Currency (0.00) 2 3 5 8" xfId="34683"/>
    <cellStyle name="Currency (0.00) 2 3 5 9" xfId="38192"/>
    <cellStyle name="Currency (0.00) 2 3 6" xfId="25453"/>
    <cellStyle name="Currency (0.00) 2 3 7" xfId="34343"/>
    <cellStyle name="Currency (0.00) 2 3 8" xfId="36532"/>
    <cellStyle name="Currency (0.00) 2 3 9" xfId="34646"/>
    <cellStyle name="Currency (0.00) 2 4" xfId="11265"/>
    <cellStyle name="Currency (0.00) 2 4 10" xfId="24325"/>
    <cellStyle name="Currency (0.00) 2 4 11" xfId="37339"/>
    <cellStyle name="Currency (0.00) 2 4 12" xfId="35460"/>
    <cellStyle name="Currency (0.00) 2 4 13" xfId="24532"/>
    <cellStyle name="Currency (0.00) 2 4 14" xfId="25207"/>
    <cellStyle name="Currency (0.00) 2 4 2" xfId="11266"/>
    <cellStyle name="Currency (0.00) 2 4 2 10" xfId="25478"/>
    <cellStyle name="Currency (0.00) 2 4 2 11" xfId="24605"/>
    <cellStyle name="Currency (0.00) 2 4 2 12" xfId="34195"/>
    <cellStyle name="Currency (0.00) 2 4 2 13" xfId="38086"/>
    <cellStyle name="Currency (0.00) 2 4 2 2" xfId="11267"/>
    <cellStyle name="Currency (0.00) 2 4 2 2 10" xfId="25394"/>
    <cellStyle name="Currency (0.00) 2 4 2 2 11" xfId="36126"/>
    <cellStyle name="Currency (0.00) 2 4 2 2 12" xfId="35448"/>
    <cellStyle name="Currency (0.00) 2 4 2 2 2" xfId="16117"/>
    <cellStyle name="Currency (0.00) 2 4 2 2 2 10" xfId="33796"/>
    <cellStyle name="Currency (0.00) 2 4 2 2 2 11" xfId="24969"/>
    <cellStyle name="Currency (0.00) 2 4 2 2 2 12" xfId="25805"/>
    <cellStyle name="Currency (0.00) 2 4 2 2 2 13" xfId="34944"/>
    <cellStyle name="Currency (0.00) 2 4 2 2 2 2" xfId="29509"/>
    <cellStyle name="Currency (0.00) 2 4 2 2 2 3" xfId="35696"/>
    <cellStyle name="Currency (0.00) 2 4 2 2 2 4" xfId="25192"/>
    <cellStyle name="Currency (0.00) 2 4 2 2 2 5" xfId="35100"/>
    <cellStyle name="Currency (0.00) 2 4 2 2 2 6" xfId="35380"/>
    <cellStyle name="Currency (0.00) 2 4 2 2 2 7" xfId="36982"/>
    <cellStyle name="Currency (0.00) 2 4 2 2 2 8" xfId="37041"/>
    <cellStyle name="Currency (0.00) 2 4 2 2 2 9" xfId="35235"/>
    <cellStyle name="Currency (0.00) 2 4 2 2 3" xfId="20116"/>
    <cellStyle name="Currency (0.00) 2 4 2 2 3 10" xfId="38374"/>
    <cellStyle name="Currency (0.00) 2 4 2 2 3 11" xfId="38602"/>
    <cellStyle name="Currency (0.00) 2 4 2 2 3 12" xfId="38897"/>
    <cellStyle name="Currency (0.00) 2 4 2 2 3 13" xfId="39098"/>
    <cellStyle name="Currency (0.00) 2 4 2 2 3 14" xfId="39216"/>
    <cellStyle name="Currency (0.00) 2 4 2 2 3 15" xfId="39340"/>
    <cellStyle name="Currency (0.00) 2 4 2 2 3 2" xfId="33395"/>
    <cellStyle name="Currency (0.00) 2 4 2 2 3 3" xfId="36929"/>
    <cellStyle name="Currency (0.00) 2 4 2 2 3 4" xfId="37253"/>
    <cellStyle name="Currency (0.00) 2 4 2 2 3 5" xfId="37619"/>
    <cellStyle name="Currency (0.00) 2 4 2 2 3 6" xfId="37846"/>
    <cellStyle name="Currency (0.00) 2 4 2 2 3 7" xfId="25692"/>
    <cellStyle name="Currency (0.00) 2 4 2 2 3 8" xfId="33980"/>
    <cellStyle name="Currency (0.00) 2 4 2 2 3 9" xfId="38198"/>
    <cellStyle name="Currency (0.00) 2 4 2 2 4" xfId="25459"/>
    <cellStyle name="Currency (0.00) 2 4 2 2 5" xfId="34349"/>
    <cellStyle name="Currency (0.00) 2 4 2 2 6" xfId="36530"/>
    <cellStyle name="Currency (0.00) 2 4 2 2 7" xfId="33743"/>
    <cellStyle name="Currency (0.00) 2 4 2 2 8" xfId="36733"/>
    <cellStyle name="Currency (0.00) 2 4 2 2 9" xfId="24397"/>
    <cellStyle name="Currency (0.00) 2 4 2 3" xfId="16116"/>
    <cellStyle name="Currency (0.00) 2 4 2 3 10" xfId="25278"/>
    <cellStyle name="Currency (0.00) 2 4 2 3 11" xfId="24266"/>
    <cellStyle name="Currency (0.00) 2 4 2 3 12" xfId="25642"/>
    <cellStyle name="Currency (0.00) 2 4 2 3 13" xfId="33779"/>
    <cellStyle name="Currency (0.00) 2 4 2 3 2" xfId="29508"/>
    <cellStyle name="Currency (0.00) 2 4 2 3 3" xfId="35695"/>
    <cellStyle name="Currency (0.00) 2 4 2 3 4" xfId="25191"/>
    <cellStyle name="Currency (0.00) 2 4 2 3 5" xfId="25302"/>
    <cellStyle name="Currency (0.00) 2 4 2 3 6" xfId="36574"/>
    <cellStyle name="Currency (0.00) 2 4 2 3 7" xfId="35640"/>
    <cellStyle name="Currency (0.00) 2 4 2 3 8" xfId="36124"/>
    <cellStyle name="Currency (0.00) 2 4 2 3 9" xfId="24418"/>
    <cellStyle name="Currency (0.00) 2 4 2 4" xfId="20115"/>
    <cellStyle name="Currency (0.00) 2 4 2 4 10" xfId="38373"/>
    <cellStyle name="Currency (0.00) 2 4 2 4 11" xfId="38601"/>
    <cellStyle name="Currency (0.00) 2 4 2 4 12" xfId="38896"/>
    <cellStyle name="Currency (0.00) 2 4 2 4 13" xfId="39097"/>
    <cellStyle name="Currency (0.00) 2 4 2 4 14" xfId="39215"/>
    <cellStyle name="Currency (0.00) 2 4 2 4 15" xfId="39339"/>
    <cellStyle name="Currency (0.00) 2 4 2 4 2" xfId="33394"/>
    <cellStyle name="Currency (0.00) 2 4 2 4 3" xfId="36928"/>
    <cellStyle name="Currency (0.00) 2 4 2 4 4" xfId="37252"/>
    <cellStyle name="Currency (0.00) 2 4 2 4 5" xfId="37618"/>
    <cellStyle name="Currency (0.00) 2 4 2 4 6" xfId="37845"/>
    <cellStyle name="Currency (0.00) 2 4 2 4 7" xfId="33627"/>
    <cellStyle name="Currency (0.00) 2 4 2 4 8" xfId="34483"/>
    <cellStyle name="Currency (0.00) 2 4 2 4 9" xfId="38197"/>
    <cellStyle name="Currency (0.00) 2 4 2 5" xfId="25458"/>
    <cellStyle name="Currency (0.00) 2 4 2 6" xfId="34348"/>
    <cellStyle name="Currency (0.00) 2 4 2 7" xfId="35311"/>
    <cellStyle name="Currency (0.00) 2 4 2 8" xfId="33742"/>
    <cellStyle name="Currency (0.00) 2 4 2 9" xfId="33998"/>
    <cellStyle name="Currency (0.00) 2 4 3" xfId="11268"/>
    <cellStyle name="Currency (0.00) 2 4 3 10" xfId="38030"/>
    <cellStyle name="Currency (0.00) 2 4 3 11" xfId="34825"/>
    <cellStyle name="Currency (0.00) 2 4 3 12" xfId="35097"/>
    <cellStyle name="Currency (0.00) 2 4 3 2" xfId="16118"/>
    <cellStyle name="Currency (0.00) 2 4 3 2 10" xfId="34980"/>
    <cellStyle name="Currency (0.00) 2 4 3 2 11" xfId="25718"/>
    <cellStyle name="Currency (0.00) 2 4 3 2 12" xfId="35373"/>
    <cellStyle name="Currency (0.00) 2 4 3 2 13" xfId="38979"/>
    <cellStyle name="Currency (0.00) 2 4 3 2 2" xfId="29510"/>
    <cellStyle name="Currency (0.00) 2 4 3 2 3" xfId="35697"/>
    <cellStyle name="Currency (0.00) 2 4 3 2 4" xfId="34845"/>
    <cellStyle name="Currency (0.00) 2 4 3 2 5" xfId="34164"/>
    <cellStyle name="Currency (0.00) 2 4 3 2 6" xfId="36580"/>
    <cellStyle name="Currency (0.00) 2 4 3 2 7" xfId="25052"/>
    <cellStyle name="Currency (0.00) 2 4 3 2 8" xfId="33791"/>
    <cellStyle name="Currency (0.00) 2 4 3 2 9" xfId="24984"/>
    <cellStyle name="Currency (0.00) 2 4 3 3" xfId="20117"/>
    <cellStyle name="Currency (0.00) 2 4 3 3 10" xfId="38375"/>
    <cellStyle name="Currency (0.00) 2 4 3 3 11" xfId="38603"/>
    <cellStyle name="Currency (0.00) 2 4 3 3 12" xfId="38898"/>
    <cellStyle name="Currency (0.00) 2 4 3 3 13" xfId="39099"/>
    <cellStyle name="Currency (0.00) 2 4 3 3 14" xfId="39217"/>
    <cellStyle name="Currency (0.00) 2 4 3 3 15" xfId="39341"/>
    <cellStyle name="Currency (0.00) 2 4 3 3 2" xfId="33396"/>
    <cellStyle name="Currency (0.00) 2 4 3 3 3" xfId="36930"/>
    <cellStyle name="Currency (0.00) 2 4 3 3 4" xfId="37254"/>
    <cellStyle name="Currency (0.00) 2 4 3 3 5" xfId="37620"/>
    <cellStyle name="Currency (0.00) 2 4 3 3 6" xfId="37847"/>
    <cellStyle name="Currency (0.00) 2 4 3 3 7" xfId="24637"/>
    <cellStyle name="Currency (0.00) 2 4 3 3 8" xfId="33943"/>
    <cellStyle name="Currency (0.00) 2 4 3 3 9" xfId="38199"/>
    <cellStyle name="Currency (0.00) 2 4 3 4" xfId="25460"/>
    <cellStyle name="Currency (0.00) 2 4 3 5" xfId="34350"/>
    <cellStyle name="Currency (0.00) 2 4 3 6" xfId="35313"/>
    <cellStyle name="Currency (0.00) 2 4 3 7" xfId="34643"/>
    <cellStyle name="Currency (0.00) 2 4 3 8" xfId="36458"/>
    <cellStyle name="Currency (0.00) 2 4 3 9" xfId="25078"/>
    <cellStyle name="Currency (0.00) 2 4 4" xfId="16115"/>
    <cellStyle name="Currency (0.00) 2 4 4 10" xfId="36567"/>
    <cellStyle name="Currency (0.00) 2 4 4 11" xfId="38089"/>
    <cellStyle name="Currency (0.00) 2 4 4 12" xfId="35764"/>
    <cellStyle name="Currency (0.00) 2 4 4 13" xfId="38621"/>
    <cellStyle name="Currency (0.00) 2 4 4 2" xfId="29507"/>
    <cellStyle name="Currency (0.00) 2 4 4 3" xfId="35694"/>
    <cellStyle name="Currency (0.00) 2 4 4 4" xfId="36036"/>
    <cellStyle name="Currency (0.00) 2 4 4 5" xfId="34163"/>
    <cellStyle name="Currency (0.00) 2 4 4 6" xfId="36236"/>
    <cellStyle name="Currency (0.00) 2 4 4 7" xfId="33886"/>
    <cellStyle name="Currency (0.00) 2 4 4 8" xfId="35604"/>
    <cellStyle name="Currency (0.00) 2 4 4 9" xfId="33853"/>
    <cellStyle name="Currency (0.00) 2 4 5" xfId="20114"/>
    <cellStyle name="Currency (0.00) 2 4 5 10" xfId="38372"/>
    <cellStyle name="Currency (0.00) 2 4 5 11" xfId="38600"/>
    <cellStyle name="Currency (0.00) 2 4 5 12" xfId="38895"/>
    <cellStyle name="Currency (0.00) 2 4 5 13" xfId="39096"/>
    <cellStyle name="Currency (0.00) 2 4 5 14" xfId="39214"/>
    <cellStyle name="Currency (0.00) 2 4 5 15" xfId="39338"/>
    <cellStyle name="Currency (0.00) 2 4 5 2" xfId="33393"/>
    <cellStyle name="Currency (0.00) 2 4 5 3" xfId="36927"/>
    <cellStyle name="Currency (0.00) 2 4 5 4" xfId="37251"/>
    <cellStyle name="Currency (0.00) 2 4 5 5" xfId="37617"/>
    <cellStyle name="Currency (0.00) 2 4 5 6" xfId="37844"/>
    <cellStyle name="Currency (0.00) 2 4 5 7" xfId="34991"/>
    <cellStyle name="Currency (0.00) 2 4 5 8" xfId="36749"/>
    <cellStyle name="Currency (0.00) 2 4 5 9" xfId="38196"/>
    <cellStyle name="Currency (0.00) 2 4 6" xfId="25457"/>
    <cellStyle name="Currency (0.00) 2 4 7" xfId="34347"/>
    <cellStyle name="Currency (0.00) 2 4 8" xfId="36528"/>
    <cellStyle name="Currency (0.00) 2 4 9" xfId="25054"/>
    <cellStyle name="Currency (0.00) 2 5" xfId="11269"/>
    <cellStyle name="Currency (0.00) 2 5 10" xfId="37349"/>
    <cellStyle name="Currency (0.00) 2 5 11" xfId="36677"/>
    <cellStyle name="Currency (0.00) 2 5 12" xfId="37341"/>
    <cellStyle name="Currency (0.00) 2 5 2" xfId="16119"/>
    <cellStyle name="Currency (0.00) 2 5 2 10" xfId="35882"/>
    <cellStyle name="Currency (0.00) 2 5 2 11" xfId="33656"/>
    <cellStyle name="Currency (0.00) 2 5 2 12" xfId="20503"/>
    <cellStyle name="Currency (0.00) 2 5 2 13" xfId="35833"/>
    <cellStyle name="Currency (0.00) 2 5 2 2" xfId="29511"/>
    <cellStyle name="Currency (0.00) 2 5 2 3" xfId="35698"/>
    <cellStyle name="Currency (0.00) 2 5 2 4" xfId="36035"/>
    <cellStyle name="Currency (0.00) 2 5 2 5" xfId="34753"/>
    <cellStyle name="Currency (0.00) 2 5 2 6" xfId="36351"/>
    <cellStyle name="Currency (0.00) 2 5 2 7" xfId="35429"/>
    <cellStyle name="Currency (0.00) 2 5 2 8" xfId="34511"/>
    <cellStyle name="Currency (0.00) 2 5 2 9" xfId="24288"/>
    <cellStyle name="Currency (0.00) 2 5 3" xfId="20118"/>
    <cellStyle name="Currency (0.00) 2 5 3 10" xfId="38376"/>
    <cellStyle name="Currency (0.00) 2 5 3 11" xfId="38604"/>
    <cellStyle name="Currency (0.00) 2 5 3 12" xfId="38899"/>
    <cellStyle name="Currency (0.00) 2 5 3 13" xfId="39100"/>
    <cellStyle name="Currency (0.00) 2 5 3 14" xfId="39218"/>
    <cellStyle name="Currency (0.00) 2 5 3 15" xfId="39342"/>
    <cellStyle name="Currency (0.00) 2 5 3 2" xfId="33397"/>
    <cellStyle name="Currency (0.00) 2 5 3 3" xfId="36931"/>
    <cellStyle name="Currency (0.00) 2 5 3 4" xfId="37255"/>
    <cellStyle name="Currency (0.00) 2 5 3 5" xfId="37621"/>
    <cellStyle name="Currency (0.00) 2 5 3 6" xfId="37848"/>
    <cellStyle name="Currency (0.00) 2 5 3 7" xfId="35440"/>
    <cellStyle name="Currency (0.00) 2 5 3 8" xfId="33679"/>
    <cellStyle name="Currency (0.00) 2 5 3 9" xfId="38200"/>
    <cellStyle name="Currency (0.00) 2 5 4" xfId="25461"/>
    <cellStyle name="Currency (0.00) 2 5 5" xfId="34351"/>
    <cellStyle name="Currency (0.00) 2 5 6" xfId="24620"/>
    <cellStyle name="Currency (0.00) 2 5 7" xfId="36175"/>
    <cellStyle name="Currency (0.00) 2 5 8" xfId="25343"/>
    <cellStyle name="Currency (0.00) 2 5 9" xfId="35529"/>
    <cellStyle name="Currency (0.00) 2 6" xfId="16106"/>
    <cellStyle name="Currency (0.00) 2 6 10" xfId="35412"/>
    <cellStyle name="Currency (0.00) 2 6 11" xfId="34457"/>
    <cellStyle name="Currency (0.00) 2 6 12" xfId="34842"/>
    <cellStyle name="Currency (0.00) 2 6 13" xfId="24245"/>
    <cellStyle name="Currency (0.00) 2 6 2" xfId="29498"/>
    <cellStyle name="Currency (0.00) 2 6 3" xfId="35685"/>
    <cellStyle name="Currency (0.00) 2 6 4" xfId="34871"/>
    <cellStyle name="Currency (0.00) 2 6 5" xfId="34158"/>
    <cellStyle name="Currency (0.00) 2 6 6" xfId="33912"/>
    <cellStyle name="Currency (0.00) 2 6 7" xfId="36492"/>
    <cellStyle name="Currency (0.00) 2 6 8" xfId="25321"/>
    <cellStyle name="Currency (0.00) 2 6 9" xfId="29617"/>
    <cellStyle name="Currency (0.00) 2 7" xfId="20105"/>
    <cellStyle name="Currency (0.00) 2 7 10" xfId="38363"/>
    <cellStyle name="Currency (0.00) 2 7 11" xfId="38591"/>
    <cellStyle name="Currency (0.00) 2 7 12" xfId="38886"/>
    <cellStyle name="Currency (0.00) 2 7 13" xfId="39087"/>
    <cellStyle name="Currency (0.00) 2 7 14" xfId="39205"/>
    <cellStyle name="Currency (0.00) 2 7 15" xfId="39329"/>
    <cellStyle name="Currency (0.00) 2 7 2" xfId="33384"/>
    <cellStyle name="Currency (0.00) 2 7 3" xfId="36918"/>
    <cellStyle name="Currency (0.00) 2 7 4" xfId="37242"/>
    <cellStyle name="Currency (0.00) 2 7 5" xfId="37608"/>
    <cellStyle name="Currency (0.00) 2 7 6" xfId="37835"/>
    <cellStyle name="Currency (0.00) 2 7 7" xfId="25693"/>
    <cellStyle name="Currency (0.00) 2 7 8" xfId="25415"/>
    <cellStyle name="Currency (0.00) 2 7 9" xfId="38187"/>
    <cellStyle name="Currency (0.00) 2 8" xfId="25448"/>
    <cellStyle name="Currency (0.00) 2 9" xfId="34338"/>
    <cellStyle name="Currency (0.00) 3" xfId="11270"/>
    <cellStyle name="Currency (0.00) 3 10" xfId="34647"/>
    <cellStyle name="Currency (0.00) 3 11" xfId="25429"/>
    <cellStyle name="Currency (0.00) 3 12" xfId="24518"/>
    <cellStyle name="Currency (0.00) 3 13" xfId="33948"/>
    <cellStyle name="Currency (0.00) 3 14" xfId="38148"/>
    <cellStyle name="Currency (0.00) 3 15" xfId="35944"/>
    <cellStyle name="Currency (0.00) 3 2" xfId="11271"/>
    <cellStyle name="Currency (0.00) 3 2 10" xfId="35175"/>
    <cellStyle name="Currency (0.00) 3 2 11" xfId="36876"/>
    <cellStyle name="Currency (0.00) 3 2 12" xfId="25007"/>
    <cellStyle name="Currency (0.00) 3 2 13" xfId="38296"/>
    <cellStyle name="Currency (0.00) 3 2 2" xfId="11272"/>
    <cellStyle name="Currency (0.00) 3 2 2 10" xfId="25032"/>
    <cellStyle name="Currency (0.00) 3 2 2 11" xfId="37031"/>
    <cellStyle name="Currency (0.00) 3 2 2 12" xfId="38282"/>
    <cellStyle name="Currency (0.00) 3 2 2 2" xfId="16122"/>
    <cellStyle name="Currency (0.00) 3 2 2 2 10" xfId="36000"/>
    <cellStyle name="Currency (0.00) 3 2 2 2 11" xfId="36482"/>
    <cellStyle name="Currency (0.00) 3 2 2 2 12" xfId="29651"/>
    <cellStyle name="Currency (0.00) 3 2 2 2 13" xfId="38459"/>
    <cellStyle name="Currency (0.00) 3 2 2 2 2" xfId="29514"/>
    <cellStyle name="Currency (0.00) 3 2 2 2 3" xfId="35701"/>
    <cellStyle name="Currency (0.00) 3 2 2 2 4" xfId="36034"/>
    <cellStyle name="Currency (0.00) 3 2 2 2 5" xfId="24922"/>
    <cellStyle name="Currency (0.00) 3 2 2 2 6" xfId="35046"/>
    <cellStyle name="Currency (0.00) 3 2 2 2 7" xfId="29620"/>
    <cellStyle name="Currency (0.00) 3 2 2 2 8" xfId="37713"/>
    <cellStyle name="Currency (0.00) 3 2 2 2 9" xfId="24399"/>
    <cellStyle name="Currency (0.00) 3 2 2 3" xfId="20121"/>
    <cellStyle name="Currency (0.00) 3 2 2 3 10" xfId="38379"/>
    <cellStyle name="Currency (0.00) 3 2 2 3 11" xfId="38607"/>
    <cellStyle name="Currency (0.00) 3 2 2 3 12" xfId="38902"/>
    <cellStyle name="Currency (0.00) 3 2 2 3 13" xfId="39103"/>
    <cellStyle name="Currency (0.00) 3 2 2 3 14" xfId="39221"/>
    <cellStyle name="Currency (0.00) 3 2 2 3 15" xfId="39345"/>
    <cellStyle name="Currency (0.00) 3 2 2 3 2" xfId="33400"/>
    <cellStyle name="Currency (0.00) 3 2 2 3 3" xfId="36934"/>
    <cellStyle name="Currency (0.00) 3 2 2 3 4" xfId="37258"/>
    <cellStyle name="Currency (0.00) 3 2 2 3 5" xfId="37624"/>
    <cellStyle name="Currency (0.00) 3 2 2 3 6" xfId="37851"/>
    <cellStyle name="Currency (0.00) 3 2 2 3 7" xfId="25247"/>
    <cellStyle name="Currency (0.00) 3 2 2 3 8" xfId="36020"/>
    <cellStyle name="Currency (0.00) 3 2 2 3 9" xfId="38203"/>
    <cellStyle name="Currency (0.00) 3 2 2 4" xfId="25464"/>
    <cellStyle name="Currency (0.00) 3 2 2 5" xfId="34354"/>
    <cellStyle name="Currency (0.00) 3 2 2 6" xfId="24621"/>
    <cellStyle name="Currency (0.00) 3 2 2 7" xfId="33744"/>
    <cellStyle name="Currency (0.00) 3 2 2 8" xfId="35796"/>
    <cellStyle name="Currency (0.00) 3 2 2 9" xfId="25477"/>
    <cellStyle name="Currency (0.00) 3 2 3" xfId="16121"/>
    <cellStyle name="Currency (0.00) 3 2 3 10" xfId="25283"/>
    <cellStyle name="Currency (0.00) 3 2 3 11" xfId="24298"/>
    <cellStyle name="Currency (0.00) 3 2 3 12" xfId="38145"/>
    <cellStyle name="Currency (0.00) 3 2 3 13" xfId="20611"/>
    <cellStyle name="Currency (0.00) 3 2 3 2" xfId="29513"/>
    <cellStyle name="Currency (0.00) 3 2 3 3" xfId="35700"/>
    <cellStyle name="Currency (0.00) 3 2 3 4" xfId="25193"/>
    <cellStyle name="Currency (0.00) 3 2 3 5" xfId="34761"/>
    <cellStyle name="Currency (0.00) 3 2 3 6" xfId="24507"/>
    <cellStyle name="Currency (0.00) 3 2 3 7" xfId="34574"/>
    <cellStyle name="Currency (0.00) 3 2 3 8" xfId="36162"/>
    <cellStyle name="Currency (0.00) 3 2 3 9" xfId="35602"/>
    <cellStyle name="Currency (0.00) 3 2 4" xfId="20120"/>
    <cellStyle name="Currency (0.00) 3 2 4 10" xfId="38378"/>
    <cellStyle name="Currency (0.00) 3 2 4 11" xfId="38606"/>
    <cellStyle name="Currency (0.00) 3 2 4 12" xfId="38901"/>
    <cellStyle name="Currency (0.00) 3 2 4 13" xfId="39102"/>
    <cellStyle name="Currency (0.00) 3 2 4 14" xfId="39220"/>
    <cellStyle name="Currency (0.00) 3 2 4 15" xfId="39344"/>
    <cellStyle name="Currency (0.00) 3 2 4 2" xfId="33399"/>
    <cellStyle name="Currency (0.00) 3 2 4 3" xfId="36933"/>
    <cellStyle name="Currency (0.00) 3 2 4 4" xfId="37257"/>
    <cellStyle name="Currency (0.00) 3 2 4 5" xfId="37623"/>
    <cellStyle name="Currency (0.00) 3 2 4 6" xfId="37850"/>
    <cellStyle name="Currency (0.00) 3 2 4 7" xfId="35538"/>
    <cellStyle name="Currency (0.00) 3 2 4 8" xfId="35362"/>
    <cellStyle name="Currency (0.00) 3 2 4 9" xfId="38202"/>
    <cellStyle name="Currency (0.00) 3 2 5" xfId="25463"/>
    <cellStyle name="Currency (0.00) 3 2 6" xfId="34353"/>
    <cellStyle name="Currency (0.00) 3 2 7" xfId="35312"/>
    <cellStyle name="Currency (0.00) 3 2 8" xfId="36177"/>
    <cellStyle name="Currency (0.00) 3 2 9" xfId="36360"/>
    <cellStyle name="Currency (0.00) 3 3" xfId="11273"/>
    <cellStyle name="Currency (0.00) 3 3 10" xfId="35083"/>
    <cellStyle name="Currency (0.00) 3 3 11" xfId="33701"/>
    <cellStyle name="Currency (0.00) 3 3 12" xfId="24393"/>
    <cellStyle name="Currency (0.00) 3 3 13" xfId="34924"/>
    <cellStyle name="Currency (0.00) 3 3 2" xfId="11274"/>
    <cellStyle name="Currency (0.00) 3 3 2 10" xfId="24514"/>
    <cellStyle name="Currency (0.00) 3 3 2 11" xfId="24862"/>
    <cellStyle name="Currency (0.00) 3 3 2 12" xfId="34081"/>
    <cellStyle name="Currency (0.00) 3 3 2 2" xfId="16124"/>
    <cellStyle name="Currency (0.00) 3 3 2 2 10" xfId="34061"/>
    <cellStyle name="Currency (0.00) 3 3 2 2 11" xfId="25066"/>
    <cellStyle name="Currency (0.00) 3 3 2 2 12" xfId="37380"/>
    <cellStyle name="Currency (0.00) 3 3 2 2 13" xfId="25659"/>
    <cellStyle name="Currency (0.00) 3 3 2 2 2" xfId="29516"/>
    <cellStyle name="Currency (0.00) 3 3 2 2 3" xfId="35703"/>
    <cellStyle name="Currency (0.00) 3 3 2 2 4" xfId="25194"/>
    <cellStyle name="Currency (0.00) 3 3 2 2 5" xfId="35934"/>
    <cellStyle name="Currency (0.00) 3 3 2 2 6" xfId="25411"/>
    <cellStyle name="Currency (0.00) 3 3 2 2 7" xfId="34421"/>
    <cellStyle name="Currency (0.00) 3 3 2 2 8" xfId="35839"/>
    <cellStyle name="Currency (0.00) 3 3 2 2 9" xfId="24941"/>
    <cellStyle name="Currency (0.00) 3 3 2 3" xfId="20123"/>
    <cellStyle name="Currency (0.00) 3 3 2 3 10" xfId="38381"/>
    <cellStyle name="Currency (0.00) 3 3 2 3 11" xfId="38609"/>
    <cellStyle name="Currency (0.00) 3 3 2 3 12" xfId="38904"/>
    <cellStyle name="Currency (0.00) 3 3 2 3 13" xfId="39105"/>
    <cellStyle name="Currency (0.00) 3 3 2 3 14" xfId="39223"/>
    <cellStyle name="Currency (0.00) 3 3 2 3 15" xfId="39347"/>
    <cellStyle name="Currency (0.00) 3 3 2 3 2" xfId="33402"/>
    <cellStyle name="Currency (0.00) 3 3 2 3 3" xfId="36936"/>
    <cellStyle name="Currency (0.00) 3 3 2 3 4" xfId="37260"/>
    <cellStyle name="Currency (0.00) 3 3 2 3 5" xfId="37626"/>
    <cellStyle name="Currency (0.00) 3 3 2 3 6" xfId="37853"/>
    <cellStyle name="Currency (0.00) 3 3 2 3 7" xfId="36283"/>
    <cellStyle name="Currency (0.00) 3 3 2 3 8" xfId="25342"/>
    <cellStyle name="Currency (0.00) 3 3 2 3 9" xfId="38205"/>
    <cellStyle name="Currency (0.00) 3 3 2 4" xfId="25466"/>
    <cellStyle name="Currency (0.00) 3 3 2 5" xfId="34356"/>
    <cellStyle name="Currency (0.00) 3 3 2 6" xfId="36525"/>
    <cellStyle name="Currency (0.00) 3 3 2 7" xfId="35002"/>
    <cellStyle name="Currency (0.00) 3 3 2 8" xfId="25396"/>
    <cellStyle name="Currency (0.00) 3 3 2 9" xfId="34074"/>
    <cellStyle name="Currency (0.00) 3 3 3" xfId="16123"/>
    <cellStyle name="Currency (0.00) 3 3 3 10" xfId="36188"/>
    <cellStyle name="Currency (0.00) 3 3 3 11" xfId="33896"/>
    <cellStyle name="Currency (0.00) 3 3 3 12" xfId="35950"/>
    <cellStyle name="Currency (0.00) 3 3 3 13" xfId="37479"/>
    <cellStyle name="Currency (0.00) 3 3 3 2" xfId="29515"/>
    <cellStyle name="Currency (0.00) 3 3 3 3" xfId="35702"/>
    <cellStyle name="Currency (0.00) 3 3 3 4" xfId="34867"/>
    <cellStyle name="Currency (0.00) 3 3 3 5" xfId="34165"/>
    <cellStyle name="Currency (0.00) 3 3 3 6" xfId="34797"/>
    <cellStyle name="Currency (0.00) 3 3 3 7" xfId="24754"/>
    <cellStyle name="Currency (0.00) 3 3 3 8" xfId="25606"/>
    <cellStyle name="Currency (0.00) 3 3 3 9" xfId="37791"/>
    <cellStyle name="Currency (0.00) 3 3 4" xfId="20122"/>
    <cellStyle name="Currency (0.00) 3 3 4 10" xfId="38380"/>
    <cellStyle name="Currency (0.00) 3 3 4 11" xfId="38608"/>
    <cellStyle name="Currency (0.00) 3 3 4 12" xfId="38903"/>
    <cellStyle name="Currency (0.00) 3 3 4 13" xfId="39104"/>
    <cellStyle name="Currency (0.00) 3 3 4 14" xfId="39222"/>
    <cellStyle name="Currency (0.00) 3 3 4 15" xfId="39346"/>
    <cellStyle name="Currency (0.00) 3 3 4 2" xfId="33401"/>
    <cellStyle name="Currency (0.00) 3 3 4 3" xfId="36935"/>
    <cellStyle name="Currency (0.00) 3 3 4 4" xfId="37259"/>
    <cellStyle name="Currency (0.00) 3 3 4 5" xfId="37625"/>
    <cellStyle name="Currency (0.00) 3 3 4 6" xfId="37852"/>
    <cellStyle name="Currency (0.00) 3 3 4 7" xfId="37924"/>
    <cellStyle name="Currency (0.00) 3 3 4 8" xfId="24479"/>
    <cellStyle name="Currency (0.00) 3 3 4 9" xfId="38204"/>
    <cellStyle name="Currency (0.00) 3 3 5" xfId="25465"/>
    <cellStyle name="Currency (0.00) 3 3 6" xfId="34355"/>
    <cellStyle name="Currency (0.00) 3 3 7" xfId="24622"/>
    <cellStyle name="Currency (0.00) 3 3 8" xfId="35805"/>
    <cellStyle name="Currency (0.00) 3 3 9" xfId="35361"/>
    <cellStyle name="Currency (0.00) 3 4" xfId="11275"/>
    <cellStyle name="Currency (0.00) 3 4 10" xfId="37518"/>
    <cellStyle name="Currency (0.00) 3 4 11" xfId="34689"/>
    <cellStyle name="Currency (0.00) 3 4 12" xfId="37393"/>
    <cellStyle name="Currency (0.00) 3 4 2" xfId="16125"/>
    <cellStyle name="Currency (0.00) 3 4 2 10" xfId="29616"/>
    <cellStyle name="Currency (0.00) 3 4 2 11" xfId="34645"/>
    <cellStyle name="Currency (0.00) 3 4 2 12" xfId="38126"/>
    <cellStyle name="Currency (0.00) 3 4 2 13" xfId="37485"/>
    <cellStyle name="Currency (0.00) 3 4 2 2" xfId="29517"/>
    <cellStyle name="Currency (0.00) 3 4 2 3" xfId="35704"/>
    <cellStyle name="Currency (0.00) 3 4 2 4" xfId="36031"/>
    <cellStyle name="Currency (0.00) 3 4 2 5" xfId="24921"/>
    <cellStyle name="Currency (0.00) 3 4 2 6" xfId="36579"/>
    <cellStyle name="Currency (0.00) 3 4 2 7" xfId="34433"/>
    <cellStyle name="Currency (0.00) 3 4 2 8" xfId="25053"/>
    <cellStyle name="Currency (0.00) 3 4 2 9" xfId="37488"/>
    <cellStyle name="Currency (0.00) 3 4 3" xfId="20124"/>
    <cellStyle name="Currency (0.00) 3 4 3 10" xfId="38382"/>
    <cellStyle name="Currency (0.00) 3 4 3 11" xfId="38610"/>
    <cellStyle name="Currency (0.00) 3 4 3 12" xfId="38905"/>
    <cellStyle name="Currency (0.00) 3 4 3 13" xfId="39106"/>
    <cellStyle name="Currency (0.00) 3 4 3 14" xfId="39224"/>
    <cellStyle name="Currency (0.00) 3 4 3 15" xfId="39348"/>
    <cellStyle name="Currency (0.00) 3 4 3 2" xfId="33403"/>
    <cellStyle name="Currency (0.00) 3 4 3 3" xfId="36937"/>
    <cellStyle name="Currency (0.00) 3 4 3 4" xfId="37261"/>
    <cellStyle name="Currency (0.00) 3 4 3 5" xfId="37627"/>
    <cellStyle name="Currency (0.00) 3 4 3 6" xfId="37854"/>
    <cellStyle name="Currency (0.00) 3 4 3 7" xfId="34963"/>
    <cellStyle name="Currency (0.00) 3 4 3 8" xfId="33981"/>
    <cellStyle name="Currency (0.00) 3 4 3 9" xfId="38206"/>
    <cellStyle name="Currency (0.00) 3 4 4" xfId="25467"/>
    <cellStyle name="Currency (0.00) 3 4 5" xfId="34357"/>
    <cellStyle name="Currency (0.00) 3 4 6" xfId="35308"/>
    <cellStyle name="Currency (0.00) 3 4 7" xfId="33745"/>
    <cellStyle name="Currency (0.00) 3 4 8" xfId="24522"/>
    <cellStyle name="Currency (0.00) 3 4 9" xfId="36541"/>
    <cellStyle name="Currency (0.00) 3 5" xfId="16120"/>
    <cellStyle name="Currency (0.00) 3 5 10" xfId="33551"/>
    <cellStyle name="Currency (0.00) 3 5 11" xfId="24287"/>
    <cellStyle name="Currency (0.00) 3 5 12" xfId="24383"/>
    <cellStyle name="Currency (0.00) 3 5 13" xfId="35900"/>
    <cellStyle name="Currency (0.00) 3 5 2" xfId="29512"/>
    <cellStyle name="Currency (0.00) 3 5 3" xfId="35699"/>
    <cellStyle name="Currency (0.00) 3 5 4" xfId="34868"/>
    <cellStyle name="Currency (0.00) 3 5 5" xfId="36314"/>
    <cellStyle name="Currency (0.00) 3 5 6" xfId="35385"/>
    <cellStyle name="Currency (0.00) 3 5 7" xfId="34966"/>
    <cellStyle name="Currency (0.00) 3 5 8" xfId="34789"/>
    <cellStyle name="Currency (0.00) 3 5 9" xfId="24515"/>
    <cellStyle name="Currency (0.00) 3 6" xfId="20119"/>
    <cellStyle name="Currency (0.00) 3 6 10" xfId="38377"/>
    <cellStyle name="Currency (0.00) 3 6 11" xfId="38605"/>
    <cellStyle name="Currency (0.00) 3 6 12" xfId="38900"/>
    <cellStyle name="Currency (0.00) 3 6 13" xfId="39101"/>
    <cellStyle name="Currency (0.00) 3 6 14" xfId="39219"/>
    <cellStyle name="Currency (0.00) 3 6 15" xfId="39343"/>
    <cellStyle name="Currency (0.00) 3 6 2" xfId="33398"/>
    <cellStyle name="Currency (0.00) 3 6 3" xfId="36932"/>
    <cellStyle name="Currency (0.00) 3 6 4" xfId="37256"/>
    <cellStyle name="Currency (0.00) 3 6 5" xfId="37622"/>
    <cellStyle name="Currency (0.00) 3 6 6" xfId="37849"/>
    <cellStyle name="Currency (0.00) 3 6 7" xfId="33846"/>
    <cellStyle name="Currency (0.00) 3 6 8" xfId="25679"/>
    <cellStyle name="Currency (0.00) 3 6 9" xfId="38201"/>
    <cellStyle name="Currency (0.00) 3 7" xfId="25462"/>
    <cellStyle name="Currency (0.00) 3 8" xfId="34352"/>
    <cellStyle name="Currency (0.00) 3 9" xfId="36529"/>
    <cellStyle name="Currency (0.00) 4" xfId="11276"/>
    <cellStyle name="Currency (0.00) 4 10" xfId="20559"/>
    <cellStyle name="Currency (0.00) 4 11" xfId="24234"/>
    <cellStyle name="Currency (0.00) 4 12" xfId="35832"/>
    <cellStyle name="Currency (0.00) 4 13" xfId="25318"/>
    <cellStyle name="Currency (0.00) 4 14" xfId="36448"/>
    <cellStyle name="Currency (0.00) 4 2" xfId="11277"/>
    <cellStyle name="Currency (0.00) 4 2 10" xfId="36200"/>
    <cellStyle name="Currency (0.00) 4 2 11" xfId="34619"/>
    <cellStyle name="Currency (0.00) 4 2 12" xfId="34043"/>
    <cellStyle name="Currency (0.00) 4 2 13" xfId="24207"/>
    <cellStyle name="Currency (0.00) 4 2 2" xfId="11278"/>
    <cellStyle name="Currency (0.00) 4 2 2 10" xfId="24436"/>
    <cellStyle name="Currency (0.00) 4 2 2 11" xfId="25741"/>
    <cellStyle name="Currency (0.00) 4 2 2 12" xfId="36877"/>
    <cellStyle name="Currency (0.00) 4 2 2 2" xfId="16128"/>
    <cellStyle name="Currency (0.00) 4 2 2 2 10" xfId="25041"/>
    <cellStyle name="Currency (0.00) 4 2 2 2 11" xfId="34706"/>
    <cellStyle name="Currency (0.00) 4 2 2 2 12" xfId="36612"/>
    <cellStyle name="Currency (0.00) 4 2 2 2 13" xfId="38555"/>
    <cellStyle name="Currency (0.00) 4 2 2 2 2" xfId="29520"/>
    <cellStyle name="Currency (0.00) 4 2 2 2 3" xfId="35707"/>
    <cellStyle name="Currency (0.00) 4 2 2 2 4" xfId="34866"/>
    <cellStyle name="Currency (0.00) 4 2 2 2 5" xfId="25300"/>
    <cellStyle name="Currency (0.00) 4 2 2 2 6" xfId="35384"/>
    <cellStyle name="Currency (0.00) 4 2 2 2 7" xfId="36624"/>
    <cellStyle name="Currency (0.00) 4 2 2 2 8" xfId="37510"/>
    <cellStyle name="Currency (0.00) 4 2 2 2 9" xfId="37668"/>
    <cellStyle name="Currency (0.00) 4 2 2 3" xfId="20127"/>
    <cellStyle name="Currency (0.00) 4 2 2 3 10" xfId="38385"/>
    <cellStyle name="Currency (0.00) 4 2 2 3 11" xfId="38613"/>
    <cellStyle name="Currency (0.00) 4 2 2 3 12" xfId="38908"/>
    <cellStyle name="Currency (0.00) 4 2 2 3 13" xfId="39109"/>
    <cellStyle name="Currency (0.00) 4 2 2 3 14" xfId="39227"/>
    <cellStyle name="Currency (0.00) 4 2 2 3 15" xfId="39351"/>
    <cellStyle name="Currency (0.00) 4 2 2 3 2" xfId="33406"/>
    <cellStyle name="Currency (0.00) 4 2 2 3 3" xfId="36940"/>
    <cellStyle name="Currency (0.00) 4 2 2 3 4" xfId="37264"/>
    <cellStyle name="Currency (0.00) 4 2 2 3 5" xfId="37630"/>
    <cellStyle name="Currency (0.00) 4 2 2 3 6" xfId="37857"/>
    <cellStyle name="Currency (0.00) 4 2 2 3 7" xfId="36330"/>
    <cellStyle name="Currency (0.00) 4 2 2 3 8" xfId="37433"/>
    <cellStyle name="Currency (0.00) 4 2 2 3 9" xfId="38209"/>
    <cellStyle name="Currency (0.00) 4 2 2 4" xfId="25470"/>
    <cellStyle name="Currency (0.00) 4 2 2 5" xfId="34360"/>
    <cellStyle name="Currency (0.00) 4 2 2 6" xfId="24623"/>
    <cellStyle name="Currency (0.00) 4 2 2 7" xfId="25517"/>
    <cellStyle name="Currency (0.00) 4 2 2 8" xfId="24990"/>
    <cellStyle name="Currency (0.00) 4 2 2 9" xfId="25720"/>
    <cellStyle name="Currency (0.00) 4 2 3" xfId="16127"/>
    <cellStyle name="Currency (0.00) 4 2 3 10" xfId="35370"/>
    <cellStyle name="Currency (0.00) 4 2 3 11" xfId="36602"/>
    <cellStyle name="Currency (0.00) 4 2 3 12" xfId="24945"/>
    <cellStyle name="Currency (0.00) 4 2 3 13" xfId="38075"/>
    <cellStyle name="Currency (0.00) 4 2 3 2" xfId="29519"/>
    <cellStyle name="Currency (0.00) 4 2 3 3" xfId="35706"/>
    <cellStyle name="Currency (0.00) 4 2 3 4" xfId="36033"/>
    <cellStyle name="Currency (0.00) 4 2 3 5" xfId="34167"/>
    <cellStyle name="Currency (0.00) 4 2 3 6" xfId="33910"/>
    <cellStyle name="Currency (0.00) 4 2 3 7" xfId="24896"/>
    <cellStyle name="Currency (0.00) 4 2 3 8" xfId="35178"/>
    <cellStyle name="Currency (0.00) 4 2 3 9" xfId="34424"/>
    <cellStyle name="Currency (0.00) 4 2 4" xfId="20126"/>
    <cellStyle name="Currency (0.00) 4 2 4 10" xfId="38384"/>
    <cellStyle name="Currency (0.00) 4 2 4 11" xfId="38612"/>
    <cellStyle name="Currency (0.00) 4 2 4 12" xfId="38907"/>
    <cellStyle name="Currency (0.00) 4 2 4 13" xfId="39108"/>
    <cellStyle name="Currency (0.00) 4 2 4 14" xfId="39226"/>
    <cellStyle name="Currency (0.00) 4 2 4 15" xfId="39350"/>
    <cellStyle name="Currency (0.00) 4 2 4 2" xfId="33405"/>
    <cellStyle name="Currency (0.00) 4 2 4 3" xfId="36939"/>
    <cellStyle name="Currency (0.00) 4 2 4 4" xfId="37263"/>
    <cellStyle name="Currency (0.00) 4 2 4 5" xfId="37629"/>
    <cellStyle name="Currency (0.00) 4 2 4 6" xfId="37856"/>
    <cellStyle name="Currency (0.00) 4 2 4 7" xfId="37926"/>
    <cellStyle name="Currency (0.00) 4 2 4 8" xfId="35904"/>
    <cellStyle name="Currency (0.00) 4 2 4 9" xfId="38208"/>
    <cellStyle name="Currency (0.00) 4 2 5" xfId="25469"/>
    <cellStyle name="Currency (0.00) 4 2 6" xfId="34359"/>
    <cellStyle name="Currency (0.00) 4 2 7" xfId="35310"/>
    <cellStyle name="Currency (0.00) 4 2 8" xfId="33747"/>
    <cellStyle name="Currency (0.00) 4 2 9" xfId="33706"/>
    <cellStyle name="Currency (0.00) 4 3" xfId="11279"/>
    <cellStyle name="Currency (0.00) 4 3 10" xfId="37731"/>
    <cellStyle name="Currency (0.00) 4 3 11" xfId="35408"/>
    <cellStyle name="Currency (0.00) 4 3 12" xfId="34598"/>
    <cellStyle name="Currency (0.00) 4 3 2" xfId="16129"/>
    <cellStyle name="Currency (0.00) 4 3 2 10" xfId="36570"/>
    <cellStyle name="Currency (0.00) 4 3 2 11" xfId="35082"/>
    <cellStyle name="Currency (0.00) 4 3 2 12" xfId="38069"/>
    <cellStyle name="Currency (0.00) 4 3 2 13" xfId="36183"/>
    <cellStyle name="Currency (0.00) 4 3 2 2" xfId="29521"/>
    <cellStyle name="Currency (0.00) 4 3 2 3" xfId="35708"/>
    <cellStyle name="Currency (0.00) 4 3 2 4" xfId="25195"/>
    <cellStyle name="Currency (0.00) 4 3 2 5" xfId="24918"/>
    <cellStyle name="Currency (0.00) 4 3 2 6" xfId="34306"/>
    <cellStyle name="Currency (0.00) 4 3 2 7" xfId="33855"/>
    <cellStyle name="Currency (0.00) 4 3 2 8" xfId="36638"/>
    <cellStyle name="Currency (0.00) 4 3 2 9" xfId="35248"/>
    <cellStyle name="Currency (0.00) 4 3 3" xfId="20128"/>
    <cellStyle name="Currency (0.00) 4 3 3 10" xfId="38386"/>
    <cellStyle name="Currency (0.00) 4 3 3 11" xfId="38614"/>
    <cellStyle name="Currency (0.00) 4 3 3 12" xfId="38909"/>
    <cellStyle name="Currency (0.00) 4 3 3 13" xfId="39110"/>
    <cellStyle name="Currency (0.00) 4 3 3 14" xfId="39228"/>
    <cellStyle name="Currency (0.00) 4 3 3 15" xfId="39352"/>
    <cellStyle name="Currency (0.00) 4 3 3 2" xfId="33407"/>
    <cellStyle name="Currency (0.00) 4 3 3 3" xfId="36941"/>
    <cellStyle name="Currency (0.00) 4 3 3 4" xfId="37265"/>
    <cellStyle name="Currency (0.00) 4 3 3 5" xfId="37631"/>
    <cellStyle name="Currency (0.00) 4 3 3 6" xfId="37858"/>
    <cellStyle name="Currency (0.00) 4 3 3 7" xfId="37941"/>
    <cellStyle name="Currency (0.00) 4 3 3 8" xfId="34993"/>
    <cellStyle name="Currency (0.00) 4 3 3 9" xfId="38210"/>
    <cellStyle name="Currency (0.00) 4 3 4" xfId="25471"/>
    <cellStyle name="Currency (0.00) 4 3 5" xfId="34361"/>
    <cellStyle name="Currency (0.00) 4 3 6" xfId="36526"/>
    <cellStyle name="Currency (0.00) 4 3 7" xfId="33748"/>
    <cellStyle name="Currency (0.00) 4 3 8" xfId="36459"/>
    <cellStyle name="Currency (0.00) 4 3 9" xfId="33689"/>
    <cellStyle name="Currency (0.00) 4 4" xfId="16126"/>
    <cellStyle name="Currency (0.00) 4 4 10" xfId="35868"/>
    <cellStyle name="Currency (0.00) 4 4 11" xfId="37671"/>
    <cellStyle name="Currency (0.00) 4 4 12" xfId="29610"/>
    <cellStyle name="Currency (0.00) 4 4 13" xfId="36118"/>
    <cellStyle name="Currency (0.00) 4 4 2" xfId="29518"/>
    <cellStyle name="Currency (0.00) 4 4 3" xfId="35705"/>
    <cellStyle name="Currency (0.00) 4 4 4" xfId="34864"/>
    <cellStyle name="Currency (0.00) 4 4 5" xfId="34166"/>
    <cellStyle name="Currency (0.00) 4 4 6" xfId="34307"/>
    <cellStyle name="Currency (0.00) 4 4 7" xfId="34046"/>
    <cellStyle name="Currency (0.00) 4 4 8" xfId="35446"/>
    <cellStyle name="Currency (0.00) 4 4 9" xfId="34681"/>
    <cellStyle name="Currency (0.00) 4 5" xfId="20125"/>
    <cellStyle name="Currency (0.00) 4 5 10" xfId="38383"/>
    <cellStyle name="Currency (0.00) 4 5 11" xfId="38611"/>
    <cellStyle name="Currency (0.00) 4 5 12" xfId="38906"/>
    <cellStyle name="Currency (0.00) 4 5 13" xfId="39107"/>
    <cellStyle name="Currency (0.00) 4 5 14" xfId="39225"/>
    <cellStyle name="Currency (0.00) 4 5 15" xfId="39349"/>
    <cellStyle name="Currency (0.00) 4 5 2" xfId="33404"/>
    <cellStyle name="Currency (0.00) 4 5 3" xfId="36938"/>
    <cellStyle name="Currency (0.00) 4 5 4" xfId="37262"/>
    <cellStyle name="Currency (0.00) 4 5 5" xfId="37628"/>
    <cellStyle name="Currency (0.00) 4 5 6" xfId="37855"/>
    <cellStyle name="Currency (0.00) 4 5 7" xfId="37925"/>
    <cellStyle name="Currency (0.00) 4 5 8" xfId="33638"/>
    <cellStyle name="Currency (0.00) 4 5 9" xfId="38207"/>
    <cellStyle name="Currency (0.00) 4 6" xfId="25468"/>
    <cellStyle name="Currency (0.00) 4 7" xfId="34358"/>
    <cellStyle name="Currency (0.00) 4 8" xfId="36527"/>
    <cellStyle name="Currency (0.00) 4 9" xfId="33746"/>
    <cellStyle name="Currency (0.00) 5" xfId="11280"/>
    <cellStyle name="Currency (0.00) 5 10" xfId="36243"/>
    <cellStyle name="Currency (0.00) 5 11" xfId="24235"/>
    <cellStyle name="Currency (0.00) 5 12" xfId="36878"/>
    <cellStyle name="Currency (0.00) 5 13" xfId="25541"/>
    <cellStyle name="Currency (0.00) 5 14" xfId="34465"/>
    <cellStyle name="Currency (0.00) 5 2" xfId="11281"/>
    <cellStyle name="Currency (0.00) 5 2 10" xfId="35575"/>
    <cellStyle name="Currency (0.00) 5 2 11" xfId="34666"/>
    <cellStyle name="Currency (0.00) 5 2 12" xfId="24329"/>
    <cellStyle name="Currency (0.00) 5 2 13" xfId="36328"/>
    <cellStyle name="Currency (0.00) 5 2 2" xfId="11282"/>
    <cellStyle name="Currency (0.00) 5 2 2 10" xfId="24962"/>
    <cellStyle name="Currency (0.00) 5 2 2 11" xfId="38147"/>
    <cellStyle name="Currency (0.00) 5 2 2 12" xfId="38460"/>
    <cellStyle name="Currency (0.00) 5 2 2 2" xfId="16132"/>
    <cellStyle name="Currency (0.00) 5 2 2 2 10" xfId="36282"/>
    <cellStyle name="Currency (0.00) 5 2 2 2 11" xfId="24796"/>
    <cellStyle name="Currency (0.00) 5 2 2 2 12" xfId="37355"/>
    <cellStyle name="Currency (0.00) 5 2 2 2 13" xfId="36726"/>
    <cellStyle name="Currency (0.00) 5 2 2 2 2" xfId="29524"/>
    <cellStyle name="Currency (0.00) 5 2 2 2 3" xfId="35711"/>
    <cellStyle name="Currency (0.00) 5 2 2 2 4" xfId="25196"/>
    <cellStyle name="Currency (0.00) 5 2 2 2 5" xfId="34168"/>
    <cellStyle name="Currency (0.00) 5 2 2 2 6" xfId="35047"/>
    <cellStyle name="Currency (0.00) 5 2 2 2 7" xfId="36490"/>
    <cellStyle name="Currency (0.00) 5 2 2 2 8" xfId="34644"/>
    <cellStyle name="Currency (0.00) 5 2 2 2 9" xfId="24253"/>
    <cellStyle name="Currency (0.00) 5 2 2 3" xfId="20131"/>
    <cellStyle name="Currency (0.00) 5 2 2 3 10" xfId="38389"/>
    <cellStyle name="Currency (0.00) 5 2 2 3 11" xfId="38617"/>
    <cellStyle name="Currency (0.00) 5 2 2 3 12" xfId="38912"/>
    <cellStyle name="Currency (0.00) 5 2 2 3 13" xfId="39113"/>
    <cellStyle name="Currency (0.00) 5 2 2 3 14" xfId="39231"/>
    <cellStyle name="Currency (0.00) 5 2 2 3 15" xfId="39355"/>
    <cellStyle name="Currency (0.00) 5 2 2 3 2" xfId="33410"/>
    <cellStyle name="Currency (0.00) 5 2 2 3 3" xfId="36944"/>
    <cellStyle name="Currency (0.00) 5 2 2 3 4" xfId="37268"/>
    <cellStyle name="Currency (0.00) 5 2 2 3 5" xfId="37634"/>
    <cellStyle name="Currency (0.00) 5 2 2 3 6" xfId="37861"/>
    <cellStyle name="Currency (0.00) 5 2 2 3 7" xfId="33628"/>
    <cellStyle name="Currency (0.00) 5 2 2 3 8" xfId="35419"/>
    <cellStyle name="Currency (0.00) 5 2 2 3 9" xfId="38213"/>
    <cellStyle name="Currency (0.00) 5 2 2 4" xfId="25474"/>
    <cellStyle name="Currency (0.00) 5 2 2 5" xfId="34364"/>
    <cellStyle name="Currency (0.00) 5 2 2 6" xfId="24625"/>
    <cellStyle name="Currency (0.00) 5 2 2 7" xfId="25516"/>
    <cellStyle name="Currency (0.00) 5 2 2 8" xfId="36266"/>
    <cellStyle name="Currency (0.00) 5 2 2 9" xfId="25620"/>
    <cellStyle name="Currency (0.00) 5 2 3" xfId="16131"/>
    <cellStyle name="Currency (0.00) 5 2 3 10" xfId="37301"/>
    <cellStyle name="Currency (0.00) 5 2 3 11" xfId="35431"/>
    <cellStyle name="Currency (0.00) 5 2 3 12" xfId="24299"/>
    <cellStyle name="Currency (0.00) 5 2 3 13" xfId="36720"/>
    <cellStyle name="Currency (0.00) 5 2 3 2" xfId="29523"/>
    <cellStyle name="Currency (0.00) 5 2 3 3" xfId="35710"/>
    <cellStyle name="Currency (0.00) 5 2 3 4" xfId="34865"/>
    <cellStyle name="Currency (0.00) 5 2 3 5" xfId="24920"/>
    <cellStyle name="Currency (0.00) 5 2 3 6" xfId="36350"/>
    <cellStyle name="Currency (0.00) 5 2 3 7" xfId="25735"/>
    <cellStyle name="Currency (0.00) 5 2 3 8" xfId="24775"/>
    <cellStyle name="Currency (0.00) 5 2 3 9" xfId="35646"/>
    <cellStyle name="Currency (0.00) 5 2 4" xfId="20130"/>
    <cellStyle name="Currency (0.00) 5 2 4 10" xfId="38388"/>
    <cellStyle name="Currency (0.00) 5 2 4 11" xfId="38616"/>
    <cellStyle name="Currency (0.00) 5 2 4 12" xfId="38911"/>
    <cellStyle name="Currency (0.00) 5 2 4 13" xfId="39112"/>
    <cellStyle name="Currency (0.00) 5 2 4 14" xfId="39230"/>
    <cellStyle name="Currency (0.00) 5 2 4 15" xfId="39354"/>
    <cellStyle name="Currency (0.00) 5 2 4 2" xfId="33409"/>
    <cellStyle name="Currency (0.00) 5 2 4 3" xfId="36943"/>
    <cellStyle name="Currency (0.00) 5 2 4 4" xfId="37267"/>
    <cellStyle name="Currency (0.00) 5 2 4 5" xfId="37633"/>
    <cellStyle name="Currency (0.00) 5 2 4 6" xfId="37860"/>
    <cellStyle name="Currency (0.00) 5 2 4 7" xfId="37942"/>
    <cellStyle name="Currency (0.00) 5 2 4 8" xfId="24784"/>
    <cellStyle name="Currency (0.00) 5 2 4 9" xfId="38212"/>
    <cellStyle name="Currency (0.00) 5 2 5" xfId="25473"/>
    <cellStyle name="Currency (0.00) 5 2 6" xfId="34363"/>
    <cellStyle name="Currency (0.00) 5 2 7" xfId="24624"/>
    <cellStyle name="Currency (0.00) 5 2 8" xfId="35008"/>
    <cellStyle name="Currency (0.00) 5 2 9" xfId="24635"/>
    <cellStyle name="Currency (0.00) 5 3" xfId="11283"/>
    <cellStyle name="Currency (0.00) 5 3 10" xfId="35243"/>
    <cellStyle name="Currency (0.00) 5 3 11" xfId="37994"/>
    <cellStyle name="Currency (0.00) 5 3 12" xfId="24869"/>
    <cellStyle name="Currency (0.00) 5 3 2" xfId="16133"/>
    <cellStyle name="Currency (0.00) 5 3 2 10" xfId="34840"/>
    <cellStyle name="Currency (0.00) 5 3 2 11" xfId="34447"/>
    <cellStyle name="Currency (0.00) 5 3 2 12" xfId="38032"/>
    <cellStyle name="Currency (0.00) 5 3 2 13" xfId="35127"/>
    <cellStyle name="Currency (0.00) 5 3 2 2" xfId="29525"/>
    <cellStyle name="Currency (0.00) 5 3 2 3" xfId="35712"/>
    <cellStyle name="Currency (0.00) 5 3 2 4" xfId="25197"/>
    <cellStyle name="Currency (0.00) 5 3 2 5" xfId="25301"/>
    <cellStyle name="Currency (0.00) 5 3 2 6" xfId="24508"/>
    <cellStyle name="Currency (0.00) 5 3 2 7" xfId="36251"/>
    <cellStyle name="Currency (0.00) 5 3 2 8" xfId="34685"/>
    <cellStyle name="Currency (0.00) 5 3 2 9" xfId="34535"/>
    <cellStyle name="Currency (0.00) 5 3 3" xfId="20132"/>
    <cellStyle name="Currency (0.00) 5 3 3 10" xfId="38390"/>
    <cellStyle name="Currency (0.00) 5 3 3 11" xfId="38618"/>
    <cellStyle name="Currency (0.00) 5 3 3 12" xfId="38913"/>
    <cellStyle name="Currency (0.00) 5 3 3 13" xfId="39114"/>
    <cellStyle name="Currency (0.00) 5 3 3 14" xfId="39232"/>
    <cellStyle name="Currency (0.00) 5 3 3 15" xfId="39356"/>
    <cellStyle name="Currency (0.00) 5 3 3 2" xfId="33411"/>
    <cellStyle name="Currency (0.00) 5 3 3 3" xfId="36945"/>
    <cellStyle name="Currency (0.00) 5 3 3 4" xfId="37269"/>
    <cellStyle name="Currency (0.00) 5 3 3 5" xfId="37635"/>
    <cellStyle name="Currency (0.00) 5 3 3 6" xfId="37862"/>
    <cellStyle name="Currency (0.00) 5 3 3 7" xfId="35287"/>
    <cellStyle name="Currency (0.00) 5 3 3 8" xfId="34482"/>
    <cellStyle name="Currency (0.00) 5 3 3 9" xfId="38214"/>
    <cellStyle name="Currency (0.00) 5 3 4" xfId="25475"/>
    <cellStyle name="Currency (0.00) 5 3 5" xfId="34365"/>
    <cellStyle name="Currency (0.00) 5 3 6" xfId="24626"/>
    <cellStyle name="Currency (0.00) 5 3 7" xfId="35005"/>
    <cellStyle name="Currency (0.00) 5 3 8" xfId="24902"/>
    <cellStyle name="Currency (0.00) 5 3 9" xfId="33647"/>
    <cellStyle name="Currency (0.00) 5 4" xfId="16130"/>
    <cellStyle name="Currency (0.00) 5 4 10" xfId="36227"/>
    <cellStyle name="Currency (0.00) 5 4 11" xfId="35766"/>
    <cellStyle name="Currency (0.00) 5 4 12" xfId="37738"/>
    <cellStyle name="Currency (0.00) 5 4 13" xfId="25727"/>
    <cellStyle name="Currency (0.00) 5 4 2" xfId="29522"/>
    <cellStyle name="Currency (0.00) 5 4 3" xfId="35709"/>
    <cellStyle name="Currency (0.00) 5 4 4" xfId="36032"/>
    <cellStyle name="Currency (0.00) 5 4 5" xfId="35927"/>
    <cellStyle name="Currency (0.00) 5 4 6" xfId="36241"/>
    <cellStyle name="Currency (0.00) 5 4 7" xfId="34224"/>
    <cellStyle name="Currency (0.00) 5 4 8" xfId="33699"/>
    <cellStyle name="Currency (0.00) 5 4 9" xfId="25481"/>
    <cellStyle name="Currency (0.00) 5 5" xfId="20129"/>
    <cellStyle name="Currency (0.00) 5 5 10" xfId="38387"/>
    <cellStyle name="Currency (0.00) 5 5 11" xfId="38615"/>
    <cellStyle name="Currency (0.00) 5 5 12" xfId="38910"/>
    <cellStyle name="Currency (0.00) 5 5 13" xfId="39111"/>
    <cellStyle name="Currency (0.00) 5 5 14" xfId="39229"/>
    <cellStyle name="Currency (0.00) 5 5 15" xfId="39353"/>
    <cellStyle name="Currency (0.00) 5 5 2" xfId="33408"/>
    <cellStyle name="Currency (0.00) 5 5 3" xfId="36942"/>
    <cellStyle name="Currency (0.00) 5 5 4" xfId="37266"/>
    <cellStyle name="Currency (0.00) 5 5 5" xfId="37632"/>
    <cellStyle name="Currency (0.00) 5 5 6" xfId="37859"/>
    <cellStyle name="Currency (0.00) 5 5 7" xfId="35063"/>
    <cellStyle name="Currency (0.00) 5 5 8" xfId="34630"/>
    <cellStyle name="Currency (0.00) 5 5 9" xfId="38211"/>
    <cellStyle name="Currency (0.00) 5 6" xfId="25472"/>
    <cellStyle name="Currency (0.00) 5 7" xfId="34362"/>
    <cellStyle name="Currency (0.00) 5 8" xfId="35309"/>
    <cellStyle name="Currency (0.00) 5 9" xfId="33749"/>
    <cellStyle name="Currency (0.00) 6" xfId="11284"/>
    <cellStyle name="Currency (0.00) 6 10" xfId="36104"/>
    <cellStyle name="Currency (0.00) 6 11" xfId="38085"/>
    <cellStyle name="Currency (0.00) 6 12" xfId="38009"/>
    <cellStyle name="Currency (0.00) 6 2" xfId="16134"/>
    <cellStyle name="Currency (0.00) 6 2 10" xfId="35241"/>
    <cellStyle name="Currency (0.00) 6 2 11" xfId="20482"/>
    <cellStyle name="Currency (0.00) 6 2 12" xfId="38020"/>
    <cellStyle name="Currency (0.00) 6 2 13" xfId="25430"/>
    <cellStyle name="Currency (0.00) 6 2 2" xfId="29526"/>
    <cellStyle name="Currency (0.00) 6 2 3" xfId="35713"/>
    <cellStyle name="Currency (0.00) 6 2 4" xfId="36030"/>
    <cellStyle name="Currency (0.00) 6 2 5" xfId="24919"/>
    <cellStyle name="Currency (0.00) 6 2 6" xfId="34796"/>
    <cellStyle name="Currency (0.00) 6 2 7" xfId="35269"/>
    <cellStyle name="Currency (0.00) 6 2 8" xfId="24951"/>
    <cellStyle name="Currency (0.00) 6 2 9" xfId="33786"/>
    <cellStyle name="Currency (0.00) 6 3" xfId="20133"/>
    <cellStyle name="Currency (0.00) 6 3 10" xfId="38391"/>
    <cellStyle name="Currency (0.00) 6 3 11" xfId="38619"/>
    <cellStyle name="Currency (0.00) 6 3 12" xfId="38914"/>
    <cellStyle name="Currency (0.00) 6 3 13" xfId="39115"/>
    <cellStyle name="Currency (0.00) 6 3 14" xfId="39233"/>
    <cellStyle name="Currency (0.00) 6 3 15" xfId="39357"/>
    <cellStyle name="Currency (0.00) 6 3 2" xfId="33412"/>
    <cellStyle name="Currency (0.00) 6 3 3" xfId="36946"/>
    <cellStyle name="Currency (0.00) 6 3 4" xfId="37270"/>
    <cellStyle name="Currency (0.00) 6 3 5" xfId="37636"/>
    <cellStyle name="Currency (0.00) 6 3 6" xfId="37863"/>
    <cellStyle name="Currency (0.00) 6 3 7" xfId="36254"/>
    <cellStyle name="Currency (0.00) 6 3 8" xfId="34971"/>
    <cellStyle name="Currency (0.00) 6 3 9" xfId="38215"/>
    <cellStyle name="Currency (0.00) 6 4" xfId="25476"/>
    <cellStyle name="Currency (0.00) 6 5" xfId="34366"/>
    <cellStyle name="Currency (0.00) 6 6" xfId="36524"/>
    <cellStyle name="Currency (0.00) 6 7" xfId="33750"/>
    <cellStyle name="Currency (0.00) 6 8" xfId="24326"/>
    <cellStyle name="Currency (0.00) 6 9" xfId="33815"/>
    <cellStyle name="Currency (0.00) 7" xfId="16105"/>
    <cellStyle name="Currency (0.00) 7 10" xfId="35993"/>
    <cellStyle name="Currency (0.00) 7 11" xfId="34065"/>
    <cellStyle name="Currency (0.00) 7 12" xfId="25008"/>
    <cellStyle name="Currency (0.00) 7 13" xfId="24404"/>
    <cellStyle name="Currency (0.00) 7 2" xfId="29497"/>
    <cellStyle name="Currency (0.00) 7 3" xfId="35684"/>
    <cellStyle name="Currency (0.00) 7 4" xfId="36038"/>
    <cellStyle name="Currency (0.00) 7 5" xfId="35118"/>
    <cellStyle name="Currency (0.00) 7 6" xfId="34309"/>
    <cellStyle name="Currency (0.00) 7 7" xfId="36122"/>
    <cellStyle name="Currency (0.00) 7 8" xfId="35160"/>
    <cellStyle name="Currency (0.00) 7 9" xfId="35159"/>
    <cellStyle name="Currency (0.00) 8" xfId="20104"/>
    <cellStyle name="Currency (0.00) 8 10" xfId="38362"/>
    <cellStyle name="Currency (0.00) 8 11" xfId="38590"/>
    <cellStyle name="Currency (0.00) 8 12" xfId="38885"/>
    <cellStyle name="Currency (0.00) 8 13" xfId="39086"/>
    <cellStyle name="Currency (0.00) 8 14" xfId="39204"/>
    <cellStyle name="Currency (0.00) 8 15" xfId="39328"/>
    <cellStyle name="Currency (0.00) 8 2" xfId="33383"/>
    <cellStyle name="Currency (0.00) 8 3" xfId="36917"/>
    <cellStyle name="Currency (0.00) 8 4" xfId="37241"/>
    <cellStyle name="Currency (0.00) 8 5" xfId="37607"/>
    <cellStyle name="Currency (0.00) 8 6" xfId="37834"/>
    <cellStyle name="Currency (0.00) 8 7" xfId="34379"/>
    <cellStyle name="Currency (0.00) 8 8" xfId="37468"/>
    <cellStyle name="Currency (0.00) 8 9" xfId="38186"/>
    <cellStyle name="Currency (0.00) 9" xfId="25447"/>
    <cellStyle name="Currency [0] 2" xfId="11285"/>
    <cellStyle name="Currency [0] 2 2" xfId="11286"/>
    <cellStyle name="Currency [0] 3" xfId="33569"/>
    <cellStyle name="Currency [0] 4" xfId="33573"/>
    <cellStyle name="Currency [00]" xfId="11287"/>
    <cellStyle name="Currency [1]" xfId="11288"/>
    <cellStyle name="Currency [1] 2" xfId="11289"/>
    <cellStyle name="Currency [1] 2 2" xfId="11290"/>
    <cellStyle name="Currency [1] 3" xfId="11291"/>
    <cellStyle name="Currency [1] 4" xfId="11292"/>
    <cellStyle name="Currency [1] 5" xfId="11293"/>
    <cellStyle name="Currency [2]" xfId="11294"/>
    <cellStyle name="Currency [3]" xfId="11295"/>
    <cellStyle name="Currency [3] 2" xfId="11296"/>
    <cellStyle name="Currency [4]" xfId="11297"/>
    <cellStyle name="Currency 0" xfId="11298"/>
    <cellStyle name="Currency 0 2" xfId="11299"/>
    <cellStyle name="Currency 0.0" xfId="11300"/>
    <cellStyle name="Currency 0.0%" xfId="11301"/>
    <cellStyle name="Currency 0.0% 2" xfId="11302"/>
    <cellStyle name="Currency 0.00" xfId="11303"/>
    <cellStyle name="Currency 0.00%" xfId="11304"/>
    <cellStyle name="Currency 0.00% 2" xfId="11305"/>
    <cellStyle name="Currency 0.000" xfId="11306"/>
    <cellStyle name="Currency 0.000%" xfId="11307"/>
    <cellStyle name="Currency 0.000% 2" xfId="11308"/>
    <cellStyle name="Currency 14" xfId="20311"/>
    <cellStyle name="Currency 14 2" xfId="33546"/>
    <cellStyle name="Currency 2" xfId="3"/>
    <cellStyle name="Currency 2 2" xfId="11309"/>
    <cellStyle name="Currency 2 2 2" xfId="11310"/>
    <cellStyle name="Currency 2 2 2 2" xfId="11311"/>
    <cellStyle name="Currency 2 2 2 2 2" xfId="16135"/>
    <cellStyle name="Currency 2 2 2 2 2 2" xfId="29527"/>
    <cellStyle name="Currency 2 2 2 2 3" xfId="20134"/>
    <cellStyle name="Currency 2 2 2 2 3 2" xfId="33413"/>
    <cellStyle name="Currency 2 2 2 2 4" xfId="25482"/>
    <cellStyle name="Currency 2 2 3" xfId="11312"/>
    <cellStyle name="Currency 2 2 3 2" xfId="16136"/>
    <cellStyle name="Currency 2 2 3 2 2" xfId="29528"/>
    <cellStyle name="Currency 2 2 3 3" xfId="20135"/>
    <cellStyle name="Currency 2 2 3 3 2" xfId="33414"/>
    <cellStyle name="Currency 2 2 3 4" xfId="25483"/>
    <cellStyle name="Currency 2 3" xfId="11313"/>
    <cellStyle name="Currency 2 3 2" xfId="11314"/>
    <cellStyle name="Currency 2 4" xfId="11315"/>
    <cellStyle name="Currency 2 4 2" xfId="11316"/>
    <cellStyle name="Currency 2 5" xfId="11317"/>
    <cellStyle name="Currency 2 5 2" xfId="11318"/>
    <cellStyle name="Currency 2 6" xfId="11319"/>
    <cellStyle name="Currency 2 7" xfId="12430"/>
    <cellStyle name="Currency 2 7 2" xfId="25822"/>
    <cellStyle name="Currency 2 8" xfId="16386"/>
    <cellStyle name="Currency 2 8 2" xfId="29665"/>
    <cellStyle name="Currency 2 9" xfId="20434"/>
    <cellStyle name="Currency 2*" xfId="11320"/>
    <cellStyle name="Currency 2_ Budgeted Income Statement for Y2008 (071508)" xfId="11321"/>
    <cellStyle name="Currency 3" xfId="11322"/>
    <cellStyle name="Currency 3 2" xfId="11323"/>
    <cellStyle name="Currency 3 3" xfId="20405"/>
    <cellStyle name="Currency 3*" xfId="11324"/>
    <cellStyle name="Currency 3_ Budgeted Income Statement for Y2009 (071508)" xfId="11325"/>
    <cellStyle name="Currency 39" xfId="20392"/>
    <cellStyle name="Currency 4" xfId="11326"/>
    <cellStyle name="Currency 4 2" xfId="11327"/>
    <cellStyle name="Currency 4 2 2" xfId="11328"/>
    <cellStyle name="Currency 4 2 2 2" xfId="16137"/>
    <cellStyle name="Currency 4 2 2 2 2" xfId="29529"/>
    <cellStyle name="Currency 4 2 2 3" xfId="20136"/>
    <cellStyle name="Currency 4 2 2 3 2" xfId="33415"/>
    <cellStyle name="Currency 4 2 2 4" xfId="25488"/>
    <cellStyle name="Currency 4 3" xfId="11329"/>
    <cellStyle name="Currency 4 3 2" xfId="16138"/>
    <cellStyle name="Currency 4 3 2 2" xfId="29530"/>
    <cellStyle name="Currency 4 3 3" xfId="20137"/>
    <cellStyle name="Currency 4 3 3 2" xfId="33416"/>
    <cellStyle name="Currency 4 3 4" xfId="25489"/>
    <cellStyle name="Currency 5" xfId="11330"/>
    <cellStyle name="Currency 5 4" xfId="12423"/>
    <cellStyle name="Currency 6" xfId="11331"/>
    <cellStyle name="Currency 6 2" xfId="16139"/>
    <cellStyle name="Currency 6 2 2" xfId="29531"/>
    <cellStyle name="Currency 6 3" xfId="20138"/>
    <cellStyle name="Currency 6 3 2" xfId="33417"/>
    <cellStyle name="Currency 6 4" xfId="25490"/>
    <cellStyle name="Currency 7" xfId="16218"/>
    <cellStyle name="Currency 7 2" xfId="20397"/>
    <cellStyle name="Currency 7 2 2" xfId="20272"/>
    <cellStyle name="Currency 7 2 2 2" xfId="33530"/>
    <cellStyle name="Currency 7 2 3" xfId="20420"/>
    <cellStyle name="Currency 7 2 4" xfId="33579"/>
    <cellStyle name="Currency 8" xfId="20413"/>
    <cellStyle name="Currency 8 2" xfId="33571"/>
    <cellStyle name="Currency 9" xfId="33575"/>
    <cellStyle name="Currency 9 3" xfId="20273"/>
    <cellStyle name="Currency 9 3 2" xfId="20274"/>
    <cellStyle name="Currency 9 3 2 2" xfId="33532"/>
    <cellStyle name="Currency 9 3 3" xfId="33531"/>
    <cellStyle name="Currency Input" xfId="11332"/>
    <cellStyle name="Currency Input 2" xfId="11333"/>
    <cellStyle name="Currency*" xfId="11334"/>
    <cellStyle name="Currency0" xfId="11335"/>
    <cellStyle name="Currency0 2" xfId="11336"/>
    <cellStyle name="Currency1" xfId="11337"/>
    <cellStyle name="Currency2" xfId="11338"/>
    <cellStyle name="Currsmall" xfId="11339"/>
    <cellStyle name="custom" xfId="11340"/>
    <cellStyle name="d" xfId="11341"/>
    <cellStyle name="d/m/yr" xfId="11342"/>
    <cellStyle name="DARK" xfId="11343"/>
    <cellStyle name="darren" xfId="11344"/>
    <cellStyle name="Dash" xfId="11345"/>
    <cellStyle name="Data entry" xfId="11346"/>
    <cellStyle name="Data Link" xfId="11347"/>
    <cellStyle name="DataBases" xfId="11348"/>
    <cellStyle name="DATASTYLE" xfId="11349"/>
    <cellStyle name="DataToHide" xfId="11350"/>
    <cellStyle name="Date" xfId="11351"/>
    <cellStyle name="Date - Style1" xfId="11352"/>
    <cellStyle name="Date - Style3" xfId="11353"/>
    <cellStyle name="Date [d-mmm-yy]" xfId="11354"/>
    <cellStyle name="Date [d-mmm-yy] 2" xfId="20312"/>
    <cellStyle name="Date [mm-d-yy]" xfId="11355"/>
    <cellStyle name="Date [mm-d-yy] 2" xfId="20313"/>
    <cellStyle name="Date [mm-d-yyyy]" xfId="11356"/>
    <cellStyle name="Date [mm-d-yyyy] 2" xfId="11357"/>
    <cellStyle name="Date [mm-d-yyyy] 2 2" xfId="25497"/>
    <cellStyle name="Date [mm-d-yyyy] 2 3" xfId="34386"/>
    <cellStyle name="Date [mm-d-yyyy] 3" xfId="25496"/>
    <cellStyle name="Date [mm-d-yyyy] 4" xfId="34385"/>
    <cellStyle name="Date [mmm-d-yyyy]" xfId="11358"/>
    <cellStyle name="Date [mmm-yy]" xfId="11359"/>
    <cellStyle name="Date [mmm-yy] 2" xfId="20314"/>
    <cellStyle name="Date 2" xfId="11360"/>
    <cellStyle name="Date Aligned" xfId="11361"/>
    <cellStyle name="Date Aligned*" xfId="11362"/>
    <cellStyle name="Date Aligned_comps" xfId="11363"/>
    <cellStyle name="Date Short" xfId="11364"/>
    <cellStyle name="Date Short 2" xfId="20315"/>
    <cellStyle name="Date Year" xfId="11365"/>
    <cellStyle name="Date_ACC_DIL Template" xfId="11366"/>
    <cellStyle name="Date1" xfId="11367"/>
    <cellStyle name="DateL" xfId="11368"/>
    <cellStyle name="DateLong" xfId="11369"/>
    <cellStyle name="DateLong 2" xfId="11370"/>
    <cellStyle name="DateLong 3" xfId="11371"/>
    <cellStyle name="DATES" xfId="11372"/>
    <cellStyle name="DATES 2" xfId="20316"/>
    <cellStyle name="DateShort" xfId="11373"/>
    <cellStyle name="DateShort 2" xfId="11374"/>
    <cellStyle name="DateShort 3" xfId="11375"/>
    <cellStyle name="DateYear" xfId="11376"/>
    <cellStyle name="DateYearEstimate" xfId="11377"/>
    <cellStyle name="DateYearEstimate 2" xfId="11378"/>
    <cellStyle name="DateYearEstimate 2 2" xfId="11379"/>
    <cellStyle name="DateYearEstimate 2 2 2" xfId="16142"/>
    <cellStyle name="DateYearEstimate 2 2 2 10" xfId="35301"/>
    <cellStyle name="DateYearEstimate 2 2 2 2" xfId="29534"/>
    <cellStyle name="DateYearEstimate 2 2 2 3" xfId="25199"/>
    <cellStyle name="DateYearEstimate 2 2 2 4" xfId="34762"/>
    <cellStyle name="DateYearEstimate 2 2 2 5" xfId="36578"/>
    <cellStyle name="DateYearEstimate 2 2 2 6" xfId="25114"/>
    <cellStyle name="DateYearEstimate 2 2 2 7" xfId="37970"/>
    <cellStyle name="DateYearEstimate 2 2 2 8" xfId="35964"/>
    <cellStyle name="DateYearEstimate 2 2 2 9" xfId="25486"/>
    <cellStyle name="DateYearEstimate 2 2 3" xfId="20141"/>
    <cellStyle name="DateYearEstimate 2 2 3 2" xfId="33420"/>
    <cellStyle name="DateYearEstimate 2 2 4" xfId="25502"/>
    <cellStyle name="DateYearEstimate 2 2 5" xfId="35543"/>
    <cellStyle name="DateYearEstimate 2 2 6" xfId="25325"/>
    <cellStyle name="DateYearEstimate 2 3" xfId="16141"/>
    <cellStyle name="DateYearEstimate 2 3 10" xfId="25554"/>
    <cellStyle name="DateYearEstimate 2 3 2" xfId="29533"/>
    <cellStyle name="DateYearEstimate 2 3 3" xfId="25198"/>
    <cellStyle name="DateYearEstimate 2 3 4" xfId="34169"/>
    <cellStyle name="DateYearEstimate 2 3 5" xfId="33909"/>
    <cellStyle name="DateYearEstimate 2 3 6" xfId="35498"/>
    <cellStyle name="DateYearEstimate 2 3 7" xfId="25515"/>
    <cellStyle name="DateYearEstimate 2 3 8" xfId="37487"/>
    <cellStyle name="DateYearEstimate 2 3 9" xfId="35256"/>
    <cellStyle name="DateYearEstimate 2 4" xfId="20140"/>
    <cellStyle name="DateYearEstimate 2 4 2" xfId="33419"/>
    <cellStyle name="DateYearEstimate 2 5" xfId="25501"/>
    <cellStyle name="DateYearEstimate 2 6" xfId="36607"/>
    <cellStyle name="DateYearEstimate 2 7" xfId="34211"/>
    <cellStyle name="DateYearEstimate 3" xfId="11380"/>
    <cellStyle name="DateYearEstimate 3 2" xfId="11381"/>
    <cellStyle name="DateYearEstimate 3 2 2" xfId="16144"/>
    <cellStyle name="DateYearEstimate 3 2 2 10" xfId="35441"/>
    <cellStyle name="DateYearEstimate 3 2 2 2" xfId="29536"/>
    <cellStyle name="DateYearEstimate 3 2 2 3" xfId="34859"/>
    <cellStyle name="DateYearEstimate 3 2 2 4" xfId="34170"/>
    <cellStyle name="DateYearEstimate 3 2 2 5" xfId="33908"/>
    <cellStyle name="DateYearEstimate 3 2 2 6" xfId="33763"/>
    <cellStyle name="DateYearEstimate 3 2 2 7" xfId="36620"/>
    <cellStyle name="DateYearEstimate 3 2 2 8" xfId="36987"/>
    <cellStyle name="DateYearEstimate 3 2 2 9" xfId="33931"/>
    <cellStyle name="DateYearEstimate 3 2 3" xfId="20143"/>
    <cellStyle name="DateYearEstimate 3 2 3 2" xfId="33422"/>
    <cellStyle name="DateYearEstimate 3 2 4" xfId="25504"/>
    <cellStyle name="DateYearEstimate 3 2 5" xfId="34030"/>
    <cellStyle name="DateYearEstimate 3 2 6" xfId="37465"/>
    <cellStyle name="DateYearEstimate 3 3" xfId="16143"/>
    <cellStyle name="DateYearEstimate 3 3 10" xfId="35098"/>
    <cellStyle name="DateYearEstimate 3 3 2" xfId="29535"/>
    <cellStyle name="DateYearEstimate 3 3 3" xfId="36027"/>
    <cellStyle name="DateYearEstimate 3 3 4" xfId="36316"/>
    <cellStyle name="DateYearEstimate 3 3 5" xfId="25261"/>
    <cellStyle name="DateYearEstimate 3 3 6" xfId="24389"/>
    <cellStyle name="DateYearEstimate 3 3 7" xfId="35716"/>
    <cellStyle name="DateYearEstimate 3 3 8" xfId="25622"/>
    <cellStyle name="DateYearEstimate 3 3 9" xfId="35898"/>
    <cellStyle name="DateYearEstimate 3 4" xfId="20142"/>
    <cellStyle name="DateYearEstimate 3 4 2" xfId="33421"/>
    <cellStyle name="DateYearEstimate 3 5" xfId="25503"/>
    <cellStyle name="DateYearEstimate 3 6" xfId="34425"/>
    <cellStyle name="DateYearEstimate 3 7" xfId="38297"/>
    <cellStyle name="DateYearEstimate 4" xfId="11382"/>
    <cellStyle name="DateYearEstimate 4 2" xfId="16145"/>
    <cellStyle name="DateYearEstimate 4 2 10" xfId="36863"/>
    <cellStyle name="DateYearEstimate 4 2 2" xfId="29537"/>
    <cellStyle name="DateYearEstimate 4 2 3" xfId="36029"/>
    <cellStyle name="DateYearEstimate 4 2 4" xfId="34171"/>
    <cellStyle name="DateYearEstimate 4 2 5" xfId="35383"/>
    <cellStyle name="DateYearEstimate 4 2 6" xfId="36714"/>
    <cellStyle name="DateYearEstimate 4 2 7" xfId="33824"/>
    <cellStyle name="DateYearEstimate 4 2 8" xfId="36381"/>
    <cellStyle name="DateYearEstimate 4 2 9" xfId="37354"/>
    <cellStyle name="DateYearEstimate 4 3" xfId="20144"/>
    <cellStyle name="DateYearEstimate 4 3 2" xfId="33423"/>
    <cellStyle name="DateYearEstimate 4 4" xfId="25505"/>
    <cellStyle name="DateYearEstimate 4 5" xfId="34534"/>
    <cellStyle name="DateYearEstimate 4 6" xfId="36294"/>
    <cellStyle name="DateYearEstimate 5" xfId="16140"/>
    <cellStyle name="DateYearEstimate 5 10" xfId="37880"/>
    <cellStyle name="DateYearEstimate 5 2" xfId="29532"/>
    <cellStyle name="DateYearEstimate 5 3" xfId="34863"/>
    <cellStyle name="DateYearEstimate 5 4" xfId="35121"/>
    <cellStyle name="DateYearEstimate 5 5" xfId="35151"/>
    <cellStyle name="DateYearEstimate 5 6" xfId="35532"/>
    <cellStyle name="DateYearEstimate 5 7" xfId="25487"/>
    <cellStyle name="DateYearEstimate 5 8" xfId="24597"/>
    <cellStyle name="DateYearEstimate 5 9" xfId="34726"/>
    <cellStyle name="DateYearEstimate 6" xfId="20139"/>
    <cellStyle name="DateYearEstimate 6 2" xfId="33418"/>
    <cellStyle name="DateYearEstimate 7" xfId="25500"/>
    <cellStyle name="DateYearEstimate 8" xfId="33879"/>
    <cellStyle name="DateYearEstimate 9" xfId="34089"/>
    <cellStyle name="DateYearWholeEstimate" xfId="11383"/>
    <cellStyle name="DateYearWholeEstimate 2" xfId="11384"/>
    <cellStyle name="DateYearWholeEstimate 2 2" xfId="11385"/>
    <cellStyle name="DateYearWholeEstimate 2 2 2" xfId="16148"/>
    <cellStyle name="DateYearWholeEstimate 2 2 2 10" xfId="36233"/>
    <cellStyle name="DateYearWholeEstimate 2 2 2 2" xfId="29540"/>
    <cellStyle name="DateYearWholeEstimate 2 2 2 3" xfId="36028"/>
    <cellStyle name="DateYearWholeEstimate 2 2 2 4" xfId="24916"/>
    <cellStyle name="DateYearWholeEstimate 2 2 2 5" xfId="33905"/>
    <cellStyle name="DateYearWholeEstimate 2 2 2 6" xfId="34215"/>
    <cellStyle name="DateYearWholeEstimate 2 2 2 7" xfId="36116"/>
    <cellStyle name="DateYearWholeEstimate 2 2 2 8" xfId="37945"/>
    <cellStyle name="DateYearWholeEstimate 2 2 2 9" xfId="33858"/>
    <cellStyle name="DateYearWholeEstimate 2 2 3" xfId="20147"/>
    <cellStyle name="DateYearWholeEstimate 2 2 3 2" xfId="33426"/>
    <cellStyle name="DateYearWholeEstimate 2 2 4" xfId="25508"/>
    <cellStyle name="DateYearWholeEstimate 2 2 5" xfId="35539"/>
    <cellStyle name="DateYearWholeEstimate 2 2 6" xfId="33678"/>
    <cellStyle name="DateYearWholeEstimate 2 3" xfId="16147"/>
    <cellStyle name="DateYearWholeEstimate 2 3 10" xfId="35505"/>
    <cellStyle name="DateYearWholeEstimate 2 3 2" xfId="29539"/>
    <cellStyle name="DateYearWholeEstimate 2 3 3" xfId="25200"/>
    <cellStyle name="DateYearWholeEstimate 2 3 4" xfId="35937"/>
    <cellStyle name="DateYearWholeEstimate 2 3 5" xfId="34304"/>
    <cellStyle name="DateYearWholeEstimate 2 3 6" xfId="37362"/>
    <cellStyle name="DateYearWholeEstimate 2 3 7" xfId="34926"/>
    <cellStyle name="DateYearWholeEstimate 2 3 8" xfId="33732"/>
    <cellStyle name="DateYearWholeEstimate 2 3 9" xfId="35647"/>
    <cellStyle name="DateYearWholeEstimate 2 4" xfId="20146"/>
    <cellStyle name="DateYearWholeEstimate 2 4 2" xfId="33425"/>
    <cellStyle name="DateYearWholeEstimate 2 5" xfId="25507"/>
    <cellStyle name="DateYearWholeEstimate 2 6" xfId="36157"/>
    <cellStyle name="DateYearWholeEstimate 2 7" xfId="35851"/>
    <cellStyle name="DateYearWholeEstimate 3" xfId="11386"/>
    <cellStyle name="DateYearWholeEstimate 3 2" xfId="11387"/>
    <cellStyle name="DateYearWholeEstimate 3 2 2" xfId="16150"/>
    <cellStyle name="DateYearWholeEstimate 3 2 2 10" xfId="34063"/>
    <cellStyle name="DateYearWholeEstimate 3 2 2 2" xfId="29542"/>
    <cellStyle name="DateYearWholeEstimate 3 2 2 3" xfId="25201"/>
    <cellStyle name="DateYearWholeEstimate 3 2 2 4" xfId="35122"/>
    <cellStyle name="DateYearWholeEstimate 3 2 2 5" xfId="33907"/>
    <cellStyle name="DateYearWholeEstimate 3 2 2 6" xfId="35430"/>
    <cellStyle name="DateYearWholeEstimate 3 2 2 7" xfId="37522"/>
    <cellStyle name="DateYearWholeEstimate 3 2 2 8" xfId="25743"/>
    <cellStyle name="DateYearWholeEstimate 3 2 2 9" xfId="38035"/>
    <cellStyle name="DateYearWholeEstimate 3 2 3" xfId="20149"/>
    <cellStyle name="DateYearWholeEstimate 3 2 3 2" xfId="33428"/>
    <cellStyle name="DateYearWholeEstimate 3 2 4" xfId="25510"/>
    <cellStyle name="DateYearWholeEstimate 3 2 5" xfId="35996"/>
    <cellStyle name="DateYearWholeEstimate 3 2 6" xfId="37930"/>
    <cellStyle name="DateYearWholeEstimate 3 3" xfId="16149"/>
    <cellStyle name="DateYearWholeEstimate 3 3 10" xfId="25234"/>
    <cellStyle name="DateYearWholeEstimate 3 3 2" xfId="29541"/>
    <cellStyle name="DateYearWholeEstimate 3 3 3" xfId="34860"/>
    <cellStyle name="DateYearWholeEstimate 3 3 4" xfId="25299"/>
    <cellStyle name="DateYearWholeEstimate 3 3 5" xfId="25259"/>
    <cellStyle name="DateYearWholeEstimate 3 3 6" xfId="36950"/>
    <cellStyle name="DateYearWholeEstimate 3 3 7" xfId="25587"/>
    <cellStyle name="DateYearWholeEstimate 3 3 8" xfId="34302"/>
    <cellStyle name="DateYearWholeEstimate 3 3 9" xfId="24767"/>
    <cellStyle name="DateYearWholeEstimate 3 4" xfId="20148"/>
    <cellStyle name="DateYearWholeEstimate 3 4 2" xfId="33427"/>
    <cellStyle name="DateYearWholeEstimate 3 5" xfId="25509"/>
    <cellStyle name="DateYearWholeEstimate 3 6" xfId="33738"/>
    <cellStyle name="DateYearWholeEstimate 3 7" xfId="37724"/>
    <cellStyle name="DateYearWholeEstimate 4" xfId="11388"/>
    <cellStyle name="DateYearWholeEstimate 4 2" xfId="16151"/>
    <cellStyle name="DateYearWholeEstimate 4 2 10" xfId="36716"/>
    <cellStyle name="DateYearWholeEstimate 4 2 2" xfId="29543"/>
    <cellStyle name="DateYearWholeEstimate 4 2 3" xfId="25202"/>
    <cellStyle name="DateYearWholeEstimate 4 2 4" xfId="34173"/>
    <cellStyle name="DateYearWholeEstimate 4 2 5" xfId="36577"/>
    <cellStyle name="DateYearWholeEstimate 4 2 6" xfId="29619"/>
    <cellStyle name="DateYearWholeEstimate 4 2 7" xfId="36106"/>
    <cellStyle name="DateYearWholeEstimate 4 2 8" xfId="37480"/>
    <cellStyle name="DateYearWholeEstimate 4 2 9" xfId="34618"/>
    <cellStyle name="DateYearWholeEstimate 4 3" xfId="20150"/>
    <cellStyle name="DateYearWholeEstimate 4 3 2" xfId="33429"/>
    <cellStyle name="DateYearWholeEstimate 4 4" xfId="25511"/>
    <cellStyle name="DateYearWholeEstimate 4 5" xfId="34834"/>
    <cellStyle name="DateYearWholeEstimate 4 6" xfId="38097"/>
    <cellStyle name="DateYearWholeEstimate 5" xfId="16146"/>
    <cellStyle name="DateYearWholeEstimate 5 10" xfId="34547"/>
    <cellStyle name="DateYearWholeEstimate 5 2" xfId="29538"/>
    <cellStyle name="DateYearWholeEstimate 5 3" xfId="34861"/>
    <cellStyle name="DateYearWholeEstimate 5 4" xfId="34172"/>
    <cellStyle name="DateYearWholeEstimate 5 5" xfId="24509"/>
    <cellStyle name="DateYearWholeEstimate 5 6" xfId="34572"/>
    <cellStyle name="DateYearWholeEstimate 5 7" xfId="37044"/>
    <cellStyle name="DateYearWholeEstimate 5 8" xfId="35099"/>
    <cellStyle name="DateYearWholeEstimate 5 9" xfId="36647"/>
    <cellStyle name="DateYearWholeEstimate 6" xfId="20145"/>
    <cellStyle name="DateYearWholeEstimate 6 2" xfId="33424"/>
    <cellStyle name="DateYearWholeEstimate 7" xfId="25506"/>
    <cellStyle name="DateYearWholeEstimate 8" xfId="37376"/>
    <cellStyle name="DateYearWholeEstimate 9" xfId="35257"/>
    <cellStyle name="Daydate" xfId="11389"/>
    <cellStyle name="Day-Mon-Yr" xfId="11390"/>
    <cellStyle name="Decimal" xfId="11391"/>
    <cellStyle name="Decimal Number" xfId="11392"/>
    <cellStyle name="default" xfId="11393"/>
    <cellStyle name="Default SS" xfId="11394"/>
    <cellStyle name="Default TB" xfId="11395"/>
    <cellStyle name="Default_affinityfin12-11-06" xfId="11396"/>
    <cellStyle name="DELTA" xfId="11397"/>
    <cellStyle name="Dezimal [0]_!!!GO" xfId="11398"/>
    <cellStyle name="Dezimal_!!!GO" xfId="11399"/>
    <cellStyle name="Dollar" xfId="11400"/>
    <cellStyle name="Dollar (zero dec)" xfId="11401"/>
    <cellStyle name="Dollar 2" xfId="20317"/>
    <cellStyle name="Dollar1" xfId="11402"/>
    <cellStyle name="Dollar1Blue" xfId="11403"/>
    <cellStyle name="Dollar2" xfId="11404"/>
    <cellStyle name="DOLLARLIN" xfId="11405"/>
    <cellStyle name="dollars" xfId="11406"/>
    <cellStyle name="Dollars []" xfId="11407"/>
    <cellStyle name="dollars 2" xfId="20318"/>
    <cellStyle name="dollars 3" xfId="20319"/>
    <cellStyle name="dollars_Book2" xfId="11408"/>
    <cellStyle name="DOLLARSIN" xfId="11409"/>
    <cellStyle name="DollarWhole" xfId="11410"/>
    <cellStyle name="DollarWhole 2" xfId="20320"/>
    <cellStyle name="Dotted Line" xfId="11411"/>
    <cellStyle name="Double Accounting" xfId="11412"/>
    <cellStyle name="Double Underline" xfId="11413"/>
    <cellStyle name="Download" xfId="11414"/>
    <cellStyle name="Download 2" xfId="20321"/>
    <cellStyle name="Enter Currency (0)" xfId="11415"/>
    <cellStyle name="Enter Currency (2)" xfId="11416"/>
    <cellStyle name="Enter Units (0)" xfId="11417"/>
    <cellStyle name="Enter Units (1)" xfId="11418"/>
    <cellStyle name="Enter Units (2)" xfId="11419"/>
    <cellStyle name="ENTER_DATA" xfId="11420"/>
    <cellStyle name="Entered" xfId="11421"/>
    <cellStyle name="Entities" xfId="11422"/>
    <cellStyle name="Euro" xfId="11423"/>
    <cellStyle name="Euro 10" xfId="11424"/>
    <cellStyle name="Euro 11" xfId="11425"/>
    <cellStyle name="Euro 2" xfId="11426"/>
    <cellStyle name="Euro 3" xfId="11427"/>
    <cellStyle name="Euro 4" xfId="11428"/>
    <cellStyle name="Euro 5" xfId="11429"/>
    <cellStyle name="Euro 6" xfId="11430"/>
    <cellStyle name="Euro 7" xfId="11431"/>
    <cellStyle name="Euro 8" xfId="11432"/>
    <cellStyle name="Euro 8 2" xfId="11433"/>
    <cellStyle name="Euro 9" xfId="11434"/>
    <cellStyle name="Euro 9 2" xfId="11435"/>
    <cellStyle name="Excel Built-in Comma" xfId="11436"/>
    <cellStyle name="Excel Built-in Normal" xfId="11437"/>
    <cellStyle name="Explanatory Text 10" xfId="11438"/>
    <cellStyle name="Explanatory Text 11" xfId="11439"/>
    <cellStyle name="Explanatory Text 12" xfId="11440"/>
    <cellStyle name="Explanatory Text 13" xfId="11441"/>
    <cellStyle name="Explanatory Text 2" xfId="11442"/>
    <cellStyle name="Explanatory Text 3" xfId="11443"/>
    <cellStyle name="Explanatory Text 4" xfId="11444"/>
    <cellStyle name="Explanatory Text 5" xfId="11445"/>
    <cellStyle name="Explanatory Text 6" xfId="11446"/>
    <cellStyle name="Explanatory Text 7" xfId="11447"/>
    <cellStyle name="Explanatory Text 8" xfId="11448"/>
    <cellStyle name="Explanatory Text 9" xfId="11449"/>
    <cellStyle name="F2" xfId="11450"/>
    <cellStyle name="F3" xfId="11451"/>
    <cellStyle name="F4" xfId="11452"/>
    <cellStyle name="F5" xfId="11453"/>
    <cellStyle name="F6" xfId="11454"/>
    <cellStyle name="F7" xfId="11455"/>
    <cellStyle name="F8" xfId="11456"/>
    <cellStyle name="factsheet" xfId="11457"/>
    <cellStyle name="Final_Data" xfId="11458"/>
    <cellStyle name="First_nums" xfId="11459"/>
    <cellStyle name="Fixed" xfId="11460"/>
    <cellStyle name="Fixed [0]" xfId="11461"/>
    <cellStyle name="Fixed_Burdick DCF Model -10" xfId="11462"/>
    <cellStyle name="Fixed0" xfId="11463"/>
    <cellStyle name="Fixed2 - Style2" xfId="11464"/>
    <cellStyle name="Fixlong" xfId="11465"/>
    <cellStyle name="Följd hyperlänk_Analysis of building cost to 300904.xls" xfId="11466"/>
    <cellStyle name="Följde hyperlänken_2001 EPS SUMMARY" xfId="11467"/>
    <cellStyle name="Footer" xfId="11468"/>
    <cellStyle name="Footnote" xfId="11469"/>
    <cellStyle name="Footnote 2" xfId="20322"/>
    <cellStyle name="ForecastInput" xfId="11470"/>
    <cellStyle name="Format Number Column" xfId="11471"/>
    <cellStyle name="Formula" xfId="11472"/>
    <cellStyle name="FRxAmtStyle" xfId="11473"/>
    <cellStyle name="FRxAmtStyle 2" xfId="11474"/>
    <cellStyle name="FRxCurrStyle" xfId="11475"/>
    <cellStyle name="FRxPcntStyle" xfId="11476"/>
    <cellStyle name="Global" xfId="11477"/>
    <cellStyle name="Global 10" xfId="25791"/>
    <cellStyle name="Global 11" xfId="37706"/>
    <cellStyle name="Global 12" xfId="37389"/>
    <cellStyle name="Global 13" xfId="35445"/>
    <cellStyle name="Global 2" xfId="11478"/>
    <cellStyle name="Global 2 10" xfId="35172"/>
    <cellStyle name="Global 2 11" xfId="36138"/>
    <cellStyle name="Global 2 2" xfId="11479"/>
    <cellStyle name="Global 2 2 10" xfId="36272"/>
    <cellStyle name="Global 2 2 2" xfId="16154"/>
    <cellStyle name="Global 2 2 2 10" xfId="36280"/>
    <cellStyle name="Global 2 2 2 11" xfId="24524"/>
    <cellStyle name="Global 2 2 2 12" xfId="34788"/>
    <cellStyle name="Global 2 2 2 13" xfId="38227"/>
    <cellStyle name="Global 2 2 2 14" xfId="38553"/>
    <cellStyle name="Global 2 2 2 2" xfId="29546"/>
    <cellStyle name="Global 2 2 2 3" xfId="35722"/>
    <cellStyle name="Global 2 2 2 4" xfId="34853"/>
    <cellStyle name="Global 2 2 2 5" xfId="35382"/>
    <cellStyle name="Global 2 2 2 6" xfId="24963"/>
    <cellStyle name="Global 2 2 2 7" xfId="34040"/>
    <cellStyle name="Global 2 2 2 8" xfId="36193"/>
    <cellStyle name="Global 2 2 2 9" xfId="35527"/>
    <cellStyle name="Global 2 2 3" xfId="20153"/>
    <cellStyle name="Global 2 2 3 10" xfId="38395"/>
    <cellStyle name="Global 2 2 3 11" xfId="38625"/>
    <cellStyle name="Global 2 2 3 12" xfId="38917"/>
    <cellStyle name="Global 2 2 3 13" xfId="39118"/>
    <cellStyle name="Global 2 2 3 14" xfId="39236"/>
    <cellStyle name="Global 2 2 3 15" xfId="39360"/>
    <cellStyle name="Global 2 2 3 2" xfId="33432"/>
    <cellStyle name="Global 2 2 3 3" xfId="36953"/>
    <cellStyle name="Global 2 2 3 4" xfId="37277"/>
    <cellStyle name="Global 2 2 3 5" xfId="37644"/>
    <cellStyle name="Global 2 2 3 6" xfId="37871"/>
    <cellStyle name="Global 2 2 3 7" xfId="34377"/>
    <cellStyle name="Global 2 2 3 8" xfId="34430"/>
    <cellStyle name="Global 2 2 3 9" xfId="38222"/>
    <cellStyle name="Global 2 2 4" xfId="25545"/>
    <cellStyle name="Global 2 2 5" xfId="34416"/>
    <cellStyle name="Global 2 2 6" xfId="35281"/>
    <cellStyle name="Global 2 2 7" xfId="36613"/>
    <cellStyle name="Global 2 2 8" xfId="37360"/>
    <cellStyle name="Global 2 2 9" xfId="36779"/>
    <cellStyle name="Global 2 3" xfId="16153"/>
    <cellStyle name="Global 2 3 10" xfId="24402"/>
    <cellStyle name="Global 2 3 11" xfId="35643"/>
    <cellStyle name="Global 2 3 12" xfId="33714"/>
    <cellStyle name="Global 2 3 13" xfId="37717"/>
    <cellStyle name="Global 2 3 14" xfId="35842"/>
    <cellStyle name="Global 2 3 2" xfId="29545"/>
    <cellStyle name="Global 2 3 3" xfId="35721"/>
    <cellStyle name="Global 2 3 4" xfId="36021"/>
    <cellStyle name="Global 2 3 5" xfId="33906"/>
    <cellStyle name="Global 2 3 6" xfId="35579"/>
    <cellStyle name="Global 2 3 7" xfId="35491"/>
    <cellStyle name="Global 2 3 8" xfId="35840"/>
    <cellStyle name="Global 2 3 9" xfId="25208"/>
    <cellStyle name="Global 2 4" xfId="20152"/>
    <cellStyle name="Global 2 4 10" xfId="38394"/>
    <cellStyle name="Global 2 4 11" xfId="38624"/>
    <cellStyle name="Global 2 4 12" xfId="38916"/>
    <cellStyle name="Global 2 4 13" xfId="39117"/>
    <cellStyle name="Global 2 4 14" xfId="39235"/>
    <cellStyle name="Global 2 4 15" xfId="39359"/>
    <cellStyle name="Global 2 4 2" xfId="33431"/>
    <cellStyle name="Global 2 4 3" xfId="36952"/>
    <cellStyle name="Global 2 4 4" xfId="37276"/>
    <cellStyle name="Global 2 4 5" xfId="37643"/>
    <cellStyle name="Global 2 4 6" xfId="37870"/>
    <cellStyle name="Global 2 4 7" xfId="35831"/>
    <cellStyle name="Global 2 4 8" xfId="34725"/>
    <cellStyle name="Global 2 4 9" xfId="38221"/>
    <cellStyle name="Global 2 5" xfId="25544"/>
    <cellStyle name="Global 2 6" xfId="34415"/>
    <cellStyle name="Global 2 7" xfId="36505"/>
    <cellStyle name="Global 2 8" xfId="37340"/>
    <cellStyle name="Global 2 9" xfId="34935"/>
    <cellStyle name="Global 3" xfId="11480"/>
    <cellStyle name="Global 3 10" xfId="36675"/>
    <cellStyle name="Global 3 11" xfId="36293"/>
    <cellStyle name="Global 3 2" xfId="11481"/>
    <cellStyle name="Global 3 2 10" xfId="36208"/>
    <cellStyle name="Global 3 2 2" xfId="16156"/>
    <cellStyle name="Global 3 2 2 10" xfId="34969"/>
    <cellStyle name="Global 3 2 2 11" xfId="37953"/>
    <cellStyle name="Global 3 2 2 12" xfId="35958"/>
    <cellStyle name="Global 3 2 2 13" xfId="33777"/>
    <cellStyle name="Global 3 2 2 14" xfId="36117"/>
    <cellStyle name="Global 3 2 2 2" xfId="29548"/>
    <cellStyle name="Global 3 2 2 3" xfId="35724"/>
    <cellStyle name="Global 3 2 2 4" xfId="34858"/>
    <cellStyle name="Global 3 2 2 5" xfId="24511"/>
    <cellStyle name="Global 3 2 2 6" xfId="20500"/>
    <cellStyle name="Global 3 2 2 7" xfId="37792"/>
    <cellStyle name="Global 3 2 2 8" xfId="36792"/>
    <cellStyle name="Global 3 2 2 9" xfId="34391"/>
    <cellStyle name="Global 3 2 3" xfId="20155"/>
    <cellStyle name="Global 3 2 3 10" xfId="38397"/>
    <cellStyle name="Global 3 2 3 11" xfId="38627"/>
    <cellStyle name="Global 3 2 3 12" xfId="38919"/>
    <cellStyle name="Global 3 2 3 13" xfId="39120"/>
    <cellStyle name="Global 3 2 3 14" xfId="39238"/>
    <cellStyle name="Global 3 2 3 15" xfId="39362"/>
    <cellStyle name="Global 3 2 3 2" xfId="33434"/>
    <cellStyle name="Global 3 2 3 3" xfId="36955"/>
    <cellStyle name="Global 3 2 3 4" xfId="37279"/>
    <cellStyle name="Global 3 2 3 5" xfId="37646"/>
    <cellStyle name="Global 3 2 3 6" xfId="37873"/>
    <cellStyle name="Global 3 2 3 7" xfId="34811"/>
    <cellStyle name="Global 3 2 3 8" xfId="34544"/>
    <cellStyle name="Global 3 2 3 9" xfId="38224"/>
    <cellStyle name="Global 3 2 4" xfId="25547"/>
    <cellStyle name="Global 3 2 5" xfId="34418"/>
    <cellStyle name="Global 3 2 6" xfId="35282"/>
    <cellStyle name="Global 3 2 7" xfId="33752"/>
    <cellStyle name="Global 3 2 8" xfId="38029"/>
    <cellStyle name="Global 3 2 9" xfId="24413"/>
    <cellStyle name="Global 3 3" xfId="16155"/>
    <cellStyle name="Global 3 3 10" xfId="34552"/>
    <cellStyle name="Global 3 3 11" xfId="25042"/>
    <cellStyle name="Global 3 3 12" xfId="35472"/>
    <cellStyle name="Global 3 3 13" xfId="34493"/>
    <cellStyle name="Global 3 3 14" xfId="25686"/>
    <cellStyle name="Global 3 3 2" xfId="29547"/>
    <cellStyle name="Global 3 3 3" xfId="35723"/>
    <cellStyle name="Global 3 3 4" xfId="36026"/>
    <cellStyle name="Global 3 3 5" xfId="24510"/>
    <cellStyle name="Global 3 3 6" xfId="25625"/>
    <cellStyle name="Global 3 3 7" xfId="35879"/>
    <cellStyle name="Global 3 3 8" xfId="37037"/>
    <cellStyle name="Global 3 3 9" xfId="25634"/>
    <cellStyle name="Global 3 4" xfId="20154"/>
    <cellStyle name="Global 3 4 10" xfId="38396"/>
    <cellStyle name="Global 3 4 11" xfId="38626"/>
    <cellStyle name="Global 3 4 12" xfId="38918"/>
    <cellStyle name="Global 3 4 13" xfId="39119"/>
    <cellStyle name="Global 3 4 14" xfId="39237"/>
    <cellStyle name="Global 3 4 15" xfId="39361"/>
    <cellStyle name="Global 3 4 2" xfId="33433"/>
    <cellStyle name="Global 3 4 3" xfId="36954"/>
    <cellStyle name="Global 3 4 4" xfId="37278"/>
    <cellStyle name="Global 3 4 5" xfId="37645"/>
    <cellStyle name="Global 3 4 6" xfId="37872"/>
    <cellStyle name="Global 3 4 7" xfId="36212"/>
    <cellStyle name="Global 3 4 8" xfId="35526"/>
    <cellStyle name="Global 3 4 9" xfId="38223"/>
    <cellStyle name="Global 3 5" xfId="25546"/>
    <cellStyle name="Global 3 6" xfId="34417"/>
    <cellStyle name="Global 3 7" xfId="36506"/>
    <cellStyle name="Global 3 8" xfId="33849"/>
    <cellStyle name="Global 3 9" xfId="24791"/>
    <cellStyle name="Global 4" xfId="11482"/>
    <cellStyle name="Global 4 10" xfId="25493"/>
    <cellStyle name="Global 4 2" xfId="16157"/>
    <cellStyle name="Global 4 2 10" xfId="36606"/>
    <cellStyle name="Global 4 2 11" xfId="25251"/>
    <cellStyle name="Global 4 2 12" xfId="25518"/>
    <cellStyle name="Global 4 2 13" xfId="34094"/>
    <cellStyle name="Global 4 2 14" xfId="35350"/>
    <cellStyle name="Global 4 2 2" xfId="29549"/>
    <cellStyle name="Global 4 2 3" xfId="35725"/>
    <cellStyle name="Global 4 2 4" xfId="25204"/>
    <cellStyle name="Global 4 2 5" xfId="35681"/>
    <cellStyle name="Global 4 2 6" xfId="24417"/>
    <cellStyle name="Global 4 2 7" xfId="25361"/>
    <cellStyle name="Global 4 2 8" xfId="36662"/>
    <cellStyle name="Global 4 2 9" xfId="34432"/>
    <cellStyle name="Global 4 3" xfId="20156"/>
    <cellStyle name="Global 4 3 10" xfId="38398"/>
    <cellStyle name="Global 4 3 11" xfId="38628"/>
    <cellStyle name="Global 4 3 12" xfId="38920"/>
    <cellStyle name="Global 4 3 13" xfId="39121"/>
    <cellStyle name="Global 4 3 14" xfId="39239"/>
    <cellStyle name="Global 4 3 15" xfId="39363"/>
    <cellStyle name="Global 4 3 2" xfId="33435"/>
    <cellStyle name="Global 4 3 3" xfId="36956"/>
    <cellStyle name="Global 4 3 4" xfId="37280"/>
    <cellStyle name="Global 4 3 5" xfId="37647"/>
    <cellStyle name="Global 4 3 6" xfId="37874"/>
    <cellStyle name="Global 4 3 7" xfId="25690"/>
    <cellStyle name="Global 4 3 8" xfId="36616"/>
    <cellStyle name="Global 4 3 9" xfId="38225"/>
    <cellStyle name="Global 4 4" xfId="25548"/>
    <cellStyle name="Global 4 5" xfId="34419"/>
    <cellStyle name="Global 4 6" xfId="24647"/>
    <cellStyle name="Global 4 7" xfId="24420"/>
    <cellStyle name="Global 4 8" xfId="37440"/>
    <cellStyle name="Global 4 9" xfId="34400"/>
    <cellStyle name="Global 5" xfId="16152"/>
    <cellStyle name="Global 5 10" xfId="34066"/>
    <cellStyle name="Global 5 11" xfId="37931"/>
    <cellStyle name="Global 5 12" xfId="36457"/>
    <cellStyle name="Global 5 13" xfId="35255"/>
    <cellStyle name="Global 5 14" xfId="36145"/>
    <cellStyle name="Global 5 2" xfId="29544"/>
    <cellStyle name="Global 5 3" xfId="35720"/>
    <cellStyle name="Global 5 4" xfId="25203"/>
    <cellStyle name="Global 5 5" xfId="34305"/>
    <cellStyle name="Global 5 6" xfId="25528"/>
    <cellStyle name="Global 5 7" xfId="36268"/>
    <cellStyle name="Global 5 8" xfId="24762"/>
    <cellStyle name="Global 5 9" xfId="35592"/>
    <cellStyle name="Global 6" xfId="20151"/>
    <cellStyle name="Global 6 10" xfId="38393"/>
    <cellStyle name="Global 6 11" xfId="38623"/>
    <cellStyle name="Global 6 12" xfId="38915"/>
    <cellStyle name="Global 6 13" xfId="39116"/>
    <cellStyle name="Global 6 14" xfId="39234"/>
    <cellStyle name="Global 6 15" xfId="39358"/>
    <cellStyle name="Global 6 2" xfId="33430"/>
    <cellStyle name="Global 6 3" xfId="36951"/>
    <cellStyle name="Global 6 4" xfId="37275"/>
    <cellStyle name="Global 6 5" xfId="37642"/>
    <cellStyle name="Global 6 6" xfId="37869"/>
    <cellStyle name="Global 6 7" xfId="33629"/>
    <cellStyle name="Global 6 8" xfId="37303"/>
    <cellStyle name="Global 6 9" xfId="38220"/>
    <cellStyle name="Global 7" xfId="25543"/>
    <cellStyle name="Global 8" xfId="34414"/>
    <cellStyle name="Global 9" xfId="24646"/>
    <cellStyle name="Good 10" xfId="11483"/>
    <cellStyle name="Good 11" xfId="11484"/>
    <cellStyle name="Good 12" xfId="11485"/>
    <cellStyle name="Good 13" xfId="11486"/>
    <cellStyle name="Good 2" xfId="11487"/>
    <cellStyle name="Good 3" xfId="11488"/>
    <cellStyle name="Good 4" xfId="11489"/>
    <cellStyle name="Good 5" xfId="11490"/>
    <cellStyle name="Good 6" xfId="11491"/>
    <cellStyle name="Good 7" xfId="11492"/>
    <cellStyle name="Good 8" xfId="11493"/>
    <cellStyle name="Good 9" xfId="11494"/>
    <cellStyle name="grayText2" xfId="11495"/>
    <cellStyle name="grayText2Big" xfId="11496"/>
    <cellStyle name="grayText2Big 2" xfId="20323"/>
    <cellStyle name="Grey" xfId="11497"/>
    <cellStyle name="Grey 2" xfId="11498"/>
    <cellStyle name="Grey 3" xfId="11499"/>
    <cellStyle name="Grey 4" xfId="11500"/>
    <cellStyle name="Growth" xfId="11501"/>
    <cellStyle name="Growth 2" xfId="20324"/>
    <cellStyle name="GrowthRate" xfId="11502"/>
    <cellStyle name="GrowthRate 2" xfId="20325"/>
    <cellStyle name="H 2" xfId="11503"/>
    <cellStyle name="hard no" xfId="11504"/>
    <cellStyle name="Hard Percent" xfId="11505"/>
    <cellStyle name="hardno" xfId="11506"/>
    <cellStyle name="Head" xfId="11507"/>
    <cellStyle name="header" xfId="11508"/>
    <cellStyle name="header 2" xfId="20326"/>
    <cellStyle name="Header Total" xfId="11509"/>
    <cellStyle name="Header_affinityfin12-11-06" xfId="11510"/>
    <cellStyle name="Header1" xfId="11511"/>
    <cellStyle name="Header1 2" xfId="20327"/>
    <cellStyle name="Header2" xfId="11512"/>
    <cellStyle name="Header2 2" xfId="11513"/>
    <cellStyle name="Header2 2 2" xfId="11514"/>
    <cellStyle name="Header2 2 2 2" xfId="16159"/>
    <cellStyle name="Header2 2 2 2 10" xfId="34236"/>
    <cellStyle name="Header2 2 2 2 11" xfId="38014"/>
    <cellStyle name="Header2 2 2 2 12" xfId="33874"/>
    <cellStyle name="Header2 2 2 2 13" xfId="35634"/>
    <cellStyle name="Header2 2 2 2 2" xfId="29551"/>
    <cellStyle name="Header2 2 2 2 3" xfId="35727"/>
    <cellStyle name="Header2 2 2 2 4" xfId="34857"/>
    <cellStyle name="Header2 2 2 2 5" xfId="34303"/>
    <cellStyle name="Header2 2 2 2 6" xfId="24749"/>
    <cellStyle name="Header2 2 2 2 7" xfId="34214"/>
    <cellStyle name="Header2 2 2 2 8" xfId="25222"/>
    <cellStyle name="Header2 2 2 2 9" xfId="34373"/>
    <cellStyle name="Header2 2 2 3" xfId="20158"/>
    <cellStyle name="Header2 2 2 3 10" xfId="39241"/>
    <cellStyle name="Header2 2 2 3 11" xfId="39365"/>
    <cellStyle name="Header2 2 2 3 2" xfId="33437"/>
    <cellStyle name="Header2 2 2 3 3" xfId="36958"/>
    <cellStyle name="Header2 2 2 3 4" xfId="37876"/>
    <cellStyle name="Header2 2 2 3 5" xfId="38007"/>
    <cellStyle name="Header2 2 2 3 6" xfId="38400"/>
    <cellStyle name="Header2 2 2 3 7" xfId="38630"/>
    <cellStyle name="Header2 2 2 3 8" xfId="38922"/>
    <cellStyle name="Header2 2 2 3 9" xfId="39123"/>
    <cellStyle name="Header2 2 2 4" xfId="25558"/>
    <cellStyle name="Header2 2 2 5" xfId="34427"/>
    <cellStyle name="Header2 2 2 6" xfId="35968"/>
    <cellStyle name="Header2 2 2 7" xfId="25549"/>
    <cellStyle name="Header2 2 2 8" xfId="20590"/>
    <cellStyle name="Header2 2 3" xfId="16158"/>
    <cellStyle name="Header2 2 3 10" xfId="34474"/>
    <cellStyle name="Header2 2 3 11" xfId="24989"/>
    <cellStyle name="Header2 2 3 12" xfId="35360"/>
    <cellStyle name="Header2 2 3 13" xfId="34663"/>
    <cellStyle name="Header2 2 3 2" xfId="29550"/>
    <cellStyle name="Header2 2 3 3" xfId="35726"/>
    <cellStyle name="Header2 2 3 4" xfId="36025"/>
    <cellStyle name="Header2 2 3 5" xfId="33904"/>
    <cellStyle name="Header2 2 3 6" xfId="35806"/>
    <cellStyle name="Header2 2 3 7" xfId="36540"/>
    <cellStyle name="Header2 2 3 8" xfId="33971"/>
    <cellStyle name="Header2 2 3 9" xfId="34469"/>
    <cellStyle name="Header2 2 4" xfId="20157"/>
    <cellStyle name="Header2 2 4 10" xfId="39240"/>
    <cellStyle name="Header2 2 4 11" xfId="39364"/>
    <cellStyle name="Header2 2 4 2" xfId="33436"/>
    <cellStyle name="Header2 2 4 3" xfId="36957"/>
    <cellStyle name="Header2 2 4 4" xfId="37875"/>
    <cellStyle name="Header2 2 4 5" xfId="36707"/>
    <cellStyle name="Header2 2 4 6" xfId="38399"/>
    <cellStyle name="Header2 2 4 7" xfId="38629"/>
    <cellStyle name="Header2 2 4 8" xfId="38921"/>
    <cellStyle name="Header2 2 4 9" xfId="39122"/>
    <cellStyle name="Header2 2 5" xfId="25557"/>
    <cellStyle name="Header2 2 6" xfId="34426"/>
    <cellStyle name="Header2 2 7" xfId="25077"/>
    <cellStyle name="Header2 2 8" xfId="35239"/>
    <cellStyle name="Header2 2 9" xfId="36500"/>
    <cellStyle name="Header2 3" xfId="11515"/>
    <cellStyle name="Header2 3 2" xfId="11516"/>
    <cellStyle name="Header2 3 2 2" xfId="16161"/>
    <cellStyle name="Header2 3 2 2 10" xfId="24630"/>
    <cellStyle name="Header2 3 2 2 11" xfId="33795"/>
    <cellStyle name="Header2 3 2 2 12" xfId="35638"/>
    <cellStyle name="Header2 3 2 2 13" xfId="20616"/>
    <cellStyle name="Header2 3 2 2 2" xfId="29553"/>
    <cellStyle name="Header2 3 2 2 3" xfId="35729"/>
    <cellStyle name="Header2 3 2 2 4" xfId="36022"/>
    <cellStyle name="Header2 3 2 2 5" xfId="36575"/>
    <cellStyle name="Header2 3 2 2 6" xfId="34502"/>
    <cellStyle name="Header2 3 2 2 7" xfId="34836"/>
    <cellStyle name="Header2 3 2 2 8" xfId="34509"/>
    <cellStyle name="Header2 3 2 2 9" xfId="34392"/>
    <cellStyle name="Header2 3 2 3" xfId="20160"/>
    <cellStyle name="Header2 3 2 3 10" xfId="39243"/>
    <cellStyle name="Header2 3 2 3 11" xfId="39367"/>
    <cellStyle name="Header2 3 2 3 2" xfId="33439"/>
    <cellStyle name="Header2 3 2 3 3" xfId="36960"/>
    <cellStyle name="Header2 3 2 3 4" xfId="37878"/>
    <cellStyle name="Header2 3 2 3 5" xfId="37435"/>
    <cellStyle name="Header2 3 2 3 6" xfId="38402"/>
    <cellStyle name="Header2 3 2 3 7" xfId="38632"/>
    <cellStyle name="Header2 3 2 3 8" xfId="38924"/>
    <cellStyle name="Header2 3 2 3 9" xfId="39125"/>
    <cellStyle name="Header2 3 2 4" xfId="25560"/>
    <cellStyle name="Header2 3 2 5" xfId="34429"/>
    <cellStyle name="Header2 3 2 6" xfId="33807"/>
    <cellStyle name="Header2 3 2 7" xfId="36871"/>
    <cellStyle name="Header2 3 2 8" xfId="25095"/>
    <cellStyle name="Header2 3 3" xfId="16160"/>
    <cellStyle name="Header2 3 3 10" xfId="36158"/>
    <cellStyle name="Header2 3 3 11" xfId="38257"/>
    <cellStyle name="Header2 3 3 12" xfId="24528"/>
    <cellStyle name="Header2 3 3 13" xfId="25412"/>
    <cellStyle name="Header2 3 3 2" xfId="29552"/>
    <cellStyle name="Header2 3 3 3" xfId="35728"/>
    <cellStyle name="Header2 3 3 4" xfId="25205"/>
    <cellStyle name="Header2 3 3 5" xfId="36235"/>
    <cellStyle name="Header2 3 3 6" xfId="35866"/>
    <cellStyle name="Header2 3 3 7" xfId="24252"/>
    <cellStyle name="Header2 3 3 8" xfId="37967"/>
    <cellStyle name="Header2 3 3 9" xfId="36782"/>
    <cellStyle name="Header2 3 4" xfId="20159"/>
    <cellStyle name="Header2 3 4 10" xfId="39242"/>
    <cellStyle name="Header2 3 4 11" xfId="39366"/>
    <cellStyle name="Header2 3 4 2" xfId="33438"/>
    <cellStyle name="Header2 3 4 3" xfId="36959"/>
    <cellStyle name="Header2 3 4 4" xfId="37877"/>
    <cellStyle name="Header2 3 4 5" xfId="35986"/>
    <cellStyle name="Header2 3 4 6" xfId="38401"/>
    <cellStyle name="Header2 3 4 7" xfId="38631"/>
    <cellStyle name="Header2 3 4 8" xfId="38923"/>
    <cellStyle name="Header2 3 4 9" xfId="39124"/>
    <cellStyle name="Header2 3 5" xfId="25559"/>
    <cellStyle name="Header2 3 6" xfId="34428"/>
    <cellStyle name="Header2 3 7" xfId="34715"/>
    <cellStyle name="Header2 3 8" xfId="37455"/>
    <cellStyle name="Header2 3 9" xfId="34828"/>
    <cellStyle name="Header3" xfId="11517"/>
    <cellStyle name="Header4" xfId="11518"/>
    <cellStyle name="Heading" xfId="11519"/>
    <cellStyle name="Heading 1 10" xfId="11520"/>
    <cellStyle name="Heading 1 11" xfId="11521"/>
    <cellStyle name="Heading 1 12" xfId="11522"/>
    <cellStyle name="Heading 1 13" xfId="11523"/>
    <cellStyle name="Heading 1 2" xfId="11524"/>
    <cellStyle name="Heading 1 3" xfId="11525"/>
    <cellStyle name="Heading 1 4" xfId="11526"/>
    <cellStyle name="Heading 1 5" xfId="11527"/>
    <cellStyle name="Heading 1 6" xfId="11528"/>
    <cellStyle name="Heading 1 7" xfId="11529"/>
    <cellStyle name="Heading 1 8" xfId="11530"/>
    <cellStyle name="Heading 1 9" xfId="11531"/>
    <cellStyle name="Heading 2 10" xfId="11532"/>
    <cellStyle name="Heading 2 11" xfId="11533"/>
    <cellStyle name="Heading 2 12" xfId="11534"/>
    <cellStyle name="Heading 2 13" xfId="11535"/>
    <cellStyle name="Heading 2 2" xfId="11536"/>
    <cellStyle name="Heading 2 3" xfId="11537"/>
    <cellStyle name="Heading 2 4" xfId="11538"/>
    <cellStyle name="Heading 2 5" xfId="11539"/>
    <cellStyle name="Heading 2 6" xfId="11540"/>
    <cellStyle name="Heading 2 7" xfId="11541"/>
    <cellStyle name="Heading 2 8" xfId="11542"/>
    <cellStyle name="Heading 2 9" xfId="11543"/>
    <cellStyle name="Heading 3 10" xfId="11544"/>
    <cellStyle name="Heading 3 11" xfId="11545"/>
    <cellStyle name="Heading 3 12" xfId="11546"/>
    <cellStyle name="Heading 3 13" xfId="11547"/>
    <cellStyle name="Heading 3 2" xfId="11548"/>
    <cellStyle name="Heading 3 3" xfId="11549"/>
    <cellStyle name="Heading 3 4" xfId="11550"/>
    <cellStyle name="Heading 3 5" xfId="11551"/>
    <cellStyle name="Heading 3 6" xfId="11552"/>
    <cellStyle name="Heading 3 7" xfId="11553"/>
    <cellStyle name="Heading 3 8" xfId="11554"/>
    <cellStyle name="Heading 3 9" xfId="11555"/>
    <cellStyle name="Heading 4 10" xfId="11556"/>
    <cellStyle name="Heading 4 11" xfId="11557"/>
    <cellStyle name="Heading 4 12" xfId="11558"/>
    <cellStyle name="Heading 4 13" xfId="11559"/>
    <cellStyle name="Heading 4 2" xfId="11560"/>
    <cellStyle name="Heading 4 3" xfId="11561"/>
    <cellStyle name="Heading 4 4" xfId="11562"/>
    <cellStyle name="Heading 4 5" xfId="11563"/>
    <cellStyle name="Heading 4 6" xfId="11564"/>
    <cellStyle name="Heading 4 7" xfId="11565"/>
    <cellStyle name="Heading 4 8" xfId="11566"/>
    <cellStyle name="Heading 4 9" xfId="11567"/>
    <cellStyle name="Heading 5" xfId="11568"/>
    <cellStyle name="Heading No Underline" xfId="11569"/>
    <cellStyle name="Heading With Underline" xfId="11570"/>
    <cellStyle name="Heading With Underline 2" xfId="11571"/>
    <cellStyle name="Heading With Underline 2 2" xfId="20275"/>
    <cellStyle name="Heading With Underline 2 3" xfId="25724"/>
    <cellStyle name="Heading With Underline 3" xfId="11572"/>
    <cellStyle name="Heading With Underline 3 2" xfId="20276"/>
    <cellStyle name="Heading With Underline 3 3" xfId="34829"/>
    <cellStyle name="Heading With Underline 4" xfId="20277"/>
    <cellStyle name="Heading With Underline 5" xfId="25241"/>
    <cellStyle name="Heading1" xfId="11573"/>
    <cellStyle name="Heading2" xfId="11574"/>
    <cellStyle name="Heading3" xfId="11575"/>
    <cellStyle name="HEADINGS" xfId="11576"/>
    <cellStyle name="Headings2" xfId="11577"/>
    <cellStyle name="Headings2 10" xfId="33634"/>
    <cellStyle name="Headings2 11" xfId="36247"/>
    <cellStyle name="Headings2 12" xfId="38053"/>
    <cellStyle name="Headings2 13" xfId="35911"/>
    <cellStyle name="Headings2 14" xfId="33851"/>
    <cellStyle name="Headings2 15" xfId="34413"/>
    <cellStyle name="Headings2 2" xfId="11578"/>
    <cellStyle name="Headings2 2 10" xfId="35830"/>
    <cellStyle name="Headings2 2 11" xfId="35222"/>
    <cellStyle name="Headings2 2 12" xfId="36875"/>
    <cellStyle name="Headings2 2 13" xfId="25628"/>
    <cellStyle name="Headings2 2 2" xfId="11579"/>
    <cellStyle name="Headings2 2 2 10" xfId="35086"/>
    <cellStyle name="Headings2 2 2 11" xfId="34289"/>
    <cellStyle name="Headings2 2 2 12" xfId="37461"/>
    <cellStyle name="Headings2 2 2 2" xfId="20163"/>
    <cellStyle name="Headings2 2 2 2 10" xfId="38927"/>
    <cellStyle name="Headings2 2 2 2 11" xfId="39128"/>
    <cellStyle name="Headings2 2 2 2 12" xfId="39246"/>
    <cellStyle name="Headings2 2 2 2 13" xfId="39370"/>
    <cellStyle name="Headings2 2 2 2 2" xfId="33442"/>
    <cellStyle name="Headings2 2 2 2 3" xfId="36963"/>
    <cellStyle name="Headings2 2 2 2 4" xfId="37283"/>
    <cellStyle name="Headings2 2 2 2 5" xfId="37651"/>
    <cellStyle name="Headings2 2 2 2 6" xfId="24636"/>
    <cellStyle name="Headings2 2 2 2 7" xfId="25031"/>
    <cellStyle name="Headings2 2 2 2 8" xfId="38405"/>
    <cellStyle name="Headings2 2 2 2 9" xfId="38635"/>
    <cellStyle name="Headings2 2 2 3" xfId="25574"/>
    <cellStyle name="Headings2 2 2 4" xfId="33526"/>
    <cellStyle name="Headings2 2 2 5" xfId="35809"/>
    <cellStyle name="Headings2 2 2 6" xfId="24431"/>
    <cellStyle name="Headings2 2 2 7" xfId="20556"/>
    <cellStyle name="Headings2 2 2 8" xfId="33753"/>
    <cellStyle name="Headings2 2 2 9" xfId="25676"/>
    <cellStyle name="Headings2 2 3" xfId="20162"/>
    <cellStyle name="Headings2 2 3 10" xfId="38926"/>
    <cellStyle name="Headings2 2 3 11" xfId="39127"/>
    <cellStyle name="Headings2 2 3 12" xfId="39245"/>
    <cellStyle name="Headings2 2 3 13" xfId="39369"/>
    <cellStyle name="Headings2 2 3 2" xfId="33441"/>
    <cellStyle name="Headings2 2 3 3" xfId="36962"/>
    <cellStyle name="Headings2 2 3 4" xfId="37282"/>
    <cellStyle name="Headings2 2 3 5" xfId="37650"/>
    <cellStyle name="Headings2 2 3 6" xfId="37943"/>
    <cellStyle name="Headings2 2 3 7" xfId="24531"/>
    <cellStyle name="Headings2 2 3 8" xfId="38404"/>
    <cellStyle name="Headings2 2 3 9" xfId="38634"/>
    <cellStyle name="Headings2 2 4" xfId="25573"/>
    <cellStyle name="Headings2 2 5" xfId="24744"/>
    <cellStyle name="Headings2 2 6" xfId="33771"/>
    <cellStyle name="Headings2 2 7" xfId="24909"/>
    <cellStyle name="Headings2 2 8" xfId="35965"/>
    <cellStyle name="Headings2 2 9" xfId="38003"/>
    <cellStyle name="Headings2 3" xfId="11580"/>
    <cellStyle name="Headings2 3 10" xfId="38027"/>
    <cellStyle name="Headings2 3 11" xfId="37021"/>
    <cellStyle name="Headings2 3 12" xfId="24631"/>
    <cellStyle name="Headings2 3 13" xfId="34297"/>
    <cellStyle name="Headings2 3 2" xfId="11581"/>
    <cellStyle name="Headings2 3 2 10" xfId="34606"/>
    <cellStyle name="Headings2 3 2 11" xfId="24301"/>
    <cellStyle name="Headings2 3 2 12" xfId="37883"/>
    <cellStyle name="Headings2 3 2 2" xfId="20165"/>
    <cellStyle name="Headings2 3 2 2 10" xfId="38929"/>
    <cellStyle name="Headings2 3 2 2 11" xfId="39130"/>
    <cellStyle name="Headings2 3 2 2 12" xfId="39248"/>
    <cellStyle name="Headings2 3 2 2 13" xfId="39372"/>
    <cellStyle name="Headings2 3 2 2 2" xfId="33444"/>
    <cellStyle name="Headings2 3 2 2 3" xfId="36965"/>
    <cellStyle name="Headings2 3 2 2 4" xfId="37285"/>
    <cellStyle name="Headings2 3 2 2 5" xfId="37653"/>
    <cellStyle name="Headings2 3 2 2 6" xfId="37944"/>
    <cellStyle name="Headings2 3 2 2 7" xfId="34485"/>
    <cellStyle name="Headings2 3 2 2 8" xfId="38407"/>
    <cellStyle name="Headings2 3 2 2 9" xfId="38637"/>
    <cellStyle name="Headings2 3 2 3" xfId="25576"/>
    <cellStyle name="Headings2 3 2 4" xfId="35275"/>
    <cellStyle name="Headings2 3 2 5" xfId="33772"/>
    <cellStyle name="Headings2 3 2 6" xfId="37346"/>
    <cellStyle name="Headings2 3 2 7" xfId="34330"/>
    <cellStyle name="Headings2 3 2 8" xfId="34231"/>
    <cellStyle name="Headings2 3 2 9" xfId="36199"/>
    <cellStyle name="Headings2 3 3" xfId="20164"/>
    <cellStyle name="Headings2 3 3 10" xfId="38928"/>
    <cellStyle name="Headings2 3 3 11" xfId="39129"/>
    <cellStyle name="Headings2 3 3 12" xfId="39247"/>
    <cellStyle name="Headings2 3 3 13" xfId="39371"/>
    <cellStyle name="Headings2 3 3 2" xfId="33443"/>
    <cellStyle name="Headings2 3 3 3" xfId="36964"/>
    <cellStyle name="Headings2 3 3 4" xfId="37284"/>
    <cellStyle name="Headings2 3 3 5" xfId="37652"/>
    <cellStyle name="Headings2 3 3 6" xfId="36984"/>
    <cellStyle name="Headings2 3 3 7" xfId="38008"/>
    <cellStyle name="Headings2 3 3 8" xfId="38406"/>
    <cellStyle name="Headings2 3 3 9" xfId="38636"/>
    <cellStyle name="Headings2 3 4" xfId="25575"/>
    <cellStyle name="Headings2 3 5" xfId="36496"/>
    <cellStyle name="Headings2 3 6" xfId="25051"/>
    <cellStyle name="Headings2 3 7" xfId="20486"/>
    <cellStyle name="Headings2 3 8" xfId="36461"/>
    <cellStyle name="Headings2 3 9" xfId="24904"/>
    <cellStyle name="Headings2 4" xfId="11582"/>
    <cellStyle name="Headings2 4 10" xfId="34454"/>
    <cellStyle name="Headings2 4 11" xfId="37331"/>
    <cellStyle name="Headings2 4 12" xfId="36367"/>
    <cellStyle name="Headings2 4 2" xfId="20166"/>
    <cellStyle name="Headings2 4 2 10" xfId="38930"/>
    <cellStyle name="Headings2 4 2 11" xfId="39131"/>
    <cellStyle name="Headings2 4 2 12" xfId="39249"/>
    <cellStyle name="Headings2 4 2 13" xfId="39373"/>
    <cellStyle name="Headings2 4 2 2" xfId="33445"/>
    <cellStyle name="Headings2 4 2 3" xfId="36966"/>
    <cellStyle name="Headings2 4 2 4" xfId="37286"/>
    <cellStyle name="Headings2 4 2 5" xfId="37654"/>
    <cellStyle name="Headings2 4 2 6" xfId="35780"/>
    <cellStyle name="Headings2 4 2 7" xfId="34069"/>
    <cellStyle name="Headings2 4 2 8" xfId="38408"/>
    <cellStyle name="Headings2 4 2 9" xfId="38638"/>
    <cellStyle name="Headings2 4 3" xfId="25577"/>
    <cellStyle name="Headings2 4 4" xfId="36498"/>
    <cellStyle name="Headings2 4 5" xfId="33773"/>
    <cellStyle name="Headings2 4 6" xfId="24430"/>
    <cellStyle name="Headings2 4 7" xfId="34041"/>
    <cellStyle name="Headings2 4 8" xfId="35936"/>
    <cellStyle name="Headings2 4 9" xfId="34324"/>
    <cellStyle name="Headings2 5" xfId="20161"/>
    <cellStyle name="Headings2 5 10" xfId="38925"/>
    <cellStyle name="Headings2 5 11" xfId="39126"/>
    <cellStyle name="Headings2 5 12" xfId="39244"/>
    <cellStyle name="Headings2 5 13" xfId="39368"/>
    <cellStyle name="Headings2 5 2" xfId="33440"/>
    <cellStyle name="Headings2 5 3" xfId="36961"/>
    <cellStyle name="Headings2 5 4" xfId="37281"/>
    <cellStyle name="Headings2 5 5" xfId="37649"/>
    <cellStyle name="Headings2 5 6" xfId="33630"/>
    <cellStyle name="Headings2 5 7" xfId="37434"/>
    <cellStyle name="Headings2 5 8" xfId="38403"/>
    <cellStyle name="Headings2 5 9" xfId="38633"/>
    <cellStyle name="Headings2 6" xfId="25572"/>
    <cellStyle name="Headings2 7" xfId="35278"/>
    <cellStyle name="Headings2 8" xfId="36186"/>
    <cellStyle name="Headings2 9" xfId="34709"/>
    <cellStyle name="Headings2b" xfId="11583"/>
    <cellStyle name="Headings2b 10" xfId="36149"/>
    <cellStyle name="Headings2b 11" xfId="24815"/>
    <cellStyle name="Headings2b 12" xfId="37477"/>
    <cellStyle name="Headings2b 13" xfId="36206"/>
    <cellStyle name="Headings2b 14" xfId="36988"/>
    <cellStyle name="Headings2b 15" xfId="20585"/>
    <cellStyle name="Headings2b 2" xfId="11584"/>
    <cellStyle name="Headings2b 2 10" xfId="36323"/>
    <cellStyle name="Headings2b 2 11" xfId="36001"/>
    <cellStyle name="Headings2b 2 12" xfId="37392"/>
    <cellStyle name="Headings2b 2 13" xfId="38072"/>
    <cellStyle name="Headings2b 2 2" xfId="11585"/>
    <cellStyle name="Headings2b 2 2 10" xfId="36091"/>
    <cellStyle name="Headings2b 2 2 11" xfId="34978"/>
    <cellStyle name="Headings2b 2 2 12" xfId="35029"/>
    <cellStyle name="Headings2b 2 2 2" xfId="20169"/>
    <cellStyle name="Headings2b 2 2 2 10" xfId="38933"/>
    <cellStyle name="Headings2b 2 2 2 11" xfId="39134"/>
    <cellStyle name="Headings2b 2 2 2 12" xfId="39252"/>
    <cellStyle name="Headings2b 2 2 2 13" xfId="39376"/>
    <cellStyle name="Headings2b 2 2 2 2" xfId="33448"/>
    <cellStyle name="Headings2b 2 2 2 3" xfId="36969"/>
    <cellStyle name="Headings2b 2 2 2 4" xfId="37289"/>
    <cellStyle name="Headings2b 2 2 2 5" xfId="37657"/>
    <cellStyle name="Headings2b 2 2 2 6" xfId="33965"/>
    <cellStyle name="Headings2b 2 2 2 7" xfId="24627"/>
    <cellStyle name="Headings2b 2 2 2 8" xfId="38411"/>
    <cellStyle name="Headings2b 2 2 2 9" xfId="38641"/>
    <cellStyle name="Headings2b 2 2 3" xfId="25580"/>
    <cellStyle name="Headings2b 2 2 4" xfId="36497"/>
    <cellStyle name="Headings2b 2 2 5" xfId="33775"/>
    <cellStyle name="Headings2b 2 2 6" xfId="34956"/>
    <cellStyle name="Headings2b 2 2 7" xfId="25282"/>
    <cellStyle name="Headings2b 2 2 8" xfId="37991"/>
    <cellStyle name="Headings2b 2 2 9" xfId="37521"/>
    <cellStyle name="Headings2b 2 3" xfId="20168"/>
    <cellStyle name="Headings2b 2 3 10" xfId="38932"/>
    <cellStyle name="Headings2b 2 3 11" xfId="39133"/>
    <cellStyle name="Headings2b 2 3 12" xfId="39251"/>
    <cellStyle name="Headings2b 2 3 13" xfId="39375"/>
    <cellStyle name="Headings2b 2 3 2" xfId="33447"/>
    <cellStyle name="Headings2b 2 3 3" xfId="36968"/>
    <cellStyle name="Headings2b 2 3 4" xfId="37288"/>
    <cellStyle name="Headings2b 2 3 5" xfId="37656"/>
    <cellStyle name="Headings2b 2 3 6" xfId="36721"/>
    <cellStyle name="Headings2b 2 3 7" xfId="25680"/>
    <cellStyle name="Headings2b 2 3 8" xfId="38410"/>
    <cellStyle name="Headings2b 2 3 9" xfId="38640"/>
    <cellStyle name="Headings2b 2 4" xfId="25579"/>
    <cellStyle name="Headings2b 2 5" xfId="24745"/>
    <cellStyle name="Headings2b 2 6" xfId="35810"/>
    <cellStyle name="Headings2b 2 7" xfId="33539"/>
    <cellStyle name="Headings2b 2 8" xfId="35078"/>
    <cellStyle name="Headings2b 2 9" xfId="34450"/>
    <cellStyle name="Headings2b 3" xfId="11586"/>
    <cellStyle name="Headings2b 3 10" xfId="35552"/>
    <cellStyle name="Headings2b 3 11" xfId="24947"/>
    <cellStyle name="Headings2b 3 12" xfId="20513"/>
    <cellStyle name="Headings2b 3 13" xfId="38279"/>
    <cellStyle name="Headings2b 3 2" xfId="11587"/>
    <cellStyle name="Headings2b 3 2 10" xfId="34298"/>
    <cellStyle name="Headings2b 3 2 11" xfId="36299"/>
    <cellStyle name="Headings2b 3 2 12" xfId="24340"/>
    <cellStyle name="Headings2b 3 2 2" xfId="20171"/>
    <cellStyle name="Headings2b 3 2 2 10" xfId="38935"/>
    <cellStyle name="Headings2b 3 2 2 11" xfId="39136"/>
    <cellStyle name="Headings2b 3 2 2 12" xfId="39254"/>
    <cellStyle name="Headings2b 3 2 2 13" xfId="39378"/>
    <cellStyle name="Headings2b 3 2 2 2" xfId="33450"/>
    <cellStyle name="Headings2b 3 2 2 3" xfId="36971"/>
    <cellStyle name="Headings2b 3 2 2 4" xfId="37291"/>
    <cellStyle name="Headings2b 3 2 2 5" xfId="37659"/>
    <cellStyle name="Headings2b 3 2 2 6" xfId="29652"/>
    <cellStyle name="Headings2b 3 2 2 7" xfId="35246"/>
    <cellStyle name="Headings2b 3 2 2 8" xfId="38413"/>
    <cellStyle name="Headings2b 3 2 2 9" xfId="38643"/>
    <cellStyle name="Headings2b 3 2 3" xfId="25582"/>
    <cellStyle name="Headings2b 3 2 4" xfId="24746"/>
    <cellStyle name="Headings2b 3 2 5" xfId="35018"/>
    <cellStyle name="Headings2b 3 2 6" xfId="34808"/>
    <cellStyle name="Headings2b 3 2 7" xfId="35298"/>
    <cellStyle name="Headings2b 3 2 8" xfId="37992"/>
    <cellStyle name="Headings2b 3 2 9" xfId="38028"/>
    <cellStyle name="Headings2b 3 3" xfId="20170"/>
    <cellStyle name="Headings2b 3 3 10" xfId="38934"/>
    <cellStyle name="Headings2b 3 3 11" xfId="39135"/>
    <cellStyle name="Headings2b 3 3 12" xfId="39253"/>
    <cellStyle name="Headings2b 3 3 13" xfId="39377"/>
    <cellStyle name="Headings2b 3 3 2" xfId="33449"/>
    <cellStyle name="Headings2b 3 3 3" xfId="36970"/>
    <cellStyle name="Headings2b 3 3 4" xfId="37290"/>
    <cellStyle name="Headings2b 3 3 5" xfId="37658"/>
    <cellStyle name="Headings2b 3 3 6" xfId="35131"/>
    <cellStyle name="Headings2b 3 3 7" xfId="34802"/>
    <cellStyle name="Headings2b 3 3 8" xfId="38412"/>
    <cellStyle name="Headings2b 3 3 9" xfId="38642"/>
    <cellStyle name="Headings2b 3 4" xfId="25581"/>
    <cellStyle name="Headings2b 3 5" xfId="35276"/>
    <cellStyle name="Headings2b 3 6" xfId="33776"/>
    <cellStyle name="Headings2b 3 7" xfId="33837"/>
    <cellStyle name="Headings2b 3 8" xfId="20555"/>
    <cellStyle name="Headings2b 3 9" xfId="34785"/>
    <cellStyle name="Headings2b 4" xfId="11588"/>
    <cellStyle name="Headings2b 4 10" xfId="24360"/>
    <cellStyle name="Headings2b 4 11" xfId="20568"/>
    <cellStyle name="Headings2b 4 12" xfId="24610"/>
    <cellStyle name="Headings2b 4 2" xfId="20172"/>
    <cellStyle name="Headings2b 4 2 10" xfId="38936"/>
    <cellStyle name="Headings2b 4 2 11" xfId="39137"/>
    <cellStyle name="Headings2b 4 2 12" xfId="39255"/>
    <cellStyle name="Headings2b 4 2 13" xfId="39379"/>
    <cellStyle name="Headings2b 4 2 2" xfId="33451"/>
    <cellStyle name="Headings2b 4 2 3" xfId="36972"/>
    <cellStyle name="Headings2b 4 2 4" xfId="37292"/>
    <cellStyle name="Headings2b 4 2 5" xfId="37660"/>
    <cellStyle name="Headings2b 4 2 6" xfId="25689"/>
    <cellStyle name="Headings2b 4 2 7" xfId="34000"/>
    <cellStyle name="Headings2b 4 2 8" xfId="38414"/>
    <cellStyle name="Headings2b 4 2 9" xfId="38644"/>
    <cellStyle name="Headings2b 4 3" xfId="25583"/>
    <cellStyle name="Headings2b 4 4" xfId="24747"/>
    <cellStyle name="Headings2b 4 5" xfId="34652"/>
    <cellStyle name="Headings2b 4 6" xfId="36209"/>
    <cellStyle name="Headings2b 4 7" xfId="24977"/>
    <cellStyle name="Headings2b 4 8" xfId="35096"/>
    <cellStyle name="Headings2b 4 9" xfId="37450"/>
    <cellStyle name="Headings2b 5" xfId="20167"/>
    <cellStyle name="Headings2b 5 10" xfId="38931"/>
    <cellStyle name="Headings2b 5 11" xfId="39132"/>
    <cellStyle name="Headings2b 5 12" xfId="39250"/>
    <cellStyle name="Headings2b 5 13" xfId="39374"/>
    <cellStyle name="Headings2b 5 2" xfId="33446"/>
    <cellStyle name="Headings2b 5 3" xfId="36967"/>
    <cellStyle name="Headings2b 5 4" xfId="37287"/>
    <cellStyle name="Headings2b 5 5" xfId="37655"/>
    <cellStyle name="Headings2b 5 6" xfId="25099"/>
    <cellStyle name="Headings2b 5 7" xfId="37351"/>
    <cellStyle name="Headings2b 5 8" xfId="38409"/>
    <cellStyle name="Headings2b 5 9" xfId="38639"/>
    <cellStyle name="Headings2b 6" xfId="25578"/>
    <cellStyle name="Headings2b 7" xfId="35277"/>
    <cellStyle name="Headings2b 8" xfId="33774"/>
    <cellStyle name="Headings2b 9" xfId="25109"/>
    <cellStyle name="HEADINGSTOP" xfId="11589"/>
    <cellStyle name="Hidden" xfId="11590"/>
    <cellStyle name="HIDDEN 2" xfId="20328"/>
    <cellStyle name="HIGHLIGHT" xfId="11591"/>
    <cellStyle name="Hyperlänk_2000 DVD COSTS.xls" xfId="11592"/>
    <cellStyle name="Hyperlink 2" xfId="11593"/>
    <cellStyle name="Hyperlink 3" xfId="11594"/>
    <cellStyle name="IDEO" xfId="11595"/>
    <cellStyle name="iemens" xfId="11596"/>
    <cellStyle name="IncomeStatement" xfId="11597"/>
    <cellStyle name="IncomeStatement 2" xfId="20329"/>
    <cellStyle name="Input [yellow]" xfId="11598"/>
    <cellStyle name="Input [yellow] 2" xfId="11599"/>
    <cellStyle name="Input [yellow] 3" xfId="11600"/>
    <cellStyle name="Input [yellow] 4" xfId="11601"/>
    <cellStyle name="Input 10" xfId="11602"/>
    <cellStyle name="Input 11" xfId="11603"/>
    <cellStyle name="Input 12" xfId="11604"/>
    <cellStyle name="Input 13" xfId="11605"/>
    <cellStyle name="Input 14" xfId="11606"/>
    <cellStyle name="Input 15" xfId="11607"/>
    <cellStyle name="Input 16" xfId="11608"/>
    <cellStyle name="Input 2" xfId="11609"/>
    <cellStyle name="Input 3" xfId="11610"/>
    <cellStyle name="Input 4" xfId="11611"/>
    <cellStyle name="Input 5" xfId="11612"/>
    <cellStyle name="Input 6" xfId="11613"/>
    <cellStyle name="Input 7" xfId="11614"/>
    <cellStyle name="Input 8" xfId="11615"/>
    <cellStyle name="Input 9" xfId="11616"/>
    <cellStyle name="input cell" xfId="11617"/>
    <cellStyle name="Input Cells" xfId="11618"/>
    <cellStyle name="Input Currency" xfId="11619"/>
    <cellStyle name="Input Currency 2" xfId="20330"/>
    <cellStyle name="Input Date" xfId="11620"/>
    <cellStyle name="Input Date 2" xfId="20331"/>
    <cellStyle name="Input Fixed [0]" xfId="11621"/>
    <cellStyle name="Input Fixed [0] 2" xfId="20332"/>
    <cellStyle name="Input Normal" xfId="11622"/>
    <cellStyle name="Input Normal 2" xfId="20333"/>
    <cellStyle name="Input Percent" xfId="11623"/>
    <cellStyle name="Input Percent [2]" xfId="11624"/>
    <cellStyle name="Input Percent [2] 2" xfId="20334"/>
    <cellStyle name="Input Percent 2" xfId="20335"/>
    <cellStyle name="Input Percent 3" xfId="20336"/>
    <cellStyle name="Input Titles" xfId="11625"/>
    <cellStyle name="Input$" xfId="11626"/>
    <cellStyle name="Input$ 2" xfId="11627"/>
    <cellStyle name="Input$ 3" xfId="11628"/>
    <cellStyle name="Input%" xfId="11629"/>
    <cellStyle name="Input% 2" xfId="11630"/>
    <cellStyle name="Input% 3" xfId="11631"/>
    <cellStyle name="Input1" xfId="11632"/>
    <cellStyle name="Input2" xfId="11633"/>
    <cellStyle name="InputBlueFont" xfId="11634"/>
    <cellStyle name="InputCell" xfId="11635"/>
    <cellStyle name="InputCell 10" xfId="34804"/>
    <cellStyle name="InputCell 11" xfId="25038"/>
    <cellStyle name="InputCell 2" xfId="11636"/>
    <cellStyle name="InputCell 2 2" xfId="11637"/>
    <cellStyle name="InputCell 2 2 2" xfId="20175"/>
    <cellStyle name="InputCell 2 2 2 2" xfId="33454"/>
    <cellStyle name="InputCell 2 2 2 3" xfId="34782"/>
    <cellStyle name="InputCell 2 2 2 4" xfId="38417"/>
    <cellStyle name="InputCell 2 2 2 5" xfId="38647"/>
    <cellStyle name="InputCell 2 2 2 6" xfId="38939"/>
    <cellStyle name="InputCell 2 2 2 7" xfId="39140"/>
    <cellStyle name="InputCell 2 2 2 8" xfId="39258"/>
    <cellStyle name="InputCell 2 2 2 9" xfId="39382"/>
    <cellStyle name="InputCell 2 2 3" xfId="25594"/>
    <cellStyle name="InputCell 2 2 4" xfId="33780"/>
    <cellStyle name="InputCell 2 2 5" xfId="25495"/>
    <cellStyle name="InputCell 2 2 6" xfId="36375"/>
    <cellStyle name="InputCell 2 2 7" xfId="24523"/>
    <cellStyle name="InputCell 2 2 8" xfId="37030"/>
    <cellStyle name="InputCell 2 3" xfId="20174"/>
    <cellStyle name="InputCell 2 3 2" xfId="33453"/>
    <cellStyle name="InputCell 2 3 3" xfId="24347"/>
    <cellStyle name="InputCell 2 3 4" xfId="38416"/>
    <cellStyle name="InputCell 2 3 5" xfId="38646"/>
    <cellStyle name="InputCell 2 3 6" xfId="38938"/>
    <cellStyle name="InputCell 2 3 7" xfId="39139"/>
    <cellStyle name="InputCell 2 3 8" xfId="39257"/>
    <cellStyle name="InputCell 2 3 9" xfId="39381"/>
    <cellStyle name="InputCell 2 4" xfId="25593"/>
    <cellStyle name="InputCell 2 5" xfId="25050"/>
    <cellStyle name="InputCell 2 6" xfId="34532"/>
    <cellStyle name="InputCell 2 7" xfId="24781"/>
    <cellStyle name="InputCell 2 8" xfId="25623"/>
    <cellStyle name="InputCell 2 9" xfId="36678"/>
    <cellStyle name="InputCell 3" xfId="11638"/>
    <cellStyle name="InputCell 3 2" xfId="11639"/>
    <cellStyle name="InputCell 3 2 2" xfId="20177"/>
    <cellStyle name="InputCell 3 2 2 2" xfId="33456"/>
    <cellStyle name="InputCell 3 2 2 3" xfId="35280"/>
    <cellStyle name="InputCell 3 2 2 4" xfId="38419"/>
    <cellStyle name="InputCell 3 2 2 5" xfId="38649"/>
    <cellStyle name="InputCell 3 2 2 6" xfId="38941"/>
    <cellStyle name="InputCell 3 2 2 7" xfId="39142"/>
    <cellStyle name="InputCell 3 2 2 8" xfId="39260"/>
    <cellStyle name="InputCell 3 2 2 9" xfId="39384"/>
    <cellStyle name="InputCell 3 2 3" xfId="25596"/>
    <cellStyle name="InputCell 3 2 4" xfId="34658"/>
    <cellStyle name="InputCell 3 2 5" xfId="20570"/>
    <cellStyle name="InputCell 3 2 6" xfId="20608"/>
    <cellStyle name="InputCell 3 2 7" xfId="35148"/>
    <cellStyle name="InputCell 3 2 8" xfId="36324"/>
    <cellStyle name="InputCell 3 3" xfId="20176"/>
    <cellStyle name="InputCell 3 3 2" xfId="33455"/>
    <cellStyle name="InputCell 3 3 3" xfId="25250"/>
    <cellStyle name="InputCell 3 3 4" xfId="38418"/>
    <cellStyle name="InputCell 3 3 5" xfId="38648"/>
    <cellStyle name="InputCell 3 3 6" xfId="38940"/>
    <cellStyle name="InputCell 3 3 7" xfId="39141"/>
    <cellStyle name="InputCell 3 3 8" xfId="39259"/>
    <cellStyle name="InputCell 3 3 9" xfId="39383"/>
    <cellStyle name="InputCell 3 4" xfId="25595"/>
    <cellStyle name="InputCell 3 5" xfId="33781"/>
    <cellStyle name="InputCell 3 6" xfId="34513"/>
    <cellStyle name="InputCell 3 7" xfId="25271"/>
    <cellStyle name="InputCell 3 8" xfId="34229"/>
    <cellStyle name="InputCell 3 9" xfId="20595"/>
    <cellStyle name="InputCell 4" xfId="11640"/>
    <cellStyle name="InputCell 4 2" xfId="20178"/>
    <cellStyle name="InputCell 4 2 2" xfId="33457"/>
    <cellStyle name="InputCell 4 2 3" xfId="34286"/>
    <cellStyle name="InputCell 4 2 4" xfId="38420"/>
    <cellStyle name="InputCell 4 2 5" xfId="38650"/>
    <cellStyle name="InputCell 4 2 6" xfId="38942"/>
    <cellStyle name="InputCell 4 2 7" xfId="39143"/>
    <cellStyle name="InputCell 4 2 8" xfId="39261"/>
    <cellStyle name="InputCell 4 2 9" xfId="39385"/>
    <cellStyle name="InputCell 4 3" xfId="25597"/>
    <cellStyle name="InputCell 4 4" xfId="36187"/>
    <cellStyle name="InputCell 4 5" xfId="34399"/>
    <cellStyle name="InputCell 4 6" xfId="20607"/>
    <cellStyle name="InputCell 4 7" xfId="33765"/>
    <cellStyle name="InputCell 4 8" xfId="34403"/>
    <cellStyle name="InputCell 5" xfId="20173"/>
    <cellStyle name="InputCell 5 2" xfId="33452"/>
    <cellStyle name="InputCell 5 3" xfId="34543"/>
    <cellStyle name="InputCell 5 4" xfId="38415"/>
    <cellStyle name="InputCell 5 5" xfId="38645"/>
    <cellStyle name="InputCell 5 6" xfId="38937"/>
    <cellStyle name="InputCell 5 7" xfId="39138"/>
    <cellStyle name="InputCell 5 8" xfId="39256"/>
    <cellStyle name="InputCell 5 9" xfId="39380"/>
    <cellStyle name="InputCell 6" xfId="25592"/>
    <cellStyle name="InputCell 7" xfId="25494"/>
    <cellStyle name="InputCell 8" xfId="20516"/>
    <cellStyle name="InputCell 9" xfId="35303"/>
    <cellStyle name="InputPop" xfId="11641"/>
    <cellStyle name="InputPop 2" xfId="20337"/>
    <cellStyle name="Inputs" xfId="11642"/>
    <cellStyle name="Input-Text Only" xfId="11643"/>
    <cellStyle name="Integer" xfId="11644"/>
    <cellStyle name="Invisible" xfId="11645"/>
    <cellStyle name="Invisible 2" xfId="11646"/>
    <cellStyle name="Invisible 3" xfId="11647"/>
    <cellStyle name="Invisible 4" xfId="33587"/>
    <cellStyle name="Item" xfId="11648"/>
    <cellStyle name="ItemTypeClass" xfId="11649"/>
    <cellStyle name="ItemTypeClass 10" xfId="34540"/>
    <cellStyle name="ItemTypeClass 11" xfId="37990"/>
    <cellStyle name="ItemTypeClass 12" xfId="20511"/>
    <cellStyle name="ItemTypeClass 13" xfId="34822"/>
    <cellStyle name="ItemTypeClass 14" xfId="38144"/>
    <cellStyle name="ItemTypeClass 15" xfId="34228"/>
    <cellStyle name="ItemTypeClass 2" xfId="11650"/>
    <cellStyle name="ItemTypeClass 2 10" xfId="36297"/>
    <cellStyle name="ItemTypeClass 2 11" xfId="33999"/>
    <cellStyle name="ItemTypeClass 2 12" xfId="35645"/>
    <cellStyle name="ItemTypeClass 2 13" xfId="33986"/>
    <cellStyle name="ItemTypeClass 2 2" xfId="11651"/>
    <cellStyle name="ItemTypeClass 2 2 10" xfId="24959"/>
    <cellStyle name="ItemTypeClass 2 2 11" xfId="37428"/>
    <cellStyle name="ItemTypeClass 2 2 12" xfId="34934"/>
    <cellStyle name="ItemTypeClass 2 2 2" xfId="20181"/>
    <cellStyle name="ItemTypeClass 2 2 2 10" xfId="38945"/>
    <cellStyle name="ItemTypeClass 2 2 2 11" xfId="39146"/>
    <cellStyle name="ItemTypeClass 2 2 2 12" xfId="39264"/>
    <cellStyle name="ItemTypeClass 2 2 2 13" xfId="39388"/>
    <cellStyle name="ItemTypeClass 2 2 2 2" xfId="33460"/>
    <cellStyle name="ItemTypeClass 2 2 2 3" xfId="36975"/>
    <cellStyle name="ItemTypeClass 2 2 2 4" xfId="37297"/>
    <cellStyle name="ItemTypeClass 2 2 2 5" xfId="37664"/>
    <cellStyle name="ItemTypeClass 2 2 2 6" xfId="36515"/>
    <cellStyle name="ItemTypeClass 2 2 2 7" xfId="25005"/>
    <cellStyle name="ItemTypeClass 2 2 2 8" xfId="38423"/>
    <cellStyle name="ItemTypeClass 2 2 2 9" xfId="38653"/>
    <cellStyle name="ItemTypeClass 2 2 3" xfId="25602"/>
    <cellStyle name="ItemTypeClass 2 2 4" xfId="35268"/>
    <cellStyle name="ItemTypeClass 2 2 5" xfId="25047"/>
    <cellStyle name="ItemTypeClass 2 2 6" xfId="25719"/>
    <cellStyle name="ItemTypeClass 2 2 7" xfId="24381"/>
    <cellStyle name="ItemTypeClass 2 2 8" xfId="37524"/>
    <cellStyle name="ItemTypeClass 2 2 9" xfId="37606"/>
    <cellStyle name="ItemTypeClass 2 3" xfId="20180"/>
    <cellStyle name="ItemTypeClass 2 3 10" xfId="38944"/>
    <cellStyle name="ItemTypeClass 2 3 11" xfId="39145"/>
    <cellStyle name="ItemTypeClass 2 3 12" xfId="39263"/>
    <cellStyle name="ItemTypeClass 2 3 13" xfId="39387"/>
    <cellStyle name="ItemTypeClass 2 3 2" xfId="33459"/>
    <cellStyle name="ItemTypeClass 2 3 3" xfId="36974"/>
    <cellStyle name="ItemTypeClass 2 3 4" xfId="37296"/>
    <cellStyle name="ItemTypeClass 2 3 5" xfId="37663"/>
    <cellStyle name="ItemTypeClass 2 3 6" xfId="33631"/>
    <cellStyle name="ItemTypeClass 2 3 7" xfId="36465"/>
    <cellStyle name="ItemTypeClass 2 3 8" xfId="38422"/>
    <cellStyle name="ItemTypeClass 2 3 9" xfId="38652"/>
    <cellStyle name="ItemTypeClass 2 4" xfId="25601"/>
    <cellStyle name="ItemTypeClass 2 5" xfId="36489"/>
    <cellStyle name="ItemTypeClass 2 6" xfId="25492"/>
    <cellStyle name="ItemTypeClass 2 7" xfId="34202"/>
    <cellStyle name="ItemTypeClass 2 8" xfId="25550"/>
    <cellStyle name="ItemTypeClass 2 9" xfId="35648"/>
    <cellStyle name="ItemTypeClass 3" xfId="11652"/>
    <cellStyle name="ItemTypeClass 3 10" xfId="35242"/>
    <cellStyle name="ItemTypeClass 3 11" xfId="36296"/>
    <cellStyle name="ItemTypeClass 3 12" xfId="35789"/>
    <cellStyle name="ItemTypeClass 3 13" xfId="35458"/>
    <cellStyle name="ItemTypeClass 3 2" xfId="11653"/>
    <cellStyle name="ItemTypeClass 3 2 10" xfId="34817"/>
    <cellStyle name="ItemTypeClass 3 2 11" xfId="20554"/>
    <cellStyle name="ItemTypeClass 3 2 12" xfId="34561"/>
    <cellStyle name="ItemTypeClass 3 2 2" xfId="20183"/>
    <cellStyle name="ItemTypeClass 3 2 2 10" xfId="38947"/>
    <cellStyle name="ItemTypeClass 3 2 2 11" xfId="39148"/>
    <cellStyle name="ItemTypeClass 3 2 2 12" xfId="39266"/>
    <cellStyle name="ItemTypeClass 3 2 2 13" xfId="39390"/>
    <cellStyle name="ItemTypeClass 3 2 2 2" xfId="33462"/>
    <cellStyle name="ItemTypeClass 3 2 2 3" xfId="36977"/>
    <cellStyle name="ItemTypeClass 3 2 2 4" xfId="37299"/>
    <cellStyle name="ItemTypeClass 3 2 2 5" xfId="37666"/>
    <cellStyle name="ItemTypeClass 3 2 2 6" xfId="33553"/>
    <cellStyle name="ItemTypeClass 3 2 2 7" xfId="34545"/>
    <cellStyle name="ItemTypeClass 3 2 2 8" xfId="38425"/>
    <cellStyle name="ItemTypeClass 3 2 2 9" xfId="38655"/>
    <cellStyle name="ItemTypeClass 3 2 3" xfId="25604"/>
    <cellStyle name="ItemTypeClass 3 2 4" xfId="24752"/>
    <cellStyle name="ItemTypeClass 3 2 5" xfId="35014"/>
    <cellStyle name="ItemTypeClass 3 2 6" xfId="24997"/>
    <cellStyle name="ItemTypeClass 3 2 7" xfId="34814"/>
    <cellStyle name="ItemTypeClass 3 2 8" xfId="24361"/>
    <cellStyle name="ItemTypeClass 3 2 9" xfId="36668"/>
    <cellStyle name="ItemTypeClass 3 3" xfId="20182"/>
    <cellStyle name="ItemTypeClass 3 3 10" xfId="38946"/>
    <cellStyle name="ItemTypeClass 3 3 11" xfId="39147"/>
    <cellStyle name="ItemTypeClass 3 3 12" xfId="39265"/>
    <cellStyle name="ItemTypeClass 3 3 13" xfId="39389"/>
    <cellStyle name="ItemTypeClass 3 3 2" xfId="33461"/>
    <cellStyle name="ItemTypeClass 3 3 3" xfId="36976"/>
    <cellStyle name="ItemTypeClass 3 3 4" xfId="37298"/>
    <cellStyle name="ItemTypeClass 3 3 5" xfId="37665"/>
    <cellStyle name="ItemTypeClass 3 3 6" xfId="35982"/>
    <cellStyle name="ItemTypeClass 3 3 7" xfId="34823"/>
    <cellStyle name="ItemTypeClass 3 3 8" xfId="38424"/>
    <cellStyle name="ItemTypeClass 3 3 9" xfId="38654"/>
    <cellStyle name="ItemTypeClass 3 4" xfId="25603"/>
    <cellStyle name="ItemTypeClass 3 5" xfId="24751"/>
    <cellStyle name="ItemTypeClass 3 6" xfId="34657"/>
    <cellStyle name="ItemTypeClass 3 7" xfId="25110"/>
    <cellStyle name="ItemTypeClass 3 8" xfId="36361"/>
    <cellStyle name="ItemTypeClass 3 9" xfId="24772"/>
    <cellStyle name="ItemTypeClass 4" xfId="11654"/>
    <cellStyle name="ItemTypeClass 4 10" xfId="34623"/>
    <cellStyle name="ItemTypeClass 4 11" xfId="35485"/>
    <cellStyle name="ItemTypeClass 4 12" xfId="33669"/>
    <cellStyle name="ItemTypeClass 4 2" xfId="20184"/>
    <cellStyle name="ItemTypeClass 4 2 10" xfId="38948"/>
    <cellStyle name="ItemTypeClass 4 2 11" xfId="39149"/>
    <cellStyle name="ItemTypeClass 4 2 12" xfId="39267"/>
    <cellStyle name="ItemTypeClass 4 2 13" xfId="39391"/>
    <cellStyle name="ItemTypeClass 4 2 2" xfId="33463"/>
    <cellStyle name="ItemTypeClass 4 2 3" xfId="36978"/>
    <cellStyle name="ItemTypeClass 4 2 4" xfId="37300"/>
    <cellStyle name="ItemTypeClass 4 2 5" xfId="37667"/>
    <cellStyle name="ItemTypeClass 4 2 6" xfId="36136"/>
    <cellStyle name="ItemTypeClass 4 2 7" xfId="36639"/>
    <cellStyle name="ItemTypeClass 4 2 8" xfId="38426"/>
    <cellStyle name="ItemTypeClass 4 2 9" xfId="38656"/>
    <cellStyle name="ItemTypeClass 4 3" xfId="25605"/>
    <cellStyle name="ItemTypeClass 4 4" xfId="24753"/>
    <cellStyle name="ItemTypeClass 4 5" xfId="33783"/>
    <cellStyle name="ItemTypeClass 4 6" xfId="36504"/>
    <cellStyle name="ItemTypeClass 4 7" xfId="34539"/>
    <cellStyle name="ItemTypeClass 4 8" xfId="36784"/>
    <cellStyle name="ItemTypeClass 4 9" xfId="24352"/>
    <cellStyle name="ItemTypeClass 5" xfId="20179"/>
    <cellStyle name="ItemTypeClass 5 10" xfId="38943"/>
    <cellStyle name="ItemTypeClass 5 11" xfId="39144"/>
    <cellStyle name="ItemTypeClass 5 12" xfId="39262"/>
    <cellStyle name="ItemTypeClass 5 13" xfId="39386"/>
    <cellStyle name="ItemTypeClass 5 2" xfId="33458"/>
    <cellStyle name="ItemTypeClass 5 3" xfId="36973"/>
    <cellStyle name="ItemTypeClass 5 4" xfId="37295"/>
    <cellStyle name="ItemTypeClass 5 5" xfId="37662"/>
    <cellStyle name="ItemTypeClass 5 6" xfId="35871"/>
    <cellStyle name="ItemTypeClass 5 7" xfId="37436"/>
    <cellStyle name="ItemTypeClass 5 8" xfId="38421"/>
    <cellStyle name="ItemTypeClass 5 9" xfId="38651"/>
    <cellStyle name="ItemTypeClass 6" xfId="25600"/>
    <cellStyle name="ItemTypeClass 7" xfId="24750"/>
    <cellStyle name="ItemTypeClass 8" xfId="33782"/>
    <cellStyle name="ItemTypeClass 9" xfId="20483"/>
    <cellStyle name="Ivan" xfId="11655"/>
    <cellStyle name="îÿî_x0002_" xfId="11656"/>
    <cellStyle name="îÿî_x0002__x0010_" xfId="11657"/>
    <cellStyle name="îÿî_x0002__CardioSolutions 05 31 2007 Final Model 09 27 2007" xfId="11658"/>
    <cellStyle name="Jason" xfId="11659"/>
    <cellStyle name="JustOneDec" xfId="11660"/>
    <cellStyle name="JustOneDec 2" xfId="20338"/>
    <cellStyle name="Komma [0]_laroux" xfId="11661"/>
    <cellStyle name="Komma_laroux" xfId="11662"/>
    <cellStyle name="Kommatecken [0]_2000 DVD COSTS.xls" xfId="11663"/>
    <cellStyle name="KPMG Heading 1" xfId="11664"/>
    <cellStyle name="KPMG Heading 2" xfId="11665"/>
    <cellStyle name="KPMG Heading 3" xfId="11666"/>
    <cellStyle name="KPMG Heading 4" xfId="11667"/>
    <cellStyle name="KPMG Normal" xfId="11668"/>
    <cellStyle name="KPMG Normal Text" xfId="11669"/>
    <cellStyle name="KPMG Normal_2006 Model (3-2-06) v1 3" xfId="11670"/>
    <cellStyle name="LABEL_NUMBER" xfId="11671"/>
    <cellStyle name="Lable8Left" xfId="11672"/>
    <cellStyle name="Large Page Heading" xfId="11673"/>
    <cellStyle name="Last_nums" xfId="11674"/>
    <cellStyle name="left" xfId="11675"/>
    <cellStyle name="left 2" xfId="20339"/>
    <cellStyle name="Left Heading 1" xfId="11676"/>
    <cellStyle name="Left Heading 2" xfId="11677"/>
    <cellStyle name="leftStyle" xfId="11678"/>
    <cellStyle name="leftStyle2" xfId="11679"/>
    <cellStyle name="Lien hypertexte_NEGS" xfId="11680"/>
    <cellStyle name="LineBottom" xfId="11681"/>
    <cellStyle name="LineBottom 2" xfId="11682"/>
    <cellStyle name="LineBottom 2 2" xfId="20278"/>
    <cellStyle name="LineBottom 2 3" xfId="38026"/>
    <cellStyle name="LineBottom 3" xfId="11683"/>
    <cellStyle name="LineBottom 3 2" xfId="20279"/>
    <cellStyle name="LineBottom 3 3" xfId="36174"/>
    <cellStyle name="LineBottom 4" xfId="20280"/>
    <cellStyle name="LineBottom 5" xfId="33803"/>
    <cellStyle name="LineItem" xfId="11684"/>
    <cellStyle name="LineItems" xfId="11685"/>
    <cellStyle name="LineItems 2" xfId="20340"/>
    <cellStyle name="LineTop" xfId="11686"/>
    <cellStyle name="LineTop 2" xfId="11687"/>
    <cellStyle name="LineTop 2 2" xfId="11688"/>
    <cellStyle name="LineTop 2 2 2" xfId="16164"/>
    <cellStyle name="LineTop 2 2 2 10" xfId="38461"/>
    <cellStyle name="LineTop 2 2 2 2" xfId="29556"/>
    <cellStyle name="LineTop 2 2 2 3" xfId="34856"/>
    <cellStyle name="LineTop 2 2 2 4" xfId="34764"/>
    <cellStyle name="LineTop 2 2 2 5" xfId="35381"/>
    <cellStyle name="LineTop 2 2 2 6" xfId="36763"/>
    <cellStyle name="LineTop 2 2 2 7" xfId="35863"/>
    <cellStyle name="LineTop 2 2 2 8" xfId="37458"/>
    <cellStyle name="LineTop 2 2 2 9" xfId="34110"/>
    <cellStyle name="LineTop 2 2 3" xfId="20187"/>
    <cellStyle name="LineTop 2 2 3 2" xfId="33466"/>
    <cellStyle name="LineTop 2 2 4" xfId="25612"/>
    <cellStyle name="LineTop 2 2 5" xfId="24213"/>
    <cellStyle name="LineTop 2 2 6" xfId="37514"/>
    <cellStyle name="LineTop 2 3" xfId="16163"/>
    <cellStyle name="LineTop 2 3 10" xfId="25327"/>
    <cellStyle name="LineTop 2 3 2" xfId="29555"/>
    <cellStyle name="LineTop 2 3 3" xfId="36024"/>
    <cellStyle name="LineTop 2 3 4" xfId="34175"/>
    <cellStyle name="LineTop 2 3 5" xfId="35852"/>
    <cellStyle name="LineTop 2 3 6" xfId="35451"/>
    <cellStyle name="LineTop 2 3 7" xfId="24255"/>
    <cellStyle name="LineTop 2 3 8" xfId="24816"/>
    <cellStyle name="LineTop 2 3 9" xfId="33834"/>
    <cellStyle name="LineTop 2 4" xfId="20186"/>
    <cellStyle name="LineTop 2 4 2" xfId="33465"/>
    <cellStyle name="LineTop 2 5" xfId="25611"/>
    <cellStyle name="LineTop 2 6" xfId="33524"/>
    <cellStyle name="LineTop 2 7" xfId="35981"/>
    <cellStyle name="LineTop 3" xfId="11689"/>
    <cellStyle name="LineTop 3 2" xfId="11690"/>
    <cellStyle name="LineTop 3 2 2" xfId="16166"/>
    <cellStyle name="LineTop 3 2 2 10" xfId="34058"/>
    <cellStyle name="LineTop 3 2 2 2" xfId="29558"/>
    <cellStyle name="LineTop 3 2 2 3" xfId="36023"/>
    <cellStyle name="LineTop 3 2 2 4" xfId="25298"/>
    <cellStyle name="LineTop 3 2 2 5" xfId="34691"/>
    <cellStyle name="LineTop 3 2 2 6" xfId="24900"/>
    <cellStyle name="LineTop 3 2 2 7" xfId="34064"/>
    <cellStyle name="LineTop 3 2 2 8" xfId="34280"/>
    <cellStyle name="LineTop 3 2 2 9" xfId="33840"/>
    <cellStyle name="LineTop 3 2 3" xfId="20189"/>
    <cellStyle name="LineTop 3 2 3 2" xfId="33468"/>
    <cellStyle name="LineTop 3 2 4" xfId="25614"/>
    <cellStyle name="LineTop 3 2 5" xfId="36189"/>
    <cellStyle name="LineTop 3 2 6" xfId="34448"/>
    <cellStyle name="LineTop 3 3" xfId="16165"/>
    <cellStyle name="LineTop 3 3 10" xfId="34731"/>
    <cellStyle name="LineTop 3 3 2" xfId="29557"/>
    <cellStyle name="LineTop 3 3 3" xfId="25206"/>
    <cellStyle name="LineTop 3 3 4" xfId="36318"/>
    <cellStyle name="LineTop 3 3 5" xfId="24894"/>
    <cellStyle name="LineTop 3 3 6" xfId="35267"/>
    <cellStyle name="LineTop 3 3 7" xfId="34933"/>
    <cellStyle name="LineTop 3 3 8" xfId="35915"/>
    <cellStyle name="LineTop 3 3 9" xfId="35080"/>
    <cellStyle name="LineTop 3 4" xfId="20188"/>
    <cellStyle name="LineTop 3 4 2" xfId="33467"/>
    <cellStyle name="LineTop 3 5" xfId="25613"/>
    <cellStyle name="LineTop 3 6" xfId="36692"/>
    <cellStyle name="LineTop 3 7" xfId="25237"/>
    <cellStyle name="LineTop 4" xfId="11691"/>
    <cellStyle name="LineTop 4 2" xfId="16167"/>
    <cellStyle name="LineTop 4 2 10" xfId="38132"/>
    <cellStyle name="LineTop 4 2 2" xfId="29559"/>
    <cellStyle name="LineTop 4 2 3" xfId="34855"/>
    <cellStyle name="LineTop 4 2 4" xfId="24917"/>
    <cellStyle name="LineTop 4 2 5" xfId="34794"/>
    <cellStyle name="LineTop 4 2 6" xfId="35910"/>
    <cellStyle name="LineTop 4 2 7" xfId="24250"/>
    <cellStyle name="LineTop 4 2 8" xfId="35478"/>
    <cellStyle name="LineTop 4 2 9" xfId="38216"/>
    <cellStyle name="LineTop 4 3" xfId="20190"/>
    <cellStyle name="LineTop 4 3 2" xfId="33469"/>
    <cellStyle name="LineTop 4 4" xfId="25615"/>
    <cellStyle name="LineTop 4 5" xfId="20619"/>
    <cellStyle name="LineTop 4 6" xfId="36864"/>
    <cellStyle name="LineTop 5" xfId="16162"/>
    <cellStyle name="LineTop 5 10" xfId="24268"/>
    <cellStyle name="LineTop 5 2" xfId="29554"/>
    <cellStyle name="LineTop 5 3" xfId="34854"/>
    <cellStyle name="LineTop 5 4" xfId="34174"/>
    <cellStyle name="LineTop 5 5" xfId="24893"/>
    <cellStyle name="LineTop 5 6" xfId="25080"/>
    <cellStyle name="LineTop 5 7" xfId="24971"/>
    <cellStyle name="LineTop 5 8" xfId="35058"/>
    <cellStyle name="LineTop 5 9" xfId="34962"/>
    <cellStyle name="LineTop 6" xfId="20185"/>
    <cellStyle name="LineTop 6 2" xfId="33464"/>
    <cellStyle name="LineTop 7" xfId="25610"/>
    <cellStyle name="LineTop 8" xfId="34972"/>
    <cellStyle name="LineTop 9" xfId="25685"/>
    <cellStyle name="Link Currency (0)" xfId="11692"/>
    <cellStyle name="Link Currency (2)" xfId="11693"/>
    <cellStyle name="Link Units (0)" xfId="11694"/>
    <cellStyle name="Link Units (1)" xfId="11695"/>
    <cellStyle name="Link Units (2)" xfId="11696"/>
    <cellStyle name="Linked Cell 10" xfId="11697"/>
    <cellStyle name="Linked Cell 11" xfId="11698"/>
    <cellStyle name="Linked Cell 12" xfId="11699"/>
    <cellStyle name="Linked Cell 13" xfId="11700"/>
    <cellStyle name="Linked Cell 2" xfId="11701"/>
    <cellStyle name="Linked Cell 3" xfId="11702"/>
    <cellStyle name="Linked Cell 4" xfId="11703"/>
    <cellStyle name="Linked Cell 5" xfId="11704"/>
    <cellStyle name="Linked Cell 6" xfId="11705"/>
    <cellStyle name="Linked Cell 7" xfId="11706"/>
    <cellStyle name="Linked Cell 8" xfId="11707"/>
    <cellStyle name="Linked Cell 9" xfId="11708"/>
    <cellStyle name="Linked Cells" xfId="11709"/>
    <cellStyle name="locked" xfId="11710"/>
    <cellStyle name="LookUpText" xfId="11711"/>
    <cellStyle name="lou" xfId="11712"/>
    <cellStyle name="m&amp;a" xfId="11713"/>
    <cellStyle name="ManualInput" xfId="11714"/>
    <cellStyle name="ManualInput 2" xfId="20341"/>
    <cellStyle name="Map Labels" xfId="11715"/>
    <cellStyle name="Map Legend" xfId="11716"/>
    <cellStyle name="Map Title" xfId="11717"/>
    <cellStyle name="Margins" xfId="11718"/>
    <cellStyle name="Margins 2" xfId="20342"/>
    <cellStyle name="Migliaia (0)_ACTUAL 31-12-95" xfId="11719"/>
    <cellStyle name="Migliaia_ACTUAL 30-06-95.XLS" xfId="11720"/>
    <cellStyle name="mil" xfId="11721"/>
    <cellStyle name="Miles" xfId="11722"/>
    <cellStyle name="Millares [0]_laroux" xfId="11723"/>
    <cellStyle name="Millares_laroux" xfId="11724"/>
    <cellStyle name="Milliers [0]_!!!GO" xfId="11725"/>
    <cellStyle name="Milliers 2" xfId="11726"/>
    <cellStyle name="Milliers_!!!GO" xfId="11727"/>
    <cellStyle name="Mills" xfId="11728"/>
    <cellStyle name="Mills 2" xfId="11729"/>
    <cellStyle name="Mills 2 2" xfId="20281"/>
    <cellStyle name="Mills 2 3" xfId="24606"/>
    <cellStyle name="Mills 3" xfId="11730"/>
    <cellStyle name="Mills 3 2" xfId="20282"/>
    <cellStyle name="Mills 3 3" xfId="38091"/>
    <cellStyle name="Mills 4" xfId="20283"/>
    <cellStyle name="Mills 5" xfId="24875"/>
    <cellStyle name="mm/d/yy" xfId="11731"/>
    <cellStyle name="mm/dd/yy" xfId="11732"/>
    <cellStyle name="MMM-YY" xfId="11733"/>
    <cellStyle name="MMs1Place" xfId="11734"/>
    <cellStyle name="MMs2Places" xfId="11735"/>
    <cellStyle name="mo" xfId="11736"/>
    <cellStyle name="mo end" xfId="11737"/>
    <cellStyle name="mo_~8080122" xfId="11738"/>
    <cellStyle name="Model" xfId="11739"/>
    <cellStyle name="Moneda [0]_laroux" xfId="11740"/>
    <cellStyle name="Moneda_laroux" xfId="11741"/>
    <cellStyle name="Monétaire [0]_!!!GO" xfId="11742"/>
    <cellStyle name="Monétaire 2" xfId="11743"/>
    <cellStyle name="Monétaire 2 10" xfId="11744"/>
    <cellStyle name="Monétaire 2 2" xfId="11745"/>
    <cellStyle name="Monétaire 2 2 2" xfId="11746"/>
    <cellStyle name="Monétaire 2 2 2 2" xfId="11747"/>
    <cellStyle name="Monétaire 2 2 2 3" xfId="11748"/>
    <cellStyle name="Monétaire 2 2 2 4" xfId="11749"/>
    <cellStyle name="Monétaire 2 2 2 5" xfId="11750"/>
    <cellStyle name="Monétaire 2 2 3" xfId="11751"/>
    <cellStyle name="Monétaire 2 2 4" xfId="11752"/>
    <cellStyle name="Monétaire 2 2 5" xfId="11753"/>
    <cellStyle name="Monétaire 2 3" xfId="11754"/>
    <cellStyle name="Monétaire 2 4" xfId="11755"/>
    <cellStyle name="Monétaire 2 5" xfId="11756"/>
    <cellStyle name="Monétaire 2 6" xfId="11757"/>
    <cellStyle name="Monétaire 2 7" xfId="11758"/>
    <cellStyle name="Monétaire 2 8" xfId="11759"/>
    <cellStyle name="Monétaire 2 9" xfId="11760"/>
    <cellStyle name="Monétaire_!!!GO" xfId="11761"/>
    <cellStyle name="MonthYear" xfId="11762"/>
    <cellStyle name="Mon-Yr" xfId="11763"/>
    <cellStyle name="Mult No x" xfId="11764"/>
    <cellStyle name="Mult No x 2" xfId="11765"/>
    <cellStyle name="Mult No x 2 2" xfId="20284"/>
    <cellStyle name="Mult No x 2 3" xfId="37483"/>
    <cellStyle name="Mult No x 3" xfId="11766"/>
    <cellStyle name="Mult No x 3 2" xfId="20285"/>
    <cellStyle name="Mult No x 3 3" xfId="24599"/>
    <cellStyle name="Mult No x 4" xfId="20286"/>
    <cellStyle name="Mult No x 5" xfId="34246"/>
    <cellStyle name="Mult With x" xfId="11767"/>
    <cellStyle name="Mult With x 2" xfId="11768"/>
    <cellStyle name="Mult With x 2 2" xfId="20287"/>
    <cellStyle name="Mult With x 2 3" xfId="38054"/>
    <cellStyle name="Mult With x 3" xfId="11769"/>
    <cellStyle name="Mult With x 3 2" xfId="20288"/>
    <cellStyle name="Mult With x 3 3" xfId="38024"/>
    <cellStyle name="Mult With x 4" xfId="20289"/>
    <cellStyle name="Mult With x 5" xfId="35420"/>
    <cellStyle name="Multiple" xfId="11770"/>
    <cellStyle name="Multiple (no x)" xfId="11771"/>
    <cellStyle name="Multiple (x)" xfId="11772"/>
    <cellStyle name="Multiple []" xfId="11773"/>
    <cellStyle name="Multiple [0]" xfId="11774"/>
    <cellStyle name="Multiple [0] []" xfId="11775"/>
    <cellStyle name="Multiple [1]" xfId="11776"/>
    <cellStyle name="Multiple [1] []" xfId="11777"/>
    <cellStyle name="Multiple[,]" xfId="11778"/>
    <cellStyle name="Multiple[1]" xfId="11779"/>
    <cellStyle name="Multiple[2]" xfId="11780"/>
    <cellStyle name="Multiple_Abacus1" xfId="11781"/>
    <cellStyle name="MultipleBelow" xfId="11782"/>
    <cellStyle name="NA is zero" xfId="11783"/>
    <cellStyle name="NA is zero 2" xfId="20343"/>
    <cellStyle name="Neutral 10" xfId="11784"/>
    <cellStyle name="Neutral 11" xfId="11785"/>
    <cellStyle name="Neutral 12" xfId="11786"/>
    <cellStyle name="Neutral 13" xfId="11787"/>
    <cellStyle name="Neutral 2" xfId="11788"/>
    <cellStyle name="Neutral 3" xfId="11789"/>
    <cellStyle name="Neutral 4" xfId="11790"/>
    <cellStyle name="Neutral 5" xfId="11791"/>
    <cellStyle name="Neutral 6" xfId="11792"/>
    <cellStyle name="Neutral 7" xfId="11793"/>
    <cellStyle name="Neutral 8" xfId="11794"/>
    <cellStyle name="Neutral 9" xfId="11795"/>
    <cellStyle name="new" xfId="11796"/>
    <cellStyle name="NewColumnHeaderNormal" xfId="11797"/>
    <cellStyle name="NewColumnHeaderNormal 2" xfId="33588"/>
    <cellStyle name="NewPeso" xfId="11798"/>
    <cellStyle name="NewPeso 2" xfId="20344"/>
    <cellStyle name="NewSectionHeaderNormal" xfId="11799"/>
    <cellStyle name="NewSectionHeaderNormal 2" xfId="20345"/>
    <cellStyle name="NewSectionHeaderNormal 3" xfId="33589"/>
    <cellStyle name="NewTitleNormal" xfId="11800"/>
    <cellStyle name="NewTitleNormal 2" xfId="33590"/>
    <cellStyle name="No Border" xfId="11801"/>
    <cellStyle name="No Border 2" xfId="20346"/>
    <cellStyle name="no dec" xfId="11802"/>
    <cellStyle name="nobuild" xfId="11803"/>
    <cellStyle name="nonmultiple" xfId="11804"/>
    <cellStyle name="NonPrint_Heading" xfId="11805"/>
    <cellStyle name="Norm੎੎" xfId="11806"/>
    <cellStyle name="Norm੎੎ 2" xfId="20347"/>
    <cellStyle name="Normal" xfId="0" builtinId="0"/>
    <cellStyle name="Normal - Style1" xfId="11807"/>
    <cellStyle name="Normal - Style2" xfId="11808"/>
    <cellStyle name="Normal - Style2 2" xfId="11809"/>
    <cellStyle name="Normal - Style3" xfId="11810"/>
    <cellStyle name="Normal - Style4" xfId="11811"/>
    <cellStyle name="Normal - Style5" xfId="11812"/>
    <cellStyle name="Normal - Style6" xfId="11813"/>
    <cellStyle name="Normal - Style7" xfId="11814"/>
    <cellStyle name="Normal - Style8" xfId="11815"/>
    <cellStyle name="Normal - Style8 2" xfId="11816"/>
    <cellStyle name="Normal [0]" xfId="11817"/>
    <cellStyle name="Normal [0] 2" xfId="20348"/>
    <cellStyle name="Normal [1]" xfId="11818"/>
    <cellStyle name="Normal [2]" xfId="11819"/>
    <cellStyle name="Normal [2] 2" xfId="20349"/>
    <cellStyle name="Normal [3]" xfId="11820"/>
    <cellStyle name="Normal [3] 2" xfId="20350"/>
    <cellStyle name="Normal 10" xfId="11821"/>
    <cellStyle name="Normal 10 11 2" xfId="11822"/>
    <cellStyle name="Normal 10 11 2 2" xfId="16168"/>
    <cellStyle name="Normal 10 11 2 2 2" xfId="20310"/>
    <cellStyle name="Normal 10 11 2 2 2 2" xfId="33545"/>
    <cellStyle name="Normal 10 11 2 2 3" xfId="20380"/>
    <cellStyle name="Normal 10 11 2 2 4" xfId="29560"/>
    <cellStyle name="Normal 10 11 2 3" xfId="20191"/>
    <cellStyle name="Normal 10 11 2 3 2" xfId="33470"/>
    <cellStyle name="Normal 10 11 2 4" xfId="25646"/>
    <cellStyle name="Normal 10 2" xfId="11823"/>
    <cellStyle name="Normal 10 2 2" xfId="20351"/>
    <cellStyle name="Normal 10 3" xfId="11824"/>
    <cellStyle name="Normal 10 4" xfId="11825"/>
    <cellStyle name="Normal 11" xfId="11826"/>
    <cellStyle name="Normal 11 2" xfId="11827"/>
    <cellStyle name="Normal 11 3" xfId="20307"/>
    <cellStyle name="Normal 11 3 2" xfId="33543"/>
    <cellStyle name="Normal 11 4" xfId="20379"/>
    <cellStyle name="Normal 12" xfId="11828"/>
    <cellStyle name="Normal 12 2" xfId="11829"/>
    <cellStyle name="Normal 12 2 2" xfId="16169"/>
    <cellStyle name="Normal 12 2 2 2" xfId="29561"/>
    <cellStyle name="Normal 12 2 3" xfId="20192"/>
    <cellStyle name="Normal 12 2 3 2" xfId="33471"/>
    <cellStyle name="Normal 12 2 4" xfId="25648"/>
    <cellStyle name="Normal 13" xfId="11830"/>
    <cellStyle name="Normal 13 2" xfId="11831"/>
    <cellStyle name="Normal 14" xfId="11832"/>
    <cellStyle name="Normal 14 2" xfId="11833"/>
    <cellStyle name="Normal 14 2 2" xfId="16170"/>
    <cellStyle name="Normal 14 2 2 2" xfId="29562"/>
    <cellStyle name="Normal 14 2 3" xfId="20193"/>
    <cellStyle name="Normal 14 2 3 2" xfId="33472"/>
    <cellStyle name="Normal 14 2 4" xfId="25649"/>
    <cellStyle name="Normal 15" xfId="11834"/>
    <cellStyle name="Normal 15 2" xfId="11835"/>
    <cellStyle name="Normal 15 2 2" xfId="16171"/>
    <cellStyle name="Normal 15 2 2 2" xfId="29563"/>
    <cellStyle name="Normal 15 2 3" xfId="20194"/>
    <cellStyle name="Normal 15 2 3 2" xfId="33473"/>
    <cellStyle name="Normal 15 2 4" xfId="25650"/>
    <cellStyle name="Normal 16" xfId="11836"/>
    <cellStyle name="Normal 16 2" xfId="11837"/>
    <cellStyle name="Normal 16 2 2" xfId="16172"/>
    <cellStyle name="Normal 16 2 2 2" xfId="29564"/>
    <cellStyle name="Normal 16 2 3" xfId="20195"/>
    <cellStyle name="Normal 16 2 3 2" xfId="33474"/>
    <cellStyle name="Normal 16 2 4" xfId="25651"/>
    <cellStyle name="Normal 17" xfId="11838"/>
    <cellStyle name="Normal 17 2" xfId="11839"/>
    <cellStyle name="Normal 17 2 2" xfId="16173"/>
    <cellStyle name="Normal 17 2 2 2" xfId="29565"/>
    <cellStyle name="Normal 17 2 3" xfId="20196"/>
    <cellStyle name="Normal 17 2 3 2" xfId="33475"/>
    <cellStyle name="Normal 17 2 4" xfId="25652"/>
    <cellStyle name="Normal 17 3" xfId="11840"/>
    <cellStyle name="Normal 18" xfId="11841"/>
    <cellStyle name="Normal 18 2" xfId="11842"/>
    <cellStyle name="Normal 18 2 2" xfId="16174"/>
    <cellStyle name="Normal 18 2 2 2" xfId="29566"/>
    <cellStyle name="Normal 18 2 3" xfId="20197"/>
    <cellStyle name="Normal 18 2 3 2" xfId="33476"/>
    <cellStyle name="Normal 18 2 4" xfId="25653"/>
    <cellStyle name="Normal 19" xfId="11843"/>
    <cellStyle name="Normal 19 2" xfId="11844"/>
    <cellStyle name="Normal 19 2 2" xfId="16175"/>
    <cellStyle name="Normal 19 2 2 2" xfId="29567"/>
    <cellStyle name="Normal 19 2 3" xfId="20198"/>
    <cellStyle name="Normal 19 2 3 2" xfId="33477"/>
    <cellStyle name="Normal 19 2 4" xfId="25654"/>
    <cellStyle name="Normal 2" xfId="11845"/>
    <cellStyle name="Normal 2 10" xfId="11846"/>
    <cellStyle name="Normal 2 11" xfId="11847"/>
    <cellStyle name="Normal 2 12" xfId="11848"/>
    <cellStyle name="Normal 2 13" xfId="11849"/>
    <cellStyle name="Normal 2 14" xfId="11850"/>
    <cellStyle name="Normal 2 15" xfId="11851"/>
    <cellStyle name="Normal 2 16" xfId="16176"/>
    <cellStyle name="Normal 2 16 2" xfId="29568"/>
    <cellStyle name="Normal 2 17" xfId="20199"/>
    <cellStyle name="Normal 2 17 2" xfId="33478"/>
    <cellStyle name="Normal 2 18" xfId="20381"/>
    <cellStyle name="Normal 2 19" xfId="20408"/>
    <cellStyle name="Normal 2 2" xfId="11852"/>
    <cellStyle name="Normal 2 2 2" xfId="11853"/>
    <cellStyle name="Normal 2 2 3" xfId="11854"/>
    <cellStyle name="Normal 2 2 4" xfId="11855"/>
    <cellStyle name="Normal 2 2 5" xfId="20290"/>
    <cellStyle name="Normal 2 20" xfId="25655"/>
    <cellStyle name="Normal 2 3" xfId="11856"/>
    <cellStyle name="Normal 2 3 2" xfId="11857"/>
    <cellStyle name="Normal 2 4" xfId="11858"/>
    <cellStyle name="Normal 2 5" xfId="11859"/>
    <cellStyle name="Normal 2 6" xfId="11860"/>
    <cellStyle name="Normal 2 7" xfId="11861"/>
    <cellStyle name="Normal 2 8" xfId="11862"/>
    <cellStyle name="Normal 2 9" xfId="11863"/>
    <cellStyle name="Normal 20" xfId="11864"/>
    <cellStyle name="Normal 20 2" xfId="11865"/>
    <cellStyle name="Normal 20 2 2" xfId="16177"/>
    <cellStyle name="Normal 20 2 2 2" xfId="29569"/>
    <cellStyle name="Normal 20 2 3" xfId="20200"/>
    <cellStyle name="Normal 20 2 3 2" xfId="33479"/>
    <cellStyle name="Normal 20 2 4" xfId="25660"/>
    <cellStyle name="Normal 21" xfId="11866"/>
    <cellStyle name="Normal 21 2" xfId="20291"/>
    <cellStyle name="Normal 21 2 2" xfId="20424"/>
    <cellStyle name="Normal 21 2 2 2" xfId="20386"/>
    <cellStyle name="Normal 21 2 2 2 2" xfId="20395"/>
    <cellStyle name="Normal 21 2 2 2 2 2" xfId="20400"/>
    <cellStyle name="Normal 21 2 2 2 2 2 2" xfId="20422"/>
    <cellStyle name="Normal 21 2 2 2 2 3" xfId="20419"/>
    <cellStyle name="Normal 21 2 2 2 3" xfId="33581"/>
    <cellStyle name="Normal 21 2 2 3" xfId="20428"/>
    <cellStyle name="Normal 21 2 2 4" xfId="33578"/>
    <cellStyle name="Normal 21 2 3" xfId="33535"/>
    <cellStyle name="Normal 22" xfId="11867"/>
    <cellStyle name="Normal 23" xfId="11868"/>
    <cellStyle name="Normal 24" xfId="11869"/>
    <cellStyle name="Normal 25" xfId="11870"/>
    <cellStyle name="Normal 26" xfId="11871"/>
    <cellStyle name="Normal 27" xfId="11872"/>
    <cellStyle name="Normal 28" xfId="11873"/>
    <cellStyle name="Normal 28 2" xfId="16178"/>
    <cellStyle name="Normal 28 2 2" xfId="29570"/>
    <cellStyle name="Normal 28 3" xfId="20201"/>
    <cellStyle name="Normal 28 3 2" xfId="33480"/>
    <cellStyle name="Normal 28 4" xfId="25667"/>
    <cellStyle name="Normal 29" xfId="11874"/>
    <cellStyle name="Normal 3" xfId="11875"/>
    <cellStyle name="Normal 3 10" xfId="11876"/>
    <cellStyle name="Normal 3 2" xfId="11877"/>
    <cellStyle name="Normal 3 2 2" xfId="11878"/>
    <cellStyle name="Normal 3 2 3" xfId="11879"/>
    <cellStyle name="Normal 3 2 4" xfId="11880"/>
    <cellStyle name="Normal 3 2 5" xfId="11881"/>
    <cellStyle name="Normal 3 3" xfId="11882"/>
    <cellStyle name="Normal 3 3 2" xfId="11883"/>
    <cellStyle name="Normal 3 3 3" xfId="11884"/>
    <cellStyle name="Normal 3 3 4" xfId="20292"/>
    <cellStyle name="Normal 3 3 4 2" xfId="33536"/>
    <cellStyle name="Normal 3 4" xfId="11885"/>
    <cellStyle name="Normal 3 4 2" xfId="11886"/>
    <cellStyle name="Normal 3 5" xfId="11887"/>
    <cellStyle name="Normal 3 6" xfId="11888"/>
    <cellStyle name="Normal 3 7" xfId="11889"/>
    <cellStyle name="Normal 3 8" xfId="33580"/>
    <cellStyle name="Normal 30" xfId="11890"/>
    <cellStyle name="Normal 30 2" xfId="11891"/>
    <cellStyle name="Normal 31" xfId="11892"/>
    <cellStyle name="Normal 32" xfId="11893"/>
    <cellStyle name="Normal 33" xfId="11894"/>
    <cellStyle name="Normal 33 2" xfId="11895"/>
    <cellStyle name="Normal 33 3" xfId="16179"/>
    <cellStyle name="Normal 33 3 2" xfId="29571"/>
    <cellStyle name="Normal 33 4" xfId="20202"/>
    <cellStyle name="Normal 33 4 2" xfId="33481"/>
    <cellStyle name="Normal 33 5" xfId="25675"/>
    <cellStyle name="Normal 34" xfId="11896"/>
    <cellStyle name="Normal 35" xfId="11897"/>
    <cellStyle name="Normal 36" xfId="16216"/>
    <cellStyle name="Normal 36 2" xfId="20293"/>
    <cellStyle name="Normal 37" xfId="16219"/>
    <cellStyle name="Normal 37 2" xfId="29608"/>
    <cellStyle name="Normal 38" xfId="16382"/>
    <cellStyle name="Normal 38 2" xfId="29661"/>
    <cellStyle name="Normal 39" xfId="16383"/>
    <cellStyle name="Normal 39 2" xfId="20425"/>
    <cellStyle name="Normal 39 2 2" xfId="20384"/>
    <cellStyle name="Normal 39 2 2 2" xfId="20393"/>
    <cellStyle name="Normal 39 2 2 2 2" xfId="20399"/>
    <cellStyle name="Normal 39 2 2 2 2 2" xfId="20421"/>
    <cellStyle name="Normal 39 2 2 2 3" xfId="20417"/>
    <cellStyle name="Normal 39 2 2 2 4" xfId="33583"/>
    <cellStyle name="Normal 39 2 2 3" xfId="20415"/>
    <cellStyle name="Normal 39 2 2 4" xfId="33582"/>
    <cellStyle name="Normal 39 2 3" xfId="20426"/>
    <cellStyle name="Normal 39 2 4" xfId="33576"/>
    <cellStyle name="Normal 4" xfId="11898"/>
    <cellStyle name="Normal 4 2" xfId="11899"/>
    <cellStyle name="Normal 4 2 2" xfId="11900"/>
    <cellStyle name="Normal 4 2 3" xfId="20294"/>
    <cellStyle name="Normal 4 2 3 2" xfId="33537"/>
    <cellStyle name="Normal 4 2 4" xfId="20402"/>
    <cellStyle name="Normal 4 3" xfId="11901"/>
    <cellStyle name="Normal 4 3 2" xfId="11902"/>
    <cellStyle name="Normal 4 3 3" xfId="20295"/>
    <cellStyle name="Normal 4 3 3 2" xfId="33538"/>
    <cellStyle name="Normal 4 4" xfId="11903"/>
    <cellStyle name="Normal 4 5" xfId="11904"/>
    <cellStyle name="Normal 4 6" xfId="11905"/>
    <cellStyle name="Normal 40" xfId="20306"/>
    <cellStyle name="Normal 41" xfId="20389"/>
    <cellStyle name="Normal 41 2" xfId="33565"/>
    <cellStyle name="Normal 42" xfId="20410"/>
    <cellStyle name="Normal 42 2" xfId="20388"/>
    <cellStyle name="Normal 42 3" xfId="33566"/>
    <cellStyle name="Normal 43" xfId="20412"/>
    <cellStyle name="Normal 43 2" xfId="20387"/>
    <cellStyle name="Normal 43 3" xfId="33572"/>
    <cellStyle name="Normal 44" xfId="20430"/>
    <cellStyle name="Normal 44 2" xfId="33584"/>
    <cellStyle name="Normal 45" xfId="33596"/>
    <cellStyle name="Normal 46" xfId="33599"/>
    <cellStyle name="Normal 5" xfId="11906"/>
    <cellStyle name="Normal 5 2" xfId="11907"/>
    <cellStyle name="Normal 5 2 2" xfId="11908"/>
    <cellStyle name="Normal 5 3" xfId="11909"/>
    <cellStyle name="Normal 5 4" xfId="11910"/>
    <cellStyle name="Normal 5 5" xfId="20403"/>
    <cellStyle name="Normal 6" xfId="11911"/>
    <cellStyle name="Normal 6 2" xfId="11912"/>
    <cellStyle name="Normal 6 2 2" xfId="11913"/>
    <cellStyle name="Normal 6 3" xfId="11914"/>
    <cellStyle name="Normal 60" xfId="12421"/>
    <cellStyle name="Normal 66" xfId="11915"/>
    <cellStyle name="Normal 7" xfId="11916"/>
    <cellStyle name="Normal 7 2" xfId="11917"/>
    <cellStyle name="Normal 7 3" xfId="11918"/>
    <cellStyle name="Normal 8" xfId="11919"/>
    <cellStyle name="Normal 8 2" xfId="11920"/>
    <cellStyle name="Normal 8 2 2" xfId="16180"/>
    <cellStyle name="Normal 8 2 2 2" xfId="29572"/>
    <cellStyle name="Normal 8 2 3" xfId="20203"/>
    <cellStyle name="Normal 8 2 3 2" xfId="33482"/>
    <cellStyle name="Normal 8 2 4" xfId="25683"/>
    <cellStyle name="Normal 88" xfId="20398"/>
    <cellStyle name="Normal 9" xfId="11921"/>
    <cellStyle name="Normal 9 2" xfId="11922"/>
    <cellStyle name="Normal 9 2 2" xfId="16181"/>
    <cellStyle name="Normal 9 2 2 2" xfId="29573"/>
    <cellStyle name="Normal 9 2 3" xfId="20204"/>
    <cellStyle name="Normal 9 2 3 2" xfId="33483"/>
    <cellStyle name="Normal 9 2 4" xfId="25684"/>
    <cellStyle name="Normal Bold" xfId="11923"/>
    <cellStyle name="Normal Bold 2" xfId="20352"/>
    <cellStyle name="Normal Currency" xfId="11924"/>
    <cellStyle name="Normal Dollar" xfId="11925"/>
    <cellStyle name="Normal- Enter (1)" xfId="11926"/>
    <cellStyle name="Normal Number" xfId="11927"/>
    <cellStyle name="Normal Pct" xfId="11928"/>
    <cellStyle name="Normal Pct 2" xfId="20353"/>
    <cellStyle name="Normal/DBL" xfId="11929"/>
    <cellStyle name="Normal_Input Sheet" xfId="20308"/>
    <cellStyle name="Normal1" xfId="11930"/>
    <cellStyle name="Normal1 2" xfId="20354"/>
    <cellStyle name="Normal1Places" xfId="11931"/>
    <cellStyle name="Normal1Places 2" xfId="20355"/>
    <cellStyle name="Normal2" xfId="11932"/>
    <cellStyle name="Normal2Places" xfId="11933"/>
    <cellStyle name="Normal2Places 2" xfId="20356"/>
    <cellStyle name="Normal3Places" xfId="11934"/>
    <cellStyle name="Normal8" xfId="11935"/>
    <cellStyle name="NormalBlue" xfId="11936"/>
    <cellStyle name="NormalBold" xfId="11937"/>
    <cellStyle name="NormalBold 2" xfId="20357"/>
    <cellStyle name="Normale_ACTUAL 30-06-95.XLS" xfId="11938"/>
    <cellStyle name="Normal-Entry" xfId="11939"/>
    <cellStyle name="NormalEPS" xfId="11940"/>
    <cellStyle name="NormalGB" xfId="11941"/>
    <cellStyle name="NormalGB 2" xfId="20358"/>
    <cellStyle name="NormalHelv" xfId="11942"/>
    <cellStyle name="Normal-Input(1)" xfId="11943"/>
    <cellStyle name="NormalJEM" xfId="11944"/>
    <cellStyle name="normální_M Schedules 2008 v02 - pracovní" xfId="11945"/>
    <cellStyle name="NormalPop" xfId="11946"/>
    <cellStyle name="NormalPop 2" xfId="20359"/>
    <cellStyle name="Note 10" xfId="11947"/>
    <cellStyle name="Note 10 2" xfId="11948"/>
    <cellStyle name="Note 10 2 2" xfId="16182"/>
    <cellStyle name="Note 10 2 2 2" xfId="29574"/>
    <cellStyle name="Note 10 2 3" xfId="20205"/>
    <cellStyle name="Note 10 2 3 2" xfId="33484"/>
    <cellStyle name="Note 10 2 4" xfId="25702"/>
    <cellStyle name="Note 11" xfId="11949"/>
    <cellStyle name="Note 11 2" xfId="11950"/>
    <cellStyle name="Note 11 2 2" xfId="16183"/>
    <cellStyle name="Note 11 2 2 2" xfId="29575"/>
    <cellStyle name="Note 11 2 3" xfId="20206"/>
    <cellStyle name="Note 11 2 3 2" xfId="33485"/>
    <cellStyle name="Note 11 2 4" xfId="25704"/>
    <cellStyle name="Note 12" xfId="11951"/>
    <cellStyle name="Note 12 2" xfId="11952"/>
    <cellStyle name="Note 12 2 2" xfId="16184"/>
    <cellStyle name="Note 12 2 2 2" xfId="29576"/>
    <cellStyle name="Note 12 2 3" xfId="20207"/>
    <cellStyle name="Note 12 2 3 2" xfId="33486"/>
    <cellStyle name="Note 12 2 4" xfId="25705"/>
    <cellStyle name="Note 13" xfId="11953"/>
    <cellStyle name="Note 13 2" xfId="11954"/>
    <cellStyle name="Note 13 2 2" xfId="16185"/>
    <cellStyle name="Note 13 2 2 2" xfId="29577"/>
    <cellStyle name="Note 13 2 3" xfId="20208"/>
    <cellStyle name="Note 13 2 3 2" xfId="33487"/>
    <cellStyle name="Note 13 2 4" xfId="25706"/>
    <cellStyle name="Note 14" xfId="11955"/>
    <cellStyle name="Note 15" xfId="11956"/>
    <cellStyle name="Note 2" xfId="11957"/>
    <cellStyle name="Note 2 2" xfId="11958"/>
    <cellStyle name="Note 2 2 2" xfId="16186"/>
    <cellStyle name="Note 2 2 2 2" xfId="29578"/>
    <cellStyle name="Note 2 2 3" xfId="20209"/>
    <cellStyle name="Note 2 2 3 2" xfId="33488"/>
    <cellStyle name="Note 2 2 4" xfId="25707"/>
    <cellStyle name="Note 3" xfId="11959"/>
    <cellStyle name="Note 3 2" xfId="11960"/>
    <cellStyle name="Note 3 2 2" xfId="16187"/>
    <cellStyle name="Note 3 2 2 2" xfId="29579"/>
    <cellStyle name="Note 3 2 3" xfId="20210"/>
    <cellStyle name="Note 3 2 3 2" xfId="33489"/>
    <cellStyle name="Note 3 2 4" xfId="25708"/>
    <cellStyle name="Note 4" xfId="11961"/>
    <cellStyle name="Note 4 2" xfId="11962"/>
    <cellStyle name="Note 4 2 2" xfId="16188"/>
    <cellStyle name="Note 4 2 2 2" xfId="29580"/>
    <cellStyle name="Note 4 2 3" xfId="20211"/>
    <cellStyle name="Note 4 2 3 2" xfId="33490"/>
    <cellStyle name="Note 4 2 4" xfId="25709"/>
    <cellStyle name="Note 5" xfId="11963"/>
    <cellStyle name="Note 5 2" xfId="11964"/>
    <cellStyle name="Note 5 2 2" xfId="16189"/>
    <cellStyle name="Note 5 2 2 2" xfId="29581"/>
    <cellStyle name="Note 5 2 3" xfId="20212"/>
    <cellStyle name="Note 5 2 3 2" xfId="33491"/>
    <cellStyle name="Note 5 2 4" xfId="25710"/>
    <cellStyle name="Note 6" xfId="11965"/>
    <cellStyle name="Note 6 2" xfId="11966"/>
    <cellStyle name="Note 6 2 2" xfId="16190"/>
    <cellStyle name="Note 6 2 2 2" xfId="29582"/>
    <cellStyle name="Note 6 2 3" xfId="20213"/>
    <cellStyle name="Note 6 2 3 2" xfId="33492"/>
    <cellStyle name="Note 6 2 4" xfId="25711"/>
    <cellStyle name="Note 7" xfId="11967"/>
    <cellStyle name="Note 7 2" xfId="11968"/>
    <cellStyle name="Note 7 2 2" xfId="16191"/>
    <cellStyle name="Note 7 2 2 2" xfId="29583"/>
    <cellStyle name="Note 7 2 3" xfId="20214"/>
    <cellStyle name="Note 7 2 3 2" xfId="33493"/>
    <cellStyle name="Note 7 2 4" xfId="25712"/>
    <cellStyle name="Note 8" xfId="11969"/>
    <cellStyle name="Note 8 2" xfId="11970"/>
    <cellStyle name="Note 8 2 2" xfId="16192"/>
    <cellStyle name="Note 8 2 2 2" xfId="29584"/>
    <cellStyle name="Note 8 2 3" xfId="20215"/>
    <cellStyle name="Note 8 2 3 2" xfId="33494"/>
    <cellStyle name="Note 8 2 4" xfId="25713"/>
    <cellStyle name="Note 9" xfId="11971"/>
    <cellStyle name="Note 9 2" xfId="11972"/>
    <cellStyle name="Note 9 2 2" xfId="16193"/>
    <cellStyle name="Note 9 2 2 2" xfId="29585"/>
    <cellStyle name="Note 9 2 3" xfId="20216"/>
    <cellStyle name="Note 9 2 3 2" xfId="33495"/>
    <cellStyle name="Note 9 2 4" xfId="25714"/>
    <cellStyle name="NPPESalesPct" xfId="11973"/>
    <cellStyle name="NPPESalesPct 2" xfId="20360"/>
    <cellStyle name="Num1" xfId="11974"/>
    <cellStyle name="Num1Blue" xfId="11975"/>
    <cellStyle name="num1Style" xfId="11976"/>
    <cellStyle name="num1Styleb" xfId="11977"/>
    <cellStyle name="Num2" xfId="11978"/>
    <cellStyle name="num4Style" xfId="11979"/>
    <cellStyle name="num4Styleb" xfId="11980"/>
    <cellStyle name="Number" xfId="11981"/>
    <cellStyle name="Number 2" xfId="20361"/>
    <cellStyle name="numbers" xfId="11982"/>
    <cellStyle name="numbers 2" xfId="20362"/>
    <cellStyle name="numPStyle" xfId="11983"/>
    <cellStyle name="numPStyleb" xfId="11984"/>
    <cellStyle name="numXStyle" xfId="11985"/>
    <cellStyle name="numXStyleb" xfId="11986"/>
    <cellStyle name="Œ…‹æ_Ø‚è [0.00]_Affiliate Fcst Inputs" xfId="11987"/>
    <cellStyle name="Œ…‹æØ‚è [0.00]_!!!GO" xfId="11988"/>
    <cellStyle name="Œ…‹æØ‚è_!!!GO" xfId="11989"/>
    <cellStyle name="OScommands" xfId="11990"/>
    <cellStyle name="OSW_ColumnLabels" xfId="11991"/>
    <cellStyle name="Output 10" xfId="11992"/>
    <cellStyle name="Output 11" xfId="11993"/>
    <cellStyle name="Output 12" xfId="11994"/>
    <cellStyle name="Output 13" xfId="11995"/>
    <cellStyle name="Output 2" xfId="11996"/>
    <cellStyle name="Output 3" xfId="11997"/>
    <cellStyle name="Output 4" xfId="11998"/>
    <cellStyle name="Output 5" xfId="11999"/>
    <cellStyle name="Output 6" xfId="12000"/>
    <cellStyle name="Output 7" xfId="12001"/>
    <cellStyle name="Output 8" xfId="12002"/>
    <cellStyle name="Output 9" xfId="12003"/>
    <cellStyle name="Output Amounts" xfId="12004"/>
    <cellStyle name="Output Column Headings" xfId="12005"/>
    <cellStyle name="Output Line Items" xfId="12006"/>
    <cellStyle name="Output Report Heading" xfId="12007"/>
    <cellStyle name="Output Report Title" xfId="12008"/>
    <cellStyle name="Outputs" xfId="12009"/>
    <cellStyle name="Outputs 2" xfId="12010"/>
    <cellStyle name="Outputs 2 2" xfId="20296"/>
    <cellStyle name="Outputs 2 3" xfId="34512"/>
    <cellStyle name="Outputs 3" xfId="12011"/>
    <cellStyle name="Outputs 3 2" xfId="20297"/>
    <cellStyle name="Outputs 3 3" xfId="38023"/>
    <cellStyle name="Outputs 4" xfId="20298"/>
    <cellStyle name="Outputs 5" xfId="35637"/>
    <cellStyle name="OVER" xfId="12012"/>
    <cellStyle name="p" xfId="12013"/>
    <cellStyle name="P&amp;L Numbers" xfId="12014"/>
    <cellStyle name="p_DCF" xfId="12015"/>
    <cellStyle name="Page Heading" xfId="12016"/>
    <cellStyle name="Page Heading Large" xfId="12017"/>
    <cellStyle name="Page Heading Small" xfId="12018"/>
    <cellStyle name="Page Number" xfId="12019"/>
    <cellStyle name="paint" xfId="12020"/>
    <cellStyle name="Palatino" xfId="12021"/>
    <cellStyle name="pc1" xfId="12022"/>
    <cellStyle name="pc1 2" xfId="20363"/>
    <cellStyle name="pct_sub" xfId="12023"/>
    <cellStyle name="per.style" xfId="12024"/>
    <cellStyle name="per.style 2" xfId="20364"/>
    <cellStyle name="Percen" xfId="12025"/>
    <cellStyle name="Percen - Style1" xfId="12026"/>
    <cellStyle name="Percen - Style5" xfId="12027"/>
    <cellStyle name="Percent" xfId="12422" builtinId="5"/>
    <cellStyle name="Percent %" xfId="12028"/>
    <cellStyle name="Percent % Long Underline" xfId="12029"/>
    <cellStyle name="Percent (0)" xfId="12030"/>
    <cellStyle name="Percent (1)" xfId="12031"/>
    <cellStyle name="Percent (2)" xfId="12032"/>
    <cellStyle name="Percent [0]" xfId="12033"/>
    <cellStyle name="Percent [00]" xfId="12034"/>
    <cellStyle name="Percent [1]" xfId="12035"/>
    <cellStyle name="Percent [1] 2" xfId="20365"/>
    <cellStyle name="Percent [1][]" xfId="12036"/>
    <cellStyle name="Percent [1]_Aprio - Public Comps1" xfId="12037"/>
    <cellStyle name="Percent [2]" xfId="12038"/>
    <cellStyle name="Percent [2] 2" xfId="12039"/>
    <cellStyle name="Percent [2] 3" xfId="12040"/>
    <cellStyle name="Percent 0.0%" xfId="12041"/>
    <cellStyle name="Percent 0.0% Long Underline" xfId="12042"/>
    <cellStyle name="Percent 0.00%" xfId="12043"/>
    <cellStyle name="Percent 0.00% Long Underline" xfId="12044"/>
    <cellStyle name="Percent 0.000%" xfId="12045"/>
    <cellStyle name="Percent 0.000% Long Underline" xfId="12046"/>
    <cellStyle name="Percent 0.000%_Aprio - Public Comps1" xfId="12047"/>
    <cellStyle name="Percent 1" xfId="12048"/>
    <cellStyle name="Percent 10" xfId="2"/>
    <cellStyle name="Percent 10 2" xfId="12429"/>
    <cellStyle name="Percent 10 2 2" xfId="25821"/>
    <cellStyle name="Percent 10 3" xfId="16385"/>
    <cellStyle name="Percent 10 3 2" xfId="29664"/>
    <cellStyle name="Percent 10 4" xfId="20433"/>
    <cellStyle name="Percent 11" xfId="12049"/>
    <cellStyle name="Percent 12" xfId="12050"/>
    <cellStyle name="Percent 13" xfId="12051"/>
    <cellStyle name="Percent 13 2" xfId="16194"/>
    <cellStyle name="Percent 13 2 2" xfId="29586"/>
    <cellStyle name="Percent 13 3" xfId="20217"/>
    <cellStyle name="Percent 13 3 2" xfId="33496"/>
    <cellStyle name="Percent 13 4" xfId="25725"/>
    <cellStyle name="Percent 14" xfId="12052"/>
    <cellStyle name="Percent 15" xfId="12053"/>
    <cellStyle name="Percent 16" xfId="20366"/>
    <cellStyle name="Percent 16 2" xfId="33559"/>
    <cellStyle name="Percent 17" xfId="20407"/>
    <cellStyle name="Percent 17 2" xfId="33568"/>
    <cellStyle name="Percent 18" xfId="20383"/>
    <cellStyle name="Percent 19" xfId="20414"/>
    <cellStyle name="Percent 2" xfId="12054"/>
    <cellStyle name="Percent 2 10" xfId="20409"/>
    <cellStyle name="Percent 2 11" xfId="25726"/>
    <cellStyle name="Percent 2 2" xfId="12055"/>
    <cellStyle name="Percent 2 2 2" xfId="12056"/>
    <cellStyle name="Percent 2 3" xfId="12057"/>
    <cellStyle name="Percent 2 3 2" xfId="12058"/>
    <cellStyle name="Percent 2 4" xfId="12059"/>
    <cellStyle name="Percent 2 4 2" xfId="12060"/>
    <cellStyle name="Percent 2 5" xfId="12061"/>
    <cellStyle name="Percent 2 6" xfId="12062"/>
    <cellStyle name="Percent 2 7" xfId="16195"/>
    <cellStyle name="Percent 2 7 2" xfId="29587"/>
    <cellStyle name="Percent 2 8" xfId="20218"/>
    <cellStyle name="Percent 2 8 2" xfId="33497"/>
    <cellStyle name="Percent 2 9" xfId="20382"/>
    <cellStyle name="Percent 3" xfId="12063"/>
    <cellStyle name="Percent 3 2" xfId="12064"/>
    <cellStyle name="Percent 3 2 2" xfId="12065"/>
    <cellStyle name="Percent 3 2 3" xfId="20299"/>
    <cellStyle name="Percent 3 3" xfId="12066"/>
    <cellStyle name="Percent 3 4" xfId="12067"/>
    <cellStyle name="Percent 3 5" xfId="12068"/>
    <cellStyle name="Percent 4" xfId="12069"/>
    <cellStyle name="Percent 4 2" xfId="12070"/>
    <cellStyle name="Percent 5" xfId="12071"/>
    <cellStyle name="Percent 6" xfId="12072"/>
    <cellStyle name="Percent 7" xfId="12073"/>
    <cellStyle name="Percent 7 3" xfId="12424"/>
    <cellStyle name="Percent 8" xfId="12074"/>
    <cellStyle name="Percent 8 2" xfId="20309"/>
    <cellStyle name="Percent 8 3" xfId="12075"/>
    <cellStyle name="Percent 9" xfId="12076"/>
    <cellStyle name="Percent Decimal" xfId="12077"/>
    <cellStyle name="Percent Hard" xfId="12078"/>
    <cellStyle name="Percent Hard 2" xfId="20367"/>
    <cellStyle name="Percent Input" xfId="12079"/>
    <cellStyle name="Percent Input 2" xfId="20368"/>
    <cellStyle name="Percent*" xfId="12080"/>
    <cellStyle name="Percent1" xfId="12081"/>
    <cellStyle name="Percent1Blue" xfId="12082"/>
    <cellStyle name="Percent2" xfId="12083"/>
    <cellStyle name="Percent2 [0]" xfId="12084"/>
    <cellStyle name="Percent2 [1]" xfId="12085"/>
    <cellStyle name="Percent2Blue" xfId="12086"/>
    <cellStyle name="Percentage" xfId="12087"/>
    <cellStyle name="PercentChange" xfId="12088"/>
    <cellStyle name="PercentDash0" xfId="12089"/>
    <cellStyle name="PercentF [0]" xfId="12090"/>
    <cellStyle name="PercentF [1]" xfId="12091"/>
    <cellStyle name="PercentSales" xfId="12092"/>
    <cellStyle name="PercentSales 2" xfId="20369"/>
    <cellStyle name="PercentText0" xfId="12093"/>
    <cellStyle name="Periods" xfId="12094"/>
    <cellStyle name="Perlong" xfId="12095"/>
    <cellStyle name="Plain" xfId="12096"/>
    <cellStyle name="Plan" xfId="12097"/>
    <cellStyle name="pound" xfId="12098"/>
    <cellStyle name="pound 2" xfId="20370"/>
    <cellStyle name="Pourcentage 2" xfId="12099"/>
    <cellStyle name="Pourcentage 3" xfId="12100"/>
    <cellStyle name="PrePop Currency (0)" xfId="12101"/>
    <cellStyle name="PrePop Currency (2)" xfId="12102"/>
    <cellStyle name="PrePop Units (0)" xfId="12103"/>
    <cellStyle name="PrePop Units (1)" xfId="12104"/>
    <cellStyle name="PrePop Units (2)" xfId="12105"/>
    <cellStyle name="Price" xfId="12106"/>
    <cellStyle name="pricing" xfId="12107"/>
    <cellStyle name="Private" xfId="12108"/>
    <cellStyle name="Private1" xfId="12109"/>
    <cellStyle name="Product Title" xfId="12110"/>
    <cellStyle name="PROJECT" xfId="12111"/>
    <cellStyle name="PROJECT R" xfId="12112"/>
    <cellStyle name="PROJECT_Boston Power VD 01 31 2008 Model 02 26 2008" xfId="12113"/>
    <cellStyle name="Protected" xfId="12114"/>
    <cellStyle name="Protection" xfId="12115"/>
    <cellStyle name="PSChar" xfId="12116"/>
    <cellStyle name="PSDate" xfId="12117"/>
    <cellStyle name="PSDec" xfId="12118"/>
    <cellStyle name="PSHeading" xfId="12119"/>
    <cellStyle name="PSHeading 2" xfId="20371"/>
    <cellStyle name="PSHeading 2 2" xfId="33562"/>
    <cellStyle name="PSHeading 2 3" xfId="37043"/>
    <cellStyle name="PSInt" xfId="12120"/>
    <cellStyle name="PSSpacer" xfId="12121"/>
    <cellStyle name="question" xfId="12122"/>
    <cellStyle name="Ratio (1)" xfId="12123"/>
    <cellStyle name="Ratio (2)" xfId="12124"/>
    <cellStyle name="Ratio_U (1)" xfId="12125"/>
    <cellStyle name="RatioX" xfId="12126"/>
    <cellStyle name="Read" xfId="12127"/>
    <cellStyle name="Read$" xfId="12128"/>
    <cellStyle name="Read%" xfId="12129"/>
    <cellStyle name="ReadInData" xfId="12130"/>
    <cellStyle name="Réalisé" xfId="12131"/>
    <cellStyle name="Red font" xfId="12132"/>
    <cellStyle name="Red Text" xfId="12133"/>
    <cellStyle name="regstoresfromspecstores" xfId="12134"/>
    <cellStyle name="Regular" xfId="12135"/>
    <cellStyle name="ReportNums" xfId="12136"/>
    <cellStyle name="ReportNums 2" xfId="12137"/>
    <cellStyle name="ReportNums 2 10" xfId="36092"/>
    <cellStyle name="ReportNums 2 11" xfId="24533"/>
    <cellStyle name="ReportNums 2 2" xfId="12138"/>
    <cellStyle name="ReportNums 2 2 10" xfId="35631"/>
    <cellStyle name="ReportNums 2 2 2" xfId="16197"/>
    <cellStyle name="ReportNums 2 2 2 10" xfId="34942"/>
    <cellStyle name="ReportNums 2 2 2 11" xfId="25393"/>
    <cellStyle name="ReportNums 2 2 2 12" xfId="33766"/>
    <cellStyle name="ReportNums 2 2 2 13" xfId="34219"/>
    <cellStyle name="ReportNums 2 2 2 14" xfId="34320"/>
    <cellStyle name="ReportNums 2 2 2 2" xfId="29589"/>
    <cellStyle name="ReportNums 2 2 2 3" xfId="35741"/>
    <cellStyle name="ReportNums 2 2 2 4" xfId="25211"/>
    <cellStyle name="ReportNums 2 2 2 5" xfId="35375"/>
    <cellStyle name="ReportNums 2 2 2 6" xfId="35271"/>
    <cellStyle name="ReportNums 2 2 2 7" xfId="33560"/>
    <cellStyle name="ReportNums 2 2 2 8" xfId="25569"/>
    <cellStyle name="ReportNums 2 2 2 9" xfId="25716"/>
    <cellStyle name="ReportNums 2 2 3" xfId="20220"/>
    <cellStyle name="ReportNums 2 2 3 10" xfId="37019"/>
    <cellStyle name="ReportNums 2 2 3 11" xfId="38428"/>
    <cellStyle name="ReportNums 2 2 3 12" xfId="38658"/>
    <cellStyle name="ReportNums 2 2 3 13" xfId="38950"/>
    <cellStyle name="ReportNums 2 2 3 14" xfId="39151"/>
    <cellStyle name="ReportNums 2 2 3 15" xfId="39269"/>
    <cellStyle name="ReportNums 2 2 3 16" xfId="39393"/>
    <cellStyle name="ReportNums 2 2 3 2" xfId="33499"/>
    <cellStyle name="ReportNums 2 2 3 3" xfId="36991"/>
    <cellStyle name="ReportNums 2 2 3 4" xfId="37309"/>
    <cellStyle name="ReportNums 2 2 3 5" xfId="37490"/>
    <cellStyle name="ReportNums 2 2 3 6" xfId="37677"/>
    <cellStyle name="ReportNums 2 2 3 7" xfId="37957"/>
    <cellStyle name="ReportNums 2 2 3 8" xfId="25096"/>
    <cellStyle name="ReportNums 2 2 3 9" xfId="38099"/>
    <cellStyle name="ReportNums 2 2 4" xfId="25746"/>
    <cellStyle name="ReportNums 2 2 5" xfId="36447"/>
    <cellStyle name="ReportNums 2 2 6" xfId="24972"/>
    <cellStyle name="ReportNums 2 2 7" xfId="34541"/>
    <cellStyle name="ReportNums 2 2 8" xfId="25721"/>
    <cellStyle name="ReportNums 2 2 9" xfId="25561"/>
    <cellStyle name="ReportNums 2 3" xfId="16196"/>
    <cellStyle name="ReportNums 2 3 10" xfId="36735"/>
    <cellStyle name="ReportNums 2 3 11" xfId="33979"/>
    <cellStyle name="ReportNums 2 3 12" xfId="34475"/>
    <cellStyle name="ReportNums 2 3 13" xfId="38254"/>
    <cellStyle name="ReportNums 2 3 14" xfId="25619"/>
    <cellStyle name="ReportNums 2 3 2" xfId="29588"/>
    <cellStyle name="ReportNums 2 3 3" xfId="35740"/>
    <cellStyle name="ReportNums 2 3 4" xfId="25210"/>
    <cellStyle name="ReportNums 2 3 5" xfId="33903"/>
    <cellStyle name="ReportNums 2 3 6" xfId="35718"/>
    <cellStyle name="ReportNums 2 3 7" xfId="33645"/>
    <cellStyle name="ReportNums 2 3 8" xfId="34003"/>
    <cellStyle name="ReportNums 2 3 9" xfId="34515"/>
    <cellStyle name="ReportNums 2 4" xfId="20219"/>
    <cellStyle name="ReportNums 2 4 10" xfId="36654"/>
    <cellStyle name="ReportNums 2 4 11" xfId="38427"/>
    <cellStyle name="ReportNums 2 4 12" xfId="38657"/>
    <cellStyle name="ReportNums 2 4 13" xfId="38949"/>
    <cellStyle name="ReportNums 2 4 14" xfId="39150"/>
    <cellStyle name="ReportNums 2 4 15" xfId="39268"/>
    <cellStyle name="ReportNums 2 4 16" xfId="39392"/>
    <cellStyle name="ReportNums 2 4 2" xfId="33498"/>
    <cellStyle name="ReportNums 2 4 3" xfId="36990"/>
    <cellStyle name="ReportNums 2 4 4" xfId="37308"/>
    <cellStyle name="ReportNums 2 4 5" xfId="37489"/>
    <cellStyle name="ReportNums 2 4 6" xfId="37676"/>
    <cellStyle name="ReportNums 2 4 7" xfId="37956"/>
    <cellStyle name="ReportNums 2 4 8" xfId="35439"/>
    <cellStyle name="ReportNums 2 4 9" xfId="38098"/>
    <cellStyle name="ReportNums 2 5" xfId="25745"/>
    <cellStyle name="ReportNums 2 6" xfId="24799"/>
    <cellStyle name="ReportNums 2 7" xfId="34446"/>
    <cellStyle name="ReportNums 2 8" xfId="37715"/>
    <cellStyle name="ReportNums 2 9" xfId="35220"/>
    <cellStyle name="ReportNums 3" xfId="12139"/>
    <cellStyle name="ReportNums 3 10" xfId="20506"/>
    <cellStyle name="ReportNums 3 11" xfId="35488"/>
    <cellStyle name="ReportNums 3 2" xfId="12140"/>
    <cellStyle name="ReportNums 3 2 10" xfId="35067"/>
    <cellStyle name="ReportNums 3 2 2" xfId="16199"/>
    <cellStyle name="ReportNums 3 2 2 10" xfId="33930"/>
    <cellStyle name="ReportNums 3 2 2 11" xfId="24878"/>
    <cellStyle name="ReportNums 3 2 2 12" xfId="25075"/>
    <cellStyle name="ReportNums 3 2 2 13" xfId="35511"/>
    <cellStyle name="ReportNums 3 2 2 14" xfId="34087"/>
    <cellStyle name="ReportNums 3 2 2 2" xfId="29591"/>
    <cellStyle name="ReportNums 3 2 2 3" xfId="35743"/>
    <cellStyle name="ReportNums 3 2 2 4" xfId="34849"/>
    <cellStyle name="ReportNums 3 2 2 5" xfId="36232"/>
    <cellStyle name="ReportNums 3 2 2 6" xfId="33726"/>
    <cellStyle name="ReportNums 3 2 2 7" xfId="35134"/>
    <cellStyle name="ReportNums 3 2 2 8" xfId="35236"/>
    <cellStyle name="ReportNums 3 2 2 9" xfId="24937"/>
    <cellStyle name="ReportNums 3 2 3" xfId="20222"/>
    <cellStyle name="ReportNums 3 2 3 10" xfId="34626"/>
    <cellStyle name="ReportNums 3 2 3 11" xfId="38430"/>
    <cellStyle name="ReportNums 3 2 3 12" xfId="38660"/>
    <cellStyle name="ReportNums 3 2 3 13" xfId="38952"/>
    <cellStyle name="ReportNums 3 2 3 14" xfId="39153"/>
    <cellStyle name="ReportNums 3 2 3 15" xfId="39271"/>
    <cellStyle name="ReportNums 3 2 3 16" xfId="39395"/>
    <cellStyle name="ReportNums 3 2 3 2" xfId="33501"/>
    <cellStyle name="ReportNums 3 2 3 3" xfId="36993"/>
    <cellStyle name="ReportNums 3 2 3 4" xfId="37311"/>
    <cellStyle name="ReportNums 3 2 3 5" xfId="37492"/>
    <cellStyle name="ReportNums 3 2 3 6" xfId="37679"/>
    <cellStyle name="ReportNums 3 2 3 7" xfId="37959"/>
    <cellStyle name="ReportNums 3 2 3 8" xfId="33658"/>
    <cellStyle name="ReportNums 3 2 3 9" xfId="38101"/>
    <cellStyle name="ReportNums 3 2 4" xfId="25748"/>
    <cellStyle name="ReportNums 3 2 5" xfId="36449"/>
    <cellStyle name="ReportNums 3 2 6" xfId="36695"/>
    <cellStyle name="ReportNums 3 2 7" xfId="24380"/>
    <cellStyle name="ReportNums 3 2 8" xfId="34662"/>
    <cellStyle name="ReportNums 3 2 9" xfId="34326"/>
    <cellStyle name="ReportNums 3 3" xfId="16198"/>
    <cellStyle name="ReportNums 3 3 10" xfId="25276"/>
    <cellStyle name="ReportNums 3 3 11" xfId="33685"/>
    <cellStyle name="ReportNums 3 3 12" xfId="37381"/>
    <cellStyle name="ReportNums 3 3 13" xfId="24763"/>
    <cellStyle name="ReportNums 3 3 14" xfId="35487"/>
    <cellStyle name="ReportNums 3 3 2" xfId="29590"/>
    <cellStyle name="ReportNums 3 3 3" xfId="35742"/>
    <cellStyle name="ReportNums 3 3 4" xfId="36017"/>
    <cellStyle name="ReportNums 3 3 5" xfId="34301"/>
    <cellStyle name="ReportNums 3 3 6" xfId="35867"/>
    <cellStyle name="ReportNums 3 3 7" xfId="33956"/>
    <cellStyle name="ReportNums 3 3 8" xfId="35510"/>
    <cellStyle name="ReportNums 3 3 9" xfId="37508"/>
    <cellStyle name="ReportNums 3 4" xfId="20221"/>
    <cellStyle name="ReportNums 3 4 10" xfId="34546"/>
    <cellStyle name="ReportNums 3 4 11" xfId="38429"/>
    <cellStyle name="ReportNums 3 4 12" xfId="38659"/>
    <cellStyle name="ReportNums 3 4 13" xfId="38951"/>
    <cellStyle name="ReportNums 3 4 14" xfId="39152"/>
    <cellStyle name="ReportNums 3 4 15" xfId="39270"/>
    <cellStyle name="ReportNums 3 4 16" xfId="39394"/>
    <cellStyle name="ReportNums 3 4 2" xfId="33500"/>
    <cellStyle name="ReportNums 3 4 3" xfId="36992"/>
    <cellStyle name="ReportNums 3 4 4" xfId="37310"/>
    <cellStyle name="ReportNums 3 4 5" xfId="37491"/>
    <cellStyle name="ReportNums 3 4 6" xfId="37678"/>
    <cellStyle name="ReportNums 3 4 7" xfId="37958"/>
    <cellStyle name="ReportNums 3 4 8" xfId="25688"/>
    <cellStyle name="ReportNums 3 4 9" xfId="38100"/>
    <cellStyle name="ReportNums 3 5" xfId="25747"/>
    <cellStyle name="ReportNums 3 6" xfId="35232"/>
    <cellStyle name="ReportNums 3 7" xfId="24364"/>
    <cellStyle name="ReportNums 3 8" xfId="33635"/>
    <cellStyle name="ReportNums 3 9" xfId="34462"/>
    <cellStyle name="Results % 3 dp" xfId="12141"/>
    <cellStyle name="Results 3 dp" xfId="12142"/>
    <cellStyle name="RevList" xfId="12143"/>
    <cellStyle name="Right Heading 1" xfId="12144"/>
    <cellStyle name="Right Heading 2" xfId="12145"/>
    <cellStyle name="Row Headings" xfId="12146"/>
    <cellStyle name="Row Lvl 1" xfId="12147"/>
    <cellStyle name="Row Lvl 2" xfId="12148"/>
    <cellStyle name="s]_x000d__x000a_load=nwpopup.exe_x000d__x000a_run=_x000d__x000a_Beep=yes_x000d__x000a_NullPort=None_x000d__x000a_BorderWidth=3_x000d__x000a_CursorBlinkRate=530_x000d__x000a_DoubleClickSpeed=452_x000d__x000a_Programs" xfId="12149"/>
    <cellStyle name="Salomon Logo" xfId="12150"/>
    <cellStyle name="SAPBEXaggData" xfId="12151"/>
    <cellStyle name="SAPBEXaggDataEmph" xfId="12152"/>
    <cellStyle name="SAPBEXaggItem" xfId="12153"/>
    <cellStyle name="SAPBEXchaText" xfId="12154"/>
    <cellStyle name="SAPBEXexcBad7" xfId="12155"/>
    <cellStyle name="SAPBEXexcBad8" xfId="12156"/>
    <cellStyle name="SAPBEXexcBad9" xfId="12157"/>
    <cellStyle name="SAPBEXexcCritical4" xfId="12158"/>
    <cellStyle name="SAPBEXexcCritical5" xfId="12159"/>
    <cellStyle name="SAPBEXexcCritical6" xfId="12160"/>
    <cellStyle name="SAPBEXexcGood1" xfId="12161"/>
    <cellStyle name="SAPBEXexcGood2" xfId="12162"/>
    <cellStyle name="SAPBEXexcGood3" xfId="12163"/>
    <cellStyle name="SAPBEXfilterDrill" xfId="12164"/>
    <cellStyle name="SAPBEXfilterItem" xfId="12165"/>
    <cellStyle name="SAPBEXfilterText" xfId="12166"/>
    <cellStyle name="SAPBEXformats" xfId="12167"/>
    <cellStyle name="SAPBEXheaderItem" xfId="12168"/>
    <cellStyle name="SAPBEXheaderText" xfId="12169"/>
    <cellStyle name="SAPBEXresData" xfId="12170"/>
    <cellStyle name="SAPBEXresDataEmph" xfId="12171"/>
    <cellStyle name="SAPBEXresItem" xfId="12172"/>
    <cellStyle name="SAPBEXstdData" xfId="12173"/>
    <cellStyle name="SAPBEXstdDataEmph" xfId="12174"/>
    <cellStyle name="SAPBEXstdItem" xfId="12175"/>
    <cellStyle name="SAPBEXtitle" xfId="12176"/>
    <cellStyle name="SAPBEXundefined" xfId="12177"/>
    <cellStyle name="SAPKey" xfId="12178"/>
    <cellStyle name="SAPKey 2" xfId="12179"/>
    <cellStyle name="SAPKey 3" xfId="12180"/>
    <cellStyle name="SAPLocked" xfId="12181"/>
    <cellStyle name="SAPLocked 2" xfId="12182"/>
    <cellStyle name="SAPLocked 3" xfId="12183"/>
    <cellStyle name="SAPOutput" xfId="12184"/>
    <cellStyle name="SAPOutput 2" xfId="12185"/>
    <cellStyle name="SAPOutput 3" xfId="12186"/>
    <cellStyle name="SAPSpace" xfId="12187"/>
    <cellStyle name="SAPSpace 2" xfId="12188"/>
    <cellStyle name="SAPSpace 3" xfId="12189"/>
    <cellStyle name="SAPText" xfId="12190"/>
    <cellStyle name="SAPText 2" xfId="12191"/>
    <cellStyle name="SAPText 3" xfId="12192"/>
    <cellStyle name="SAPUnLocked" xfId="12193"/>
    <cellStyle name="SAPUnLocked 2" xfId="12194"/>
    <cellStyle name="SAPUnLocked 3" xfId="12195"/>
    <cellStyle name="sbt2" xfId="12196"/>
    <cellStyle name="sbt2 10" xfId="35305"/>
    <cellStyle name="sbt2 11" xfId="33668"/>
    <cellStyle name="sbt2 2" xfId="12197"/>
    <cellStyle name="sbt2 2 2" xfId="12198"/>
    <cellStyle name="sbt2 2 2 2" xfId="20225"/>
    <cellStyle name="sbt2 2 2 2 10" xfId="20514"/>
    <cellStyle name="sbt2 2 2 2 11" xfId="38433"/>
    <cellStyle name="sbt2 2 2 2 12" xfId="38663"/>
    <cellStyle name="sbt2 2 2 2 13" xfId="38955"/>
    <cellStyle name="sbt2 2 2 2 14" xfId="39156"/>
    <cellStyle name="sbt2 2 2 2 15" xfId="39274"/>
    <cellStyle name="sbt2 2 2 2 16" xfId="39398"/>
    <cellStyle name="sbt2 2 2 2 2" xfId="33504"/>
    <cellStyle name="sbt2 2 2 2 3" xfId="36996"/>
    <cellStyle name="sbt2 2 2 2 4" xfId="37314"/>
    <cellStyle name="sbt2 2 2 2 5" xfId="37495"/>
    <cellStyle name="sbt2 2 2 2 6" xfId="37682"/>
    <cellStyle name="sbt2 2 2 2 7" xfId="37962"/>
    <cellStyle name="sbt2 2 2 2 8" xfId="35949"/>
    <cellStyle name="sbt2 2 2 2 9" xfId="38104"/>
    <cellStyle name="sbt2 2 2 3" xfId="35227"/>
    <cellStyle name="sbt2 2 2 4" xfId="34444"/>
    <cellStyle name="sbt2 2 2 5" xfId="37422"/>
    <cellStyle name="sbt2 2 2 6" xfId="35969"/>
    <cellStyle name="sbt2 2 2 7" xfId="24363"/>
    <cellStyle name="sbt2 2 2 8" xfId="37784"/>
    <cellStyle name="sbt2 2 3" xfId="20224"/>
    <cellStyle name="sbt2 2 3 10" xfId="36715"/>
    <cellStyle name="sbt2 2 3 11" xfId="38432"/>
    <cellStyle name="sbt2 2 3 12" xfId="38662"/>
    <cellStyle name="sbt2 2 3 13" xfId="38954"/>
    <cellStyle name="sbt2 2 3 14" xfId="39155"/>
    <cellStyle name="sbt2 2 3 15" xfId="39273"/>
    <cellStyle name="sbt2 2 3 16" xfId="39397"/>
    <cellStyle name="sbt2 2 3 2" xfId="33503"/>
    <cellStyle name="sbt2 2 3 3" xfId="36995"/>
    <cellStyle name="sbt2 2 3 4" xfId="37313"/>
    <cellStyle name="sbt2 2 3 5" xfId="37494"/>
    <cellStyle name="sbt2 2 3 6" xfId="37681"/>
    <cellStyle name="sbt2 2 3 7" xfId="37961"/>
    <cellStyle name="sbt2 2 3 8" xfId="25098"/>
    <cellStyle name="sbt2 2 3 9" xfId="38103"/>
    <cellStyle name="sbt2 2 4" xfId="36439"/>
    <cellStyle name="sbt2 2 5" xfId="35887"/>
    <cellStyle name="sbt2 2 6" xfId="36267"/>
    <cellStyle name="sbt2 2 7" xfId="35259"/>
    <cellStyle name="sbt2 2 8" xfId="37443"/>
    <cellStyle name="sbt2 2 9" xfId="33952"/>
    <cellStyle name="sbt2 3" xfId="12199"/>
    <cellStyle name="sbt2 3 2" xfId="12200"/>
    <cellStyle name="sbt2 3 2 2" xfId="20227"/>
    <cellStyle name="sbt2 3 2 2 10" xfId="35355"/>
    <cellStyle name="sbt2 3 2 2 11" xfId="38435"/>
    <cellStyle name="sbt2 3 2 2 12" xfId="38665"/>
    <cellStyle name="sbt2 3 2 2 13" xfId="38957"/>
    <cellStyle name="sbt2 3 2 2 14" xfId="39158"/>
    <cellStyle name="sbt2 3 2 2 15" xfId="39276"/>
    <cellStyle name="sbt2 3 2 2 16" xfId="39400"/>
    <cellStyle name="sbt2 3 2 2 2" xfId="33506"/>
    <cellStyle name="sbt2 3 2 2 3" xfId="36998"/>
    <cellStyle name="sbt2 3 2 2 4" xfId="37316"/>
    <cellStyle name="sbt2 3 2 2 5" xfId="37497"/>
    <cellStyle name="sbt2 3 2 2 6" xfId="37684"/>
    <cellStyle name="sbt2 3 2 2 7" xfId="37964"/>
    <cellStyle name="sbt2 3 2 2 8" xfId="35064"/>
    <cellStyle name="sbt2 3 2 2 9" xfId="38106"/>
    <cellStyle name="sbt2 3 2 3" xfId="24808"/>
    <cellStyle name="sbt2 3 2 4" xfId="24367"/>
    <cellStyle name="sbt2 3 2 5" xfId="36750"/>
    <cellStyle name="sbt2 3 2 6" xfId="33787"/>
    <cellStyle name="sbt2 3 2 7" xfId="34668"/>
    <cellStyle name="sbt2 3 2 8" xfId="24369"/>
    <cellStyle name="sbt2 3 3" xfId="20226"/>
    <cellStyle name="sbt2 3 3 10" xfId="35512"/>
    <cellStyle name="sbt2 3 3 11" xfId="38434"/>
    <cellStyle name="sbt2 3 3 12" xfId="38664"/>
    <cellStyle name="sbt2 3 3 13" xfId="38956"/>
    <cellStyle name="sbt2 3 3 14" xfId="39157"/>
    <cellStyle name="sbt2 3 3 15" xfId="39275"/>
    <cellStyle name="sbt2 3 3 16" xfId="39399"/>
    <cellStyle name="sbt2 3 3 2" xfId="33505"/>
    <cellStyle name="sbt2 3 3 3" xfId="36997"/>
    <cellStyle name="sbt2 3 3 4" xfId="37315"/>
    <cellStyle name="sbt2 3 3 5" xfId="37496"/>
    <cellStyle name="sbt2 3 3 6" xfId="37683"/>
    <cellStyle name="sbt2 3 3 7" xfId="37963"/>
    <cellStyle name="sbt2 3 3 8" xfId="35737"/>
    <cellStyle name="sbt2 3 3 9" xfId="38105"/>
    <cellStyle name="sbt2 3 4" xfId="24807"/>
    <cellStyle name="sbt2 3 5" xfId="34026"/>
    <cellStyle name="sbt2 3 6" xfId="35481"/>
    <cellStyle name="sbt2 3 7" xfId="33683"/>
    <cellStyle name="sbt2 3 8" xfId="37917"/>
    <cellStyle name="sbt2 3 9" xfId="34729"/>
    <cellStyle name="sbt2 4" xfId="12201"/>
    <cellStyle name="sbt2 4 2" xfId="20228"/>
    <cellStyle name="sbt2 4 2 10" xfId="24405"/>
    <cellStyle name="sbt2 4 2 11" xfId="38436"/>
    <cellStyle name="sbt2 4 2 12" xfId="38666"/>
    <cellStyle name="sbt2 4 2 13" xfId="38958"/>
    <cellStyle name="sbt2 4 2 14" xfId="39159"/>
    <cellStyle name="sbt2 4 2 15" xfId="39277"/>
    <cellStyle name="sbt2 4 2 16" xfId="39401"/>
    <cellStyle name="sbt2 4 2 2" xfId="33507"/>
    <cellStyle name="sbt2 4 2 3" xfId="36999"/>
    <cellStyle name="sbt2 4 2 4" xfId="37317"/>
    <cellStyle name="sbt2 4 2 5" xfId="37498"/>
    <cellStyle name="sbt2 4 2 6" xfId="37685"/>
    <cellStyle name="sbt2 4 2 7" xfId="37965"/>
    <cellStyle name="sbt2 4 2 8" xfId="35296"/>
    <cellStyle name="sbt2 4 2 9" xfId="38107"/>
    <cellStyle name="sbt2 4 3" xfId="24809"/>
    <cellStyle name="sbt2 4 4" xfId="36389"/>
    <cellStyle name="sbt2 4 5" xfId="34852"/>
    <cellStyle name="sbt2 4 6" xfId="35017"/>
    <cellStyle name="sbt2 4 7" xfId="34622"/>
    <cellStyle name="sbt2 4 8" xfId="20510"/>
    <cellStyle name="sbt2 5" xfId="20223"/>
    <cellStyle name="sbt2 5 10" xfId="36435"/>
    <cellStyle name="sbt2 5 11" xfId="38431"/>
    <cellStyle name="sbt2 5 12" xfId="38661"/>
    <cellStyle name="sbt2 5 13" xfId="38953"/>
    <cellStyle name="sbt2 5 14" xfId="39154"/>
    <cellStyle name="sbt2 5 15" xfId="39272"/>
    <cellStyle name="sbt2 5 16" xfId="39396"/>
    <cellStyle name="sbt2 5 2" xfId="33502"/>
    <cellStyle name="sbt2 5 3" xfId="36994"/>
    <cellStyle name="sbt2 5 4" xfId="37312"/>
    <cellStyle name="sbt2 5 5" xfId="37493"/>
    <cellStyle name="sbt2 5 6" xfId="37680"/>
    <cellStyle name="sbt2 5 7" xfId="37960"/>
    <cellStyle name="sbt2 5 8" xfId="36560"/>
    <cellStyle name="sbt2 5 9" xfId="38102"/>
    <cellStyle name="sbt2 6" xfId="24806"/>
    <cellStyle name="sbt2 7" xfId="25229"/>
    <cellStyle name="sbt2 8" xfId="36326"/>
    <cellStyle name="sbt2 9" xfId="33957"/>
    <cellStyle name="SectionHeaderNormal" xfId="12202"/>
    <cellStyle name="SectionHeaderNormal 2" xfId="33591"/>
    <cellStyle name="SectionHeading" xfId="12203"/>
    <cellStyle name="SectionHeading 10" xfId="33817"/>
    <cellStyle name="SectionHeading 11" xfId="35935"/>
    <cellStyle name="SectionHeading 12" xfId="37531"/>
    <cellStyle name="SectionHeading 13" xfId="38059"/>
    <cellStyle name="SectionHeading 14" xfId="36704"/>
    <cellStyle name="SectionHeading 15" xfId="35530"/>
    <cellStyle name="SectionHeading 2" xfId="12204"/>
    <cellStyle name="SectionHeading 2 10" xfId="36503"/>
    <cellStyle name="SectionHeading 2 11" xfId="38022"/>
    <cellStyle name="SectionHeading 2 12" xfId="24582"/>
    <cellStyle name="SectionHeading 2 13" xfId="37027"/>
    <cellStyle name="SectionHeading 2 2" xfId="12205"/>
    <cellStyle name="SectionHeading 2 2 10" xfId="34787"/>
    <cellStyle name="SectionHeading 2 2 11" xfId="38246"/>
    <cellStyle name="SectionHeading 2 2 12" xfId="34522"/>
    <cellStyle name="SectionHeading 2 2 2" xfId="16202"/>
    <cellStyle name="SectionHeading 2 2 2 10" xfId="34649"/>
    <cellStyle name="SectionHeading 2 2 2 11" xfId="38016"/>
    <cellStyle name="SectionHeading 2 2 2 12" xfId="38070"/>
    <cellStyle name="SectionHeading 2 2 2 13" xfId="38185"/>
    <cellStyle name="SectionHeading 2 2 2 2" xfId="29594"/>
    <cellStyle name="SectionHeading 2 2 2 3" xfId="35746"/>
    <cellStyle name="SectionHeading 2 2 2 4" xfId="25212"/>
    <cellStyle name="SectionHeading 2 2 2 5" xfId="36320"/>
    <cellStyle name="SectionHeading 2 2 2 6" xfId="34795"/>
    <cellStyle name="SectionHeading 2 2 2 7" xfId="34576"/>
    <cellStyle name="SectionHeading 2 2 2 8" xfId="35572"/>
    <cellStyle name="SectionHeading 2 2 2 9" xfId="37704"/>
    <cellStyle name="SectionHeading 2 2 3" xfId="20231"/>
    <cellStyle name="SectionHeading 2 2 3 10" xfId="38439"/>
    <cellStyle name="SectionHeading 2 2 3 11" xfId="38669"/>
    <cellStyle name="SectionHeading 2 2 3 12" xfId="38961"/>
    <cellStyle name="SectionHeading 2 2 3 13" xfId="39162"/>
    <cellStyle name="SectionHeading 2 2 3 14" xfId="39280"/>
    <cellStyle name="SectionHeading 2 2 3 15" xfId="39404"/>
    <cellStyle name="SectionHeading 2 2 3 2" xfId="33510"/>
    <cellStyle name="SectionHeading 2 2 3 3" xfId="37002"/>
    <cellStyle name="SectionHeading 2 2 3 4" xfId="37320"/>
    <cellStyle name="SectionHeading 2 2 3 5" xfId="37688"/>
    <cellStyle name="SectionHeading 2 2 3 6" xfId="37900"/>
    <cellStyle name="SectionHeading 2 2 3 7" xfId="36516"/>
    <cellStyle name="SectionHeading 2 2 3 8" xfId="38110"/>
    <cellStyle name="SectionHeading 2 2 3 9" xfId="38233"/>
    <cellStyle name="SectionHeading 2 2 4" xfId="25764"/>
    <cellStyle name="SectionHeading 2 2 5" xfId="34584"/>
    <cellStyle name="SectionHeading 2 2 6" xfId="35218"/>
    <cellStyle name="SectionHeading 2 2 7" xfId="25035"/>
    <cellStyle name="SectionHeading 2 2 8" xfId="35092"/>
    <cellStyle name="SectionHeading 2 2 9" xfId="37449"/>
    <cellStyle name="SectionHeading 2 3" xfId="16201"/>
    <cellStyle name="SectionHeading 2 3 10" xfId="36783"/>
    <cellStyle name="SectionHeading 2 3 11" xfId="34473"/>
    <cellStyle name="SectionHeading 2 3 12" xfId="35913"/>
    <cellStyle name="SectionHeading 2 3 13" xfId="33947"/>
    <cellStyle name="SectionHeading 2 3 2" xfId="29593"/>
    <cellStyle name="SectionHeading 2 3 3" xfId="35745"/>
    <cellStyle name="SectionHeading 2 3 4" xfId="34851"/>
    <cellStyle name="SectionHeading 2 3 5" xfId="34766"/>
    <cellStyle name="SectionHeading 2 3 6" xfId="35379"/>
    <cellStyle name="SectionHeading 2 3 7" xfId="25338"/>
    <cellStyle name="SectionHeading 2 3 8" xfId="25395"/>
    <cellStyle name="SectionHeading 2 3 9" xfId="36332"/>
    <cellStyle name="SectionHeading 2 4" xfId="20230"/>
    <cellStyle name="SectionHeading 2 4 10" xfId="38438"/>
    <cellStyle name="SectionHeading 2 4 11" xfId="38668"/>
    <cellStyle name="SectionHeading 2 4 12" xfId="38960"/>
    <cellStyle name="SectionHeading 2 4 13" xfId="39161"/>
    <cellStyle name="SectionHeading 2 4 14" xfId="39279"/>
    <cellStyle name="SectionHeading 2 4 15" xfId="39403"/>
    <cellStyle name="SectionHeading 2 4 2" xfId="33509"/>
    <cellStyle name="SectionHeading 2 4 3" xfId="37001"/>
    <cellStyle name="SectionHeading 2 4 4" xfId="37319"/>
    <cellStyle name="SectionHeading 2 4 5" xfId="37687"/>
    <cellStyle name="SectionHeading 2 4 6" xfId="37899"/>
    <cellStyle name="SectionHeading 2 4 7" xfId="33632"/>
    <cellStyle name="SectionHeading 2 4 8" xfId="38109"/>
    <cellStyle name="SectionHeading 2 4 9" xfId="38232"/>
    <cellStyle name="SectionHeading 2 5" xfId="25763"/>
    <cellStyle name="SectionHeading 2 6" xfId="34583"/>
    <cellStyle name="SectionHeading 2 7" xfId="24811"/>
    <cellStyle name="SectionHeading 2 8" xfId="35824"/>
    <cellStyle name="SectionHeading 2 9" xfId="24349"/>
    <cellStyle name="SectionHeading 3" xfId="12206"/>
    <cellStyle name="SectionHeading 3 10" xfId="35141"/>
    <cellStyle name="SectionHeading 3 11" xfId="37605"/>
    <cellStyle name="SectionHeading 3 12" xfId="35367"/>
    <cellStyle name="SectionHeading 3 13" xfId="33893"/>
    <cellStyle name="SectionHeading 3 2" xfId="12207"/>
    <cellStyle name="SectionHeading 3 2 10" xfId="35719"/>
    <cellStyle name="SectionHeading 3 2 11" xfId="38013"/>
    <cellStyle name="SectionHeading 3 2 12" xfId="34395"/>
    <cellStyle name="SectionHeading 3 2 2" xfId="16204"/>
    <cellStyle name="SectionHeading 3 2 2 10" xfId="36501"/>
    <cellStyle name="SectionHeading 3 2 2 11" xfId="38095"/>
    <cellStyle name="SectionHeading 3 2 2 12" xfId="33605"/>
    <cellStyle name="SectionHeading 3 2 2 13" xfId="36518"/>
    <cellStyle name="SectionHeading 3 2 2 2" xfId="29596"/>
    <cellStyle name="SectionHeading 3 2 2 3" xfId="35748"/>
    <cellStyle name="SectionHeading 3 2 2 4" xfId="34850"/>
    <cellStyle name="SectionHeading 3 2 2 5" xfId="24915"/>
    <cellStyle name="SectionHeading 3 2 2 6" xfId="35971"/>
    <cellStyle name="SectionHeading 3 2 2 7" xfId="33652"/>
    <cellStyle name="SectionHeading 3 2 2 8" xfId="34222"/>
    <cellStyle name="SectionHeading 3 2 2 9" xfId="24251"/>
    <cellStyle name="SectionHeading 3 2 3" xfId="20233"/>
    <cellStyle name="SectionHeading 3 2 3 10" xfId="38441"/>
    <cellStyle name="SectionHeading 3 2 3 11" xfId="38671"/>
    <cellStyle name="SectionHeading 3 2 3 12" xfId="38963"/>
    <cellStyle name="SectionHeading 3 2 3 13" xfId="39164"/>
    <cellStyle name="SectionHeading 3 2 3 14" xfId="39282"/>
    <cellStyle name="SectionHeading 3 2 3 15" xfId="39406"/>
    <cellStyle name="SectionHeading 3 2 3 2" xfId="33512"/>
    <cellStyle name="SectionHeading 3 2 3 3" xfId="37004"/>
    <cellStyle name="SectionHeading 3 2 3 4" xfId="37322"/>
    <cellStyle name="SectionHeading 3 2 3 5" xfId="37690"/>
    <cellStyle name="SectionHeading 3 2 3 6" xfId="37902"/>
    <cellStyle name="SectionHeading 3 2 3 7" xfId="33659"/>
    <cellStyle name="SectionHeading 3 2 3 8" xfId="38112"/>
    <cellStyle name="SectionHeading 3 2 3 9" xfId="38235"/>
    <cellStyle name="SectionHeading 3 2 4" xfId="25766"/>
    <cellStyle name="SectionHeading 3 2 5" xfId="34586"/>
    <cellStyle name="SectionHeading 3 2 6" xfId="35225"/>
    <cellStyle name="SectionHeading 3 2 7" xfId="25446"/>
    <cellStyle name="SectionHeading 3 2 8" xfId="35893"/>
    <cellStyle name="SectionHeading 3 2 9" xfId="24435"/>
    <cellStyle name="SectionHeading 3 3" xfId="16203"/>
    <cellStyle name="SectionHeading 3 3 10" xfId="35600"/>
    <cellStyle name="SectionHeading 3 3 11" xfId="36317"/>
    <cellStyle name="SectionHeading 3 3 12" xfId="24324"/>
    <cellStyle name="SectionHeading 3 3 13" xfId="25807"/>
    <cellStyle name="SectionHeading 3 3 2" xfId="29595"/>
    <cellStyle name="SectionHeading 3 3 3" xfId="35747"/>
    <cellStyle name="SectionHeading 3 3 4" xfId="36018"/>
    <cellStyle name="SectionHeading 3 3 5" xfId="35939"/>
    <cellStyle name="SectionHeading 3 3 6" xfId="33902"/>
    <cellStyle name="SectionHeading 3 3 7" xfId="34953"/>
    <cellStyle name="SectionHeading 3 3 8" xfId="29613"/>
    <cellStyle name="SectionHeading 3 3 9" xfId="34486"/>
    <cellStyle name="SectionHeading 3 4" xfId="20232"/>
    <cellStyle name="SectionHeading 3 4 10" xfId="38440"/>
    <cellStyle name="SectionHeading 3 4 11" xfId="38670"/>
    <cellStyle name="SectionHeading 3 4 12" xfId="38962"/>
    <cellStyle name="SectionHeading 3 4 13" xfId="39163"/>
    <cellStyle name="SectionHeading 3 4 14" xfId="39281"/>
    <cellStyle name="SectionHeading 3 4 15" xfId="39405"/>
    <cellStyle name="SectionHeading 3 4 2" xfId="33511"/>
    <cellStyle name="SectionHeading 3 4 3" xfId="37003"/>
    <cellStyle name="SectionHeading 3 4 4" xfId="37321"/>
    <cellStyle name="SectionHeading 3 4 5" xfId="37689"/>
    <cellStyle name="SectionHeading 3 4 6" xfId="37901"/>
    <cellStyle name="SectionHeading 3 4 7" xfId="34380"/>
    <cellStyle name="SectionHeading 3 4 8" xfId="38111"/>
    <cellStyle name="SectionHeading 3 4 9" xfId="38234"/>
    <cellStyle name="SectionHeading 3 5" xfId="25765"/>
    <cellStyle name="SectionHeading 3 6" xfId="34585"/>
    <cellStyle name="SectionHeading 3 7" xfId="36438"/>
    <cellStyle name="SectionHeading 3 8" xfId="33818"/>
    <cellStyle name="SectionHeading 3 9" xfId="36248"/>
    <cellStyle name="SectionHeading 4" xfId="12208"/>
    <cellStyle name="SectionHeading 4 10" xfId="25296"/>
    <cellStyle name="SectionHeading 4 11" xfId="38141"/>
    <cellStyle name="SectionHeading 4 12" xfId="24227"/>
    <cellStyle name="SectionHeading 4 2" xfId="16205"/>
    <cellStyle name="SectionHeading 4 2 10" xfId="20558"/>
    <cellStyle name="SectionHeading 4 2 11" xfId="35032"/>
    <cellStyle name="SectionHeading 4 2 12" xfId="36380"/>
    <cellStyle name="SectionHeading 4 2 13" xfId="37980"/>
    <cellStyle name="SectionHeading 4 2 2" xfId="29597"/>
    <cellStyle name="SectionHeading 4 2 3" xfId="35749"/>
    <cellStyle name="SectionHeading 4 2 4" xfId="25213"/>
    <cellStyle name="SectionHeading 4 2 5" xfId="34178"/>
    <cellStyle name="SectionHeading 4 2 6" xfId="25017"/>
    <cellStyle name="SectionHeading 4 2 7" xfId="33866"/>
    <cellStyle name="SectionHeading 4 2 8" xfId="33790"/>
    <cellStyle name="SectionHeading 4 2 9" xfId="25761"/>
    <cellStyle name="SectionHeading 4 3" xfId="20234"/>
    <cellStyle name="SectionHeading 4 3 10" xfId="38442"/>
    <cellStyle name="SectionHeading 4 3 11" xfId="38672"/>
    <cellStyle name="SectionHeading 4 3 12" xfId="38964"/>
    <cellStyle name="SectionHeading 4 3 13" xfId="39165"/>
    <cellStyle name="SectionHeading 4 3 14" xfId="39283"/>
    <cellStyle name="SectionHeading 4 3 15" xfId="39407"/>
    <cellStyle name="SectionHeading 4 3 2" xfId="33513"/>
    <cellStyle name="SectionHeading 4 3 3" xfId="37005"/>
    <cellStyle name="SectionHeading 4 3 4" xfId="37323"/>
    <cellStyle name="SectionHeading 4 3 5" xfId="37691"/>
    <cellStyle name="SectionHeading 4 3 6" xfId="37903"/>
    <cellStyle name="SectionHeading 4 3 7" xfId="25687"/>
    <cellStyle name="SectionHeading 4 3 8" xfId="38113"/>
    <cellStyle name="SectionHeading 4 3 9" xfId="38236"/>
    <cellStyle name="SectionHeading 4 4" xfId="25767"/>
    <cellStyle name="SectionHeading 4 5" xfId="34587"/>
    <cellStyle name="SectionHeading 4 6" xfId="24812"/>
    <cellStyle name="SectionHeading 4 7" xfId="35022"/>
    <cellStyle name="SectionHeading 4 8" xfId="33861"/>
    <cellStyle name="SectionHeading 4 9" xfId="34560"/>
    <cellStyle name="SectionHeading 5" xfId="16200"/>
    <cellStyle name="SectionHeading 5 10" xfId="33800"/>
    <cellStyle name="SectionHeading 5 11" xfId="20488"/>
    <cellStyle name="SectionHeading 5 12" xfId="29641"/>
    <cellStyle name="SectionHeading 5 13" xfId="34033"/>
    <cellStyle name="SectionHeading 5 2" xfId="29592"/>
    <cellStyle name="SectionHeading 5 3" xfId="35744"/>
    <cellStyle name="SectionHeading 5 4" xfId="36019"/>
    <cellStyle name="SectionHeading 5 5" xfId="34177"/>
    <cellStyle name="SectionHeading 5 6" xfId="36573"/>
    <cellStyle name="SectionHeading 5 7" xfId="34291"/>
    <cellStyle name="SectionHeading 5 8" xfId="35603"/>
    <cellStyle name="SectionHeading 5 9" xfId="34661"/>
    <cellStyle name="SectionHeading 6" xfId="20229"/>
    <cellStyle name="SectionHeading 6 10" xfId="38437"/>
    <cellStyle name="SectionHeading 6 11" xfId="38667"/>
    <cellStyle name="SectionHeading 6 12" xfId="38959"/>
    <cellStyle name="SectionHeading 6 13" xfId="39160"/>
    <cellStyle name="SectionHeading 6 14" xfId="39278"/>
    <cellStyle name="SectionHeading 6 15" xfId="39402"/>
    <cellStyle name="SectionHeading 6 2" xfId="33508"/>
    <cellStyle name="SectionHeading 6 3" xfId="37000"/>
    <cellStyle name="SectionHeading 6 4" xfId="37318"/>
    <cellStyle name="SectionHeading 6 5" xfId="37686"/>
    <cellStyle name="SectionHeading 6 6" xfId="37898"/>
    <cellStyle name="SectionHeading 6 7" xfId="24993"/>
    <cellStyle name="SectionHeading 6 8" xfId="38108"/>
    <cellStyle name="SectionHeading 6 9" xfId="38231"/>
    <cellStyle name="SectionHeading 7" xfId="25762"/>
    <cellStyle name="SectionHeading 8" xfId="34582"/>
    <cellStyle name="SectionHeading 9" xfId="24810"/>
    <cellStyle name="SGD 2" xfId="12209"/>
    <cellStyle name="SGD 2 2" xfId="20372"/>
    <cellStyle name="Shaded" xfId="12210"/>
    <cellStyle name="SHADEDSTORES" xfId="12211"/>
    <cellStyle name="SHADEDSTORES 2" xfId="12212"/>
    <cellStyle name="SHADEDSTORES 2 2" xfId="12213"/>
    <cellStyle name="SHADEDSTORES 2 2 2" xfId="16207"/>
    <cellStyle name="SHADEDSTORES 2 2 2 10" xfId="25443"/>
    <cellStyle name="SHADEDSTORES 2 2 2 11" xfId="33680"/>
    <cellStyle name="SHADEDSTORES 2 2 2 12" xfId="24530"/>
    <cellStyle name="SHADEDSTORES 2 2 2 13" xfId="33984"/>
    <cellStyle name="SHADEDSTORES 2 2 2 2" xfId="29599"/>
    <cellStyle name="SHADEDSTORES 2 2 2 3" xfId="35751"/>
    <cellStyle name="SHADEDSTORES 2 2 2 4" xfId="36014"/>
    <cellStyle name="SHADEDSTORES 2 2 2 5" xfId="36346"/>
    <cellStyle name="SHADEDSTORES 2 2 2 6" xfId="36119"/>
    <cellStyle name="SHADEDSTORES 2 2 2 7" xfId="36562"/>
    <cellStyle name="SHADEDSTORES 2 2 2 8" xfId="24998"/>
    <cellStyle name="SHADEDSTORES 2 2 2 9" xfId="36343"/>
    <cellStyle name="SHADEDSTORES 2 2 3" xfId="20236"/>
    <cellStyle name="SHADEDSTORES 2 2 3 10" xfId="39285"/>
    <cellStyle name="SHADEDSTORES 2 2 3 11" xfId="39409"/>
    <cellStyle name="SHADEDSTORES 2 2 3 2" xfId="33515"/>
    <cellStyle name="SHADEDSTORES 2 2 3 3" xfId="37007"/>
    <cellStyle name="SHADEDSTORES 2 2 3 4" xfId="37905"/>
    <cellStyle name="SHADEDSTORES 2 2 3 5" xfId="38115"/>
    <cellStyle name="SHADEDSTORES 2 2 3 6" xfId="38444"/>
    <cellStyle name="SHADEDSTORES 2 2 3 7" xfId="38674"/>
    <cellStyle name="SHADEDSTORES 2 2 3 8" xfId="38966"/>
    <cellStyle name="SHADEDSTORES 2 2 3 9" xfId="39167"/>
    <cellStyle name="SHADEDSTORES 2 2 4" xfId="25771"/>
    <cellStyle name="SHADEDSTORES 2 2 5" xfId="34589"/>
    <cellStyle name="SHADEDSTORES 2 2 6" xfId="35272"/>
    <cellStyle name="SHADEDSTORES 2 2 7" xfId="33868"/>
    <cellStyle name="SHADEDSTORES 2 2 8" xfId="34085"/>
    <cellStyle name="SHADEDSTORES 2 3" xfId="16206"/>
    <cellStyle name="SHADEDSTORES 2 3 10" xfId="34563"/>
    <cellStyle name="SHADEDSTORES 2 3 11" xfId="38034"/>
    <cellStyle name="SHADEDSTORES 2 3 12" xfId="36761"/>
    <cellStyle name="SHADEDSTORES 2 3 13" xfId="35416"/>
    <cellStyle name="SHADEDSTORES 2 3 2" xfId="29598"/>
    <cellStyle name="SHADEDSTORES 2 3 3" xfId="35750"/>
    <cellStyle name="SHADEDSTORES 2 3 4" xfId="25214"/>
    <cellStyle name="SHADEDSTORES 2 3 5" xfId="24512"/>
    <cellStyle name="SHADEDSTORES 2 3 6" xfId="25733"/>
    <cellStyle name="SHADEDSTORES 2 3 7" xfId="24335"/>
    <cellStyle name="SHADEDSTORES 2 3 8" xfId="37971"/>
    <cellStyle name="SHADEDSTORES 2 3 9" xfId="24517"/>
    <cellStyle name="SHADEDSTORES 2 4" xfId="20235"/>
    <cellStyle name="SHADEDSTORES 2 4 10" xfId="39284"/>
    <cellStyle name="SHADEDSTORES 2 4 11" xfId="39408"/>
    <cellStyle name="SHADEDSTORES 2 4 2" xfId="33514"/>
    <cellStyle name="SHADEDSTORES 2 4 3" xfId="37006"/>
    <cellStyle name="SHADEDSTORES 2 4 4" xfId="37904"/>
    <cellStyle name="SHADEDSTORES 2 4 5" xfId="38114"/>
    <cellStyle name="SHADEDSTORES 2 4 6" xfId="38443"/>
    <cellStyle name="SHADEDSTORES 2 4 7" xfId="38673"/>
    <cellStyle name="SHADEDSTORES 2 4 8" xfId="38965"/>
    <cellStyle name="SHADEDSTORES 2 4 9" xfId="39166"/>
    <cellStyle name="SHADEDSTORES 2 5" xfId="25770"/>
    <cellStyle name="SHADEDSTORES 2 6" xfId="34588"/>
    <cellStyle name="SHADEDSTORES 2 7" xfId="37020"/>
    <cellStyle name="SHADEDSTORES 2 8" xfId="38280"/>
    <cellStyle name="SHADEDSTORES 2 9" xfId="33660"/>
    <cellStyle name="SHADEDSTORES 3" xfId="12214"/>
    <cellStyle name="SHADEDSTORES 3 2" xfId="12215"/>
    <cellStyle name="SHADEDSTORES 3 2 2" xfId="16209"/>
    <cellStyle name="SHADEDSTORES 3 2 2 10" xfId="36388"/>
    <cellStyle name="SHADEDSTORES 3 2 2 11" xfId="34233"/>
    <cellStyle name="SHADEDSTORES 3 2 2 12" xfId="36259"/>
    <cellStyle name="SHADEDSTORES 3 2 2 13" xfId="24769"/>
    <cellStyle name="SHADEDSTORES 3 2 2 2" xfId="29601"/>
    <cellStyle name="SHADEDSTORES 3 2 2 3" xfId="35753"/>
    <cellStyle name="SHADEDSTORES 3 2 2 4" xfId="36016"/>
    <cellStyle name="SHADEDSTORES 3 2 2 5" xfId="36572"/>
    <cellStyle name="SHADEDSTORES 3 2 2 6" xfId="25273"/>
    <cellStyle name="SHADEDSTORES 3 2 2 7" xfId="36195"/>
    <cellStyle name="SHADEDSTORES 3 2 2 8" xfId="34653"/>
    <cellStyle name="SHADEDSTORES 3 2 2 9" xfId="35056"/>
    <cellStyle name="SHADEDSTORES 3 2 3" xfId="20238"/>
    <cellStyle name="SHADEDSTORES 3 2 3 10" xfId="39287"/>
    <cellStyle name="SHADEDSTORES 3 2 3 11" xfId="39411"/>
    <cellStyle name="SHADEDSTORES 3 2 3 2" xfId="33517"/>
    <cellStyle name="SHADEDSTORES 3 2 3 3" xfId="37009"/>
    <cellStyle name="SHADEDSTORES 3 2 3 4" xfId="37907"/>
    <cellStyle name="SHADEDSTORES 3 2 3 5" xfId="38117"/>
    <cellStyle name="SHADEDSTORES 3 2 3 6" xfId="38446"/>
    <cellStyle name="SHADEDSTORES 3 2 3 7" xfId="38676"/>
    <cellStyle name="SHADEDSTORES 3 2 3 8" xfId="38968"/>
    <cellStyle name="SHADEDSTORES 3 2 3 9" xfId="39169"/>
    <cellStyle name="SHADEDSTORES 3 2 4" xfId="25773"/>
    <cellStyle name="SHADEDSTORES 3 2 5" xfId="34591"/>
    <cellStyle name="SHADEDSTORES 3 2 6" xfId="33987"/>
    <cellStyle name="SHADEDSTORES 3 2 7" xfId="37674"/>
    <cellStyle name="SHADEDSTORES 3 2 8" xfId="34070"/>
    <cellStyle name="SHADEDSTORES 3 3" xfId="16208"/>
    <cellStyle name="SHADEDSTORES 3 3 10" xfId="37444"/>
    <cellStyle name="SHADEDSTORES 3 3 11" xfId="36156"/>
    <cellStyle name="SHADEDSTORES 3 3 12" xfId="35034"/>
    <cellStyle name="SHADEDSTORES 3 3 13" xfId="20613"/>
    <cellStyle name="SHADEDSTORES 3 3 2" xfId="29600"/>
    <cellStyle name="SHADEDSTORES 3 3 3" xfId="35752"/>
    <cellStyle name="SHADEDSTORES 3 3 4" xfId="34846"/>
    <cellStyle name="SHADEDSTORES 3 3 5" xfId="35853"/>
    <cellStyle name="SHADEDSTORES 3 3 6" xfId="37293"/>
    <cellStyle name="SHADEDSTORES 3 3 7" xfId="33525"/>
    <cellStyle name="SHADEDSTORES 3 3 8" xfId="37955"/>
    <cellStyle name="SHADEDSTORES 3 3 9" xfId="37975"/>
    <cellStyle name="SHADEDSTORES 3 4" xfId="20237"/>
    <cellStyle name="SHADEDSTORES 3 4 10" xfId="39286"/>
    <cellStyle name="SHADEDSTORES 3 4 11" xfId="39410"/>
    <cellStyle name="SHADEDSTORES 3 4 2" xfId="33516"/>
    <cellStyle name="SHADEDSTORES 3 4 3" xfId="37008"/>
    <cellStyle name="SHADEDSTORES 3 4 4" xfId="37906"/>
    <cellStyle name="SHADEDSTORES 3 4 5" xfId="38116"/>
    <cellStyle name="SHADEDSTORES 3 4 6" xfId="38445"/>
    <cellStyle name="SHADEDSTORES 3 4 7" xfId="38675"/>
    <cellStyle name="SHADEDSTORES 3 4 8" xfId="38967"/>
    <cellStyle name="SHADEDSTORES 3 4 9" xfId="39168"/>
    <cellStyle name="SHADEDSTORES 3 5" xfId="25772"/>
    <cellStyle name="SHADEDSTORES 3 6" xfId="34590"/>
    <cellStyle name="SHADEDSTORES 3 7" xfId="35136"/>
    <cellStyle name="SHADEDSTORES 3 8" xfId="38247"/>
    <cellStyle name="SHADEDSTORES 3 9" xfId="20573"/>
    <cellStyle name="Shading" xfId="12216"/>
    <cellStyle name="Shares" xfId="12217"/>
    <cellStyle name="Shares 2" xfId="20373"/>
    <cellStyle name="sharesout" xfId="12218"/>
    <cellStyle name="sharesout 10" xfId="25445"/>
    <cellStyle name="sharesout 11" xfId="24785"/>
    <cellStyle name="sharesout 12" xfId="33975"/>
    <cellStyle name="sharesout 13" xfId="35903"/>
    <cellStyle name="sharesout 14" xfId="36436"/>
    <cellStyle name="sharesout 15" xfId="33759"/>
    <cellStyle name="sharesout 2" xfId="12219"/>
    <cellStyle name="sharesout 2 10" xfId="24950"/>
    <cellStyle name="sharesout 2 11" xfId="24274"/>
    <cellStyle name="sharesout 2 12" xfId="34443"/>
    <cellStyle name="sharesout 2 13" xfId="36342"/>
    <cellStyle name="sharesout 2 2" xfId="12220"/>
    <cellStyle name="sharesout 2 2 10" xfId="25658"/>
    <cellStyle name="sharesout 2 2 11" xfId="24271"/>
    <cellStyle name="sharesout 2 2 12" xfId="36751"/>
    <cellStyle name="sharesout 2 2 2" xfId="16212"/>
    <cellStyle name="sharesout 2 2 2 10" xfId="24416"/>
    <cellStyle name="sharesout 2 2 2 11" xfId="25073"/>
    <cellStyle name="sharesout 2 2 2 12" xfId="38455"/>
    <cellStyle name="sharesout 2 2 2 13" xfId="33878"/>
    <cellStyle name="sharesout 2 2 2 2" xfId="29604"/>
    <cellStyle name="sharesout 2 2 2 3" xfId="35756"/>
    <cellStyle name="sharesout 2 2 2 4" xfId="36015"/>
    <cellStyle name="sharesout 2 2 2 5" xfId="34180"/>
    <cellStyle name="sharesout 2 2 2 6" xfId="34692"/>
    <cellStyle name="sharesout 2 2 2 7" xfId="34677"/>
    <cellStyle name="sharesout 2 2 2 8" xfId="34284"/>
    <cellStyle name="sharesout 2 2 2 9" xfId="36467"/>
    <cellStyle name="sharesout 2 2 3" xfId="20241"/>
    <cellStyle name="sharesout 2 2 3 10" xfId="38449"/>
    <cellStyle name="sharesout 2 2 3 11" xfId="38679"/>
    <cellStyle name="sharesout 2 2 3 12" xfId="38971"/>
    <cellStyle name="sharesout 2 2 3 13" xfId="39172"/>
    <cellStyle name="sharesout 2 2 3 14" xfId="39290"/>
    <cellStyle name="sharesout 2 2 3 15" xfId="39414"/>
    <cellStyle name="sharesout 2 2 3 2" xfId="33520"/>
    <cellStyle name="sharesout 2 2 3 3" xfId="37012"/>
    <cellStyle name="sharesout 2 2 3 4" xfId="37327"/>
    <cellStyle name="sharesout 2 2 3 5" xfId="37694"/>
    <cellStyle name="sharesout 2 2 3 6" xfId="37910"/>
    <cellStyle name="sharesout 2 2 3 7" xfId="35540"/>
    <cellStyle name="sharesout 2 2 3 8" xfId="38120"/>
    <cellStyle name="sharesout 2 2 3 9" xfId="38242"/>
    <cellStyle name="sharesout 2 2 4" xfId="25777"/>
    <cellStyle name="sharesout 2 2 5" xfId="34594"/>
    <cellStyle name="sharesout 2 2 6" xfId="24814"/>
    <cellStyle name="sharesout 2 2 7" xfId="34667"/>
    <cellStyle name="sharesout 2 2 8" xfId="37423"/>
    <cellStyle name="sharesout 2 2 9" xfId="37864"/>
    <cellStyle name="sharesout 2 3" xfId="16211"/>
    <cellStyle name="sharesout 2 3 10" xfId="36446"/>
    <cellStyle name="sharesout 2 3 11" xfId="35059"/>
    <cellStyle name="sharesout 2 3 12" xfId="36755"/>
    <cellStyle name="sharesout 2 3 13" xfId="35432"/>
    <cellStyle name="sharesout 2 3 2" xfId="29603"/>
    <cellStyle name="sharesout 2 3 3" xfId="35755"/>
    <cellStyle name="sharesout 2 3 4" xfId="25215"/>
    <cellStyle name="sharesout 2 3 5" xfId="34765"/>
    <cellStyle name="sharesout 2 3 6" xfId="24895"/>
    <cellStyle name="sharesout 2 3 7" xfId="35734"/>
    <cellStyle name="sharesout 2 3 8" xfId="34975"/>
    <cellStyle name="sharesout 2 3 9" xfId="35077"/>
    <cellStyle name="sharesout 2 4" xfId="20240"/>
    <cellStyle name="sharesout 2 4 10" xfId="38448"/>
    <cellStyle name="sharesout 2 4 11" xfId="38678"/>
    <cellStyle name="sharesout 2 4 12" xfId="38970"/>
    <cellStyle name="sharesout 2 4 13" xfId="39171"/>
    <cellStyle name="sharesout 2 4 14" xfId="39289"/>
    <cellStyle name="sharesout 2 4 15" xfId="39413"/>
    <cellStyle name="sharesout 2 4 2" xfId="33519"/>
    <cellStyle name="sharesout 2 4 3" xfId="37011"/>
    <cellStyle name="sharesout 2 4 4" xfId="37326"/>
    <cellStyle name="sharesout 2 4 5" xfId="37693"/>
    <cellStyle name="sharesout 2 4 6" xfId="37909"/>
    <cellStyle name="sharesout 2 4 7" xfId="33734"/>
    <cellStyle name="sharesout 2 4 8" xfId="38119"/>
    <cellStyle name="sharesout 2 4 9" xfId="38241"/>
    <cellStyle name="sharesout 2 5" xfId="25776"/>
    <cellStyle name="sharesout 2 6" xfId="34593"/>
    <cellStyle name="sharesout 2 7" xfId="24813"/>
    <cellStyle name="sharesout 2 8" xfId="25034"/>
    <cellStyle name="sharesout 2 9" xfId="34703"/>
    <cellStyle name="sharesout 3" xfId="12221"/>
    <cellStyle name="sharesout 3 10" xfId="37036"/>
    <cellStyle name="sharesout 3 11" xfId="38021"/>
    <cellStyle name="sharesout 3 12" xfId="20515"/>
    <cellStyle name="sharesout 3 13" xfId="35133"/>
    <cellStyle name="sharesout 3 2" xfId="12222"/>
    <cellStyle name="sharesout 3 2 10" xfId="25552"/>
    <cellStyle name="sharesout 3 2 11" xfId="38092"/>
    <cellStyle name="sharesout 3 2 12" xfId="35486"/>
    <cellStyle name="sharesout 3 2 2" xfId="16214"/>
    <cellStyle name="sharesout 3 2 2 10" xfId="25090"/>
    <cellStyle name="sharesout 3 2 2 11" xfId="34232"/>
    <cellStyle name="sharesout 3 2 2 12" xfId="36010"/>
    <cellStyle name="sharesout 3 2 2 13" xfId="36697"/>
    <cellStyle name="sharesout 3 2 2 2" xfId="29606"/>
    <cellStyle name="sharesout 3 2 2 3" xfId="35758"/>
    <cellStyle name="sharesout 3 2 2 4" xfId="25216"/>
    <cellStyle name="sharesout 3 2 2 5" xfId="35125"/>
    <cellStyle name="sharesout 3 2 2 6" xfId="33901"/>
    <cellStyle name="sharesout 3 2 2 7" xfId="35784"/>
    <cellStyle name="sharesout 3 2 2 8" xfId="25119"/>
    <cellStyle name="sharesout 3 2 2 9" xfId="36537"/>
    <cellStyle name="sharesout 3 2 3" xfId="20243"/>
    <cellStyle name="sharesout 3 2 3 10" xfId="38451"/>
    <cellStyle name="sharesout 3 2 3 11" xfId="38681"/>
    <cellStyle name="sharesout 3 2 3 12" xfId="38973"/>
    <cellStyle name="sharesout 3 2 3 13" xfId="39174"/>
    <cellStyle name="sharesout 3 2 3 14" xfId="39292"/>
    <cellStyle name="sharesout 3 2 3 15" xfId="39416"/>
    <cellStyle name="sharesout 3 2 3 2" xfId="33522"/>
    <cellStyle name="sharesout 3 2 3 3" xfId="37014"/>
    <cellStyle name="sharesout 3 2 3 4" xfId="37329"/>
    <cellStyle name="sharesout 3 2 3 5" xfId="37696"/>
    <cellStyle name="sharesout 3 2 3 6" xfId="37912"/>
    <cellStyle name="sharesout 3 2 3 7" xfId="36224"/>
    <cellStyle name="sharesout 3 2 3 8" xfId="38122"/>
    <cellStyle name="sharesout 3 2 3 9" xfId="38244"/>
    <cellStyle name="sharesout 3 2 4" xfId="25779"/>
    <cellStyle name="sharesout 3 2 5" xfId="34596"/>
    <cellStyle name="sharesout 3 2 6" xfId="35223"/>
    <cellStyle name="sharesout 3 2 7" xfId="33820"/>
    <cellStyle name="sharesout 3 2 8" xfId="33709"/>
    <cellStyle name="sharesout 3 2 9" xfId="24985"/>
    <cellStyle name="sharesout 3 3" xfId="16213"/>
    <cellStyle name="sharesout 3 3 10" xfId="35054"/>
    <cellStyle name="sharesout 3 3 11" xfId="25599"/>
    <cellStyle name="sharesout 3 3 12" xfId="24258"/>
    <cellStyle name="sharesout 3 3 13" xfId="38291"/>
    <cellStyle name="sharesout 3 3 2" xfId="29605"/>
    <cellStyle name="sharesout 3 3 3" xfId="35757"/>
    <cellStyle name="sharesout 3 3 4" xfId="34847"/>
    <cellStyle name="sharesout 3 3 5" xfId="34181"/>
    <cellStyle name="sharesout 3 3 6" xfId="34300"/>
    <cellStyle name="sharesout 3 3 7" xfId="20499"/>
    <cellStyle name="sharesout 3 3 8" xfId="25275"/>
    <cellStyle name="sharesout 3 3 9" xfId="33895"/>
    <cellStyle name="sharesout 3 4" xfId="20242"/>
    <cellStyle name="sharesout 3 4 10" xfId="38450"/>
    <cellStyle name="sharesout 3 4 11" xfId="38680"/>
    <cellStyle name="sharesout 3 4 12" xfId="38972"/>
    <cellStyle name="sharesout 3 4 13" xfId="39173"/>
    <cellStyle name="sharesout 3 4 14" xfId="39291"/>
    <cellStyle name="sharesout 3 4 15" xfId="39415"/>
    <cellStyle name="sharesout 3 4 2" xfId="33521"/>
    <cellStyle name="sharesout 3 4 3" xfId="37013"/>
    <cellStyle name="sharesout 3 4 4" xfId="37328"/>
    <cellStyle name="sharesout 3 4 5" xfId="37695"/>
    <cellStyle name="sharesout 3 4 6" xfId="37911"/>
    <cellStyle name="sharesout 3 4 7" xfId="34780"/>
    <cellStyle name="sharesout 3 4 8" xfId="38121"/>
    <cellStyle name="sharesout 3 4 9" xfId="38243"/>
    <cellStyle name="sharesout 3 5" xfId="25778"/>
    <cellStyle name="sharesout 3 6" xfId="34595"/>
    <cellStyle name="sharesout 3 7" xfId="36433"/>
    <cellStyle name="sharesout 3 8" xfId="36201"/>
    <cellStyle name="sharesout 3 9" xfId="34194"/>
    <cellStyle name="sharesout 4" xfId="12223"/>
    <cellStyle name="sharesout 4 10" xfId="36869"/>
    <cellStyle name="sharesout 4 11" xfId="34220"/>
    <cellStyle name="sharesout 4 12" xfId="25328"/>
    <cellStyle name="sharesout 4 2" xfId="16215"/>
    <cellStyle name="sharesout 4 2 10" xfId="34029"/>
    <cellStyle name="sharesout 4 2 11" xfId="25608"/>
    <cellStyle name="sharesout 4 2 12" xfId="20479"/>
    <cellStyle name="sharesout 4 2 13" xfId="24359"/>
    <cellStyle name="sharesout 4 2 2" xfId="29607"/>
    <cellStyle name="sharesout 4 2 3" xfId="35759"/>
    <cellStyle name="sharesout 4 2 4" xfId="25217"/>
    <cellStyle name="sharesout 4 2 5" xfId="35938"/>
    <cellStyle name="sharesout 4 2 6" xfId="24513"/>
    <cellStyle name="sharesout 4 2 7" xfId="36682"/>
    <cellStyle name="sharesout 4 2 8" xfId="34052"/>
    <cellStyle name="sharesout 4 2 9" xfId="34099"/>
    <cellStyle name="sharesout 4 3" xfId="20244"/>
    <cellStyle name="sharesout 4 3 10" xfId="38452"/>
    <cellStyle name="sharesout 4 3 11" xfId="38682"/>
    <cellStyle name="sharesout 4 3 12" xfId="38974"/>
    <cellStyle name="sharesout 4 3 13" xfId="39175"/>
    <cellStyle name="sharesout 4 3 14" xfId="39293"/>
    <cellStyle name="sharesout 4 3 15" xfId="39417"/>
    <cellStyle name="sharesout 4 3 2" xfId="33523"/>
    <cellStyle name="sharesout 4 3 3" xfId="37015"/>
    <cellStyle name="sharesout 4 3 4" xfId="37330"/>
    <cellStyle name="sharesout 4 3 5" xfId="37697"/>
    <cellStyle name="sharesout 4 3 6" xfId="37913"/>
    <cellStyle name="sharesout 4 3 7" xfId="34060"/>
    <cellStyle name="sharesout 4 3 8" xfId="38123"/>
    <cellStyle name="sharesout 4 3 9" xfId="38245"/>
    <cellStyle name="sharesout 4 4" xfId="25780"/>
    <cellStyle name="sharesout 4 5" xfId="34597"/>
    <cellStyle name="sharesout 4 6" xfId="36434"/>
    <cellStyle name="sharesout 4 7" xfId="35821"/>
    <cellStyle name="sharesout 4 8" xfId="34732"/>
    <cellStyle name="sharesout 4 9" xfId="24975"/>
    <cellStyle name="sharesout 5" xfId="16210"/>
    <cellStyle name="sharesout 5 10" xfId="35962"/>
    <cellStyle name="sharesout 5 11" xfId="35875"/>
    <cellStyle name="sharesout 5 12" xfId="35040"/>
    <cellStyle name="sharesout 5 13" xfId="38043"/>
    <cellStyle name="sharesout 5 2" xfId="29602"/>
    <cellStyle name="sharesout 5 3" xfId="35754"/>
    <cellStyle name="sharesout 5 4" xfId="34848"/>
    <cellStyle name="sharesout 5 5" xfId="34179"/>
    <cellStyle name="sharesout 5 6" xfId="35378"/>
    <cellStyle name="sharesout 5 7" xfId="33764"/>
    <cellStyle name="sharesout 5 8" xfId="34990"/>
    <cellStyle name="sharesout 5 9" xfId="37794"/>
    <cellStyle name="sharesout 6" xfId="20239"/>
    <cellStyle name="sharesout 6 10" xfId="38447"/>
    <cellStyle name="sharesout 6 11" xfId="38677"/>
    <cellStyle name="sharesout 6 12" xfId="38969"/>
    <cellStyle name="sharesout 6 13" xfId="39170"/>
    <cellStyle name="sharesout 6 14" xfId="39288"/>
    <cellStyle name="sharesout 6 15" xfId="39412"/>
    <cellStyle name="sharesout 6 2" xfId="33518"/>
    <cellStyle name="sharesout 6 3" xfId="37010"/>
    <cellStyle name="sharesout 6 4" xfId="37325"/>
    <cellStyle name="sharesout 6 5" xfId="37692"/>
    <cellStyle name="sharesout 6 6" xfId="37908"/>
    <cellStyle name="sharesout 6 7" xfId="35989"/>
    <cellStyle name="sharesout 6 8" xfId="38118"/>
    <cellStyle name="sharesout 6 9" xfId="38240"/>
    <cellStyle name="sharesout 7" xfId="25775"/>
    <cellStyle name="sharesout 8" xfId="34592"/>
    <cellStyle name="sharesout 9" xfId="35224"/>
    <cellStyle name="Sheetmult" xfId="12224"/>
    <cellStyle name="ShOut" xfId="12225"/>
    <cellStyle name="Shtmultx" xfId="12226"/>
    <cellStyle name="Single Accounting" xfId="12227"/>
    <cellStyle name="Single Border" xfId="12228"/>
    <cellStyle name="Single Border 2" xfId="12229"/>
    <cellStyle name="Single Border 2 2" xfId="20300"/>
    <cellStyle name="Single Border 2 3" xfId="24968"/>
    <cellStyle name="Single Border 3" xfId="12230"/>
    <cellStyle name="Single Border 3 2" xfId="20301"/>
    <cellStyle name="Single Border 3 3" xfId="25753"/>
    <cellStyle name="Single Border 4" xfId="20302"/>
    <cellStyle name="Single Border 5" xfId="36626"/>
    <cellStyle name="Size10Pt" xfId="12231"/>
    <cellStyle name="Size10Pt 2" xfId="20374"/>
    <cellStyle name="Size12Pt" xfId="12232"/>
    <cellStyle name="Size12Pt 2" xfId="20375"/>
    <cellStyle name="Small Page Heading" xfId="12233"/>
    <cellStyle name="specstores" xfId="12234"/>
    <cellStyle name="Standaard_laroux" xfId="12235"/>
    <cellStyle name="STANDARD" xfId="12236"/>
    <cellStyle name="Std Currency" xfId="12237"/>
    <cellStyle name="Std Input" xfId="12238"/>
    <cellStyle name="Std Number" xfId="12239"/>
    <cellStyle name="Std Percent" xfId="12240"/>
    <cellStyle name="Std Text" xfId="12241"/>
    <cellStyle name="Strange" xfId="12242"/>
    <cellStyle name="Strange 2" xfId="20376"/>
    <cellStyle name="Strikethru" xfId="12243"/>
    <cellStyle name="STYL1 - Style1" xfId="12244"/>
    <cellStyle name="STYL1 - Style1 2" xfId="12245"/>
    <cellStyle name="STYL1 - Style1 2 2" xfId="25789"/>
    <cellStyle name="STYL1 - Style1 3" xfId="25788"/>
    <cellStyle name="Style 1" xfId="12246"/>
    <cellStyle name="Style 2" xfId="12247"/>
    <cellStyle name="Style 21" xfId="12248"/>
    <cellStyle name="Style 22" xfId="12249"/>
    <cellStyle name="Style 23" xfId="12250"/>
    <cellStyle name="Style 24" xfId="12251"/>
    <cellStyle name="Style 25" xfId="12252"/>
    <cellStyle name="Style 26" xfId="12253"/>
    <cellStyle name="Style 27" xfId="12254"/>
    <cellStyle name="Style 28" xfId="12255"/>
    <cellStyle name="Style 29" xfId="12256"/>
    <cellStyle name="Style 3" xfId="12257"/>
    <cellStyle name="Style 30" xfId="12258"/>
    <cellStyle name="Style 31" xfId="12259"/>
    <cellStyle name="Style 32" xfId="12260"/>
    <cellStyle name="Style 33" xfId="12261"/>
    <cellStyle name="Style 33 2" xfId="20377"/>
    <cellStyle name="Style 34" xfId="12262"/>
    <cellStyle name="Style 34 2" xfId="20378"/>
    <cellStyle name="Style 35" xfId="12263"/>
    <cellStyle name="Style 36" xfId="12264"/>
    <cellStyle name="Style 37" xfId="12265"/>
    <cellStyle name="Style 38" xfId="12266"/>
    <cellStyle name="Style 39" xfId="12267"/>
    <cellStyle name="Style 4" xfId="12268"/>
    <cellStyle name="Style 40" xfId="12269"/>
    <cellStyle name="Style 41" xfId="12270"/>
    <cellStyle name="Style 42" xfId="12271"/>
    <cellStyle name="Style 43" xfId="12272"/>
    <cellStyle name="Style 44" xfId="12273"/>
    <cellStyle name="Style 44 2" xfId="12274"/>
    <cellStyle name="Style 45" xfId="12275"/>
    <cellStyle name="Style 45 2" xfId="12276"/>
    <cellStyle name="Style 46" xfId="12277"/>
    <cellStyle name="Style 46 2" xfId="12278"/>
    <cellStyle name="Style 47" xfId="12279"/>
    <cellStyle name="Style 47 2" xfId="12280"/>
    <cellStyle name="Style 48" xfId="12281"/>
    <cellStyle name="Style 48 2" xfId="12282"/>
    <cellStyle name="Style 49" xfId="12283"/>
    <cellStyle name="Style 49 2" xfId="12284"/>
    <cellStyle name="Style 5" xfId="12285"/>
    <cellStyle name="Style 50" xfId="12286"/>
    <cellStyle name="Style 50 2" xfId="12287"/>
    <cellStyle name="Style 51" xfId="12288"/>
    <cellStyle name="Style 51 2" xfId="12289"/>
    <cellStyle name="Style 51 3" xfId="12290"/>
    <cellStyle name="Style 52" xfId="12291"/>
    <cellStyle name="Style 53" xfId="12292"/>
    <cellStyle name="Style 54" xfId="12293"/>
    <cellStyle name="Style 55" xfId="12294"/>
    <cellStyle name="Style 56" xfId="12295"/>
    <cellStyle name="Style 57" xfId="12296"/>
    <cellStyle name="Style 58" xfId="12297"/>
    <cellStyle name="Style 59" xfId="12298"/>
    <cellStyle name="Style 6" xfId="12299"/>
    <cellStyle name="Style 60" xfId="12300"/>
    <cellStyle name="Style 61" xfId="12301"/>
    <cellStyle name="Style 62" xfId="12302"/>
    <cellStyle name="Style 63" xfId="12303"/>
    <cellStyle name="Style 64" xfId="12304"/>
    <cellStyle name="Style 65" xfId="12305"/>
    <cellStyle name="Style 66" xfId="12306"/>
    <cellStyle name="Style 67" xfId="12307"/>
    <cellStyle name="Style 68" xfId="12308"/>
    <cellStyle name="Style 69" xfId="12309"/>
    <cellStyle name="Style 7" xfId="12310"/>
    <cellStyle name="Style 70" xfId="12311"/>
    <cellStyle name="Style 71" xfId="12312"/>
    <cellStyle name="Style 72" xfId="12313"/>
    <cellStyle name="Style 73" xfId="12314"/>
    <cellStyle name="Style 74" xfId="12315"/>
    <cellStyle name="Style 75" xfId="12316"/>
    <cellStyle name="Style 76" xfId="12317"/>
    <cellStyle name="Style 77" xfId="12318"/>
    <cellStyle name="Style 77 2" xfId="12319"/>
    <cellStyle name="Style 78" xfId="12320"/>
    <cellStyle name="Style 79" xfId="12321"/>
    <cellStyle name="Style 8" xfId="12322"/>
    <cellStyle name="Style 80" xfId="12323"/>
    <cellStyle name="Style 85" xfId="12324"/>
    <cellStyle name="Style 87" xfId="12325"/>
    <cellStyle name="Style 9" xfId="12326"/>
    <cellStyle name="Style 91" xfId="12327"/>
    <cellStyle name="Style 93" xfId="12328"/>
    <cellStyle name="STYLE1" xfId="12329"/>
    <cellStyle name="STYLE1 2" xfId="12330"/>
    <cellStyle name="STYLE10" xfId="12331"/>
    <cellStyle name="STYLE10 2" xfId="12332"/>
    <cellStyle name="STYLE11" xfId="12333"/>
    <cellStyle name="STYLE11 2" xfId="12334"/>
    <cellStyle name="STYLE12" xfId="12335"/>
    <cellStyle name="STYLE12 2" xfId="12336"/>
    <cellStyle name="STYLE13" xfId="12337"/>
    <cellStyle name="STYLE14" xfId="12338"/>
    <cellStyle name="STYLE15" xfId="12339"/>
    <cellStyle name="STYLE2" xfId="12340"/>
    <cellStyle name="STYLE2 2" xfId="12341"/>
    <cellStyle name="STYLE2 3" xfId="12342"/>
    <cellStyle name="STYLE3" xfId="12343"/>
    <cellStyle name="STYLE3 2" xfId="12344"/>
    <cellStyle name="STYLE3 3" xfId="12345"/>
    <cellStyle name="STYLE4" xfId="12346"/>
    <cellStyle name="STYLE4 2" xfId="12347"/>
    <cellStyle name="STYLE4 2 2" xfId="12348"/>
    <cellStyle name="STYLE4 2 2 2" xfId="12349"/>
    <cellStyle name="STYLE4 2 3" xfId="12350"/>
    <cellStyle name="STYLE4 3" xfId="12351"/>
    <cellStyle name="STYLE4 4" xfId="12352"/>
    <cellStyle name="STYLE4_3VR Common Stock Valuation Analysis Version 2" xfId="12353"/>
    <cellStyle name="STYLE5" xfId="12354"/>
    <cellStyle name="STYLE5 2" xfId="12355"/>
    <cellStyle name="STYLE5_BS Jan 05 with Plan 0222" xfId="12356"/>
    <cellStyle name="STYLE6" xfId="12357"/>
    <cellStyle name="STYLE6 2" xfId="12358"/>
    <cellStyle name="STYLE6_BS" xfId="12359"/>
    <cellStyle name="STYLE7" xfId="12360"/>
    <cellStyle name="STYLE7 2" xfId="12361"/>
    <cellStyle name="STYLE7 3" xfId="12362"/>
    <cellStyle name="STYLE7_BS Jan 05 with Plan 0222" xfId="12363"/>
    <cellStyle name="STYLE8" xfId="12364"/>
    <cellStyle name="STYLE8 2" xfId="12365"/>
    <cellStyle name="STYLE8 3" xfId="12366"/>
    <cellStyle name="STYLE8_BS Jan 05 with Plan 0222" xfId="12367"/>
    <cellStyle name="STYLE9" xfId="12368"/>
    <cellStyle name="STYLE9 2" xfId="12369"/>
    <cellStyle name="STYLE9 3" xfId="12370"/>
    <cellStyle name="STYLE9_Exec " xfId="12371"/>
    <cellStyle name="subhead" xfId="12372"/>
    <cellStyle name="Sub-Heading" xfId="12373"/>
    <cellStyle name="Subscribers" xfId="12374"/>
    <cellStyle name="SubScript" xfId="12375"/>
    <cellStyle name="SubScript 2" xfId="33592"/>
    <cellStyle name="subt1" xfId="12376"/>
    <cellStyle name="Subtitle" xfId="12377"/>
    <cellStyle name="Subtotal" xfId="12378"/>
    <cellStyle name="Summary" xfId="12379"/>
    <cellStyle name="SuperScript" xfId="12380"/>
    <cellStyle name="SuperScript 2" xfId="33593"/>
    <cellStyle name="Table" xfId="12381"/>
    <cellStyle name="Table Bottom" xfId="12382"/>
    <cellStyle name="Table Col Head" xfId="12383"/>
    <cellStyle name="Table Head" xfId="12384"/>
    <cellStyle name="Table Head Aligned" xfId="12385"/>
    <cellStyle name="Table Head Aligned 2" xfId="12386"/>
    <cellStyle name="Table Head Aligned 3" xfId="12387"/>
    <cellStyle name="Table Head Blue" xfId="12388"/>
    <cellStyle name="Table Head Green" xfId="12389"/>
    <cellStyle name="Table Head Green 2" xfId="12390"/>
    <cellStyle name="Table Head Green 3" xfId="12391"/>
    <cellStyle name="Table Head_Cash Flow" xfId="12392"/>
    <cellStyle name="Table Sub Head" xfId="12393"/>
    <cellStyle name="Table Sub Heading" xfId="12394"/>
    <cellStyle name="Table Text" xfId="12395"/>
    <cellStyle name="Table Title" xfId="12396"/>
    <cellStyle name="Table Top" xfId="12397"/>
    <cellStyle name="Table Unites" xfId="12398"/>
    <cellStyle name="Table Units" xfId="12399"/>
    <cellStyle name="Table_Eric CapIQ unlinked v1" xfId="12400"/>
    <cellStyle name="TableBase" xfId="12401"/>
    <cellStyle name="TableColumnHeading" xfId="12402"/>
    <cellStyle name="TableHead" xfId="12403"/>
    <cellStyle name="TableSubTitleItalic" xfId="12404"/>
    <cellStyle name="TableText" xfId="12405"/>
    <cellStyle name="TableTitle" xfId="12406"/>
    <cellStyle name="TABLETXT" xfId="12407"/>
    <cellStyle name="test" xfId="12408"/>
    <cellStyle name="Test [green]" xfId="12409"/>
    <cellStyle name="Text" xfId="12410"/>
    <cellStyle name="Text 1" xfId="12411"/>
    <cellStyle name="Text Head 1" xfId="12412"/>
    <cellStyle name="Text Indent A" xfId="12413"/>
    <cellStyle name="Text Indent B" xfId="12414"/>
    <cellStyle name="Text Indent C" xfId="12415"/>
    <cellStyle name="Text Wrap" xfId="12416"/>
    <cellStyle name="TextBold" xfId="12417"/>
    <cellStyle name="TextBold 2" xfId="33594"/>
    <cellStyle name="TextDys0" xfId="12418"/>
    <cellStyle name="TextItalic" xfId="33595"/>
    <cellStyle name="TextNormal" xfId="20303"/>
    <cellStyle name="Title 2" xfId="20304"/>
    <cellStyle name="TitleNormal" xfId="33597"/>
    <cellStyle name="Total 2" xfId="12419"/>
    <cellStyle name="Total 3" xfId="33598"/>
    <cellStyle name="Warning Text 2" xfId="12420"/>
  </cellStyles>
  <dxfs count="370">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color theme="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font>
    </dxf>
    <dxf>
      <font>
        <b/>
        <i val="0"/>
      </font>
    </dxf>
    <dxf>
      <font>
        <b/>
        <i val="0"/>
      </font>
    </dxf>
    <dxf>
      <font>
        <b/>
        <i val="0"/>
        <condense val="0"/>
        <extend val="0"/>
        <color indexed="13"/>
      </font>
      <fill>
        <patternFill>
          <bgColor indexed="12"/>
        </patternFill>
      </fill>
    </dxf>
    <dxf>
      <font>
        <b/>
        <i val="0"/>
      </font>
    </dxf>
    <dxf>
      <fill>
        <patternFill patternType="solid">
          <bgColor rgb="FFFFFF00"/>
        </patternFill>
      </fill>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ill>
        <patternFill patternType="solid">
          <bgColor rgb="FFFFFF00"/>
        </patternFill>
      </fill>
    </dxf>
    <dxf>
      <font>
        <b/>
        <i val="0"/>
      </font>
    </dxf>
    <dxf>
      <fill>
        <patternFill patternType="solid">
          <bgColor rgb="FFFFFF00"/>
        </patternFill>
      </fill>
    </dxf>
    <dxf>
      <font>
        <b/>
        <i val="0"/>
      </font>
    </dxf>
    <dxf>
      <font>
        <b/>
        <i val="0"/>
      </font>
    </dxf>
    <dxf>
      <fill>
        <patternFill patternType="solid">
          <bgColor rgb="FFFFFF00"/>
        </patternFill>
      </fill>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8000"/>
      <color rgb="FF0000FF"/>
      <color rgb="FFFFFFFF"/>
      <color rgb="FF009900"/>
      <color rgb="FF808080"/>
      <color rgb="FF000000"/>
      <color rgb="FFDCE6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externalLink" Target="externalLinks/externalLink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externalLink" Target="externalLinks/externalLink2.xml"/><Relationship Id="rId102" Type="http://schemas.openxmlformats.org/officeDocument/2006/relationships/externalLink" Target="externalLinks/externalLink1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5.xml"/><Relationship Id="rId95" Type="http://schemas.openxmlformats.org/officeDocument/2006/relationships/externalLink" Target="externalLinks/externalLink10.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externalLink" Target="externalLinks/externalLink15.xml"/><Relationship Id="rId105"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8.xml"/><Relationship Id="rId98" Type="http://schemas.openxmlformats.org/officeDocument/2006/relationships/externalLink" Target="externalLinks/externalLink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externalLink" Target="externalLinks/externalLink18.xml"/><Relationship Id="rId108"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externalLink" Target="externalLinks/externalLink3.xml"/><Relationship Id="rId91" Type="http://schemas.openxmlformats.org/officeDocument/2006/relationships/externalLink" Target="externalLinks/externalLink6.xml"/><Relationship Id="rId96"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1.xml"/><Relationship Id="rId94" Type="http://schemas.openxmlformats.org/officeDocument/2006/relationships/externalLink" Target="externalLinks/externalLink9.xml"/><Relationship Id="rId99" Type="http://schemas.openxmlformats.org/officeDocument/2006/relationships/externalLink" Target="externalLinks/externalLink14.xml"/><Relationship Id="rId101" Type="http://schemas.openxmlformats.org/officeDocument/2006/relationships/externalLink" Target="externalLinks/externalLink1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12.xml"/><Relationship Id="rId10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8047621498295E-2"/>
          <c:y val="6.6561520477618596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113A-40E6-AB30-97FBD8D5599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113A-40E6-AB30-97FBD8D5599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113A-40E6-AB30-97FBD8D5599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113A-40E6-AB30-97FBD8D5599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113A-40E6-AB30-97FBD8D5599C}"/>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113A-40E6-AB30-97FBD8D5599C}"/>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113A-40E6-AB30-97FBD8D5599C}"/>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113A-40E6-AB30-97FBD8D5599C}"/>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113A-40E6-AB30-97FBD8D5599C}"/>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113A-40E6-AB30-97FBD8D5599C}"/>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13-113A-40E6-AB30-97FBD8D5599C}"/>
                </c:ext>
                <c:ext xmlns:c15="http://schemas.microsoft.com/office/drawing/2012/chart" uri="{CE6537A1-D6FC-4f65-9D91-7224C49458BB}">
                  <c15:dlblFieldTable/>
                  <c15:showDataLabelsRange val="0"/>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xmlns:c16r2="http://schemas.microsoft.com/office/drawing/2015/06/chart">
              <c:ext xmlns:c15="http://schemas.microsoft.com/office/drawing/2012/chart" uri="{CE6537A1-D6FC-4f65-9D91-7224C49458BB}"/>
            </c:extLst>
          </c:dLbls>
          <c:cat>
            <c:strRef>
              <c:f>('Cap Table'!$D$6:$G$6,'Cap Table'!$B$12)</c:f>
              <c:strCache>
                <c:ptCount val="5"/>
                <c:pt idx="0">
                  <c:v>Series A</c:v>
                </c:pt>
                <c:pt idx="1">
                  <c:v>Series B Tranche I</c:v>
                </c:pt>
                <c:pt idx="2">
                  <c:v>Series B Tranche II</c:v>
                </c:pt>
                <c:pt idx="3">
                  <c:v>Common</c:v>
                </c:pt>
                <c:pt idx="4">
                  <c:v>Options Outstanding </c:v>
                </c:pt>
              </c:strCache>
            </c:strRef>
          </c:cat>
          <c:val>
            <c:numRef>
              <c:f>('Cap Table'!$D$16:$G$16,'Cap Table'!$I$12)</c:f>
              <c:numCache>
                <c:formatCode>_(* #,##0.0_);_(* \(#,##0.0\);_(* "-"_);_(@_)</c:formatCode>
                <c:ptCount val="5"/>
                <c:pt idx="0">
                  <c:v>56000</c:v>
                </c:pt>
                <c:pt idx="1">
                  <c:v>45142.960008861766</c:v>
                </c:pt>
                <c:pt idx="2">
                  <c:v>5703.2659999999996</c:v>
                </c:pt>
                <c:pt idx="3">
                  <c:v>24627.609</c:v>
                </c:pt>
                <c:pt idx="4">
                  <c:v>216.9</c:v>
                </c:pt>
              </c:numCache>
            </c:numRef>
          </c:val>
          <c:extLst xmlns:c16r2="http://schemas.microsoft.com/office/drawing/2015/06/chart">
            <c:ext xmlns:c16="http://schemas.microsoft.com/office/drawing/2014/chart" uri="{C3380CC4-5D6E-409C-BE32-E72D297353CC}">
              <c16:uniqueId val="{00000014-113A-40E6-AB30-97FBD8D5599C}"/>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a:t>
            </a:r>
            <a:r>
              <a:rPr lang="en-US" baseline="0"/>
              <a:t>Outside R&amp;D Spend in 2018 and 2019</a:t>
            </a:r>
            <a:endParaRPr lang="en-US"/>
          </a:p>
        </c:rich>
      </c:tx>
      <c:layout>
        <c:manualLayout>
          <c:xMode val="edge"/>
          <c:yMode val="edge"/>
          <c:x val="0.15943744531933507"/>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rgbClr val="0000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57E4-465B-9FCC-951AEA7C3B03}"/>
              </c:ext>
            </c:extLst>
          </c:dPt>
          <c:dPt>
            <c:idx val="1"/>
            <c:bubble3D val="0"/>
            <c:spPr>
              <a:solidFill>
                <a:srgbClr val="00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57E4-465B-9FCC-951AEA7C3B03}"/>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57E4-465B-9FCC-951AEA7C3B03}"/>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57E4-465B-9FCC-951AEA7C3B03}"/>
              </c:ext>
            </c:extLst>
          </c:dPt>
          <c:dPt>
            <c:idx val="4"/>
            <c:bubble3D val="0"/>
            <c:spPr>
              <a:solidFill>
                <a:srgbClr val="FFC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57E4-465B-9FCC-951AEA7C3B03}"/>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57E4-465B-9FCC-951AEA7C3B03}"/>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57E4-465B-9FCC-951AEA7C3B03}"/>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57E4-465B-9FCC-951AEA7C3B03}"/>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57E4-465B-9FCC-951AEA7C3B03}"/>
              </c:ext>
            </c:extLst>
          </c:dPt>
          <c:dPt>
            <c:idx val="9"/>
            <c:bubble3D val="0"/>
            <c:spPr>
              <a:solidFill>
                <a:srgbClr val="7030A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57E4-465B-9FCC-951AEA7C3B03}"/>
              </c:ext>
            </c:extLst>
          </c:dPt>
          <c:dLbls>
            <c:dLbl>
              <c:idx val="2"/>
              <c:delete val="1"/>
              <c:extLst xmlns:c16r2="http://schemas.microsoft.com/office/drawing/2015/06/chart">
                <c:ext xmlns:c16="http://schemas.microsoft.com/office/drawing/2014/chart" uri="{C3380CC4-5D6E-409C-BE32-E72D297353CC}">
                  <c16:uniqueId val="{00000005-57E4-465B-9FCC-951AEA7C3B03}"/>
                </c:ext>
                <c:ext xmlns:c15="http://schemas.microsoft.com/office/drawing/2012/chart" uri="{CE6537A1-D6FC-4f65-9D91-7224C49458BB}"/>
              </c:extLst>
            </c:dLbl>
            <c:dLbl>
              <c:idx val="3"/>
              <c:delete val="1"/>
              <c:extLst xmlns:c16r2="http://schemas.microsoft.com/office/drawing/2015/06/chart">
                <c:ext xmlns:c16="http://schemas.microsoft.com/office/drawing/2014/chart" uri="{C3380CC4-5D6E-409C-BE32-E72D297353CC}">
                  <c16:uniqueId val="{00000007-57E4-465B-9FCC-951AEA7C3B03}"/>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B-57E4-465B-9FCC-951AEA7C3B03}"/>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0D-57E4-465B-9FCC-951AEA7C3B03}"/>
                </c:ext>
                <c:ext xmlns:c15="http://schemas.microsoft.com/office/drawing/2012/chart" uri="{CE6537A1-D6FC-4f65-9D91-7224C49458BB}"/>
              </c:extLst>
            </c:dLbl>
            <c:dLbl>
              <c:idx val="7"/>
              <c:delete val="1"/>
              <c:extLst xmlns:c16r2="http://schemas.microsoft.com/office/drawing/2015/06/chart">
                <c:ext xmlns:c16="http://schemas.microsoft.com/office/drawing/2014/chart" uri="{C3380CC4-5D6E-409C-BE32-E72D297353CC}">
                  <c16:uniqueId val="{0000000F-57E4-465B-9FCC-951AEA7C3B03}"/>
                </c:ext>
                <c:ext xmlns:c15="http://schemas.microsoft.com/office/drawing/2012/chart" uri="{CE6537A1-D6FC-4f65-9D91-7224C49458BB}"/>
              </c:extLst>
            </c:dLbl>
            <c:dLbl>
              <c:idx val="8"/>
              <c:delete val="1"/>
              <c:extLst xmlns:c16r2="http://schemas.microsoft.com/office/drawing/2015/06/chart">
                <c:ext xmlns:c16="http://schemas.microsoft.com/office/drawing/2014/chart" uri="{C3380CC4-5D6E-409C-BE32-E72D297353CC}">
                  <c16:uniqueId val="{00000011-57E4-465B-9FCC-951AEA7C3B03}"/>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'Annual (000s)'!$J$41:$J$50</c:f>
              <c:strCache>
                <c:ptCount val="10"/>
                <c:pt idx="0">
                  <c:v>avb6/avb1 + backup</c:v>
                </c:pt>
                <c:pt idx="1">
                  <c:v>TGFb Pathway Target</c:v>
                </c:pt>
                <c:pt idx="4">
                  <c:v>Integrin Target</c:v>
                </c:pt>
                <c:pt idx="8">
                  <c:v>avb1</c:v>
                </c:pt>
                <c:pt idx="9">
                  <c:v>Discovery Programs</c:v>
                </c:pt>
              </c:strCache>
            </c:strRef>
          </c:cat>
          <c:val>
            <c:numRef>
              <c:f>'Annual (000s)'!$K$41:$K$50</c:f>
              <c:numCache>
                <c:formatCode>#,##0</c:formatCode>
                <c:ptCount val="10"/>
                <c:pt idx="0">
                  <c:v>15467.302334027778</c:v>
                </c:pt>
                <c:pt idx="1">
                  <c:v>3882.8050625000005</c:v>
                </c:pt>
                <c:pt idx="4">
                  <c:v>6724.6716666666671</c:v>
                </c:pt>
                <c:pt idx="8">
                  <c:v>96</c:v>
                </c:pt>
                <c:pt idx="9">
                  <c:v>4759.5264267676775</c:v>
                </c:pt>
              </c:numCache>
            </c:numRef>
          </c:val>
          <c:extLst xmlns:c16r2="http://schemas.microsoft.com/office/drawing/2015/06/chart">
            <c:ext xmlns:c16="http://schemas.microsoft.com/office/drawing/2014/chart" uri="{C3380CC4-5D6E-409C-BE32-E72D297353CC}">
              <c16:uniqueId val="{00000014-57E4-465B-9FCC-951AEA7C3B03}"/>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Outside</a:t>
            </a:r>
            <a:r>
              <a:rPr lang="en-US" baseline="0"/>
              <a:t> R&amp;D Spend 2018-2021</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3333333333333333E-2"/>
          <c:y val="0.18300925925925926"/>
          <c:w val="0.93888888888888888"/>
          <c:h val="0.510854841061534"/>
        </c:manualLayout>
      </c:layout>
      <c:pie3D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61C6-4602-A226-723DAA9D5B3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61C6-4602-A226-723DAA9D5B3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61C6-4602-A226-723DAA9D5B3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61C6-4602-A226-723DAA9D5B3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61C6-4602-A226-723DAA9D5B3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61C6-4602-A226-723DAA9D5B3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61C6-4602-A226-723DAA9D5B3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61C6-4602-A226-723DAA9D5B35}"/>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61C6-4602-A226-723DAA9D5B35}"/>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61C6-4602-A226-723DAA9D5B35}"/>
              </c:ext>
            </c:extLst>
          </c:dPt>
          <c:dLbls>
            <c:dLbl>
              <c:idx val="2"/>
              <c:delete val="1"/>
              <c:extLst xmlns:c16r2="http://schemas.microsoft.com/office/drawing/2015/06/chart">
                <c:ext xmlns:c16="http://schemas.microsoft.com/office/drawing/2014/chart" uri="{C3380CC4-5D6E-409C-BE32-E72D297353CC}">
                  <c16:uniqueId val="{00000005-61C6-4602-A226-723DAA9D5B35}"/>
                </c:ext>
                <c:ext xmlns:c15="http://schemas.microsoft.com/office/drawing/2012/chart" uri="{CE6537A1-D6FC-4f65-9D91-7224C49458BB}"/>
              </c:extLst>
            </c:dLbl>
            <c:dLbl>
              <c:idx val="3"/>
              <c:delete val="1"/>
              <c:extLst xmlns:c16r2="http://schemas.microsoft.com/office/drawing/2015/06/chart">
                <c:ext xmlns:c16="http://schemas.microsoft.com/office/drawing/2014/chart" uri="{C3380CC4-5D6E-409C-BE32-E72D297353CC}">
                  <c16:uniqueId val="{00000007-61C6-4602-A226-723DAA9D5B35}"/>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B-61C6-4602-A226-723DAA9D5B35}"/>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0D-61C6-4602-A226-723DAA9D5B35}"/>
                </c:ext>
                <c:ext xmlns:c15="http://schemas.microsoft.com/office/drawing/2012/chart" uri="{CE6537A1-D6FC-4f65-9D91-7224C49458BB}"/>
              </c:extLst>
            </c:dLbl>
            <c:dLbl>
              <c:idx val="7"/>
              <c:delete val="1"/>
              <c:extLst xmlns:c16r2="http://schemas.microsoft.com/office/drawing/2015/06/chart">
                <c:ext xmlns:c16="http://schemas.microsoft.com/office/drawing/2014/chart" uri="{C3380CC4-5D6E-409C-BE32-E72D297353CC}">
                  <c16:uniqueId val="{0000000F-61C6-4602-A226-723DAA9D5B35}"/>
                </c:ext>
                <c:ext xmlns:c15="http://schemas.microsoft.com/office/drawing/2012/chart" uri="{CE6537A1-D6FC-4f65-9D91-7224C49458BB}"/>
              </c:extLst>
            </c:dLbl>
            <c:dLbl>
              <c:idx val="8"/>
              <c:delete val="1"/>
              <c:extLst xmlns:c16r2="http://schemas.microsoft.com/office/drawing/2015/06/chart">
                <c:ext xmlns:c16="http://schemas.microsoft.com/office/drawing/2014/chart" uri="{C3380CC4-5D6E-409C-BE32-E72D297353CC}">
                  <c16:uniqueId val="{00000011-61C6-4602-A226-723DAA9D5B35}"/>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'Annual (000s)'!$L$41:$L$50</c:f>
              <c:strCache>
                <c:ptCount val="10"/>
                <c:pt idx="0">
                  <c:v>avb6/avb1 + backup</c:v>
                </c:pt>
                <c:pt idx="1">
                  <c:v>TGFb Pathway Targets</c:v>
                </c:pt>
                <c:pt idx="4">
                  <c:v>Integrin Targets</c:v>
                </c:pt>
                <c:pt idx="8">
                  <c:v>avb1</c:v>
                </c:pt>
                <c:pt idx="9">
                  <c:v>Discovery Programs</c:v>
                </c:pt>
              </c:strCache>
            </c:strRef>
          </c:cat>
          <c:val>
            <c:numRef>
              <c:f>'Annual (000s)'!$M$41:$M$50</c:f>
              <c:numCache>
                <c:formatCode>#,##0</c:formatCode>
                <c:ptCount val="10"/>
                <c:pt idx="0">
                  <c:v>34397.30233402778</c:v>
                </c:pt>
                <c:pt idx="1">
                  <c:v>12425.613062500001</c:v>
                </c:pt>
                <c:pt idx="4">
                  <c:v>20269.838333333333</c:v>
                </c:pt>
                <c:pt idx="8">
                  <c:v>192</c:v>
                </c:pt>
                <c:pt idx="9">
                  <c:v>5364.5264267676775</c:v>
                </c:pt>
              </c:numCache>
            </c:numRef>
          </c:val>
          <c:extLst xmlns:c16r2="http://schemas.microsoft.com/office/drawing/2015/06/chart">
            <c:ext xmlns:c16="http://schemas.microsoft.com/office/drawing/2014/chart" uri="{C3380CC4-5D6E-409C-BE32-E72D297353CC}">
              <c16:uniqueId val="{00000014-61C6-4602-A226-723DAA9D5B35}"/>
            </c:ext>
          </c:extLst>
        </c:ser>
        <c:dLbls>
          <c:dLblPos val="inEnd"/>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2.jp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1819275</xdr:colOff>
      <xdr:row>1</xdr:row>
      <xdr:rowOff>47624</xdr:rowOff>
    </xdr:from>
    <xdr:to>
      <xdr:col>3</xdr:col>
      <xdr:colOff>4438650</xdr:colOff>
      <xdr:row>5</xdr:row>
      <xdr:rowOff>114353</xdr:rowOff>
    </xdr:to>
    <xdr:pic>
      <xdr:nvPicPr>
        <xdr:cNvPr id="2" name="Picture 1">
          <a:extLst>
            <a:ext uri="{FF2B5EF4-FFF2-40B4-BE49-F238E27FC236}">
              <a16:creationId xmlns="" xmlns:a16="http://schemas.microsoft.com/office/drawing/2014/main" id="{EF7B7017-8158-4E4A-9D77-8CE6A8C422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0400" y="238124"/>
          <a:ext cx="2619375" cy="8287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17189</xdr:colOff>
      <xdr:row>38</xdr:row>
      <xdr:rowOff>17778</xdr:rowOff>
    </xdr:from>
    <xdr:to>
      <xdr:col>12</xdr:col>
      <xdr:colOff>1268658</xdr:colOff>
      <xdr:row>40</xdr:row>
      <xdr:rowOff>25969</xdr:rowOff>
    </xdr:to>
    <xdr:pic>
      <xdr:nvPicPr>
        <xdr:cNvPr id="2" name="Picture 1">
          <a:extLst>
            <a:ext uri="{FF2B5EF4-FFF2-40B4-BE49-F238E27FC236}">
              <a16:creationId xmlns:a16="http://schemas.microsoft.com/office/drawing/2014/main" xmlns="" id="{541F0A10-EFD1-42CB-942D-3CB3B6466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61414" y="4846953"/>
          <a:ext cx="3470794" cy="3606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17189</xdr:colOff>
      <xdr:row>38</xdr:row>
      <xdr:rowOff>17778</xdr:rowOff>
    </xdr:from>
    <xdr:to>
      <xdr:col>12</xdr:col>
      <xdr:colOff>1268658</xdr:colOff>
      <xdr:row>40</xdr:row>
      <xdr:rowOff>25969</xdr:rowOff>
    </xdr:to>
    <xdr:pic>
      <xdr:nvPicPr>
        <xdr:cNvPr id="5" name="Picture 4">
          <a:extLst>
            <a:ext uri="{FF2B5EF4-FFF2-40B4-BE49-F238E27FC236}">
              <a16:creationId xmlns="" xmlns:a16="http://schemas.microsoft.com/office/drawing/2014/main" id="{541F0A10-EFD1-42CB-942D-3CB3B6466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88601" y="4746660"/>
          <a:ext cx="3481440" cy="3555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1819275</xdr:colOff>
      <xdr:row>1</xdr:row>
      <xdr:rowOff>47624</xdr:rowOff>
    </xdr:from>
    <xdr:to>
      <xdr:col>3</xdr:col>
      <xdr:colOff>4438650</xdr:colOff>
      <xdr:row>5</xdr:row>
      <xdr:rowOff>114353</xdr:rowOff>
    </xdr:to>
    <xdr:pic>
      <xdr:nvPicPr>
        <xdr:cNvPr id="3" name="Picture 2">
          <a:extLst>
            <a:ext uri="{FF2B5EF4-FFF2-40B4-BE49-F238E27FC236}">
              <a16:creationId xmlns="" xmlns:a16="http://schemas.microsoft.com/office/drawing/2014/main" id="{EF7B7017-8158-4E4A-9D77-8CE6A8C422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0400" y="238124"/>
          <a:ext cx="2619375" cy="82872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369796</xdr:colOff>
      <xdr:row>3</xdr:row>
      <xdr:rowOff>0</xdr:rowOff>
    </xdr:from>
    <xdr:to>
      <xdr:col>17</xdr:col>
      <xdr:colOff>33617</xdr:colOff>
      <xdr:row>10</xdr:row>
      <xdr:rowOff>7699</xdr:rowOff>
    </xdr:to>
    <xdr:pic>
      <xdr:nvPicPr>
        <xdr:cNvPr id="2" name="Picture 1">
          <a:extLst>
            <a:ext uri="{FF2B5EF4-FFF2-40B4-BE49-F238E27FC236}">
              <a16:creationId xmlns="" xmlns:a16="http://schemas.microsoft.com/office/drawing/2014/main" id="{10DD5FFA-234F-4215-817F-9993A12D137E}"/>
            </a:ext>
          </a:extLst>
        </xdr:cNvPr>
        <xdr:cNvPicPr>
          <a:picLocks noChangeAspect="1"/>
        </xdr:cNvPicPr>
      </xdr:nvPicPr>
      <xdr:blipFill>
        <a:blip xmlns:r="http://schemas.openxmlformats.org/officeDocument/2006/relationships" r:embed="rId1"/>
        <a:stretch>
          <a:fillRect/>
        </a:stretch>
      </xdr:blipFill>
      <xdr:spPr>
        <a:xfrm>
          <a:off x="9065561" y="549088"/>
          <a:ext cx="4504762" cy="1161905"/>
        </a:xfrm>
        <a:prstGeom prst="rect">
          <a:avLst/>
        </a:prstGeom>
        <a:ln>
          <a:solidFill>
            <a:sysClr val="windowText" lastClr="0000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41</xdr:row>
      <xdr:rowOff>0</xdr:rowOff>
    </xdr:from>
    <xdr:to>
      <xdr:col>5</xdr:col>
      <xdr:colOff>510540</xdr:colOff>
      <xdr:row>56</xdr:row>
      <xdr:rowOff>81915</xdr:rowOff>
    </xdr:to>
    <xdr:graphicFrame macro="">
      <xdr:nvGraphicFramePr>
        <xdr:cNvPr id="3" name="Chart 2">
          <a:extLst>
            <a:ext uri="{FF2B5EF4-FFF2-40B4-BE49-F238E27FC236}">
              <a16:creationId xmlns="" xmlns:a16="http://schemas.microsoft.com/office/drawing/2014/main" id="{D0AD92CA-E0A1-4439-86F9-60293D0AB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47625</xdr:colOff>
      <xdr:row>51</xdr:row>
      <xdr:rowOff>228600</xdr:rowOff>
    </xdr:from>
    <xdr:to>
      <xdr:col>23</xdr:col>
      <xdr:colOff>314325</xdr:colOff>
      <xdr:row>59</xdr:row>
      <xdr:rowOff>19050</xdr:rowOff>
    </xdr:to>
    <xdr:pic>
      <xdr:nvPicPr>
        <xdr:cNvPr id="5" name="Picture 4">
          <a:extLst>
            <a:ext uri="{FF2B5EF4-FFF2-40B4-BE49-F238E27FC236}">
              <a16:creationId xmlns="" xmlns:a16="http://schemas.microsoft.com/office/drawing/2014/main" id="{00000000-0008-0000-2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1168400</xdr:colOff>
      <xdr:row>1</xdr:row>
      <xdr:rowOff>19050</xdr:rowOff>
    </xdr:from>
    <xdr:to>
      <xdr:col>3</xdr:col>
      <xdr:colOff>4270375</xdr:colOff>
      <xdr:row>6</xdr:row>
      <xdr:rowOff>47966</xdr:rowOff>
    </xdr:to>
    <xdr:pic>
      <xdr:nvPicPr>
        <xdr:cNvPr id="3" name="Picture 2">
          <a:extLst>
            <a:ext uri="{FF2B5EF4-FFF2-40B4-BE49-F238E27FC236}">
              <a16:creationId xmlns="" xmlns:a16="http://schemas.microsoft.com/office/drawing/2014/main" id="{1C0A7D08-1C3B-49A6-9B14-2BC75555FA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9525" y="209550"/>
          <a:ext cx="3101975" cy="98141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487795</xdr:colOff>
      <xdr:row>51</xdr:row>
      <xdr:rowOff>57150</xdr:rowOff>
    </xdr:from>
    <xdr:to>
      <xdr:col>15</xdr:col>
      <xdr:colOff>303067</xdr:colOff>
      <xdr:row>68</xdr:row>
      <xdr:rowOff>17896</xdr:rowOff>
    </xdr:to>
    <xdr:graphicFrame macro="">
      <xdr:nvGraphicFramePr>
        <xdr:cNvPr id="2" name="Chart 1">
          <a:extLst>
            <a:ext uri="{FF2B5EF4-FFF2-40B4-BE49-F238E27FC236}">
              <a16:creationId xmlns="" xmlns:a16="http://schemas.microsoft.com/office/drawing/2014/main" id="{0B1A8787-8C93-4742-8FC7-D6F02F4A60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441614</xdr:colOff>
      <xdr:row>50</xdr:row>
      <xdr:rowOff>120649</xdr:rowOff>
    </xdr:from>
    <xdr:to>
      <xdr:col>23</xdr:col>
      <xdr:colOff>101023</xdr:colOff>
      <xdr:row>67</xdr:row>
      <xdr:rowOff>75622</xdr:rowOff>
    </xdr:to>
    <xdr:graphicFrame macro="">
      <xdr:nvGraphicFramePr>
        <xdr:cNvPr id="3" name="Chart 2">
          <a:extLst>
            <a:ext uri="{FF2B5EF4-FFF2-40B4-BE49-F238E27FC236}">
              <a16:creationId xmlns="" xmlns:a16="http://schemas.microsoft.com/office/drawing/2014/main" id="{996EAE2C-F10E-45AF-A332-2D7EB99F0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pasak/AppData/Local/Microsoft/Windows/Temporary%20Internet%20Files/Content.Outlook/O6MXOXOL/Kw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upasak/AppData/Local/Microsoft/Windows/Temporary%20Internet%20Files/Content.Outlook/O6MXOXOL/model.xl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2004%2005%20SCS%20UK%20management%20account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Valuation/RNA%20Advisors/Kiromic/409A%20VD%2005.31.2017/6%20-%20Analysis/Kiromic,%20Inc.%20IRC%20409a%20VD%2005.31.17%20Draft%20Exhibits%202017.08.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4\psdb\Valuation\RNA%20Advisors\Kiromic\409A%20VD%2005.31.2017\6%20-%20Analysis\Kiromic,%20Inc.%20IRC%20409a%20VD%2005.31.17%20Draft%20Exhibits%202017.08.0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W/My%20Documents/Schedules%20-%20c%20drive/Citybird/Long%20beach%20information"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Worksheet%20in%20(C)%207150%20FAS%20123%20Calcul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 val="Inc"/>
      <sheetName val="Multiples"/>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 val="KeyMultInpu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ase Inv"/>
      <sheetName val="Lease Pmt"/>
      <sheetName val="Maint Res Inv"/>
      <sheetName val="CIP-Inv"/>
      <sheetName val="CIP-Pmt"/>
      <sheetName val="ARCHIVE-Subsid"/>
    </sheetNames>
    <sheetDataSet>
      <sheetData sheetId="0"/>
      <sheetData sheetId="1" refreshError="1"/>
      <sheetData sheetId="2" refreshError="1"/>
      <sheetData sheetId="3"/>
      <sheetData sheetId="4" refreshError="1"/>
      <sheetData sheetId="5" refreshError="1"/>
      <sheetData sheetId="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S 123"/>
      <sheetName val="Timeline"/>
      <sheetName val="BS - Fixed"/>
      <sheetName val="BS - Variable"/>
      <sheetName val="FAS 123 Model"/>
      <sheetName val="Comp Exp - Amort."/>
      <sheetName val="XREF"/>
      <sheetName val="Model"/>
      <sheetName val="Compensation Expense"/>
      <sheetName val="Worksheet in (C) 7150 FAS 123 C"/>
      <sheetName val="6-Accrued"/>
      <sheetName val="Balance Sheet"/>
      <sheetName val="Income Statement"/>
      <sheetName val="Benefit 1"/>
      <sheetName val="P&amp;L Scenerio 1"/>
      <sheetName val="Lead"/>
      <sheetName val="Summary-Final"/>
      <sheetName val="7120(A) Rollforward"/>
      <sheetName val="Factors"/>
      <sheetName val="Intl def"/>
      <sheetName val="Vendor List"/>
      <sheetName val="_balenz_data"/>
      <sheetName val="Headcount"/>
      <sheetName val="newbridge"/>
      <sheetName val="Option Modification"/>
      <sheetName val="Controls"/>
      <sheetName val="Items purchased from Xcellent"/>
      <sheetName val="SoPo 02"/>
      <sheetName val="SoPo 03"/>
      <sheetName val="500 EXCHANGE RATES"/>
      <sheetName val="Financial indicators"/>
      <sheetName val="Risks"/>
      <sheetName val="Negotiating power"/>
      <sheetName val="ICP"/>
      <sheetName val="Carriers and non-c"/>
      <sheetName val="IncomeStatement"/>
      <sheetName val="FA"/>
      <sheetName val="Sales by service"/>
      <sheetName val="LUC-CAL"/>
      <sheetName val="TN Air"/>
      <sheetName val="Ref"/>
      <sheetName val="Revenue Curves"/>
      <sheetName val="PF"/>
      <sheetName val="현금및현금등가물"/>
      <sheetName val="sell thru data"/>
      <sheetName val="SB Studio Model"/>
      <sheetName val="Sheet1"/>
      <sheetName val="BSR "/>
      <sheetName val="Options"/>
      <sheetName val="FS 2"/>
      <sheetName val="Accel Amort 36mo "/>
      <sheetName val="Assumptions"/>
      <sheetName val="Summary"/>
      <sheetName val="KSB1"/>
    </sheetNames>
    <sheetDataSet>
      <sheetData sheetId="0"/>
      <sheetData sheetId="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vmlDrawing" Target="../drawings/vmlDrawing15.v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vmlDrawing" Target="../drawings/vmlDrawing22.vml"/><Relationship Id="rId1" Type="http://schemas.openxmlformats.org/officeDocument/2006/relationships/printerSettings" Target="../printerSettings/printerSettings31.bin"/><Relationship Id="rId4" Type="http://schemas.openxmlformats.org/officeDocument/2006/relationships/comments" Target="../comments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7.x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vmlDrawing" Target="../drawings/vmlDrawing29.vml"/><Relationship Id="rId1" Type="http://schemas.openxmlformats.org/officeDocument/2006/relationships/printerSettings" Target="../printerSettings/printerSettings38.bin"/><Relationship Id="rId4" Type="http://schemas.openxmlformats.org/officeDocument/2006/relationships/comments" Target="../comments8.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vmlDrawing" Target="../drawings/vmlDrawing31.vml"/><Relationship Id="rId1" Type="http://schemas.openxmlformats.org/officeDocument/2006/relationships/printerSettings" Target="../printerSettings/printerSettings39.bin"/><Relationship Id="rId4" Type="http://schemas.openxmlformats.org/officeDocument/2006/relationships/comments" Target="../comments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vmlDrawing" Target="../drawings/vmlDrawing33.vml"/><Relationship Id="rId1" Type="http://schemas.openxmlformats.org/officeDocument/2006/relationships/printerSettings" Target="../printerSettings/printerSettings41.bin"/><Relationship Id="rId4" Type="http://schemas.openxmlformats.org/officeDocument/2006/relationships/comments" Target="../comments10.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2.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44.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vmlDrawing" Target="../drawings/vmlDrawing36.vml"/><Relationship Id="rId1" Type="http://schemas.openxmlformats.org/officeDocument/2006/relationships/printerSettings" Target="../printerSettings/printerSettings45.bin"/><Relationship Id="rId4" Type="http://schemas.openxmlformats.org/officeDocument/2006/relationships/comments" Target="../comments11.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vmlDrawing" Target="../drawings/vmlDrawing38.vml"/><Relationship Id="rId1" Type="http://schemas.openxmlformats.org/officeDocument/2006/relationships/printerSettings" Target="../printerSettings/printerSettings46.bin"/><Relationship Id="rId4" Type="http://schemas.openxmlformats.org/officeDocument/2006/relationships/comments" Target="../comments12.xml"/></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7.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8.bin"/></Relationships>
</file>

<file path=xl/worksheets/_rels/sheet53.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9.bin"/></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50.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vmlDrawing" Target="../drawings/vmlDrawing44.vml"/><Relationship Id="rId1" Type="http://schemas.openxmlformats.org/officeDocument/2006/relationships/printerSettings" Target="../printerSettings/printerSettings52.bin"/><Relationship Id="rId4" Type="http://schemas.openxmlformats.org/officeDocument/2006/relationships/comments" Target="../comments13.xml"/></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3.bin"/></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vmlDrawing" Target="../drawings/vmlDrawing47.vml"/><Relationship Id="rId1" Type="http://schemas.openxmlformats.org/officeDocument/2006/relationships/printerSettings" Target="../printerSettings/printerSettings54.bin"/><Relationship Id="rId4" Type="http://schemas.openxmlformats.org/officeDocument/2006/relationships/comments" Target="../comments14.xml"/></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5.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50.v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51.vml"/><Relationship Id="rId1" Type="http://schemas.openxmlformats.org/officeDocument/2006/relationships/printerSettings" Target="../printerSettings/printerSettings63.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52.vml"/><Relationship Id="rId1" Type="http://schemas.openxmlformats.org/officeDocument/2006/relationships/printerSettings" Target="../printerSettings/printerSettings6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vmlDrawing" Target="../drawings/vmlDrawing53.vml"/><Relationship Id="rId1" Type="http://schemas.openxmlformats.org/officeDocument/2006/relationships/printerSettings" Target="../printerSettings/printerSettings67.bin"/><Relationship Id="rId4" Type="http://schemas.openxmlformats.org/officeDocument/2006/relationships/comments" Target="../comments18.xml"/></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68.bin"/></Relationships>
</file>

<file path=xl/worksheets/_rels/sheet81.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9.bin"/></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vmlDrawing" Target="../drawings/vmlDrawing57.vml"/><Relationship Id="rId1" Type="http://schemas.openxmlformats.org/officeDocument/2006/relationships/printerSettings" Target="../printerSettings/printerSettings70.bin"/><Relationship Id="rId4" Type="http://schemas.openxmlformats.org/officeDocument/2006/relationships/comments" Target="../comments19.xml"/></Relationships>
</file>

<file path=xl/worksheets/_rels/sheet83.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71.bin"/></Relationships>
</file>

<file path=xl/worksheets/_rels/sheet84.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72.bin"/></Relationships>
</file>

<file path=xl/worksheets/_rels/sheet85.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C13"/>
  <sheetViews>
    <sheetView workbookViewId="0"/>
  </sheetViews>
  <sheetFormatPr defaultRowHeight="12.75"/>
  <cols>
    <col min="1" max="1" width="6.6640625" style="385" customWidth="1"/>
    <col min="2" max="2" width="46" style="385" bestFit="1" customWidth="1"/>
    <col min="3" max="3" width="52.6640625" style="385" customWidth="1"/>
    <col min="4" max="16384" width="9.33203125" style="385"/>
  </cols>
  <sheetData>
    <row r="2" spans="1:3">
      <c r="A2" s="300" t="s">
        <v>385</v>
      </c>
    </row>
    <row r="3" spans="1:3">
      <c r="A3" s="385" t="s">
        <v>290</v>
      </c>
      <c r="B3" s="385" t="s">
        <v>644</v>
      </c>
      <c r="C3" s="385" t="s">
        <v>386</v>
      </c>
    </row>
    <row r="4" spans="1:3" ht="38.25">
      <c r="A4" s="391">
        <v>1</v>
      </c>
      <c r="B4" s="385" t="s">
        <v>387</v>
      </c>
      <c r="C4" s="6" t="s">
        <v>388</v>
      </c>
    </row>
    <row r="5" spans="1:3" ht="25.5">
      <c r="A5" s="391">
        <f>+A4+1</f>
        <v>2</v>
      </c>
      <c r="B5" s="385" t="s">
        <v>389</v>
      </c>
      <c r="C5" s="6" t="s">
        <v>481</v>
      </c>
    </row>
    <row r="6" spans="1:3" ht="25.5">
      <c r="A6" s="391">
        <f>+A5+1</f>
        <v>3</v>
      </c>
      <c r="B6" s="385" t="s">
        <v>390</v>
      </c>
      <c r="C6" s="6" t="s">
        <v>482</v>
      </c>
    </row>
    <row r="7" spans="1:3" ht="25.5">
      <c r="A7" s="391">
        <f>+A6+1</f>
        <v>4</v>
      </c>
      <c r="B7" s="385" t="s">
        <v>391</v>
      </c>
      <c r="C7" s="6" t="s">
        <v>483</v>
      </c>
    </row>
    <row r="8" spans="1:3">
      <c r="A8" s="391">
        <f>+A7+1</f>
        <v>5</v>
      </c>
      <c r="B8" s="385" t="s">
        <v>393</v>
      </c>
      <c r="C8" s="293" t="s">
        <v>392</v>
      </c>
    </row>
    <row r="11" spans="1:3">
      <c r="A11" s="300" t="s">
        <v>394</v>
      </c>
    </row>
    <row r="12" spans="1:3">
      <c r="A12" s="385">
        <v>1</v>
      </c>
      <c r="B12" s="385" t="s">
        <v>395</v>
      </c>
    </row>
    <row r="13" spans="1:3">
      <c r="A13" s="385">
        <v>2</v>
      </c>
      <c r="B13" s="385" t="s">
        <v>511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A1:D58"/>
  <sheetViews>
    <sheetView workbookViewId="0">
      <selection activeCell="C6" sqref="C6"/>
    </sheetView>
  </sheetViews>
  <sheetFormatPr defaultRowHeight="12.75" outlineLevelRow="1"/>
  <cols>
    <col min="1" max="1" width="7" style="385" customWidth="1"/>
    <col min="2" max="2" width="27.1640625" style="385" customWidth="1"/>
    <col min="3" max="3" width="56.33203125" style="385" customWidth="1"/>
    <col min="4" max="4" width="20.83203125" style="169" customWidth="1"/>
    <col min="5" max="5" width="10.83203125" style="385" customWidth="1"/>
    <col min="6" max="6" width="9.33203125" style="385"/>
    <col min="7" max="7" width="12.83203125" style="385" customWidth="1"/>
    <col min="8" max="8" width="17.83203125" style="385" bestFit="1" customWidth="1"/>
    <col min="9" max="10" width="12.83203125" style="385" customWidth="1"/>
    <col min="11" max="16384" width="9.33203125" style="385"/>
  </cols>
  <sheetData>
    <row r="1" spans="1:4">
      <c r="A1" s="17" t="s">
        <v>281</v>
      </c>
    </row>
    <row r="3" spans="1:4">
      <c r="B3" s="385" t="s">
        <v>280</v>
      </c>
      <c r="C3" s="711">
        <v>42718</v>
      </c>
      <c r="D3" s="169" t="s">
        <v>406</v>
      </c>
    </row>
    <row r="5" spans="1:4">
      <c r="B5" s="385" t="s">
        <v>285</v>
      </c>
      <c r="C5" s="303" t="s">
        <v>1502</v>
      </c>
    </row>
    <row r="6" spans="1:4">
      <c r="B6" s="385" t="s">
        <v>286</v>
      </c>
      <c r="C6" s="712">
        <v>43312</v>
      </c>
    </row>
    <row r="7" spans="1:4">
      <c r="B7" s="385" t="s">
        <v>378</v>
      </c>
      <c r="C7" s="712">
        <v>43100</v>
      </c>
    </row>
    <row r="8" spans="1:4">
      <c r="B8" s="385" t="s">
        <v>297</v>
      </c>
      <c r="C8" s="303" t="s">
        <v>2831</v>
      </c>
    </row>
    <row r="9" spans="1:4">
      <c r="B9" s="385" t="s">
        <v>289</v>
      </c>
      <c r="C9" s="304">
        <v>0.26500000000000001</v>
      </c>
    </row>
    <row r="10" spans="1:4">
      <c r="B10" s="385" t="s">
        <v>312</v>
      </c>
      <c r="C10" s="303" t="s">
        <v>1833</v>
      </c>
    </row>
    <row r="13" spans="1:4">
      <c r="B13" s="385" t="s">
        <v>284</v>
      </c>
      <c r="C13" s="303"/>
    </row>
    <row r="14" spans="1:4">
      <c r="B14" s="385" t="s">
        <v>287</v>
      </c>
      <c r="C14" s="303"/>
    </row>
    <row r="15" spans="1:4">
      <c r="B15" s="385" t="s">
        <v>288</v>
      </c>
      <c r="C15" s="303"/>
    </row>
    <row r="16" spans="1:4">
      <c r="B16" s="385" t="s">
        <v>282</v>
      </c>
      <c r="C16" s="303"/>
    </row>
    <row r="17" spans="1:4">
      <c r="B17" s="385" t="s">
        <v>283</v>
      </c>
      <c r="C17" s="303"/>
    </row>
    <row r="19" spans="1:4">
      <c r="B19" s="385" t="s">
        <v>484</v>
      </c>
      <c r="C19" s="303" t="s">
        <v>73</v>
      </c>
    </row>
    <row r="20" spans="1:4">
      <c r="B20" s="385" t="s">
        <v>485</v>
      </c>
      <c r="C20" s="303" t="s">
        <v>487</v>
      </c>
    </row>
    <row r="21" spans="1:4">
      <c r="B21" s="385" t="s">
        <v>486</v>
      </c>
      <c r="C21" s="303" t="s">
        <v>0</v>
      </c>
    </row>
    <row r="22" spans="1:4">
      <c r="B22" s="385" t="s">
        <v>489</v>
      </c>
      <c r="C22" s="303" t="s">
        <v>488</v>
      </c>
    </row>
    <row r="23" spans="1:4">
      <c r="B23" s="385" t="s">
        <v>490</v>
      </c>
      <c r="C23" s="303" t="s">
        <v>1059</v>
      </c>
    </row>
    <row r="24" spans="1:4">
      <c r="B24" s="385" t="s">
        <v>1058</v>
      </c>
      <c r="C24" s="303" t="s">
        <v>23</v>
      </c>
    </row>
    <row r="25" spans="1:4">
      <c r="B25" s="385" t="s">
        <v>1124</v>
      </c>
      <c r="C25" s="303" t="s">
        <v>1125</v>
      </c>
    </row>
    <row r="26" spans="1:4">
      <c r="D26" s="390" t="s">
        <v>379</v>
      </c>
    </row>
    <row r="27" spans="1:4">
      <c r="A27" s="305" t="s">
        <v>290</v>
      </c>
      <c r="B27" s="306" t="s">
        <v>43</v>
      </c>
      <c r="C27" s="502" t="s">
        <v>291</v>
      </c>
      <c r="D27" s="307" t="s">
        <v>75</v>
      </c>
    </row>
    <row r="28" spans="1:4">
      <c r="A28" s="724">
        <v>1</v>
      </c>
      <c r="B28" s="725" t="str">
        <f>'Capital IQ Sheet-GPC'!A13</f>
        <v>NasdaqGS:VRTX</v>
      </c>
      <c r="C28" s="726" t="str">
        <f>'Capital IQ Sheet-GPC'!B13</f>
        <v>IQ36235</v>
      </c>
      <c r="D28" s="727">
        <f>IF(B28="","",'Comp.1'!C10)</f>
        <v>42428.399999999994</v>
      </c>
    </row>
    <row r="29" spans="1:4">
      <c r="A29" s="693">
        <f>A28+1</f>
        <v>2</v>
      </c>
      <c r="B29" s="308" t="str">
        <f>'Capital IQ Sheet-GPC'!A14</f>
        <v>NasdaqGS:FGEN</v>
      </c>
      <c r="C29" s="309" t="str">
        <f>'Capital IQ Sheet-GPC'!B14</f>
        <v>IQ28484</v>
      </c>
      <c r="D29" s="310">
        <f>IF(B29="","",'Comp.1'!C11)</f>
        <v>4584.2</v>
      </c>
    </row>
    <row r="30" spans="1:4">
      <c r="A30" s="693">
        <f t="shared" ref="A30:A49" si="0">A29+1</f>
        <v>3</v>
      </c>
      <c r="B30" s="308" t="str">
        <f>'Capital IQ Sheet-GPC'!A15</f>
        <v>ENXTAM:GLPG</v>
      </c>
      <c r="C30" s="309" t="str">
        <f>'Capital IQ Sheet-GPC'!B15</f>
        <v>IQ1716658</v>
      </c>
      <c r="D30" s="310">
        <f>IF(B30="","",'Comp.1'!C12)</f>
        <v>4407.7</v>
      </c>
    </row>
    <row r="31" spans="1:4">
      <c r="A31" s="693">
        <f t="shared" si="0"/>
        <v>4</v>
      </c>
      <c r="B31" s="308" t="str">
        <f>'Capital IQ Sheet-GPC'!A16</f>
        <v>NasdaqCM:MDGL</v>
      </c>
      <c r="C31" s="309" t="str">
        <f>'Capital IQ Sheet-GPC'!B16</f>
        <v>IQ144939852</v>
      </c>
      <c r="D31" s="310">
        <f>IF(B31="","",'Comp.1'!C13)</f>
        <v>3781.6</v>
      </c>
    </row>
    <row r="32" spans="1:4">
      <c r="A32" s="693">
        <f t="shared" si="0"/>
        <v>5</v>
      </c>
      <c r="B32" s="308" t="str">
        <f>'Capital IQ Sheet-GPC'!A17</f>
        <v>NasdaqGS:ICPT</v>
      </c>
      <c r="C32" s="309" t="str">
        <f>'Capital IQ Sheet-GPC'!B17</f>
        <v>IQ11382658</v>
      </c>
      <c r="D32" s="310">
        <f>IF(B32="","",'Comp.1'!C14)</f>
        <v>2663.8</v>
      </c>
    </row>
    <row r="33" spans="1:4">
      <c r="A33" s="693">
        <f t="shared" si="0"/>
        <v>6</v>
      </c>
      <c r="B33" s="308" t="str">
        <f>'Capital IQ Sheet-GPC'!A18</f>
        <v>NasdaqGS:INSM</v>
      </c>
      <c r="C33" s="309" t="str">
        <f>'Capital IQ Sheet-GPC'!B18</f>
        <v>IQ29978</v>
      </c>
      <c r="D33" s="310">
        <f>IF(B33="","",'Comp.1'!C15)</f>
        <v>1479.6</v>
      </c>
    </row>
    <row r="34" spans="1:4">
      <c r="A34" s="693">
        <f t="shared" si="0"/>
        <v>7</v>
      </c>
      <c r="B34" s="308" t="str">
        <f>'Capital IQ Sheet-GPC'!A19</f>
        <v>ENXTPA:GNFT</v>
      </c>
      <c r="C34" s="309" t="str">
        <f>'Capital IQ Sheet-GPC'!B19</f>
        <v>IQ9683234</v>
      </c>
      <c r="D34" s="310">
        <f>IF(B34="","",'Comp.1'!C16)</f>
        <v>750.3</v>
      </c>
    </row>
    <row r="35" spans="1:4">
      <c r="A35" s="693">
        <f t="shared" si="0"/>
        <v>8</v>
      </c>
      <c r="B35" s="308" t="str">
        <f>'Capital IQ Sheet-GPC'!A20</f>
        <v>NYSE:KDMN</v>
      </c>
      <c r="C35" s="309" t="str">
        <f>'Capital IQ Sheet-GPC'!B20</f>
        <v>IQ114935891</v>
      </c>
      <c r="D35" s="310">
        <f>IF(B35="","",'Comp.1'!C17)</f>
        <v>390.1</v>
      </c>
    </row>
    <row r="36" spans="1:4">
      <c r="A36" s="693">
        <f t="shared" si="0"/>
        <v>9</v>
      </c>
      <c r="B36" s="308" t="str">
        <f>'Capital IQ Sheet-GPC'!A21</f>
        <v>NasdaqGM:MNOV</v>
      </c>
      <c r="C36" s="309" t="str">
        <f>'Capital IQ Sheet-GPC'!B21</f>
        <v>IQ9262264</v>
      </c>
      <c r="D36" s="310">
        <f>IF(B36="","",'Comp.1'!C18)</f>
        <v>334.5</v>
      </c>
    </row>
    <row r="37" spans="1:4">
      <c r="A37" s="693">
        <f t="shared" si="0"/>
        <v>10</v>
      </c>
      <c r="B37" s="308" t="str">
        <f>'Capital IQ Sheet-GPC'!A22</f>
        <v>NasdaqGS:SVRA</v>
      </c>
      <c r="C37" s="309" t="str">
        <f>'Capital IQ Sheet-GPC'!B22</f>
        <v>IQ59211637</v>
      </c>
      <c r="D37" s="310">
        <f>IF(B37="","",'Comp.1'!C19)</f>
        <v>323.3</v>
      </c>
    </row>
    <row r="38" spans="1:4">
      <c r="A38" s="693">
        <f t="shared" si="0"/>
        <v>11</v>
      </c>
      <c r="B38" s="308" t="str">
        <f>'Capital IQ Sheet-GPC'!A23</f>
        <v>NasdaqCM:GLMD</v>
      </c>
      <c r="C38" s="309" t="str">
        <f>'Capital IQ Sheet-GPC'!B23</f>
        <v>IQ114779940</v>
      </c>
      <c r="D38" s="310">
        <f>IF(B38="","",'Comp.1'!C20)</f>
        <v>274.2</v>
      </c>
    </row>
    <row r="39" spans="1:4">
      <c r="A39" s="693">
        <f t="shared" si="0"/>
        <v>12</v>
      </c>
      <c r="B39" s="308" t="str">
        <f>'Capital IQ Sheet-GPC'!A24</f>
        <v>NasdaqCM:GALT</v>
      </c>
      <c r="C39" s="309" t="str">
        <f>'Capital IQ Sheet-GPC'!B24</f>
        <v>IQ1065415</v>
      </c>
      <c r="D39" s="310">
        <f>IF(B39="","",'Comp.1'!C21)</f>
        <v>207.3</v>
      </c>
    </row>
    <row r="40" spans="1:4">
      <c r="A40" s="693">
        <f t="shared" si="0"/>
        <v>13</v>
      </c>
      <c r="B40" s="308" t="str">
        <f>'Capital IQ Sheet-GPC'!A25</f>
        <v>NasdaqGM:CRBP</v>
      </c>
      <c r="C40" s="309" t="str">
        <f>'Capital IQ Sheet-GPC'!B25</f>
        <v>IQ254045988</v>
      </c>
      <c r="D40" s="310">
        <f>IF(B40="","",'Comp.1'!C22)</f>
        <v>203.5</v>
      </c>
    </row>
    <row r="41" spans="1:4">
      <c r="A41" s="693">
        <f t="shared" si="0"/>
        <v>14</v>
      </c>
      <c r="B41" s="308" t="str">
        <f>'Capital IQ Sheet-GPC'!A26</f>
        <v>NasdaqGM:PRQR</v>
      </c>
      <c r="C41" s="309" t="str">
        <f>'Capital IQ Sheet-GPC'!B26</f>
        <v>IQ224193775</v>
      </c>
      <c r="D41" s="310">
        <f>IF(B41="","",'Comp.1'!C23)</f>
        <v>163.19999999999999</v>
      </c>
    </row>
    <row r="42" spans="1:4">
      <c r="A42" s="693">
        <f t="shared" si="0"/>
        <v>15</v>
      </c>
      <c r="B42" s="308" t="str">
        <f>'Capital IQ Sheet-GPC'!A27</f>
        <v>NasdaqCM:MGEN</v>
      </c>
      <c r="C42" s="309" t="str">
        <f>'Capital IQ Sheet-GPC'!B27</f>
        <v>IQ45015663</v>
      </c>
      <c r="D42" s="310">
        <f>IF(B42="","",'Comp.1'!C24)</f>
        <v>126.6</v>
      </c>
    </row>
    <row r="43" spans="1:4">
      <c r="A43" s="693">
        <f t="shared" si="0"/>
        <v>16</v>
      </c>
      <c r="B43" s="308" t="str">
        <f>'Capital IQ Sheet-GPC'!A28</f>
        <v>NasdaqGM:CNAT</v>
      </c>
      <c r="C43" s="309" t="str">
        <f>'Capital IQ Sheet-GPC'!B28</f>
        <v>IQ30828389</v>
      </c>
      <c r="D43" s="310">
        <f>IF(B43="","",'Comp.1'!C25)</f>
        <v>62.2</v>
      </c>
    </row>
    <row r="44" spans="1:4">
      <c r="A44" s="693">
        <f t="shared" si="0"/>
        <v>17</v>
      </c>
      <c r="B44" s="308" t="str">
        <f>'Capital IQ Sheet-GPC'!A29</f>
        <v>ASX:IMC</v>
      </c>
      <c r="C44" s="309" t="str">
        <f>'Capital IQ Sheet-GPC'!B29</f>
        <v>IQ7687411</v>
      </c>
      <c r="D44" s="310">
        <f>IF(B44="","",'Comp.1'!C26)</f>
        <v>39.200000000000003</v>
      </c>
    </row>
    <row r="45" spans="1:4">
      <c r="A45" s="693">
        <f t="shared" si="0"/>
        <v>18</v>
      </c>
      <c r="B45" s="308" t="str">
        <f>'Capital IQ Sheet-GPC'!A30</f>
        <v>ASX:1AD</v>
      </c>
      <c r="C45" s="309" t="str">
        <f>'Capital IQ Sheet-GPC'!B30</f>
        <v>IQ61120709</v>
      </c>
      <c r="D45" s="310">
        <f>IF(B45="","",'Comp.1'!C27)</f>
        <v>21.1</v>
      </c>
    </row>
    <row r="46" spans="1:4">
      <c r="A46" s="693">
        <f t="shared" si="0"/>
        <v>19</v>
      </c>
      <c r="B46" s="308" t="str">
        <f>'Capital IQ Sheet-GPC'!A31</f>
        <v>NasdaqGM:PULM</v>
      </c>
      <c r="C46" s="309" t="str">
        <f>'Capital IQ Sheet-GPC'!B31</f>
        <v>IQ26897567</v>
      </c>
      <c r="D46" s="310">
        <f>IF(B46="","",'Comp.1'!C28)</f>
        <v>20.2</v>
      </c>
    </row>
    <row r="47" spans="1:4">
      <c r="A47" s="693">
        <f t="shared" si="0"/>
        <v>20</v>
      </c>
      <c r="B47" s="308" t="str">
        <f>'Capital IQ Sheet-GPC'!A32</f>
        <v>AMEX:APHB</v>
      </c>
      <c r="C47" s="309" t="str">
        <f>'Capital IQ Sheet-GPC'!B32</f>
        <v>IQ35106</v>
      </c>
      <c r="D47" s="310">
        <f>IF(B47="","",'Comp.1'!C29)</f>
        <v>8.3000000000000007</v>
      </c>
    </row>
    <row r="48" spans="1:4">
      <c r="A48" s="693">
        <f t="shared" si="0"/>
        <v>21</v>
      </c>
      <c r="B48" s="308" t="str">
        <f>'Capital IQ Sheet-GPC'!A33</f>
        <v>(Invalid Identifier)</v>
      </c>
      <c r="C48" s="309" t="str">
        <f>'Capital IQ Sheet-GPC'!B33</f>
        <v>(Invalid Identifier)</v>
      </c>
      <c r="D48" s="310">
        <f>IF(B48="","",'Comp.1'!C30)</f>
        <v>0</v>
      </c>
    </row>
    <row r="49" spans="1:4">
      <c r="A49" s="2009">
        <f t="shared" si="0"/>
        <v>22</v>
      </c>
      <c r="B49" s="728" t="str">
        <f>'Capital IQ Sheet-GPC'!A34</f>
        <v>(Invalid Identifier)</v>
      </c>
      <c r="C49" s="729" t="str">
        <f>'Capital IQ Sheet-GPC'!B34</f>
        <v>(Invalid Identifier)</v>
      </c>
      <c r="D49" s="2010">
        <f>IF(B49="","",'Comp.1'!C31)</f>
        <v>0</v>
      </c>
    </row>
    <row r="50" spans="1:4" hidden="1" outlineLevel="1">
      <c r="A50" s="693"/>
      <c r="B50" s="308"/>
      <c r="C50" s="309"/>
      <c r="D50" s="310"/>
    </row>
    <row r="51" spans="1:4" hidden="1" outlineLevel="1">
      <c r="A51" s="693"/>
      <c r="B51" s="308"/>
      <c r="C51" s="309"/>
      <c r="D51" s="310"/>
    </row>
    <row r="52" spans="1:4" hidden="1" outlineLevel="1">
      <c r="A52" s="693"/>
      <c r="B52" s="308"/>
      <c r="C52" s="309"/>
      <c r="D52" s="310"/>
    </row>
    <row r="53" spans="1:4" hidden="1" outlineLevel="1">
      <c r="A53" s="693"/>
      <c r="B53" s="308"/>
      <c r="C53" s="309"/>
      <c r="D53" s="310"/>
    </row>
    <row r="54" spans="1:4" hidden="1" outlineLevel="1">
      <c r="A54" s="693"/>
      <c r="B54" s="308"/>
      <c r="C54" s="309"/>
      <c r="D54" s="310"/>
    </row>
    <row r="55" spans="1:4" hidden="1" outlineLevel="1">
      <c r="A55" s="693"/>
      <c r="B55" s="308"/>
      <c r="C55" s="309"/>
      <c r="D55" s="310"/>
    </row>
    <row r="56" spans="1:4" hidden="1" outlineLevel="1">
      <c r="A56" s="693"/>
      <c r="B56" s="308"/>
      <c r="C56" s="309"/>
      <c r="D56" s="310"/>
    </row>
    <row r="57" spans="1:4" hidden="1" outlineLevel="1">
      <c r="A57" s="311"/>
      <c r="B57" s="728"/>
      <c r="C57" s="729"/>
      <c r="D57" s="730"/>
    </row>
    <row r="58" spans="1:4" collapsed="1"/>
  </sheetData>
  <dataValidations count="1">
    <dataValidation type="list" allowBlank="1" showInputMessage="1" showErrorMessage="1" sqref="C1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3:G165"/>
  <sheetViews>
    <sheetView topLeftCell="A60" workbookViewId="0">
      <selection activeCell="F68" sqref="F68"/>
    </sheetView>
  </sheetViews>
  <sheetFormatPr defaultRowHeight="12.75"/>
  <cols>
    <col min="1" max="1" width="9.33203125" style="385"/>
    <col min="2" max="2" width="14.83203125" style="385" customWidth="1"/>
    <col min="3" max="3" width="13.33203125" style="385" customWidth="1"/>
    <col min="4" max="4" width="26.5" style="385" customWidth="1"/>
    <col min="5" max="5" width="9.33203125" style="385"/>
    <col min="6" max="6" width="65" style="385" customWidth="1"/>
    <col min="7" max="7" width="46.5" style="385" customWidth="1"/>
    <col min="8" max="16384" width="9.33203125" style="385"/>
  </cols>
  <sheetData>
    <row r="3" spans="2:7">
      <c r="B3" s="1" t="s">
        <v>1086</v>
      </c>
      <c r="D3" s="385" t="s">
        <v>1110</v>
      </c>
    </row>
    <row r="4" spans="2:7">
      <c r="B4" s="1" t="s">
        <v>1092</v>
      </c>
      <c r="D4" s="823">
        <v>42850.427083333336</v>
      </c>
    </row>
    <row r="6" spans="2:7">
      <c r="B6" s="811" t="s">
        <v>1087</v>
      </c>
      <c r="C6" s="811" t="s">
        <v>1088</v>
      </c>
      <c r="D6" s="811" t="s">
        <v>1089</v>
      </c>
      <c r="E6" s="811" t="s">
        <v>1090</v>
      </c>
      <c r="F6" s="811" t="s">
        <v>512</v>
      </c>
      <c r="G6" s="811" t="s">
        <v>1091</v>
      </c>
    </row>
    <row r="7" spans="2:7">
      <c r="B7" s="812"/>
      <c r="C7" s="812"/>
      <c r="D7" s="812"/>
      <c r="E7" s="812"/>
      <c r="F7" s="812"/>
      <c r="G7" s="812"/>
    </row>
    <row r="8" spans="2:7">
      <c r="B8" s="813">
        <v>42772</v>
      </c>
      <c r="C8" s="812" t="s">
        <v>1093</v>
      </c>
      <c r="D8" s="812" t="s">
        <v>1094</v>
      </c>
      <c r="E8" s="812" t="s">
        <v>1095</v>
      </c>
      <c r="F8" s="812" t="s">
        <v>1096</v>
      </c>
      <c r="G8" s="812"/>
    </row>
    <row r="9" spans="2:7" ht="25.5">
      <c r="B9" s="813">
        <v>42772</v>
      </c>
      <c r="C9" s="812" t="s">
        <v>1093</v>
      </c>
      <c r="D9" s="812" t="s">
        <v>1097</v>
      </c>
      <c r="E9" s="812" t="s">
        <v>1098</v>
      </c>
      <c r="F9" s="814" t="s">
        <v>1099</v>
      </c>
      <c r="G9" s="812"/>
    </row>
    <row r="10" spans="2:7">
      <c r="B10" s="815">
        <v>42776</v>
      </c>
      <c r="C10" s="812" t="s">
        <v>1093</v>
      </c>
      <c r="D10" s="812" t="s">
        <v>1100</v>
      </c>
      <c r="E10" s="812" t="s">
        <v>1101</v>
      </c>
      <c r="F10" s="812" t="s">
        <v>1102</v>
      </c>
      <c r="G10" s="812"/>
    </row>
    <row r="11" spans="2:7">
      <c r="B11" s="815">
        <v>42776</v>
      </c>
      <c r="C11" s="812" t="s">
        <v>1093</v>
      </c>
      <c r="D11" s="812" t="s">
        <v>454</v>
      </c>
      <c r="E11" s="812" t="s">
        <v>1103</v>
      </c>
      <c r="F11" s="812" t="s">
        <v>1104</v>
      </c>
      <c r="G11" s="812"/>
    </row>
    <row r="12" spans="2:7">
      <c r="B12" s="815">
        <v>42776</v>
      </c>
      <c r="C12" s="812" t="s">
        <v>1093</v>
      </c>
      <c r="D12" s="812" t="s">
        <v>1105</v>
      </c>
      <c r="E12" s="812" t="s">
        <v>1106</v>
      </c>
      <c r="F12" s="812" t="s">
        <v>1107</v>
      </c>
      <c r="G12" s="812"/>
    </row>
    <row r="13" spans="2:7">
      <c r="B13" s="815">
        <v>42776</v>
      </c>
      <c r="C13" s="812" t="s">
        <v>1093</v>
      </c>
      <c r="D13" s="812" t="s">
        <v>52</v>
      </c>
      <c r="E13" s="812" t="s">
        <v>1108</v>
      </c>
      <c r="F13" s="812" t="s">
        <v>1109</v>
      </c>
      <c r="G13" s="812"/>
    </row>
    <row r="14" spans="2:7">
      <c r="B14" s="815">
        <v>42800</v>
      </c>
      <c r="C14" s="812" t="s">
        <v>1115</v>
      </c>
      <c r="D14" s="812" t="s">
        <v>435</v>
      </c>
      <c r="E14" s="812" t="s">
        <v>1101</v>
      </c>
      <c r="F14" s="812" t="s">
        <v>1118</v>
      </c>
      <c r="G14" s="812"/>
    </row>
    <row r="15" spans="2:7">
      <c r="B15" s="815">
        <v>42800</v>
      </c>
      <c r="C15" s="812" t="s">
        <v>1115</v>
      </c>
      <c r="D15" s="812" t="s">
        <v>1116</v>
      </c>
      <c r="E15" s="812" t="s">
        <v>1101</v>
      </c>
      <c r="F15" s="812" t="s">
        <v>1119</v>
      </c>
      <c r="G15" s="812"/>
    </row>
    <row r="16" spans="2:7">
      <c r="B16" s="815">
        <v>42800</v>
      </c>
      <c r="C16" s="812" t="s">
        <v>1115</v>
      </c>
      <c r="D16" s="812" t="s">
        <v>1117</v>
      </c>
      <c r="E16" s="812" t="s">
        <v>1121</v>
      </c>
      <c r="F16" s="812" t="s">
        <v>1120</v>
      </c>
      <c r="G16" s="812"/>
    </row>
    <row r="17" spans="2:7">
      <c r="B17" s="815">
        <v>42801</v>
      </c>
      <c r="C17" s="812" t="s">
        <v>1115</v>
      </c>
      <c r="D17" s="812" t="s">
        <v>454</v>
      </c>
      <c r="E17" s="812" t="s">
        <v>1123</v>
      </c>
      <c r="F17" s="812" t="s">
        <v>1122</v>
      </c>
      <c r="G17" s="812"/>
    </row>
    <row r="18" spans="2:7">
      <c r="B18" s="815">
        <v>42811</v>
      </c>
      <c r="C18" s="812" t="s">
        <v>1126</v>
      </c>
      <c r="D18" s="812" t="s">
        <v>1127</v>
      </c>
      <c r="E18" s="812" t="s">
        <v>1128</v>
      </c>
      <c r="F18" s="812" t="s">
        <v>1129</v>
      </c>
      <c r="G18" s="812"/>
    </row>
    <row r="19" spans="2:7">
      <c r="B19" s="815">
        <v>42817</v>
      </c>
      <c r="C19" s="812" t="s">
        <v>1115</v>
      </c>
      <c r="D19" s="812" t="s">
        <v>79</v>
      </c>
      <c r="E19" s="812" t="s">
        <v>1130</v>
      </c>
      <c r="F19" s="812" t="s">
        <v>1131</v>
      </c>
      <c r="G19" s="812"/>
    </row>
    <row r="20" spans="2:7">
      <c r="B20" s="815">
        <v>42849</v>
      </c>
      <c r="C20" s="812" t="s">
        <v>1093</v>
      </c>
      <c r="D20" s="812" t="s">
        <v>1117</v>
      </c>
      <c r="E20" s="812" t="s">
        <v>1132</v>
      </c>
      <c r="F20" s="812" t="s">
        <v>1133</v>
      </c>
      <c r="G20" s="812"/>
    </row>
    <row r="21" spans="2:7">
      <c r="B21" s="815">
        <v>42850</v>
      </c>
      <c r="C21" s="812" t="s">
        <v>1093</v>
      </c>
      <c r="D21" s="812" t="s">
        <v>1134</v>
      </c>
      <c r="E21" s="812" t="s">
        <v>1136</v>
      </c>
      <c r="F21" s="812" t="s">
        <v>1135</v>
      </c>
      <c r="G21" s="812"/>
    </row>
    <row r="22" spans="2:7">
      <c r="B22" s="815">
        <v>42878</v>
      </c>
      <c r="C22" s="812" t="s">
        <v>1126</v>
      </c>
      <c r="D22" s="812" t="s">
        <v>1253</v>
      </c>
      <c r="E22" s="812"/>
      <c r="F22" s="812" t="s">
        <v>1254</v>
      </c>
      <c r="G22" s="812"/>
    </row>
    <row r="23" spans="2:7">
      <c r="B23" s="815">
        <v>42878</v>
      </c>
      <c r="C23" s="812" t="s">
        <v>1126</v>
      </c>
      <c r="D23" s="812" t="s">
        <v>1222</v>
      </c>
      <c r="E23" s="812"/>
      <c r="F23" s="812" t="s">
        <v>1261</v>
      </c>
      <c r="G23" s="812"/>
    </row>
    <row r="24" spans="2:7">
      <c r="B24" s="815">
        <v>42878</v>
      </c>
      <c r="C24" s="812" t="s">
        <v>1126</v>
      </c>
      <c r="D24" s="812" t="s">
        <v>1255</v>
      </c>
      <c r="E24" s="812"/>
      <c r="F24" s="812" t="s">
        <v>1256</v>
      </c>
      <c r="G24" s="812"/>
    </row>
    <row r="25" spans="2:7">
      <c r="B25" s="815">
        <v>42878</v>
      </c>
      <c r="C25" s="812" t="s">
        <v>1126</v>
      </c>
      <c r="D25" s="812" t="s">
        <v>1257</v>
      </c>
      <c r="E25" s="812"/>
      <c r="F25" s="812" t="s">
        <v>1258</v>
      </c>
      <c r="G25" s="812"/>
    </row>
    <row r="26" spans="2:7">
      <c r="B26" s="815">
        <v>42878</v>
      </c>
      <c r="C26" s="812" t="s">
        <v>1126</v>
      </c>
      <c r="D26" s="812" t="s">
        <v>52</v>
      </c>
      <c r="E26" s="812"/>
      <c r="F26" s="812" t="s">
        <v>1259</v>
      </c>
      <c r="G26" s="812"/>
    </row>
    <row r="27" spans="2:7">
      <c r="B27" s="815">
        <v>42878</v>
      </c>
      <c r="C27" s="812" t="s">
        <v>1126</v>
      </c>
      <c r="D27" s="812" t="s">
        <v>1235</v>
      </c>
      <c r="E27" s="812"/>
      <c r="F27" s="812" t="s">
        <v>1260</v>
      </c>
      <c r="G27" s="812"/>
    </row>
    <row r="28" spans="2:7">
      <c r="B28" s="815">
        <v>42885</v>
      </c>
      <c r="C28" s="812" t="s">
        <v>1126</v>
      </c>
      <c r="D28" s="812" t="s">
        <v>215</v>
      </c>
      <c r="E28" s="812"/>
      <c r="F28" s="812" t="s">
        <v>1262</v>
      </c>
      <c r="G28" s="812"/>
    </row>
    <row r="29" spans="2:7">
      <c r="B29" s="815">
        <v>42885</v>
      </c>
      <c r="C29" s="812" t="s">
        <v>1126</v>
      </c>
      <c r="D29" s="812" t="s">
        <v>79</v>
      </c>
      <c r="E29" s="812" t="s">
        <v>1263</v>
      </c>
      <c r="F29" s="812" t="s">
        <v>1264</v>
      </c>
      <c r="G29" s="812"/>
    </row>
    <row r="30" spans="2:7">
      <c r="B30" s="815">
        <v>42885</v>
      </c>
      <c r="C30" s="812" t="s">
        <v>1126</v>
      </c>
      <c r="D30" s="812" t="s">
        <v>1265</v>
      </c>
      <c r="E30" s="812"/>
      <c r="F30" s="812" t="s">
        <v>1266</v>
      </c>
      <c r="G30" s="812"/>
    </row>
    <row r="31" spans="2:7">
      <c r="B31" s="815">
        <v>42885</v>
      </c>
      <c r="C31" s="812" t="s">
        <v>1126</v>
      </c>
      <c r="D31" s="812" t="s">
        <v>1265</v>
      </c>
      <c r="E31" s="812"/>
      <c r="F31" s="812" t="s">
        <v>1267</v>
      </c>
      <c r="G31" s="812"/>
    </row>
    <row r="32" spans="2:7">
      <c r="B32" s="815">
        <v>43039</v>
      </c>
      <c r="C32" s="812" t="s">
        <v>1126</v>
      </c>
      <c r="D32" s="812" t="s">
        <v>737</v>
      </c>
      <c r="E32" s="812"/>
      <c r="F32" s="812" t="s">
        <v>1293</v>
      </c>
      <c r="G32" s="812"/>
    </row>
    <row r="33" spans="2:7">
      <c r="B33" s="815">
        <v>43039</v>
      </c>
      <c r="C33" s="812" t="s">
        <v>1126</v>
      </c>
      <c r="D33" s="812" t="s">
        <v>1294</v>
      </c>
      <c r="E33" s="812"/>
      <c r="F33" s="812" t="s">
        <v>1295</v>
      </c>
      <c r="G33" s="812"/>
    </row>
    <row r="34" spans="2:7">
      <c r="B34" s="815">
        <v>43049</v>
      </c>
      <c r="C34" s="812" t="s">
        <v>1126</v>
      </c>
      <c r="D34" s="812" t="s">
        <v>1296</v>
      </c>
      <c r="E34" s="812"/>
      <c r="F34" s="812" t="s">
        <v>1297</v>
      </c>
      <c r="G34" s="812"/>
    </row>
    <row r="35" spans="2:7">
      <c r="B35" s="815">
        <v>43083</v>
      </c>
      <c r="C35" s="812" t="s">
        <v>1126</v>
      </c>
      <c r="D35" s="812" t="s">
        <v>1369</v>
      </c>
      <c r="E35" s="812"/>
      <c r="F35" s="812" t="s">
        <v>1368</v>
      </c>
      <c r="G35" s="812"/>
    </row>
    <row r="36" spans="2:7">
      <c r="B36" s="815">
        <v>43098</v>
      </c>
      <c r="C36" s="812" t="s">
        <v>1126</v>
      </c>
      <c r="D36" s="812" t="s">
        <v>1265</v>
      </c>
      <c r="E36" s="812"/>
      <c r="F36" s="812" t="s">
        <v>1432</v>
      </c>
      <c r="G36" s="812"/>
    </row>
    <row r="37" spans="2:7">
      <c r="B37" s="815">
        <v>43105</v>
      </c>
      <c r="C37" s="812" t="s">
        <v>1126</v>
      </c>
      <c r="D37" s="812" t="s">
        <v>1265</v>
      </c>
      <c r="E37" s="812"/>
      <c r="F37" s="812" t="s">
        <v>1433</v>
      </c>
      <c r="G37" s="812"/>
    </row>
    <row r="38" spans="2:7">
      <c r="B38" s="815">
        <v>43105</v>
      </c>
      <c r="C38" s="812" t="s">
        <v>1126</v>
      </c>
      <c r="D38" s="812" t="s">
        <v>1439</v>
      </c>
      <c r="E38" s="812"/>
      <c r="F38" s="812" t="s">
        <v>1440</v>
      </c>
      <c r="G38" s="812"/>
    </row>
    <row r="39" spans="2:7">
      <c r="B39" s="815">
        <v>43105</v>
      </c>
      <c r="C39" s="812" t="s">
        <v>1126</v>
      </c>
      <c r="D39" s="812" t="s">
        <v>1255</v>
      </c>
      <c r="E39" s="812"/>
      <c r="F39" s="812" t="s">
        <v>1441</v>
      </c>
      <c r="G39" s="812"/>
    </row>
    <row r="40" spans="2:7">
      <c r="B40" s="815">
        <v>43105</v>
      </c>
      <c r="C40" s="812" t="s">
        <v>1126</v>
      </c>
      <c r="D40" s="812" t="s">
        <v>1222</v>
      </c>
      <c r="E40" s="812"/>
      <c r="F40" s="812" t="s">
        <v>1442</v>
      </c>
      <c r="G40" s="812"/>
    </row>
    <row r="41" spans="2:7">
      <c r="B41" s="815">
        <v>43222</v>
      </c>
      <c r="C41" s="812" t="s">
        <v>1126</v>
      </c>
      <c r="D41" s="812" t="s">
        <v>1443</v>
      </c>
      <c r="E41" s="812"/>
      <c r="F41" s="812" t="s">
        <v>1444</v>
      </c>
      <c r="G41" s="812"/>
    </row>
    <row r="42" spans="2:7">
      <c r="B42" s="815">
        <v>43222</v>
      </c>
      <c r="C42" s="812" t="s">
        <v>1445</v>
      </c>
      <c r="D42" s="812" t="s">
        <v>1268</v>
      </c>
      <c r="E42" s="812"/>
      <c r="F42" s="812" t="s">
        <v>1450</v>
      </c>
      <c r="G42" s="812"/>
    </row>
    <row r="43" spans="2:7">
      <c r="B43" s="815">
        <v>43222</v>
      </c>
      <c r="C43" s="812" t="s">
        <v>1445</v>
      </c>
      <c r="D43" s="812" t="s">
        <v>1268</v>
      </c>
      <c r="E43" s="812" t="s">
        <v>1453</v>
      </c>
      <c r="F43" s="812" t="s">
        <v>1451</v>
      </c>
      <c r="G43" s="812"/>
    </row>
    <row r="44" spans="2:7">
      <c r="B44" s="815">
        <v>43222</v>
      </c>
      <c r="C44" s="812" t="s">
        <v>1445</v>
      </c>
      <c r="D44" s="812" t="s">
        <v>1452</v>
      </c>
      <c r="E44" s="812"/>
      <c r="F44" s="812" t="s">
        <v>1450</v>
      </c>
      <c r="G44" s="812"/>
    </row>
    <row r="45" spans="2:7">
      <c r="B45" s="815">
        <v>43222</v>
      </c>
      <c r="C45" s="812" t="s">
        <v>1445</v>
      </c>
      <c r="D45" s="812" t="s">
        <v>1452</v>
      </c>
      <c r="E45" s="812" t="s">
        <v>1453</v>
      </c>
      <c r="F45" s="812" t="s">
        <v>1451</v>
      </c>
      <c r="G45" s="812"/>
    </row>
    <row r="46" spans="2:7">
      <c r="B46" s="815">
        <v>43222</v>
      </c>
      <c r="C46" s="812" t="s">
        <v>1445</v>
      </c>
      <c r="D46" s="812" t="s">
        <v>1239</v>
      </c>
      <c r="E46" s="812" t="s">
        <v>1455</v>
      </c>
      <c r="F46" s="812" t="s">
        <v>1454</v>
      </c>
      <c r="G46" s="812"/>
    </row>
    <row r="47" spans="2:7">
      <c r="B47" s="815">
        <v>43222</v>
      </c>
      <c r="C47" s="812" t="s">
        <v>1445</v>
      </c>
      <c r="D47" s="812" t="s">
        <v>518</v>
      </c>
      <c r="E47" s="812" t="s">
        <v>1457</v>
      </c>
      <c r="F47" s="812" t="s">
        <v>1456</v>
      </c>
      <c r="G47" s="812"/>
    </row>
    <row r="48" spans="2:7">
      <c r="B48" s="815">
        <v>43222</v>
      </c>
      <c r="C48" s="812" t="s">
        <v>1445</v>
      </c>
      <c r="D48" s="812" t="s">
        <v>1458</v>
      </c>
      <c r="E48" s="812"/>
      <c r="F48" s="812" t="s">
        <v>1459</v>
      </c>
      <c r="G48" s="812"/>
    </row>
    <row r="49" spans="2:7">
      <c r="B49" s="815">
        <v>43222</v>
      </c>
      <c r="C49" s="812" t="s">
        <v>1445</v>
      </c>
      <c r="D49" s="812" t="s">
        <v>215</v>
      </c>
      <c r="E49" s="812"/>
      <c r="F49" s="812" t="s">
        <v>1460</v>
      </c>
      <c r="G49" s="812"/>
    </row>
    <row r="50" spans="2:7">
      <c r="B50" s="815">
        <v>43222</v>
      </c>
      <c r="C50" s="812" t="s">
        <v>1445</v>
      </c>
      <c r="D50" s="812" t="s">
        <v>1458</v>
      </c>
      <c r="E50" s="812"/>
      <c r="F50" s="812" t="s">
        <v>1461</v>
      </c>
      <c r="G50" s="812"/>
    </row>
    <row r="51" spans="2:7">
      <c r="B51" s="815">
        <v>43222</v>
      </c>
      <c r="C51" s="812" t="s">
        <v>1445</v>
      </c>
      <c r="D51" s="812" t="s">
        <v>1462</v>
      </c>
      <c r="E51" s="812"/>
      <c r="F51" s="812" t="s">
        <v>1463</v>
      </c>
      <c r="G51" s="812"/>
    </row>
    <row r="52" spans="2:7">
      <c r="B52" s="815">
        <v>43222</v>
      </c>
      <c r="C52" s="812" t="s">
        <v>1445</v>
      </c>
      <c r="D52" s="812" t="s">
        <v>1094</v>
      </c>
      <c r="E52" s="812"/>
      <c r="F52" s="812" t="s">
        <v>1464</v>
      </c>
      <c r="G52" s="812"/>
    </row>
    <row r="53" spans="2:7">
      <c r="B53" s="815">
        <v>43222</v>
      </c>
      <c r="C53" s="812" t="s">
        <v>1445</v>
      </c>
      <c r="D53" s="812" t="s">
        <v>1465</v>
      </c>
      <c r="E53" s="812"/>
      <c r="F53" s="812" t="s">
        <v>1464</v>
      </c>
      <c r="G53" s="812"/>
    </row>
    <row r="54" spans="2:7">
      <c r="B54" s="815">
        <v>43223</v>
      </c>
      <c r="C54" s="812" t="s">
        <v>1466</v>
      </c>
      <c r="D54" s="812" t="s">
        <v>1468</v>
      </c>
      <c r="E54" s="812"/>
      <c r="F54" s="812" t="s">
        <v>1469</v>
      </c>
      <c r="G54" s="812"/>
    </row>
    <row r="55" spans="2:7">
      <c r="B55" s="815">
        <v>43223</v>
      </c>
      <c r="C55" s="812" t="s">
        <v>1466</v>
      </c>
      <c r="D55" s="812" t="s">
        <v>79</v>
      </c>
      <c r="E55" s="812"/>
      <c r="F55" s="812" t="s">
        <v>1470</v>
      </c>
      <c r="G55" s="812"/>
    </row>
    <row r="56" spans="2:7">
      <c r="B56" s="815">
        <v>43223</v>
      </c>
      <c r="C56" s="812" t="s">
        <v>1466</v>
      </c>
      <c r="D56" s="812" t="s">
        <v>1471</v>
      </c>
      <c r="E56" s="812"/>
      <c r="F56" s="812" t="s">
        <v>1472</v>
      </c>
      <c r="G56" s="812"/>
    </row>
    <row r="57" spans="2:7">
      <c r="B57" s="815">
        <v>43223</v>
      </c>
      <c r="C57" s="812" t="s">
        <v>1466</v>
      </c>
      <c r="D57" s="812" t="s">
        <v>1268</v>
      </c>
      <c r="E57" s="812"/>
      <c r="F57" s="812" t="s">
        <v>1475</v>
      </c>
      <c r="G57" s="812"/>
    </row>
    <row r="58" spans="2:7">
      <c r="B58" s="815">
        <v>43223</v>
      </c>
      <c r="C58" s="812" t="s">
        <v>1466</v>
      </c>
      <c r="D58" s="812" t="s">
        <v>1268</v>
      </c>
      <c r="E58" s="812"/>
      <c r="F58" s="812" t="s">
        <v>1476</v>
      </c>
      <c r="G58" s="812"/>
    </row>
    <row r="59" spans="2:7">
      <c r="B59" s="815">
        <v>43223</v>
      </c>
      <c r="C59" s="812" t="s">
        <v>1466</v>
      </c>
      <c r="D59" s="812" t="s">
        <v>1268</v>
      </c>
      <c r="E59" s="812"/>
      <c r="F59" s="812" t="s">
        <v>1482</v>
      </c>
      <c r="G59" s="812"/>
    </row>
    <row r="60" spans="2:7">
      <c r="B60" s="815">
        <v>43223</v>
      </c>
      <c r="C60" s="812" t="s">
        <v>1466</v>
      </c>
      <c r="D60" s="812" t="s">
        <v>1483</v>
      </c>
      <c r="E60" s="812"/>
      <c r="F60" s="812" t="s">
        <v>1484</v>
      </c>
      <c r="G60" s="812"/>
    </row>
    <row r="61" spans="2:7">
      <c r="B61" s="815">
        <v>43223</v>
      </c>
      <c r="C61" s="812" t="s">
        <v>1466</v>
      </c>
      <c r="D61" s="812" t="s">
        <v>1239</v>
      </c>
      <c r="E61" s="812"/>
      <c r="F61" s="812" t="s">
        <v>1485</v>
      </c>
      <c r="G61" s="812"/>
    </row>
    <row r="62" spans="2:7">
      <c r="B62" s="815">
        <v>43223</v>
      </c>
      <c r="C62" s="812" t="s">
        <v>1466</v>
      </c>
      <c r="D62" s="812" t="s">
        <v>1486</v>
      </c>
      <c r="E62" s="812"/>
      <c r="F62" s="812" t="s">
        <v>1487</v>
      </c>
      <c r="G62" s="812"/>
    </row>
    <row r="63" spans="2:7">
      <c r="B63" s="815">
        <v>43223</v>
      </c>
      <c r="C63" s="812" t="s">
        <v>1466</v>
      </c>
      <c r="D63" s="812" t="s">
        <v>215</v>
      </c>
      <c r="E63" s="812"/>
      <c r="F63" s="812" t="s">
        <v>1488</v>
      </c>
      <c r="G63" s="812"/>
    </row>
    <row r="64" spans="2:7">
      <c r="B64" s="815">
        <v>43223</v>
      </c>
      <c r="C64" s="812" t="s">
        <v>1466</v>
      </c>
      <c r="D64" s="812" t="s">
        <v>1491</v>
      </c>
      <c r="E64" s="812"/>
      <c r="F64" s="812" t="s">
        <v>1492</v>
      </c>
      <c r="G64" s="812"/>
    </row>
    <row r="65" spans="2:7">
      <c r="B65" s="815">
        <v>43223</v>
      </c>
      <c r="C65" s="812" t="s">
        <v>1466</v>
      </c>
      <c r="D65" s="812" t="s">
        <v>1493</v>
      </c>
      <c r="E65" s="812"/>
      <c r="F65" s="812" t="s">
        <v>1494</v>
      </c>
      <c r="G65" s="812"/>
    </row>
    <row r="66" spans="2:7">
      <c r="B66" s="815">
        <v>43223</v>
      </c>
      <c r="C66" s="812" t="s">
        <v>1466</v>
      </c>
      <c r="D66" s="812" t="s">
        <v>52</v>
      </c>
      <c r="E66" s="812"/>
      <c r="F66" s="812" t="s">
        <v>1495</v>
      </c>
      <c r="G66" s="812"/>
    </row>
    <row r="67" spans="2:7">
      <c r="B67" s="815">
        <v>43227</v>
      </c>
      <c r="C67" s="812" t="s">
        <v>1126</v>
      </c>
      <c r="D67" s="812" t="s">
        <v>215</v>
      </c>
      <c r="E67" s="812" t="s">
        <v>1499</v>
      </c>
      <c r="F67" s="812" t="s">
        <v>1500</v>
      </c>
      <c r="G67" s="812"/>
    </row>
    <row r="68" spans="2:7">
      <c r="B68" s="815">
        <v>43245</v>
      </c>
      <c r="C68" s="812" t="s">
        <v>1126</v>
      </c>
      <c r="D68" s="812" t="s">
        <v>215</v>
      </c>
      <c r="E68" s="812"/>
      <c r="F68" s="812" t="s">
        <v>1501</v>
      </c>
      <c r="G68" s="812"/>
    </row>
    <row r="69" spans="2:7">
      <c r="B69" s="812"/>
      <c r="C69" s="812"/>
      <c r="D69" s="812"/>
      <c r="E69" s="812"/>
      <c r="F69" s="812"/>
      <c r="G69" s="812"/>
    </row>
    <row r="70" spans="2:7">
      <c r="B70" s="812"/>
      <c r="C70" s="812"/>
      <c r="D70" s="812"/>
      <c r="E70" s="812"/>
      <c r="F70" s="812"/>
      <c r="G70" s="812"/>
    </row>
    <row r="71" spans="2:7">
      <c r="B71" s="812"/>
      <c r="C71" s="812"/>
      <c r="D71" s="812"/>
      <c r="E71" s="812"/>
      <c r="F71" s="812"/>
      <c r="G71" s="812"/>
    </row>
    <row r="72" spans="2:7">
      <c r="B72" s="812"/>
      <c r="C72" s="812"/>
      <c r="D72" s="812"/>
      <c r="E72" s="812"/>
      <c r="F72" s="812"/>
      <c r="G72" s="812"/>
    </row>
    <row r="73" spans="2:7">
      <c r="B73" s="812"/>
      <c r="C73" s="812"/>
      <c r="D73" s="812"/>
      <c r="E73" s="812"/>
      <c r="F73" s="812"/>
      <c r="G73" s="812"/>
    </row>
    <row r="74" spans="2:7">
      <c r="B74" s="812"/>
      <c r="C74" s="812"/>
      <c r="D74" s="812"/>
      <c r="E74" s="812"/>
      <c r="F74" s="812"/>
      <c r="G74" s="812"/>
    </row>
    <row r="75" spans="2:7">
      <c r="B75" s="812"/>
      <c r="C75" s="812"/>
      <c r="D75" s="812"/>
      <c r="E75" s="812"/>
      <c r="F75" s="812"/>
      <c r="G75" s="812"/>
    </row>
    <row r="76" spans="2:7">
      <c r="B76" s="812"/>
      <c r="C76" s="812"/>
      <c r="D76" s="812"/>
      <c r="E76" s="812"/>
      <c r="F76" s="812"/>
      <c r="G76" s="812"/>
    </row>
    <row r="77" spans="2:7">
      <c r="B77" s="812"/>
      <c r="C77" s="812"/>
      <c r="D77" s="812"/>
      <c r="E77" s="812"/>
      <c r="F77" s="812"/>
      <c r="G77" s="812"/>
    </row>
    <row r="78" spans="2:7">
      <c r="B78" s="812"/>
      <c r="C78" s="812"/>
      <c r="D78" s="812"/>
      <c r="E78" s="812"/>
      <c r="F78" s="812"/>
      <c r="G78" s="812"/>
    </row>
    <row r="79" spans="2:7">
      <c r="B79" s="812"/>
      <c r="C79" s="812"/>
      <c r="D79" s="812"/>
      <c r="E79" s="812"/>
      <c r="F79" s="812"/>
      <c r="G79" s="812"/>
    </row>
    <row r="80" spans="2:7">
      <c r="B80" s="812"/>
      <c r="C80" s="812"/>
      <c r="D80" s="812"/>
      <c r="E80" s="812"/>
      <c r="F80" s="812"/>
      <c r="G80" s="812"/>
    </row>
    <row r="81" spans="2:7">
      <c r="B81" s="812"/>
      <c r="C81" s="812"/>
      <c r="D81" s="812"/>
      <c r="E81" s="812"/>
      <c r="F81" s="812"/>
      <c r="G81" s="812"/>
    </row>
    <row r="82" spans="2:7">
      <c r="B82" s="812"/>
      <c r="C82" s="812"/>
      <c r="D82" s="812"/>
      <c r="E82" s="812"/>
      <c r="F82" s="812"/>
      <c r="G82" s="812"/>
    </row>
    <row r="83" spans="2:7">
      <c r="B83" s="812"/>
      <c r="C83" s="812"/>
      <c r="D83" s="812"/>
      <c r="E83" s="812"/>
      <c r="F83" s="812"/>
      <c r="G83" s="812"/>
    </row>
    <row r="84" spans="2:7">
      <c r="B84" s="812"/>
      <c r="C84" s="812"/>
      <c r="D84" s="812"/>
      <c r="E84" s="812"/>
      <c r="F84" s="812"/>
      <c r="G84" s="812"/>
    </row>
    <row r="85" spans="2:7">
      <c r="B85" s="812"/>
      <c r="C85" s="812"/>
      <c r="D85" s="812"/>
      <c r="E85" s="812"/>
      <c r="F85" s="812"/>
      <c r="G85" s="812"/>
    </row>
    <row r="86" spans="2:7">
      <c r="B86" s="812"/>
      <c r="C86" s="812"/>
      <c r="D86" s="812"/>
      <c r="E86" s="812"/>
      <c r="F86" s="812"/>
      <c r="G86" s="812"/>
    </row>
    <row r="87" spans="2:7">
      <c r="B87" s="812"/>
      <c r="C87" s="812"/>
      <c r="D87" s="812"/>
      <c r="E87" s="812"/>
      <c r="F87" s="812"/>
      <c r="G87" s="812"/>
    </row>
    <row r="88" spans="2:7">
      <c r="B88" s="812"/>
      <c r="C88" s="812"/>
      <c r="D88" s="812"/>
      <c r="E88" s="812"/>
      <c r="F88" s="812"/>
      <c r="G88" s="812"/>
    </row>
    <row r="89" spans="2:7">
      <c r="B89" s="812"/>
      <c r="C89" s="812"/>
      <c r="D89" s="812"/>
      <c r="E89" s="812"/>
      <c r="F89" s="812"/>
      <c r="G89" s="812"/>
    </row>
    <row r="90" spans="2:7">
      <c r="B90" s="812"/>
      <c r="C90" s="812"/>
      <c r="D90" s="812"/>
      <c r="E90" s="812"/>
      <c r="F90" s="812"/>
      <c r="G90" s="812"/>
    </row>
    <row r="91" spans="2:7">
      <c r="B91" s="812"/>
      <c r="C91" s="812"/>
      <c r="D91" s="812"/>
      <c r="E91" s="812"/>
      <c r="F91" s="812"/>
      <c r="G91" s="812"/>
    </row>
    <row r="92" spans="2:7">
      <c r="B92" s="812"/>
      <c r="C92" s="812"/>
      <c r="D92" s="812"/>
      <c r="E92" s="812"/>
      <c r="F92" s="812"/>
      <c r="G92" s="812"/>
    </row>
    <row r="93" spans="2:7">
      <c r="B93" s="812"/>
      <c r="C93" s="812"/>
      <c r="D93" s="812"/>
      <c r="E93" s="812"/>
      <c r="F93" s="812"/>
      <c r="G93" s="812"/>
    </row>
    <row r="94" spans="2:7">
      <c r="B94" s="812"/>
      <c r="C94" s="812"/>
      <c r="D94" s="812"/>
      <c r="E94" s="812"/>
      <c r="F94" s="812"/>
      <c r="G94" s="812"/>
    </row>
    <row r="95" spans="2:7">
      <c r="B95" s="812"/>
      <c r="C95" s="812"/>
      <c r="D95" s="812"/>
      <c r="E95" s="812"/>
      <c r="F95" s="812"/>
      <c r="G95" s="812"/>
    </row>
    <row r="96" spans="2:7">
      <c r="B96" s="812"/>
      <c r="C96" s="812"/>
      <c r="D96" s="812"/>
      <c r="E96" s="812"/>
      <c r="F96" s="812"/>
      <c r="G96" s="812"/>
    </row>
    <row r="97" spans="2:7">
      <c r="B97" s="812"/>
      <c r="C97" s="812"/>
      <c r="D97" s="812"/>
      <c r="E97" s="812"/>
      <c r="F97" s="812"/>
      <c r="G97" s="812"/>
    </row>
    <row r="98" spans="2:7">
      <c r="B98" s="812"/>
      <c r="C98" s="812"/>
      <c r="D98" s="812"/>
      <c r="E98" s="812"/>
      <c r="F98" s="812"/>
      <c r="G98" s="812"/>
    </row>
    <row r="99" spans="2:7">
      <c r="B99" s="812"/>
      <c r="C99" s="812"/>
      <c r="D99" s="812"/>
      <c r="E99" s="812"/>
      <c r="F99" s="812"/>
      <c r="G99" s="812"/>
    </row>
    <row r="100" spans="2:7">
      <c r="B100" s="812"/>
      <c r="C100" s="812"/>
      <c r="D100" s="812"/>
      <c r="E100" s="812"/>
      <c r="F100" s="812"/>
      <c r="G100" s="812"/>
    </row>
    <row r="101" spans="2:7">
      <c r="B101" s="812"/>
      <c r="C101" s="812"/>
      <c r="D101" s="812"/>
      <c r="E101" s="812"/>
      <c r="F101" s="812"/>
      <c r="G101" s="812"/>
    </row>
    <row r="102" spans="2:7">
      <c r="B102" s="812"/>
      <c r="C102" s="812"/>
      <c r="D102" s="812"/>
      <c r="E102" s="812"/>
      <c r="F102" s="812"/>
      <c r="G102" s="812"/>
    </row>
    <row r="103" spans="2:7">
      <c r="B103" s="812"/>
      <c r="C103" s="812"/>
      <c r="D103" s="812"/>
      <c r="E103" s="812"/>
      <c r="F103" s="812"/>
      <c r="G103" s="812"/>
    </row>
    <row r="104" spans="2:7">
      <c r="B104" s="812"/>
      <c r="C104" s="812"/>
      <c r="D104" s="812"/>
      <c r="E104" s="812"/>
      <c r="F104" s="812"/>
      <c r="G104" s="812"/>
    </row>
    <row r="105" spans="2:7">
      <c r="B105" s="812"/>
      <c r="C105" s="812"/>
      <c r="D105" s="812"/>
      <c r="E105" s="812"/>
      <c r="F105" s="812"/>
      <c r="G105" s="812"/>
    </row>
    <row r="106" spans="2:7">
      <c r="B106" s="812"/>
      <c r="C106" s="812"/>
      <c r="D106" s="812"/>
      <c r="E106" s="812"/>
      <c r="F106" s="812"/>
      <c r="G106" s="812"/>
    </row>
    <row r="107" spans="2:7">
      <c r="B107" s="812"/>
      <c r="C107" s="812"/>
      <c r="D107" s="812"/>
      <c r="E107" s="812"/>
      <c r="F107" s="812"/>
      <c r="G107" s="812"/>
    </row>
    <row r="108" spans="2:7">
      <c r="B108" s="812"/>
      <c r="C108" s="812"/>
      <c r="D108" s="812"/>
      <c r="E108" s="812"/>
      <c r="F108" s="812"/>
      <c r="G108" s="812"/>
    </row>
    <row r="109" spans="2:7">
      <c r="B109" s="812"/>
      <c r="C109" s="812"/>
      <c r="D109" s="812"/>
      <c r="E109" s="812"/>
      <c r="F109" s="812"/>
      <c r="G109" s="812"/>
    </row>
    <row r="110" spans="2:7">
      <c r="B110" s="812"/>
      <c r="C110" s="812"/>
      <c r="D110" s="812"/>
      <c r="E110" s="812"/>
      <c r="F110" s="812"/>
      <c r="G110" s="812"/>
    </row>
    <row r="111" spans="2:7">
      <c r="B111" s="812"/>
      <c r="C111" s="812"/>
      <c r="D111" s="812"/>
      <c r="E111" s="812"/>
      <c r="F111" s="812"/>
      <c r="G111" s="812"/>
    </row>
    <row r="112" spans="2:7">
      <c r="B112" s="812"/>
      <c r="C112" s="812"/>
      <c r="D112" s="812"/>
      <c r="E112" s="812"/>
      <c r="F112" s="812"/>
      <c r="G112" s="812"/>
    </row>
    <row r="113" spans="2:7">
      <c r="B113" s="812"/>
      <c r="C113" s="812"/>
      <c r="D113" s="812"/>
      <c r="E113" s="812"/>
      <c r="F113" s="812"/>
      <c r="G113" s="812"/>
    </row>
    <row r="114" spans="2:7">
      <c r="B114" s="812"/>
      <c r="C114" s="812"/>
      <c r="D114" s="812"/>
      <c r="E114" s="812"/>
      <c r="F114" s="812"/>
      <c r="G114" s="812"/>
    </row>
    <row r="115" spans="2:7">
      <c r="B115" s="812"/>
      <c r="C115" s="812"/>
      <c r="D115" s="812"/>
      <c r="E115" s="812"/>
      <c r="F115" s="812"/>
      <c r="G115" s="812"/>
    </row>
    <row r="116" spans="2:7">
      <c r="B116" s="812"/>
      <c r="C116" s="812"/>
      <c r="D116" s="812"/>
      <c r="E116" s="812"/>
      <c r="F116" s="812"/>
      <c r="G116" s="812"/>
    </row>
    <row r="117" spans="2:7">
      <c r="B117" s="812"/>
      <c r="C117" s="812"/>
      <c r="D117" s="812"/>
      <c r="E117" s="812"/>
      <c r="F117" s="812"/>
      <c r="G117" s="812"/>
    </row>
    <row r="118" spans="2:7">
      <c r="B118" s="812"/>
      <c r="C118" s="812"/>
      <c r="D118" s="812"/>
      <c r="E118" s="812"/>
      <c r="F118" s="812"/>
      <c r="G118" s="812"/>
    </row>
    <row r="119" spans="2:7">
      <c r="B119" s="812"/>
      <c r="C119" s="812"/>
      <c r="D119" s="812"/>
      <c r="E119" s="812"/>
      <c r="F119" s="812"/>
      <c r="G119" s="812"/>
    </row>
    <row r="120" spans="2:7">
      <c r="B120" s="812"/>
      <c r="C120" s="812"/>
      <c r="D120" s="812"/>
      <c r="E120" s="812"/>
      <c r="F120" s="812"/>
      <c r="G120" s="812"/>
    </row>
    <row r="121" spans="2:7">
      <c r="B121" s="812"/>
      <c r="C121" s="812"/>
      <c r="D121" s="812"/>
      <c r="E121" s="812"/>
      <c r="F121" s="812"/>
      <c r="G121" s="812"/>
    </row>
    <row r="122" spans="2:7">
      <c r="B122" s="812"/>
      <c r="C122" s="812"/>
      <c r="D122" s="812"/>
      <c r="E122" s="812"/>
      <c r="F122" s="812"/>
      <c r="G122" s="812"/>
    </row>
    <row r="123" spans="2:7">
      <c r="B123" s="812"/>
      <c r="C123" s="812"/>
      <c r="D123" s="812"/>
      <c r="E123" s="812"/>
      <c r="F123" s="812"/>
      <c r="G123" s="812"/>
    </row>
    <row r="124" spans="2:7">
      <c r="B124" s="812"/>
      <c r="C124" s="812"/>
      <c r="D124" s="812"/>
      <c r="E124" s="812"/>
      <c r="F124" s="812"/>
      <c r="G124" s="812"/>
    </row>
    <row r="125" spans="2:7">
      <c r="B125" s="812"/>
      <c r="C125" s="812"/>
      <c r="D125" s="812"/>
      <c r="E125" s="812"/>
      <c r="F125" s="812"/>
      <c r="G125" s="812"/>
    </row>
    <row r="126" spans="2:7">
      <c r="B126" s="812"/>
      <c r="C126" s="812"/>
      <c r="D126" s="812"/>
      <c r="E126" s="812"/>
      <c r="F126" s="812"/>
      <c r="G126" s="812"/>
    </row>
    <row r="127" spans="2:7">
      <c r="B127" s="812"/>
      <c r="C127" s="812"/>
      <c r="D127" s="812"/>
      <c r="E127" s="812"/>
      <c r="F127" s="812"/>
      <c r="G127" s="812"/>
    </row>
    <row r="128" spans="2:7">
      <c r="B128" s="812"/>
      <c r="C128" s="812"/>
      <c r="D128" s="812"/>
      <c r="E128" s="812"/>
      <c r="F128" s="812"/>
      <c r="G128" s="812"/>
    </row>
    <row r="129" spans="2:7">
      <c r="B129" s="812"/>
      <c r="C129" s="812"/>
      <c r="D129" s="812"/>
      <c r="E129" s="812"/>
      <c r="F129" s="812"/>
      <c r="G129" s="812"/>
    </row>
    <row r="130" spans="2:7">
      <c r="B130" s="812"/>
      <c r="C130" s="812"/>
      <c r="D130" s="812"/>
      <c r="E130" s="812"/>
      <c r="F130" s="812"/>
      <c r="G130" s="812"/>
    </row>
    <row r="131" spans="2:7">
      <c r="B131" s="812"/>
      <c r="C131" s="812"/>
      <c r="D131" s="812"/>
      <c r="E131" s="812"/>
      <c r="F131" s="812"/>
      <c r="G131" s="812"/>
    </row>
    <row r="132" spans="2:7">
      <c r="B132" s="812"/>
      <c r="C132" s="812"/>
      <c r="D132" s="812"/>
      <c r="E132" s="812"/>
      <c r="F132" s="812"/>
      <c r="G132" s="812"/>
    </row>
    <row r="133" spans="2:7">
      <c r="B133" s="812"/>
      <c r="C133" s="812"/>
      <c r="D133" s="812"/>
      <c r="E133" s="812"/>
      <c r="F133" s="812"/>
      <c r="G133" s="812"/>
    </row>
    <row r="134" spans="2:7">
      <c r="B134" s="812"/>
      <c r="C134" s="812"/>
      <c r="D134" s="812"/>
      <c r="E134" s="812"/>
      <c r="F134" s="812"/>
      <c r="G134" s="812"/>
    </row>
    <row r="135" spans="2:7">
      <c r="B135" s="812"/>
      <c r="C135" s="812"/>
      <c r="D135" s="812"/>
      <c r="E135" s="812"/>
      <c r="F135" s="812"/>
      <c r="G135" s="812"/>
    </row>
    <row r="136" spans="2:7">
      <c r="B136" s="812"/>
      <c r="C136" s="812"/>
      <c r="D136" s="812"/>
      <c r="E136" s="812"/>
      <c r="F136" s="812"/>
      <c r="G136" s="812"/>
    </row>
    <row r="137" spans="2:7">
      <c r="B137" s="812"/>
      <c r="C137" s="812"/>
      <c r="D137" s="812"/>
      <c r="E137" s="812"/>
      <c r="F137" s="812"/>
      <c r="G137" s="812"/>
    </row>
    <row r="138" spans="2:7">
      <c r="B138" s="812"/>
      <c r="C138" s="812"/>
      <c r="D138" s="812"/>
      <c r="E138" s="812"/>
      <c r="F138" s="812"/>
      <c r="G138" s="812"/>
    </row>
    <row r="139" spans="2:7">
      <c r="B139" s="812"/>
      <c r="C139" s="812"/>
      <c r="D139" s="812"/>
      <c r="E139" s="812"/>
      <c r="F139" s="812"/>
      <c r="G139" s="812"/>
    </row>
    <row r="140" spans="2:7">
      <c r="B140" s="812"/>
      <c r="C140" s="812"/>
      <c r="D140" s="812"/>
      <c r="E140" s="812"/>
      <c r="F140" s="812"/>
      <c r="G140" s="812"/>
    </row>
    <row r="141" spans="2:7">
      <c r="B141" s="812"/>
      <c r="C141" s="812"/>
      <c r="D141" s="812"/>
      <c r="E141" s="812"/>
      <c r="F141" s="812"/>
      <c r="G141" s="812"/>
    </row>
    <row r="142" spans="2:7">
      <c r="B142" s="812"/>
      <c r="C142" s="812"/>
      <c r="D142" s="812"/>
      <c r="E142" s="812"/>
      <c r="F142" s="812"/>
      <c r="G142" s="812"/>
    </row>
    <row r="143" spans="2:7">
      <c r="B143" s="812"/>
      <c r="C143" s="812"/>
      <c r="D143" s="812"/>
      <c r="E143" s="812"/>
      <c r="F143" s="812"/>
      <c r="G143" s="812"/>
    </row>
    <row r="144" spans="2:7">
      <c r="B144" s="812"/>
      <c r="C144" s="812"/>
      <c r="D144" s="812"/>
      <c r="E144" s="812"/>
      <c r="F144" s="812"/>
      <c r="G144" s="812"/>
    </row>
    <row r="145" spans="2:7">
      <c r="B145" s="812"/>
      <c r="C145" s="812"/>
      <c r="D145" s="812"/>
      <c r="E145" s="812"/>
      <c r="F145" s="812"/>
      <c r="G145" s="812"/>
    </row>
    <row r="146" spans="2:7">
      <c r="B146" s="812"/>
      <c r="C146" s="812"/>
      <c r="D146" s="812"/>
      <c r="E146" s="812"/>
      <c r="F146" s="812"/>
      <c r="G146" s="812"/>
    </row>
    <row r="147" spans="2:7">
      <c r="B147" s="812"/>
      <c r="C147" s="812"/>
      <c r="D147" s="812"/>
      <c r="E147" s="812"/>
      <c r="F147" s="812"/>
      <c r="G147" s="812"/>
    </row>
    <row r="148" spans="2:7">
      <c r="B148" s="812"/>
      <c r="C148" s="812"/>
      <c r="D148" s="812"/>
      <c r="E148" s="812"/>
      <c r="F148" s="812"/>
      <c r="G148" s="812"/>
    </row>
    <row r="149" spans="2:7">
      <c r="B149" s="812"/>
      <c r="C149" s="812"/>
      <c r="D149" s="812"/>
      <c r="E149" s="812"/>
      <c r="F149" s="812"/>
      <c r="G149" s="812"/>
    </row>
    <row r="150" spans="2:7">
      <c r="B150" s="812"/>
      <c r="C150" s="812"/>
      <c r="D150" s="812"/>
      <c r="E150" s="812"/>
      <c r="F150" s="812"/>
      <c r="G150" s="812"/>
    </row>
    <row r="151" spans="2:7">
      <c r="B151" s="812"/>
      <c r="C151" s="812"/>
      <c r="D151" s="812"/>
      <c r="E151" s="812"/>
      <c r="F151" s="812"/>
      <c r="G151" s="812"/>
    </row>
    <row r="152" spans="2:7">
      <c r="B152" s="812"/>
      <c r="C152" s="812"/>
      <c r="D152" s="812"/>
      <c r="E152" s="812"/>
      <c r="F152" s="812"/>
      <c r="G152" s="812"/>
    </row>
    <row r="153" spans="2:7">
      <c r="B153" s="812"/>
      <c r="C153" s="812"/>
      <c r="D153" s="812"/>
      <c r="E153" s="812"/>
      <c r="F153" s="812"/>
      <c r="G153" s="812"/>
    </row>
    <row r="154" spans="2:7">
      <c r="B154" s="812"/>
      <c r="C154" s="812"/>
      <c r="D154" s="812"/>
      <c r="E154" s="812"/>
      <c r="F154" s="812"/>
      <c r="G154" s="812"/>
    </row>
    <row r="155" spans="2:7">
      <c r="B155" s="812"/>
      <c r="C155" s="812"/>
      <c r="D155" s="812"/>
      <c r="E155" s="812"/>
      <c r="F155" s="812"/>
      <c r="G155" s="812"/>
    </row>
    <row r="156" spans="2:7">
      <c r="B156" s="812"/>
      <c r="C156" s="812"/>
      <c r="D156" s="812"/>
      <c r="E156" s="812"/>
      <c r="F156" s="812"/>
      <c r="G156" s="812"/>
    </row>
    <row r="157" spans="2:7">
      <c r="B157" s="812"/>
      <c r="C157" s="812"/>
      <c r="D157" s="812"/>
      <c r="E157" s="812"/>
      <c r="F157" s="812"/>
      <c r="G157" s="812"/>
    </row>
    <row r="158" spans="2:7">
      <c r="B158" s="812"/>
      <c r="C158" s="812"/>
      <c r="D158" s="812"/>
      <c r="E158" s="812"/>
      <c r="F158" s="812"/>
      <c r="G158" s="812"/>
    </row>
    <row r="159" spans="2:7">
      <c r="B159" s="812"/>
      <c r="C159" s="812"/>
      <c r="D159" s="812"/>
      <c r="E159" s="812"/>
      <c r="F159" s="812"/>
      <c r="G159" s="812"/>
    </row>
    <row r="160" spans="2:7">
      <c r="B160" s="812"/>
      <c r="C160" s="812"/>
      <c r="D160" s="812"/>
      <c r="E160" s="812"/>
      <c r="F160" s="812"/>
      <c r="G160" s="812"/>
    </row>
    <row r="161" spans="2:7">
      <c r="B161" s="812"/>
      <c r="C161" s="812"/>
      <c r="D161" s="812"/>
      <c r="E161" s="812"/>
      <c r="F161" s="812"/>
      <c r="G161" s="812"/>
    </row>
    <row r="162" spans="2:7">
      <c r="B162" s="812"/>
      <c r="C162" s="812"/>
      <c r="D162" s="812"/>
      <c r="E162" s="812"/>
      <c r="F162" s="812"/>
      <c r="G162" s="812"/>
    </row>
    <row r="163" spans="2:7">
      <c r="B163" s="812"/>
      <c r="C163" s="812"/>
      <c r="D163" s="812"/>
      <c r="E163" s="812"/>
      <c r="F163" s="812"/>
      <c r="G163" s="812"/>
    </row>
    <row r="164" spans="2:7">
      <c r="B164" s="812"/>
      <c r="C164" s="812"/>
      <c r="D164" s="812"/>
      <c r="E164" s="812"/>
      <c r="F164" s="812"/>
      <c r="G164" s="812"/>
    </row>
    <row r="165" spans="2:7">
      <c r="B165" s="812"/>
      <c r="C165" s="812"/>
      <c r="D165" s="812"/>
      <c r="E165" s="812"/>
      <c r="F165" s="812"/>
      <c r="G165" s="8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30"/>
  <sheetViews>
    <sheetView workbookViewId="0"/>
  </sheetViews>
  <sheetFormatPr defaultRowHeight="12.75"/>
  <cols>
    <col min="1" max="1" width="2.83203125" style="385" customWidth="1"/>
    <col min="2" max="2" width="8.6640625" style="385" customWidth="1"/>
    <col min="3" max="8" width="25.83203125" style="385" customWidth="1"/>
    <col min="9" max="9" width="2.83203125" style="385" customWidth="1"/>
    <col min="10" max="16384" width="9.33203125" style="385"/>
  </cols>
  <sheetData>
    <row r="1" spans="2:8" ht="10.7" customHeight="1" thickBot="1">
      <c r="E1" s="391"/>
      <c r="G1" s="391"/>
      <c r="H1" s="391"/>
    </row>
    <row r="2" spans="2:8" ht="16.5" customHeight="1" thickTop="1">
      <c r="B2" s="10" t="str">
        <f>'MASTER PubCo Inputs'!$C$5</f>
        <v>Pliant Therapeutics, Inc.</v>
      </c>
      <c r="C2" s="10"/>
      <c r="D2" s="10"/>
      <c r="E2" s="345"/>
      <c r="F2" s="10"/>
      <c r="G2" s="345"/>
      <c r="H2" s="345"/>
    </row>
    <row r="3" spans="2:8" ht="16.5" customHeight="1" thickBot="1">
      <c r="B3" s="12" t="s">
        <v>440</v>
      </c>
      <c r="C3" s="12"/>
      <c r="D3" s="12"/>
      <c r="E3" s="346"/>
      <c r="F3" s="12"/>
      <c r="G3" s="346"/>
      <c r="H3" s="346"/>
    </row>
    <row r="4" spans="2:8" ht="12.75" customHeight="1" thickTop="1">
      <c r="E4" s="391"/>
      <c r="G4" s="391"/>
      <c r="H4" s="391"/>
    </row>
    <row r="6" spans="2:8" ht="13.5">
      <c r="B6" s="353" t="s">
        <v>446</v>
      </c>
    </row>
    <row r="7" spans="2:8">
      <c r="B7" s="331" t="s">
        <v>290</v>
      </c>
      <c r="C7" s="347" t="s">
        <v>441</v>
      </c>
      <c r="D7" s="347" t="s">
        <v>447</v>
      </c>
      <c r="E7" s="347" t="s">
        <v>442</v>
      </c>
      <c r="F7" s="347" t="s">
        <v>443</v>
      </c>
      <c r="G7" s="347" t="s">
        <v>444</v>
      </c>
      <c r="H7" s="348" t="s">
        <v>448</v>
      </c>
    </row>
    <row r="8" spans="2:8">
      <c r="B8" s="385">
        <v>1</v>
      </c>
    </row>
    <row r="9" spans="2:8">
      <c r="B9" s="385">
        <f>+B8+1</f>
        <v>2</v>
      </c>
    </row>
    <row r="10" spans="2:8">
      <c r="B10" s="385">
        <f t="shared" ref="B10:B30" si="0">+B9+1</f>
        <v>3</v>
      </c>
    </row>
    <row r="11" spans="2:8">
      <c r="B11" s="385">
        <f t="shared" si="0"/>
        <v>4</v>
      </c>
    </row>
    <row r="12" spans="2:8">
      <c r="B12" s="385">
        <f t="shared" si="0"/>
        <v>5</v>
      </c>
    </row>
    <row r="13" spans="2:8">
      <c r="B13" s="385">
        <f t="shared" si="0"/>
        <v>6</v>
      </c>
    </row>
    <row r="14" spans="2:8">
      <c r="B14" s="385">
        <f t="shared" si="0"/>
        <v>7</v>
      </c>
    </row>
    <row r="15" spans="2:8">
      <c r="B15" s="385">
        <f t="shared" si="0"/>
        <v>8</v>
      </c>
    </row>
    <row r="16" spans="2:8">
      <c r="B16" s="385">
        <f t="shared" si="0"/>
        <v>9</v>
      </c>
    </row>
    <row r="17" spans="2:8">
      <c r="B17" s="385">
        <f t="shared" si="0"/>
        <v>10</v>
      </c>
    </row>
    <row r="19" spans="2:8" ht="13.5">
      <c r="B19" s="353" t="s">
        <v>445</v>
      </c>
    </row>
    <row r="20" spans="2:8">
      <c r="B20" s="331" t="s">
        <v>290</v>
      </c>
      <c r="C20" s="347" t="s">
        <v>441</v>
      </c>
      <c r="D20" s="347" t="s">
        <v>447</v>
      </c>
      <c r="E20" s="347" t="s">
        <v>442</v>
      </c>
      <c r="F20" s="347" t="s">
        <v>443</v>
      </c>
      <c r="G20" s="347" t="s">
        <v>444</v>
      </c>
      <c r="H20" s="348" t="s">
        <v>417</v>
      </c>
    </row>
    <row r="21" spans="2:8">
      <c r="B21" s="385">
        <v>1</v>
      </c>
    </row>
    <row r="22" spans="2:8">
      <c r="B22" s="385">
        <f t="shared" si="0"/>
        <v>2</v>
      </c>
    </row>
    <row r="23" spans="2:8">
      <c r="B23" s="385">
        <f t="shared" si="0"/>
        <v>3</v>
      </c>
    </row>
    <row r="24" spans="2:8">
      <c r="B24" s="385">
        <f t="shared" si="0"/>
        <v>4</v>
      </c>
    </row>
    <row r="25" spans="2:8">
      <c r="B25" s="385">
        <f t="shared" si="0"/>
        <v>5</v>
      </c>
    </row>
    <row r="26" spans="2:8">
      <c r="B26" s="385">
        <f t="shared" si="0"/>
        <v>6</v>
      </c>
    </row>
    <row r="27" spans="2:8">
      <c r="B27" s="385">
        <f t="shared" si="0"/>
        <v>7</v>
      </c>
    </row>
    <row r="28" spans="2:8">
      <c r="B28" s="385">
        <f t="shared" si="0"/>
        <v>8</v>
      </c>
    </row>
    <row r="29" spans="2:8">
      <c r="B29" s="385">
        <f t="shared" si="0"/>
        <v>9</v>
      </c>
    </row>
    <row r="30" spans="2:8">
      <c r="B30" s="385">
        <f t="shared" si="0"/>
        <v>10</v>
      </c>
    </row>
  </sheetData>
  <conditionalFormatting sqref="B3:G3">
    <cfRule type="cellIs" dxfId="369" priority="2" stopIfTrue="1" operator="equal">
      <formula>"input"</formula>
    </cfRule>
  </conditionalFormatting>
  <conditionalFormatting sqref="H3">
    <cfRule type="cellIs" dxfId="368"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FF0000"/>
  </sheetPr>
  <dimension ref="B1:I80"/>
  <sheetViews>
    <sheetView showGridLines="0" view="pageBreakPreview" zoomScaleNormal="145" zoomScaleSheetLayoutView="100" workbookViewId="0"/>
  </sheetViews>
  <sheetFormatPr defaultRowHeight="12.75"/>
  <cols>
    <col min="1" max="1" width="4.5" style="385" customWidth="1"/>
    <col min="2" max="2" width="23.1640625" style="385" customWidth="1"/>
    <col min="3" max="3" width="89.6640625" style="385" customWidth="1"/>
    <col min="4" max="4" width="15.1640625" style="391" customWidth="1"/>
    <col min="5" max="5" width="30.83203125" style="385" customWidth="1"/>
    <col min="6" max="6" width="4.5" style="385" customWidth="1"/>
    <col min="7" max="8" width="2.83203125" style="385" customWidth="1"/>
    <col min="9" max="9" width="13.33203125" style="385" customWidth="1"/>
    <col min="10" max="16384" width="9.33203125" style="385"/>
  </cols>
  <sheetData>
    <row r="1" spans="2:9" ht="10.7" customHeight="1" thickBot="1"/>
    <row r="2" spans="2:9" ht="16.5" customHeight="1" thickTop="1">
      <c r="B2" s="10" t="str">
        <f>'MASTER PubCo Inputs'!$C$5</f>
        <v>Pliant Therapeutics, Inc.</v>
      </c>
      <c r="C2" s="10"/>
      <c r="D2" s="345"/>
      <c r="E2" s="10"/>
      <c r="I2" s="1" t="s">
        <v>474</v>
      </c>
    </row>
    <row r="3" spans="2:9" ht="16.5" customHeight="1" thickBot="1">
      <c r="B3" s="12" t="s">
        <v>1237</v>
      </c>
      <c r="C3" s="12"/>
      <c r="D3" s="346"/>
      <c r="E3" s="12"/>
      <c r="I3" s="954" t="s">
        <v>45</v>
      </c>
    </row>
    <row r="4" spans="2:9" ht="12.75" customHeight="1" thickTop="1"/>
    <row r="5" spans="2:9" ht="12.75" customHeight="1"/>
    <row r="6" spans="2:9" ht="12.75" customHeight="1">
      <c r="B6" s="955" t="s">
        <v>441</v>
      </c>
      <c r="C6" s="956" t="s">
        <v>1237</v>
      </c>
      <c r="D6" s="956" t="s">
        <v>45</v>
      </c>
      <c r="E6" s="957" t="s">
        <v>1236</v>
      </c>
    </row>
    <row r="7" spans="2:9" ht="12.75" customHeight="1">
      <c r="B7" s="358"/>
      <c r="C7" s="358"/>
      <c r="D7" s="342"/>
      <c r="E7" s="1"/>
    </row>
    <row r="8" spans="2:9" ht="12.75" customHeight="1">
      <c r="B8" s="358" t="s">
        <v>79</v>
      </c>
      <c r="C8" s="359" t="s">
        <v>2373</v>
      </c>
      <c r="D8" s="961" t="str">
        <f>IF(PWERM_2!J87=Checklist!$I$3,"Check","")</f>
        <v/>
      </c>
      <c r="E8" s="1"/>
    </row>
    <row r="9" spans="2:9" ht="12.75" customHeight="1">
      <c r="B9" s="358"/>
      <c r="C9" s="358"/>
      <c r="D9" s="342"/>
      <c r="E9" s="1"/>
    </row>
    <row r="10" spans="2:9">
      <c r="B10" s="958" t="s">
        <v>1268</v>
      </c>
      <c r="C10" s="359" t="s">
        <v>1269</v>
      </c>
      <c r="D10" s="961" t="str">
        <f>IF('OPM 1'!O101=Checklist!$I$3,"Check","")</f>
        <v/>
      </c>
    </row>
    <row r="11" spans="2:9">
      <c r="B11" s="359"/>
      <c r="C11" s="359"/>
      <c r="D11" s="961"/>
    </row>
    <row r="12" spans="2:9">
      <c r="B12" s="958" t="s">
        <v>1094</v>
      </c>
      <c r="C12" s="359" t="s">
        <v>1251</v>
      </c>
      <c r="D12" s="961" t="str">
        <f>IF('OPM 2'!D26=Checklist!$I$3,"Check","")</f>
        <v/>
      </c>
    </row>
    <row r="13" spans="2:9">
      <c r="B13" s="958"/>
      <c r="C13" s="359"/>
      <c r="D13" s="961"/>
    </row>
    <row r="14" spans="2:9">
      <c r="B14" s="958" t="s">
        <v>1094</v>
      </c>
      <c r="C14" s="359" t="s">
        <v>1435</v>
      </c>
      <c r="D14" s="961" t="str">
        <f>IF('OPM 2'!Q6=Checklist!$I$3,"Check","")</f>
        <v/>
      </c>
    </row>
    <row r="15" spans="2:9">
      <c r="B15" s="359"/>
      <c r="C15" s="359"/>
      <c r="D15" s="961"/>
    </row>
    <row r="16" spans="2:9">
      <c r="B16" s="958" t="s">
        <v>1239</v>
      </c>
      <c r="C16" s="359" t="s">
        <v>1241</v>
      </c>
      <c r="D16" s="961" t="str">
        <f>IF('Hist BS'!D55=Checklist!$I$3,"Check","")</f>
        <v/>
      </c>
    </row>
    <row r="17" spans="2:4">
      <c r="B17" s="958"/>
      <c r="C17" s="359"/>
      <c r="D17" s="961"/>
    </row>
    <row r="18" spans="2:4">
      <c r="B18" s="958" t="s">
        <v>2487</v>
      </c>
      <c r="C18" s="359" t="s">
        <v>2488</v>
      </c>
      <c r="D18" s="961" t="str">
        <f>IF(Forecast!I20=Checklist!$I$3,"Check","")</f>
        <v/>
      </c>
    </row>
    <row r="19" spans="2:4">
      <c r="B19" s="958"/>
      <c r="C19" s="359"/>
      <c r="D19" s="961"/>
    </row>
    <row r="20" spans="2:4">
      <c r="B20" s="958" t="s">
        <v>1243</v>
      </c>
      <c r="C20" s="359" t="s">
        <v>1244</v>
      </c>
      <c r="D20" s="961" t="str">
        <f>IF('Asset Vol_Hybrid OPM'!AB48=Checklist!$I$3,"Check","")</f>
        <v/>
      </c>
    </row>
    <row r="21" spans="2:4">
      <c r="B21" s="958"/>
      <c r="C21" s="359"/>
      <c r="D21" s="961"/>
    </row>
    <row r="22" spans="2:4">
      <c r="B22" s="958" t="s">
        <v>2080</v>
      </c>
      <c r="C22" s="1397" t="s">
        <v>2079</v>
      </c>
      <c r="D22" s="961" t="str">
        <f>IF('Asset Vol_Early'!AB48=Checklist!$I$3,"Check","")</f>
        <v/>
      </c>
    </row>
    <row r="23" spans="2:4">
      <c r="B23" s="359"/>
      <c r="C23" s="359"/>
      <c r="D23" s="961"/>
    </row>
    <row r="24" spans="2:4">
      <c r="B24" s="958" t="s">
        <v>2374</v>
      </c>
      <c r="C24" s="1397" t="s">
        <v>2375</v>
      </c>
      <c r="D24" s="961" t="str">
        <f>IF('Asset Vol_Late'!AB48=Checklist!$I$3,"Check","")</f>
        <v/>
      </c>
    </row>
    <row r="25" spans="2:4">
      <c r="B25" s="359"/>
      <c r="C25" s="359"/>
      <c r="D25" s="961"/>
    </row>
    <row r="26" spans="2:4">
      <c r="B26" s="958" t="s">
        <v>1243</v>
      </c>
      <c r="C26" s="359" t="s">
        <v>2376</v>
      </c>
      <c r="D26" s="961" t="str">
        <f>IF('Asset Vol_Hybrid OPM'!AB48=Checklist!$I$3,"Check","")</f>
        <v/>
      </c>
    </row>
    <row r="27" spans="2:4">
      <c r="B27" s="359"/>
      <c r="C27" s="359"/>
      <c r="D27" s="961"/>
    </row>
    <row r="28" spans="2:4">
      <c r="B28" s="958" t="s">
        <v>1298</v>
      </c>
      <c r="C28" s="359" t="s">
        <v>1299</v>
      </c>
      <c r="D28" s="961" t="str">
        <f ca="1">IF('Val Summ'!J12=Checklist!$I$3,"Check","")</f>
        <v/>
      </c>
    </row>
    <row r="29" spans="2:4">
      <c r="B29" s="359"/>
      <c r="C29" s="359"/>
      <c r="D29" s="961"/>
    </row>
    <row r="30" spans="2:4">
      <c r="B30" s="958" t="s">
        <v>1222</v>
      </c>
      <c r="C30" s="359" t="s">
        <v>1436</v>
      </c>
      <c r="D30" s="961" t="str">
        <f ca="1">IF('Hybrid OPM'!I38=Checklist!$I$3,"Check","")</f>
        <v/>
      </c>
    </row>
    <row r="31" spans="2:4">
      <c r="B31" s="359"/>
      <c r="C31" s="359"/>
      <c r="D31" s="961"/>
    </row>
    <row r="32" spans="2:4">
      <c r="B32" s="958" t="s">
        <v>1245</v>
      </c>
      <c r="C32" s="359" t="s">
        <v>1245</v>
      </c>
      <c r="D32" s="961" t="e">
        <f ca="1">IF('Val Summ'!M3=Checklist!$I$3,"Check","")</f>
        <v>#NAME?</v>
      </c>
    </row>
    <row r="33" spans="2:4">
      <c r="B33" s="359"/>
      <c r="C33" s="359"/>
      <c r="D33" s="961"/>
    </row>
    <row r="34" spans="2:4">
      <c r="B34" s="359"/>
      <c r="C34" s="359"/>
      <c r="D34" s="961"/>
    </row>
    <row r="35" spans="2:4">
      <c r="B35" s="359"/>
      <c r="C35" s="359"/>
      <c r="D35" s="961"/>
    </row>
    <row r="36" spans="2:4">
      <c r="B36" s="359"/>
      <c r="C36" s="359"/>
      <c r="D36" s="961"/>
    </row>
    <row r="37" spans="2:4">
      <c r="B37" s="359"/>
      <c r="C37" s="359"/>
      <c r="D37" s="961"/>
    </row>
    <row r="38" spans="2:4">
      <c r="B38" s="359"/>
      <c r="C38" s="359"/>
      <c r="D38" s="961"/>
    </row>
    <row r="39" spans="2:4">
      <c r="B39" s="359"/>
      <c r="C39" s="359"/>
      <c r="D39" s="961"/>
    </row>
    <row r="40" spans="2:4">
      <c r="B40" s="359"/>
      <c r="C40" s="359"/>
      <c r="D40" s="961"/>
    </row>
    <row r="41" spans="2:4">
      <c r="B41" s="359"/>
      <c r="C41" s="359"/>
      <c r="D41" s="961"/>
    </row>
    <row r="42" spans="2:4">
      <c r="B42" s="359"/>
      <c r="C42" s="359"/>
      <c r="D42" s="961"/>
    </row>
    <row r="43" spans="2:4">
      <c r="B43" s="359"/>
      <c r="C43" s="359"/>
      <c r="D43" s="961"/>
    </row>
    <row r="44" spans="2:4">
      <c r="B44" s="359"/>
      <c r="C44" s="359"/>
      <c r="D44" s="961"/>
    </row>
    <row r="45" spans="2:4">
      <c r="B45" s="359"/>
      <c r="C45" s="359"/>
      <c r="D45" s="961"/>
    </row>
    <row r="46" spans="2:4">
      <c r="B46" s="359"/>
      <c r="C46" s="359"/>
      <c r="D46" s="961"/>
    </row>
    <row r="47" spans="2:4">
      <c r="B47" s="359"/>
      <c r="C47" s="359"/>
      <c r="D47" s="961"/>
    </row>
    <row r="48" spans="2:4">
      <c r="B48" s="359"/>
      <c r="C48" s="359"/>
      <c r="D48" s="961"/>
    </row>
    <row r="49" spans="2:4">
      <c r="B49" s="359"/>
      <c r="C49" s="359"/>
      <c r="D49" s="961"/>
    </row>
    <row r="50" spans="2:4">
      <c r="B50" s="359"/>
      <c r="C50" s="359"/>
      <c r="D50" s="961"/>
    </row>
    <row r="51" spans="2:4">
      <c r="B51" s="359"/>
      <c r="C51" s="359"/>
      <c r="D51" s="961"/>
    </row>
    <row r="52" spans="2:4">
      <c r="B52" s="359"/>
      <c r="C52" s="359"/>
      <c r="D52" s="961"/>
    </row>
    <row r="53" spans="2:4">
      <c r="B53" s="359"/>
      <c r="C53" s="359"/>
      <c r="D53" s="961"/>
    </row>
    <row r="54" spans="2:4">
      <c r="B54" s="359"/>
      <c r="C54" s="359"/>
      <c r="D54" s="961"/>
    </row>
    <row r="55" spans="2:4">
      <c r="B55" s="359"/>
      <c r="C55" s="359"/>
      <c r="D55" s="961"/>
    </row>
    <row r="56" spans="2:4">
      <c r="B56" s="359"/>
      <c r="C56" s="359"/>
      <c r="D56" s="961"/>
    </row>
    <row r="57" spans="2:4">
      <c r="B57" s="359"/>
      <c r="C57" s="359"/>
      <c r="D57" s="961"/>
    </row>
    <row r="58" spans="2:4">
      <c r="B58" s="359"/>
      <c r="C58" s="359"/>
      <c r="D58" s="961"/>
    </row>
    <row r="59" spans="2:4">
      <c r="B59" s="359"/>
      <c r="C59" s="359"/>
      <c r="D59" s="961"/>
    </row>
    <row r="60" spans="2:4">
      <c r="B60" s="359"/>
      <c r="C60" s="359"/>
      <c r="D60" s="961"/>
    </row>
    <row r="61" spans="2:4">
      <c r="B61" s="359"/>
      <c r="C61" s="359"/>
      <c r="D61" s="961"/>
    </row>
    <row r="62" spans="2:4">
      <c r="B62" s="359"/>
      <c r="C62" s="359"/>
      <c r="D62" s="961"/>
    </row>
    <row r="63" spans="2:4">
      <c r="B63" s="359"/>
      <c r="C63" s="359"/>
      <c r="D63" s="961"/>
    </row>
    <row r="64" spans="2:4">
      <c r="B64" s="359"/>
      <c r="C64" s="359"/>
      <c r="D64" s="961"/>
    </row>
    <row r="65" spans="2:4">
      <c r="B65" s="359"/>
      <c r="C65" s="359"/>
      <c r="D65" s="961"/>
    </row>
    <row r="66" spans="2:4">
      <c r="B66" s="359"/>
      <c r="C66" s="359"/>
      <c r="D66" s="961"/>
    </row>
    <row r="67" spans="2:4">
      <c r="B67" s="359"/>
      <c r="C67" s="359"/>
      <c r="D67" s="961"/>
    </row>
    <row r="68" spans="2:4">
      <c r="B68" s="359"/>
      <c r="C68" s="359"/>
      <c r="D68" s="961"/>
    </row>
    <row r="69" spans="2:4">
      <c r="B69" s="359"/>
      <c r="C69" s="359"/>
      <c r="D69" s="961"/>
    </row>
    <row r="70" spans="2:4">
      <c r="B70" s="359"/>
      <c r="C70" s="359"/>
      <c r="D70" s="961"/>
    </row>
    <row r="71" spans="2:4">
      <c r="B71" s="359"/>
      <c r="C71" s="359"/>
      <c r="D71" s="961"/>
    </row>
    <row r="72" spans="2:4">
      <c r="B72" s="359"/>
      <c r="C72" s="359"/>
      <c r="D72" s="961"/>
    </row>
    <row r="73" spans="2:4">
      <c r="B73" s="359"/>
      <c r="C73" s="359"/>
      <c r="D73" s="961"/>
    </row>
    <row r="74" spans="2:4">
      <c r="B74" s="359"/>
      <c r="C74" s="359"/>
      <c r="D74" s="961"/>
    </row>
    <row r="75" spans="2:4">
      <c r="B75" s="359"/>
      <c r="C75" s="359"/>
      <c r="D75" s="961"/>
    </row>
    <row r="76" spans="2:4">
      <c r="B76" s="359"/>
      <c r="C76" s="359"/>
      <c r="D76" s="961"/>
    </row>
    <row r="77" spans="2:4">
      <c r="B77" s="359"/>
      <c r="C77" s="359"/>
      <c r="D77" s="281"/>
    </row>
    <row r="78" spans="2:4">
      <c r="B78" s="359"/>
      <c r="C78" s="359"/>
      <c r="D78" s="281"/>
    </row>
    <row r="79" spans="2:4">
      <c r="B79" s="359"/>
      <c r="C79" s="359"/>
      <c r="D79" s="281"/>
    </row>
    <row r="80" spans="2:4">
      <c r="B80" s="359"/>
      <c r="C80" s="359"/>
      <c r="D80" s="281"/>
    </row>
  </sheetData>
  <conditionalFormatting sqref="B3:E3">
    <cfRule type="cellIs" dxfId="367" priority="50" stopIfTrue="1" operator="equal">
      <formula>"input"</formula>
    </cfRule>
  </conditionalFormatting>
  <conditionalFormatting sqref="B32:C80 B20:C20 B10:D17 B7:C9 B21:D29">
    <cfRule type="expression" dxfId="366" priority="49">
      <formula>OR($B7="Exhibits",$B7="Workpapers")</formula>
    </cfRule>
  </conditionalFormatting>
  <conditionalFormatting sqref="D77:D80 D7 D9">
    <cfRule type="expression" dxfId="365" priority="48">
      <formula>$B7=""</formula>
    </cfRule>
  </conditionalFormatting>
  <conditionalFormatting sqref="D32:D76">
    <cfRule type="expression" dxfId="364" priority="35">
      <formula>OR($B32="Exhibits",$B32="Workpapers")</formula>
    </cfRule>
  </conditionalFormatting>
  <conditionalFormatting sqref="D32:D60 D10:D13 D29 D15:D17 D20:D27">
    <cfRule type="notContainsBlanks" dxfId="363" priority="34">
      <formula>LEN(TRIM(D10))&gt;0</formula>
    </cfRule>
  </conditionalFormatting>
  <conditionalFormatting sqref="D16">
    <cfRule type="expression" dxfId="362" priority="33">
      <formula>OR($B16="Exhibits",$B16="Workpapers")</formula>
    </cfRule>
  </conditionalFormatting>
  <conditionalFormatting sqref="D32">
    <cfRule type="expression" dxfId="361" priority="29">
      <formula>OR($B32="Exhibits",$B32="Workpapers")</formula>
    </cfRule>
  </conditionalFormatting>
  <conditionalFormatting sqref="D28">
    <cfRule type="notContainsBlanks" dxfId="360" priority="26">
      <formula>LEN(TRIM(D28))&gt;0</formula>
    </cfRule>
  </conditionalFormatting>
  <conditionalFormatting sqref="D28">
    <cfRule type="expression" dxfId="359" priority="25">
      <formula>OR($B28="Exhibits",$B28="Workpapers")</formula>
    </cfRule>
  </conditionalFormatting>
  <conditionalFormatting sqref="D14">
    <cfRule type="notContainsBlanks" dxfId="358" priority="10">
      <formula>LEN(TRIM(D14))&gt;0</formula>
    </cfRule>
  </conditionalFormatting>
  <conditionalFormatting sqref="B30:C31">
    <cfRule type="expression" dxfId="357" priority="9">
      <formula>OR($B30="Exhibits",$B30="Workpapers")</formula>
    </cfRule>
  </conditionalFormatting>
  <conditionalFormatting sqref="D30:D31">
    <cfRule type="expression" dxfId="356" priority="8">
      <formula>OR($B30="Exhibits",$B30="Workpapers")</formula>
    </cfRule>
  </conditionalFormatting>
  <conditionalFormatting sqref="D30:D31">
    <cfRule type="notContainsBlanks" dxfId="355" priority="7">
      <formula>LEN(TRIM(D30))&gt;0</formula>
    </cfRule>
  </conditionalFormatting>
  <conditionalFormatting sqref="D30">
    <cfRule type="expression" dxfId="354" priority="6">
      <formula>OR($B30="Exhibits",$B30="Workpapers")</formula>
    </cfRule>
  </conditionalFormatting>
  <conditionalFormatting sqref="D20">
    <cfRule type="expression" dxfId="353" priority="62">
      <formula>OR(#REF!="Exhibits",#REF!="Workpapers")</formula>
    </cfRule>
  </conditionalFormatting>
  <conditionalFormatting sqref="D8">
    <cfRule type="expression" dxfId="352" priority="5">
      <formula>OR($B8="Exhibits",$B8="Workpapers")</formula>
    </cfRule>
  </conditionalFormatting>
  <conditionalFormatting sqref="D8">
    <cfRule type="notContainsBlanks" dxfId="351" priority="4">
      <formula>LEN(TRIM(D8))&gt;0</formula>
    </cfRule>
  </conditionalFormatting>
  <conditionalFormatting sqref="B18:D19">
    <cfRule type="expression" dxfId="350" priority="3">
      <formula>OR($B18="Exhibits",$B18="Workpapers")</formula>
    </cfRule>
  </conditionalFormatting>
  <conditionalFormatting sqref="D18:D19">
    <cfRule type="notContainsBlanks" dxfId="349" priority="2">
      <formula>LEN(TRIM(D18))&gt;0</formula>
    </cfRule>
  </conditionalFormatting>
  <conditionalFormatting sqref="D18">
    <cfRule type="expression" dxfId="348" priority="1">
      <formula>OR($B18="Exhibits",$B18="Workpapers")</formula>
    </cfRule>
  </conditionalFormatting>
  <pageMargins left="0.5" right="0.5" top="0.5" bottom="0.5" header="0.5" footer="0.5"/>
  <pageSetup scale="85" fitToWidth="0" fitToHeight="0"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B6:J28"/>
  <sheetViews>
    <sheetView showGridLines="0" view="pageBreakPreview" zoomScaleNormal="100" zoomScaleSheetLayoutView="100" workbookViewId="0">
      <selection activeCell="G12" sqref="G12"/>
    </sheetView>
  </sheetViews>
  <sheetFormatPr defaultColWidth="9.33203125" defaultRowHeight="15"/>
  <cols>
    <col min="1" max="1" width="4.5" style="258" customWidth="1"/>
    <col min="2" max="2" width="3.83203125" style="258" customWidth="1"/>
    <col min="3" max="3" width="15.83203125" style="258" customWidth="1"/>
    <col min="4" max="4" width="115.83203125" style="259" customWidth="1"/>
    <col min="5" max="5" width="8.33203125" style="258" customWidth="1"/>
    <col min="6" max="6" width="3.83203125" style="258" customWidth="1"/>
    <col min="7" max="7" width="4.5" style="258" customWidth="1"/>
    <col min="8" max="8" width="9.33203125" style="258"/>
    <col min="9" max="9" width="22.33203125" style="258" bestFit="1" customWidth="1"/>
    <col min="10" max="10" width="19" style="258" bestFit="1" customWidth="1"/>
    <col min="11" max="16384" width="9.33203125" style="258"/>
  </cols>
  <sheetData>
    <row r="6" spans="2:9">
      <c r="B6" s="260"/>
      <c r="C6" s="249"/>
      <c r="D6" s="250"/>
      <c r="E6" s="249"/>
      <c r="F6" s="249"/>
    </row>
    <row r="7" spans="2:9" ht="15.75" thickBot="1">
      <c r="B7" s="260"/>
      <c r="C7" s="249"/>
      <c r="D7" s="250"/>
      <c r="E7" s="249"/>
      <c r="F7" s="249"/>
    </row>
    <row r="8" spans="2:9" ht="15.75" thickTop="1">
      <c r="B8" s="14"/>
      <c r="C8" s="261"/>
      <c r="D8" s="262"/>
      <c r="E8" s="261"/>
      <c r="F8" s="261"/>
    </row>
    <row r="9" spans="2:9" s="263" customFormat="1" ht="40.5">
      <c r="B9" s="264"/>
      <c r="C9" s="283"/>
      <c r="D9" s="283" t="str">
        <f>+'MASTER PubCo Inputs'!C8</f>
        <v>IRC 409A and ASC 718 Common Stock Independent Appraisal</v>
      </c>
      <c r="E9" s="265"/>
      <c r="F9" s="265"/>
      <c r="I9" s="979" t="str">
        <f ca="1">IF(COUNTIF(Checklist!D10:D32,"Check")&gt;0,"Check","")</f>
        <v/>
      </c>
    </row>
    <row r="10" spans="2:9">
      <c r="B10" s="251"/>
      <c r="C10" s="267"/>
      <c r="D10" s="284"/>
      <c r="E10" s="267"/>
      <c r="F10" s="267"/>
    </row>
    <row r="11" spans="2:9" ht="23.25">
      <c r="B11" s="251"/>
      <c r="C11" s="267"/>
      <c r="D11" s="252" t="s">
        <v>3335</v>
      </c>
      <c r="E11" s="267"/>
      <c r="F11" s="267"/>
    </row>
    <row r="12" spans="2:9" ht="19.5">
      <c r="B12" s="251"/>
      <c r="C12" s="267"/>
      <c r="D12" s="285" t="s">
        <v>293</v>
      </c>
      <c r="E12" s="267"/>
      <c r="F12" s="267"/>
    </row>
    <row r="13" spans="2:9" ht="23.25">
      <c r="B13" s="251"/>
      <c r="C13" s="267"/>
      <c r="D13" s="252" t="str">
        <f>IF('MASTER PubCo Inputs'!C5="","",'MASTER PubCo Inputs'!C5)</f>
        <v>Pliant Therapeutics, Inc.</v>
      </c>
      <c r="E13" s="267"/>
      <c r="F13" s="267"/>
    </row>
    <row r="14" spans="2:9">
      <c r="B14" s="251"/>
      <c r="C14" s="267"/>
      <c r="D14" s="284"/>
      <c r="E14" s="267"/>
      <c r="F14" s="267"/>
    </row>
    <row r="15" spans="2:9" ht="23.25">
      <c r="B15" s="251"/>
      <c r="C15" s="267"/>
      <c r="D15" s="252" t="str">
        <f>"Valuation Date as of "&amp;TEXT('MASTER PubCo Inputs'!$C$6,"mmmm d, yyyy")&amp;""</f>
        <v>Valuation Date as of July 31, 2018</v>
      </c>
      <c r="E15" s="267"/>
      <c r="F15" s="267"/>
    </row>
    <row r="16" spans="2:9" ht="15.75" thickBot="1">
      <c r="B16" s="253"/>
      <c r="C16" s="268"/>
      <c r="D16" s="269"/>
      <c r="E16" s="268"/>
      <c r="F16" s="268"/>
    </row>
    <row r="17" spans="4:10" ht="15.75" thickTop="1"/>
    <row r="19" spans="4:10" ht="18.75">
      <c r="D19" s="254" t="s">
        <v>294</v>
      </c>
    </row>
    <row r="20" spans="4:10" ht="18.75">
      <c r="D20" s="255" t="str">
        <f ca="1">TEXT(J20,"mmmm d, yyyy")</f>
        <v>November 29, 2018</v>
      </c>
      <c r="I20" s="258" t="s">
        <v>296</v>
      </c>
      <c r="J20" s="282">
        <f ca="1">TODAY()</f>
        <v>43433</v>
      </c>
    </row>
    <row r="25" spans="4:10" ht="23.25">
      <c r="D25" s="856" t="s">
        <v>646</v>
      </c>
    </row>
    <row r="27" spans="4:10" ht="18.75">
      <c r="D27" s="256" t="s">
        <v>470</v>
      </c>
    </row>
    <row r="28" spans="4:10" ht="37.5">
      <c r="D28" s="257" t="s">
        <v>295</v>
      </c>
    </row>
  </sheetData>
  <pageMargins left="0.5" right="0.5" top="0.5" bottom="0.5" header="0.5" footer="0.5"/>
  <pageSetup scale="98"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B1:L11"/>
  <sheetViews>
    <sheetView showGridLines="0" view="pageBreakPreview" zoomScaleNormal="145" zoomScaleSheetLayoutView="100" workbookViewId="0">
      <selection activeCell="G12" sqref="G12"/>
    </sheetView>
  </sheetViews>
  <sheetFormatPr defaultRowHeight="12.75" outlineLevelCol="1"/>
  <cols>
    <col min="1" max="1" width="4.5" style="385" customWidth="1"/>
    <col min="2" max="2" width="20.83203125" style="385" customWidth="1"/>
    <col min="3" max="3" width="14.83203125" style="385" customWidth="1"/>
    <col min="4" max="4" width="15.83203125" style="385" customWidth="1"/>
    <col min="5" max="5" width="66" style="391" customWidth="1"/>
    <col min="6" max="6" width="30.83203125" style="385" customWidth="1"/>
    <col min="7" max="7" width="20.83203125" style="391" hidden="1" customWidth="1" outlineLevel="1"/>
    <col min="8" max="8" width="4.5" style="385" customWidth="1" collapsed="1"/>
    <col min="9" max="10" width="2.83203125" style="385" customWidth="1"/>
    <col min="11" max="11" width="3.33203125" style="385" customWidth="1"/>
    <col min="12" max="16384" width="9.33203125" style="385"/>
  </cols>
  <sheetData>
    <row r="1" spans="2:12" ht="10.7" customHeight="1" thickBot="1"/>
    <row r="2" spans="2:12" ht="16.5" customHeight="1" thickTop="1">
      <c r="B2" s="10" t="str">
        <f>'MASTER PubCo Inputs'!$C$5</f>
        <v>Pliant Therapeutics, Inc.</v>
      </c>
      <c r="C2" s="10"/>
      <c r="D2" s="10"/>
      <c r="E2" s="345"/>
      <c r="F2" s="10"/>
      <c r="G2" s="345"/>
    </row>
    <row r="3" spans="2:12" ht="16.5" customHeight="1" thickBot="1">
      <c r="B3" s="12" t="s">
        <v>435</v>
      </c>
      <c r="C3" s="12"/>
      <c r="D3" s="12"/>
      <c r="E3" s="346"/>
      <c r="F3" s="12"/>
      <c r="G3" s="346"/>
    </row>
    <row r="4" spans="2:12" ht="12.75" customHeight="1" thickTop="1"/>
    <row r="5" spans="2:12" ht="12.75" customHeight="1"/>
    <row r="6" spans="2:12" ht="12.75" customHeight="1">
      <c r="B6" s="342" t="s">
        <v>1155</v>
      </c>
      <c r="C6" s="1"/>
      <c r="D6" s="1"/>
      <c r="E6" s="342" t="s">
        <v>3369</v>
      </c>
      <c r="F6" s="1"/>
      <c r="G6" s="342"/>
    </row>
    <row r="7" spans="2:12" ht="12.75" customHeight="1">
      <c r="B7" s="358"/>
      <c r="C7" s="1"/>
      <c r="D7" s="1"/>
      <c r="E7" s="342"/>
      <c r="F7" s="1"/>
      <c r="G7" s="342"/>
    </row>
    <row r="8" spans="2:12">
      <c r="B8" s="359"/>
      <c r="E8" s="281" t="str">
        <f>'Comparison Sheet'!B3</f>
        <v>Comparison Summary</v>
      </c>
      <c r="G8" s="391" t="str">
        <f>"Exhibit "&amp;B8</f>
        <v xml:space="preserve">Exhibit </v>
      </c>
      <c r="J8" s="385">
        <v>65</v>
      </c>
      <c r="K8" s="385" t="str">
        <f>CHAR(J8)</f>
        <v>A</v>
      </c>
      <c r="L8" s="385">
        <v>1</v>
      </c>
    </row>
    <row r="9" spans="2:12">
      <c r="B9" s="359" t="s">
        <v>1508</v>
      </c>
      <c r="E9" s="281" t="str">
        <f>'Dividend Calculations'!B4</f>
        <v>Dividend Calculations Based on Series A Raise Dates</v>
      </c>
      <c r="G9" s="391" t="str">
        <f t="shared" ref="G9:G11" si="0">"Exhibit "&amp;B9</f>
        <v>Exhibit #1</v>
      </c>
    </row>
    <row r="10" spans="2:12">
      <c r="B10" s="359" t="s">
        <v>1509</v>
      </c>
      <c r="E10" s="281" t="str">
        <f>PWERM_1!B4</f>
        <v>PWERM Analysis (Scenario 1)</v>
      </c>
      <c r="G10" s="391" t="str">
        <f t="shared" si="0"/>
        <v>Exhibit #2</v>
      </c>
    </row>
    <row r="11" spans="2:12">
      <c r="B11" s="359" t="s">
        <v>3367</v>
      </c>
      <c r="E11" s="281" t="str">
        <f>PWERM_2!B4</f>
        <v>PWERM Analysis (Scenario 2)</v>
      </c>
      <c r="G11" s="391" t="str">
        <f t="shared" si="0"/>
        <v>Exhibit #3</v>
      </c>
      <c r="J11" s="385">
        <f>IF(J10="",J8+1,J10)</f>
        <v>66</v>
      </c>
      <c r="K11" s="385" t="str">
        <f>CHAR(J11)</f>
        <v>B</v>
      </c>
      <c r="L11" s="385">
        <f>IF(L10="",1,L10+1)</f>
        <v>1</v>
      </c>
    </row>
  </sheetData>
  <conditionalFormatting sqref="B3:G3">
    <cfRule type="cellIs" dxfId="347" priority="20" stopIfTrue="1" operator="equal">
      <formula>"input"</formula>
    </cfRule>
  </conditionalFormatting>
  <conditionalFormatting sqref="B7:B11">
    <cfRule type="expression" dxfId="346" priority="19">
      <formula>OR($B7="Exhibits",$B7="Workpapers")</formula>
    </cfRule>
  </conditionalFormatting>
  <conditionalFormatting sqref="E7:E11">
    <cfRule type="expression" dxfId="345" priority="18">
      <formula>$B7=""</formula>
    </cfRule>
  </conditionalFormatting>
  <conditionalFormatting sqref="G8:G11">
    <cfRule type="expression" dxfId="344" priority="17">
      <formula>$B8="Workpapers"</formula>
    </cfRule>
  </conditionalFormatting>
  <pageMargins left="0.5" right="0.5" top="0.5" bottom="0.5" header="0.5" footer="0.5"/>
  <pageSetup scale="95" fitToWidth="0"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3"/>
  <sheetViews>
    <sheetView showGridLines="0" tabSelected="1" view="pageBreakPreview" zoomScaleNormal="100" zoomScaleSheetLayoutView="100" workbookViewId="0"/>
  </sheetViews>
  <sheetFormatPr defaultRowHeight="12.75" outlineLevelRow="1"/>
  <cols>
    <col min="1" max="1" width="4.5" customWidth="1"/>
    <col min="2" max="2" width="77.5" customWidth="1"/>
    <col min="3" max="3" width="4" customWidth="1"/>
    <col min="4" max="4" width="15.83203125" customWidth="1"/>
    <col min="5" max="5" width="1.83203125" customWidth="1"/>
    <col min="6" max="6" width="15.5" customWidth="1"/>
    <col min="7" max="7" width="1.83203125" customWidth="1"/>
    <col min="8" max="8" width="21.33203125" customWidth="1"/>
    <col min="9" max="9" width="4.5" customWidth="1"/>
  </cols>
  <sheetData>
    <row r="1" spans="2:12" ht="13.5" thickBot="1"/>
    <row r="2" spans="2:12" s="385" customFormat="1" ht="16.5" customHeight="1" thickTop="1">
      <c r="B2" s="10" t="str">
        <f>'MASTER PubCo Inputs'!$C$5</f>
        <v>Pliant Therapeutics, Inc.</v>
      </c>
      <c r="C2" s="10"/>
      <c r="D2" s="10"/>
      <c r="E2" s="10"/>
      <c r="F2" s="10"/>
      <c r="G2" s="10"/>
      <c r="H2" s="10"/>
      <c r="I2" s="423"/>
      <c r="J2" s="423"/>
      <c r="K2" s="423"/>
      <c r="L2" s="16"/>
    </row>
    <row r="3" spans="2:12" ht="16.5" thickBot="1">
      <c r="B3" s="12" t="s">
        <v>3336</v>
      </c>
      <c r="C3" s="1734" t="s">
        <v>133</v>
      </c>
      <c r="D3" s="12"/>
      <c r="E3" s="12"/>
      <c r="F3" s="12"/>
      <c r="G3" s="13"/>
      <c r="H3" s="13" t="str">
        <f>'MASTER PubCo Inputs'!C19</f>
        <v>(in thousands of USD, except price per share)</v>
      </c>
    </row>
    <row r="4" spans="2:12" ht="13.5" thickTop="1"/>
    <row r="6" spans="2:12">
      <c r="B6" s="2225" t="s">
        <v>610</v>
      </c>
      <c r="C6" s="2226"/>
      <c r="D6" s="2227" t="s">
        <v>76</v>
      </c>
      <c r="E6" s="298"/>
      <c r="F6" s="2224" t="s">
        <v>78</v>
      </c>
      <c r="G6" s="6"/>
      <c r="H6" s="2224" t="s">
        <v>329</v>
      </c>
    </row>
    <row r="7" spans="2:12">
      <c r="B7" s="385"/>
      <c r="C7" s="385"/>
      <c r="D7" s="385"/>
      <c r="E7" s="385"/>
      <c r="F7" s="385"/>
      <c r="G7" s="385"/>
      <c r="H7" s="196"/>
    </row>
    <row r="8" spans="2:12">
      <c r="B8" s="385" t="s">
        <v>3355</v>
      </c>
      <c r="C8" s="385"/>
      <c r="D8" s="433">
        <f>PWERM_1!B194</f>
        <v>147690</v>
      </c>
      <c r="E8" s="2287"/>
      <c r="F8" s="2242">
        <f>PWERM_1!B108</f>
        <v>0.29182253688483567</v>
      </c>
      <c r="G8" s="2288"/>
      <c r="H8" s="2242">
        <f>PWERM_1!F156</f>
        <v>1.0329747190399396</v>
      </c>
    </row>
    <row r="9" spans="2:12">
      <c r="B9" s="385" t="s">
        <v>3356</v>
      </c>
      <c r="C9" s="385"/>
      <c r="D9" s="428">
        <f>PWERM_2!B195</f>
        <v>147690</v>
      </c>
      <c r="E9" s="2288"/>
      <c r="F9" s="2242">
        <f ca="1">PWERM_2!B108</f>
        <v>0.29182253688483567</v>
      </c>
      <c r="G9" s="2288"/>
      <c r="H9" s="2242">
        <f>PWERM_2!F156</f>
        <v>1.0460262688133179</v>
      </c>
    </row>
    <row r="10" spans="2:12" ht="6" customHeight="1">
      <c r="B10" s="385"/>
      <c r="C10" s="385"/>
      <c r="D10" s="385"/>
      <c r="E10" s="385"/>
      <c r="F10" s="385"/>
      <c r="G10" s="385"/>
      <c r="H10" s="196"/>
    </row>
    <row r="11" spans="2:12">
      <c r="B11" s="2039" t="s">
        <v>39</v>
      </c>
      <c r="C11" s="2229"/>
      <c r="D11" s="2230">
        <f>D8/D9-1</f>
        <v>0</v>
      </c>
      <c r="E11" s="2230"/>
      <c r="F11" s="2230">
        <f ca="1">F8/F9-1</f>
        <v>0</v>
      </c>
      <c r="G11" s="2230"/>
      <c r="H11" s="2231">
        <f>H8/H9-1</f>
        <v>-1.2477267696331285E-2</v>
      </c>
    </row>
    <row r="12" spans="2:12">
      <c r="B12" s="385"/>
      <c r="C12" s="2181"/>
      <c r="D12" s="2184"/>
      <c r="E12" s="2185"/>
      <c r="F12" s="2184"/>
      <c r="G12" s="2186"/>
      <c r="H12" s="2223"/>
    </row>
    <row r="13" spans="2:12" hidden="1" outlineLevel="1">
      <c r="B13" s="385" t="s">
        <v>3350</v>
      </c>
      <c r="C13" s="2181"/>
      <c r="D13" s="2027">
        <v>138000</v>
      </c>
      <c r="F13" s="2228">
        <v>0.48</v>
      </c>
      <c r="G13" s="385"/>
      <c r="H13" s="2228">
        <v>0.88430541389914286</v>
      </c>
    </row>
    <row r="14" spans="2:12" hidden="1" outlineLevel="1">
      <c r="B14" s="385" t="s">
        <v>3351</v>
      </c>
      <c r="C14" s="2181"/>
      <c r="D14" s="2235">
        <f>'Hybrid OPM'!C37</f>
        <v>138000</v>
      </c>
      <c r="E14" s="2185"/>
      <c r="F14" s="2239">
        <f ca="1">'Hybrid OPM'!C33</f>
        <v>0.47643459553393552</v>
      </c>
      <c r="G14" s="2240"/>
      <c r="H14" s="2239">
        <f ca="1">'Hybrid OPM'!G27</f>
        <v>0.88781424764694739</v>
      </c>
    </row>
    <row r="15" spans="2:12" hidden="1" outlineLevel="1">
      <c r="B15" s="2039" t="s">
        <v>39</v>
      </c>
      <c r="C15" s="2229"/>
      <c r="D15" s="2230">
        <f>D13/D14-1</f>
        <v>0</v>
      </c>
      <c r="E15" s="2230"/>
      <c r="F15" s="2230">
        <f ca="1">F13/F14-1</f>
        <v>7.4835129511716669E-3</v>
      </c>
      <c r="G15" s="2230"/>
      <c r="H15" s="2231">
        <f ca="1">H13/H14-1</f>
        <v>-3.9522160824793096E-3</v>
      </c>
    </row>
    <row r="16" spans="2:12" hidden="1" outlineLevel="1">
      <c r="B16" s="279"/>
      <c r="C16" s="279"/>
      <c r="D16" s="2241"/>
      <c r="E16" s="2241"/>
      <c r="F16" s="2241"/>
      <c r="G16" s="2241"/>
      <c r="H16" s="2241"/>
    </row>
    <row r="17" spans="1:8" hidden="1" outlineLevel="1">
      <c r="B17" s="385" t="s">
        <v>3348</v>
      </c>
      <c r="C17" s="2181"/>
      <c r="D17" s="2027">
        <v>136170.70000000001</v>
      </c>
      <c r="F17" s="2228">
        <v>0.46</v>
      </c>
      <c r="G17" s="385"/>
      <c r="H17" s="2228">
        <v>0.85</v>
      </c>
    </row>
    <row r="18" spans="1:8" hidden="1" outlineLevel="1">
      <c r="B18" s="385" t="s">
        <v>3349</v>
      </c>
      <c r="C18" s="2181"/>
      <c r="D18" s="2235">
        <f ca="1">'OPM Backsolve WP2'!D16</f>
        <v>136170.68980112427</v>
      </c>
      <c r="E18" s="2185"/>
      <c r="F18" s="2239">
        <f ca="1">'OPM Backsolve WP2'!L14</f>
        <v>0.45817338031497712</v>
      </c>
      <c r="G18" s="2186"/>
      <c r="H18" s="2239">
        <f ca="1">'OPM Backsolve WP2'!H9</f>
        <v>0.85643033683211511</v>
      </c>
    </row>
    <row r="19" spans="1:8" hidden="1" outlineLevel="1">
      <c r="B19" s="2039" t="s">
        <v>39</v>
      </c>
      <c r="C19" s="2229"/>
      <c r="D19" s="2230">
        <f ca="1">D17/D18-1</f>
        <v>7.4897731350276331E-8</v>
      </c>
      <c r="E19" s="2230"/>
      <c r="F19" s="2230">
        <f ca="1">F17/F18-1</f>
        <v>3.9867433672535757E-3</v>
      </c>
      <c r="G19" s="2230"/>
      <c r="H19" s="2231">
        <f ca="1">H17/H18-1</f>
        <v>-7.508301090664915E-3</v>
      </c>
    </row>
    <row r="20" spans="1:8" hidden="1" outlineLevel="1">
      <c r="B20" s="385"/>
      <c r="C20" s="2181"/>
      <c r="D20" s="2184"/>
      <c r="E20" s="2185"/>
      <c r="F20" s="2184"/>
      <c r="G20" s="2186"/>
      <c r="H20" s="2223"/>
    </row>
    <row r="21" spans="1:8" collapsed="1">
      <c r="B21" s="8" t="s">
        <v>21</v>
      </c>
      <c r="C21" s="2181"/>
      <c r="D21" s="2184"/>
      <c r="E21" s="2185"/>
      <c r="F21" s="2184"/>
      <c r="G21" s="2186"/>
      <c r="H21" s="2223"/>
    </row>
    <row r="22" spans="1:8" ht="54" customHeight="1">
      <c r="A22" s="816" t="s">
        <v>133</v>
      </c>
      <c r="B22" s="2289" t="s">
        <v>3358</v>
      </c>
      <c r="C22" s="2289"/>
      <c r="D22" s="2289"/>
      <c r="E22" s="2289"/>
      <c r="F22" s="2289"/>
      <c r="G22" s="2289"/>
      <c r="H22" s="2289"/>
    </row>
    <row r="23" spans="1:8">
      <c r="B23" s="385"/>
      <c r="C23" s="2181"/>
      <c r="D23" s="2184"/>
      <c r="E23" s="2185"/>
      <c r="F23" s="2184"/>
      <c r="G23" s="2186"/>
      <c r="H23" s="2223"/>
    </row>
  </sheetData>
  <mergeCells count="1">
    <mergeCell ref="B22:H22"/>
  </mergeCells>
  <conditionalFormatting sqref="B3:G3">
    <cfRule type="cellIs" dxfId="343" priority="7" stopIfTrue="1" operator="equal">
      <formula>"input"</formula>
    </cfRule>
  </conditionalFormatting>
  <conditionalFormatting sqref="G3">
    <cfRule type="cellIs" dxfId="342" priority="5" stopIfTrue="1" operator="equal">
      <formula>"input"</formula>
    </cfRule>
  </conditionalFormatting>
  <conditionalFormatting sqref="G3">
    <cfRule type="cellIs" dxfId="341" priority="6" stopIfTrue="1" operator="equal">
      <formula>"input"</formula>
    </cfRule>
  </conditionalFormatting>
  <conditionalFormatting sqref="H3">
    <cfRule type="cellIs" dxfId="340" priority="1" stopIfTrue="1" operator="equal">
      <formula>"input"</formula>
    </cfRule>
  </conditionalFormatting>
  <conditionalFormatting sqref="H3">
    <cfRule type="cellIs" dxfId="339" priority="3" stopIfTrue="1" operator="equal">
      <formula>"input"</formula>
    </cfRule>
  </conditionalFormatting>
  <conditionalFormatting sqref="H3">
    <cfRule type="cellIs" dxfId="338" priority="2" stopIfTrue="1" operator="equal">
      <formula>"input"</formula>
    </cfRule>
  </conditionalFormatting>
  <pageMargins left="0.7" right="0.7" top="0.75" bottom="0.75" header="0.3" footer="0.3"/>
  <pageSetup orientation="landscape" horizontalDpi="1200" verticalDpi="1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X81"/>
  <sheetViews>
    <sheetView showGridLines="0" view="pageBreakPreview" zoomScale="85" zoomScaleNormal="145" zoomScaleSheetLayoutView="85" workbookViewId="0">
      <selection activeCell="G12" sqref="G12"/>
    </sheetView>
  </sheetViews>
  <sheetFormatPr defaultRowHeight="12.75" outlineLevelRow="1"/>
  <cols>
    <col min="1" max="1" width="4.5" style="385" customWidth="1"/>
    <col min="2" max="2" width="45.6640625" style="385" customWidth="1"/>
    <col min="3" max="3" width="2.83203125" style="385" customWidth="1"/>
    <col min="4" max="11" width="17" style="385" customWidth="1"/>
    <col min="12" max="12" width="4.5" style="385" customWidth="1"/>
    <col min="13" max="13" width="4.33203125" style="385" customWidth="1"/>
    <col min="14" max="14" width="57.33203125" style="385" bestFit="1" customWidth="1"/>
    <col min="15" max="19" width="14.33203125" style="385" customWidth="1"/>
    <col min="20" max="20" width="12.83203125" style="385" customWidth="1"/>
    <col min="21" max="21" width="12.6640625" style="385" customWidth="1"/>
    <col min="22" max="16384" width="9.33203125" style="385"/>
  </cols>
  <sheetData>
    <row r="1" spans="2:24" ht="10.7" customHeight="1" thickBot="1">
      <c r="N1" s="1354" t="s">
        <v>1084</v>
      </c>
      <c r="O1" s="1355"/>
      <c r="P1" s="1" t="s">
        <v>399</v>
      </c>
    </row>
    <row r="2" spans="2:24" ht="16.5" customHeight="1" thickTop="1">
      <c r="B2" s="10" t="str">
        <f>'MASTER PubCo Inputs'!$C$5</f>
        <v>Pliant Therapeutics, Inc.</v>
      </c>
      <c r="C2" s="10"/>
      <c r="D2" s="10"/>
      <c r="E2" s="10"/>
      <c r="F2" s="10"/>
      <c r="G2" s="10"/>
      <c r="H2" s="10"/>
      <c r="I2" s="10"/>
      <c r="J2" s="10"/>
      <c r="K2" s="10"/>
      <c r="N2" s="1356" t="s">
        <v>1905</v>
      </c>
      <c r="O2" s="1357" t="s">
        <v>17</v>
      </c>
    </row>
    <row r="3" spans="2:24" ht="15.75" customHeight="1">
      <c r="B3" s="11" t="s">
        <v>3359</v>
      </c>
      <c r="C3" s="11"/>
      <c r="D3" s="11"/>
      <c r="E3" s="11"/>
      <c r="F3" s="11"/>
      <c r="G3" s="11"/>
      <c r="H3" s="11"/>
      <c r="I3" s="11"/>
      <c r="J3" s="11"/>
      <c r="K3" s="11"/>
      <c r="N3" s="335" t="s">
        <v>221</v>
      </c>
      <c r="O3" s="1359">
        <v>0</v>
      </c>
    </row>
    <row r="4" spans="2:24" ht="16.5" customHeight="1" thickBot="1">
      <c r="B4" s="12" t="s">
        <v>3354</v>
      </c>
      <c r="C4" s="12"/>
      <c r="D4" s="12"/>
      <c r="E4" s="12"/>
      <c r="F4" s="12"/>
      <c r="G4" s="12"/>
      <c r="H4" s="12"/>
      <c r="I4" s="12"/>
      <c r="J4" s="12"/>
      <c r="K4" s="13" t="str">
        <f>+'MASTER PubCo Inputs'!$C$20</f>
        <v>(in thousands of USD and shares, except price per share)</v>
      </c>
      <c r="N4" s="335" t="s">
        <v>1906</v>
      </c>
      <c r="O4" s="1359">
        <v>0</v>
      </c>
    </row>
    <row r="5" spans="2:24" ht="12.75" customHeight="1" thickTop="1">
      <c r="N5" s="335" t="s">
        <v>2476</v>
      </c>
      <c r="O5" s="1359">
        <v>0</v>
      </c>
    </row>
    <row r="6" spans="2:24" s="6" customFormat="1" ht="27.75" customHeight="1">
      <c r="D6" s="2233" t="s">
        <v>2877</v>
      </c>
      <c r="E6" s="2232" t="s">
        <v>2878</v>
      </c>
      <c r="F6" s="2232" t="s">
        <v>2879</v>
      </c>
      <c r="G6" s="2232" t="s">
        <v>3338</v>
      </c>
      <c r="H6" s="2232" t="s">
        <v>3337</v>
      </c>
      <c r="I6" s="2232" t="s">
        <v>3339</v>
      </c>
      <c r="J6" s="2232" t="s">
        <v>2264</v>
      </c>
      <c r="K6" s="2227" t="s">
        <v>2265</v>
      </c>
      <c r="N6" s="335" t="str">
        <f>'Cap Table'!B24&amp;" Exercise"</f>
        <v>Options at $0.001 Strike Price Exercise</v>
      </c>
      <c r="O6" s="1358">
        <f>'Cap Table'!E24</f>
        <v>1E-3</v>
      </c>
    </row>
    <row r="7" spans="2:24" ht="12.75" customHeight="1">
      <c r="N7" s="335" t="str">
        <f>'Cap Table'!B25&amp;" Exercise"</f>
        <v>Options at $0.010 Strike Price Exercise</v>
      </c>
      <c r="O7" s="1358">
        <f>'Cap Table'!E25</f>
        <v>0.01</v>
      </c>
    </row>
    <row r="8" spans="2:24" ht="12.75" customHeight="1">
      <c r="B8" s="61" t="str">
        <f>"Features "&amp;TEXT(A39,"(0)")</f>
        <v>Features (1)</v>
      </c>
      <c r="C8" s="111"/>
      <c r="D8" s="2158">
        <v>2</v>
      </c>
      <c r="E8" s="2158">
        <v>2</v>
      </c>
      <c r="F8" s="2158">
        <v>2</v>
      </c>
      <c r="G8" s="2158">
        <v>2</v>
      </c>
      <c r="H8" s="2158">
        <v>2</v>
      </c>
      <c r="I8" s="2158">
        <v>2</v>
      </c>
      <c r="J8" s="2158">
        <v>3</v>
      </c>
      <c r="K8" s="2159">
        <f>J8</f>
        <v>3</v>
      </c>
      <c r="N8" s="335" t="str">
        <f>'Cap Table'!B26&amp;" Exercise and "&amp;'Cap Table'!B27&amp;" receive cash at "&amp;TEXT(O8,"$0.000")&amp;" Strike Price"</f>
        <v>Expected Options Grant Exercise and Phantom Stock receive cash at $0.290 Strike Price</v>
      </c>
      <c r="O8" s="1358">
        <f>'Cap Table'!E26</f>
        <v>0.28999999999999998</v>
      </c>
    </row>
    <row r="9" spans="2:24" ht="12.75" customHeight="1">
      <c r="B9" s="2" t="s">
        <v>213</v>
      </c>
      <c r="D9" s="2234">
        <v>42235</v>
      </c>
      <c r="E9" s="2234">
        <v>42468</v>
      </c>
      <c r="F9" s="2234">
        <v>42628</v>
      </c>
      <c r="G9" s="2234">
        <v>42825</v>
      </c>
      <c r="H9" s="2234">
        <v>43100</v>
      </c>
      <c r="I9" s="2234">
        <v>43190</v>
      </c>
      <c r="J9" s="185">
        <v>43291</v>
      </c>
      <c r="K9" s="185">
        <v>43383</v>
      </c>
      <c r="N9" s="335" t="s">
        <v>1907</v>
      </c>
      <c r="O9" s="1360">
        <f>D33</f>
        <v>3.7264762065331927</v>
      </c>
      <c r="V9" s="7"/>
      <c r="W9" s="7"/>
    </row>
    <row r="10" spans="2:24" ht="12.75" customHeight="1">
      <c r="B10" s="2" t="s">
        <v>224</v>
      </c>
      <c r="D10" s="1349">
        <v>6500</v>
      </c>
      <c r="E10" s="1349">
        <v>5000</v>
      </c>
      <c r="F10" s="1349">
        <v>5000</v>
      </c>
      <c r="G10" s="1349">
        <v>16000</v>
      </c>
      <c r="H10" s="1349">
        <v>12500</v>
      </c>
      <c r="I10" s="1349">
        <v>11000</v>
      </c>
      <c r="J10" s="744">
        <f>'Cap Table'!E8</f>
        <v>45142.960008861766</v>
      </c>
      <c r="K10" s="744">
        <f>'Cap Table'!F8</f>
        <v>5703.2659999999996</v>
      </c>
      <c r="N10" s="900" t="s">
        <v>2075</v>
      </c>
      <c r="O10" s="1361">
        <f>J33</f>
        <v>1.536225400140113</v>
      </c>
    </row>
    <row r="11" spans="2:24" ht="12.75" customHeight="1">
      <c r="B11" s="2" t="s">
        <v>279</v>
      </c>
      <c r="D11" s="186">
        <v>1</v>
      </c>
      <c r="E11" s="163">
        <f>D11</f>
        <v>1</v>
      </c>
      <c r="F11" s="163">
        <f t="shared" ref="F11:I11" si="0">E11</f>
        <v>1</v>
      </c>
      <c r="G11" s="163">
        <f t="shared" si="0"/>
        <v>1</v>
      </c>
      <c r="H11" s="163">
        <f t="shared" si="0"/>
        <v>1</v>
      </c>
      <c r="I11" s="163">
        <f t="shared" si="0"/>
        <v>1</v>
      </c>
      <c r="J11" s="186">
        <f>'Cap table '!C48</f>
        <v>1.3767</v>
      </c>
      <c r="K11" s="1003">
        <f>J11</f>
        <v>1.3767</v>
      </c>
      <c r="R11" s="7"/>
      <c r="S11" s="7"/>
      <c r="T11" s="7"/>
      <c r="U11" s="7"/>
      <c r="V11" s="7"/>
      <c r="W11" s="7"/>
      <c r="X11" s="7"/>
    </row>
    <row r="12" spans="2:24" ht="12.75" customHeight="1">
      <c r="B12" s="2" t="s">
        <v>372</v>
      </c>
      <c r="D12" s="458">
        <f>D10*D11</f>
        <v>6500</v>
      </c>
      <c r="E12" s="458">
        <f t="shared" ref="E12:I12" si="1">E10*E11</f>
        <v>5000</v>
      </c>
      <c r="F12" s="458">
        <f t="shared" si="1"/>
        <v>5000</v>
      </c>
      <c r="G12" s="458">
        <f t="shared" si="1"/>
        <v>16000</v>
      </c>
      <c r="H12" s="458">
        <f t="shared" si="1"/>
        <v>12500</v>
      </c>
      <c r="I12" s="458">
        <f t="shared" si="1"/>
        <v>11000</v>
      </c>
      <c r="J12" s="458">
        <f>J10*J11</f>
        <v>62148.313044199997</v>
      </c>
      <c r="K12" s="458">
        <f>K10*K11</f>
        <v>7851.6863021999998</v>
      </c>
      <c r="N12" s="1354" t="s">
        <v>1084</v>
      </c>
      <c r="O12" s="1355"/>
      <c r="P12" s="1" t="s">
        <v>1222</v>
      </c>
      <c r="R12" s="7"/>
      <c r="S12" s="7"/>
      <c r="T12" s="7"/>
      <c r="U12" s="7"/>
      <c r="V12" s="7"/>
      <c r="W12" s="7"/>
      <c r="X12" s="7"/>
    </row>
    <row r="13" spans="2:24" ht="12.75" customHeight="1">
      <c r="B13" s="2"/>
      <c r="D13" s="296"/>
      <c r="E13" s="296"/>
      <c r="F13" s="296"/>
      <c r="G13" s="296"/>
      <c r="H13" s="296"/>
      <c r="I13" s="296"/>
      <c r="J13" s="296"/>
      <c r="K13" s="296"/>
      <c r="N13" s="1356" t="s">
        <v>1905</v>
      </c>
      <c r="O13" s="1357" t="s">
        <v>17</v>
      </c>
      <c r="R13" s="7"/>
      <c r="S13" s="7"/>
      <c r="T13" s="7"/>
      <c r="U13" s="7"/>
      <c r="V13" s="7"/>
      <c r="W13" s="7"/>
      <c r="X13" s="7"/>
    </row>
    <row r="14" spans="2:24" ht="12.75" customHeight="1">
      <c r="B14" s="2" t="s">
        <v>375</v>
      </c>
      <c r="D14" s="187">
        <v>1</v>
      </c>
      <c r="E14" s="187">
        <v>1</v>
      </c>
      <c r="F14" s="187">
        <v>1</v>
      </c>
      <c r="G14" s="187">
        <v>1</v>
      </c>
      <c r="H14" s="187">
        <v>1</v>
      </c>
      <c r="I14" s="187">
        <v>1</v>
      </c>
      <c r="J14" s="187">
        <v>1</v>
      </c>
      <c r="K14" s="187">
        <v>1</v>
      </c>
      <c r="N14" s="335" t="s">
        <v>221</v>
      </c>
      <c r="O14" s="1359">
        <v>0</v>
      </c>
      <c r="R14" s="7"/>
      <c r="S14" s="7"/>
      <c r="T14" s="7"/>
      <c r="U14" s="7"/>
      <c r="V14" s="7"/>
      <c r="W14" s="7"/>
      <c r="X14" s="7"/>
    </row>
    <row r="15" spans="2:24" ht="12.75" customHeight="1">
      <c r="B15" s="2" t="s">
        <v>374</v>
      </c>
      <c r="D15" s="458">
        <f>D12*D14</f>
        <v>6500</v>
      </c>
      <c r="E15" s="458">
        <f t="shared" ref="E15:I15" si="2">E12*E14</f>
        <v>5000</v>
      </c>
      <c r="F15" s="458">
        <f t="shared" si="2"/>
        <v>5000</v>
      </c>
      <c r="G15" s="458">
        <f t="shared" si="2"/>
        <v>16000</v>
      </c>
      <c r="H15" s="458">
        <f t="shared" si="2"/>
        <v>12500</v>
      </c>
      <c r="I15" s="458">
        <f t="shared" si="2"/>
        <v>11000</v>
      </c>
      <c r="J15" s="458">
        <f>J12*J14</f>
        <v>62148.313044199997</v>
      </c>
      <c r="K15" s="458">
        <f>K12*K14</f>
        <v>7851.6863021999998</v>
      </c>
      <c r="L15" s="360"/>
      <c r="N15" s="335" t="s">
        <v>1906</v>
      </c>
      <c r="O15" s="1359">
        <v>0</v>
      </c>
      <c r="R15" s="7"/>
      <c r="S15" s="7"/>
      <c r="T15" s="7"/>
      <c r="U15" s="7"/>
      <c r="V15" s="7"/>
      <c r="W15" s="7"/>
      <c r="X15" s="7"/>
    </row>
    <row r="16" spans="2:24" ht="12.75" customHeight="1">
      <c r="B16" s="2" t="s">
        <v>220</v>
      </c>
      <c r="D16" s="188">
        <v>2</v>
      </c>
      <c r="E16" s="188">
        <v>2</v>
      </c>
      <c r="F16" s="188">
        <v>2</v>
      </c>
      <c r="G16" s="188">
        <v>2</v>
      </c>
      <c r="H16" s="188">
        <v>2</v>
      </c>
      <c r="I16" s="188">
        <v>2</v>
      </c>
      <c r="J16" s="188">
        <v>1</v>
      </c>
      <c r="K16" s="188">
        <v>1</v>
      </c>
      <c r="N16" s="335" t="s">
        <v>2266</v>
      </c>
      <c r="O16" s="1359">
        <v>0</v>
      </c>
      <c r="R16" s="7"/>
      <c r="S16" s="7"/>
      <c r="T16" s="7"/>
      <c r="U16" s="7"/>
      <c r="V16" s="7"/>
      <c r="W16" s="7"/>
      <c r="X16" s="7"/>
    </row>
    <row r="17" spans="2:24" ht="12.75" customHeight="1">
      <c r="B17" s="2"/>
      <c r="D17" s="188"/>
      <c r="E17" s="188"/>
      <c r="F17" s="188"/>
      <c r="G17" s="188"/>
      <c r="H17" s="188"/>
      <c r="I17" s="188"/>
      <c r="J17" s="188"/>
      <c r="K17" s="188"/>
      <c r="N17" s="335" t="str">
        <f>"Options at " &amp;TEXT(O17,"$0.000") &amp; " Strike Price Exercise"</f>
        <v>Options at $0.001 Strike Price Exercise</v>
      </c>
      <c r="O17" s="1544">
        <f>O6</f>
        <v>1E-3</v>
      </c>
      <c r="R17" s="7"/>
      <c r="S17" s="7"/>
      <c r="T17" s="7"/>
      <c r="U17" s="7"/>
      <c r="V17" s="7"/>
      <c r="W17" s="7"/>
      <c r="X17" s="7"/>
    </row>
    <row r="18" spans="2:24" ht="12.75" customHeight="1">
      <c r="B18" s="2" t="s">
        <v>209</v>
      </c>
      <c r="D18" s="189" t="s">
        <v>211</v>
      </c>
      <c r="E18" s="189" t="s">
        <v>211</v>
      </c>
      <c r="F18" s="189" t="s">
        <v>211</v>
      </c>
      <c r="G18" s="189" t="s">
        <v>211</v>
      </c>
      <c r="H18" s="189" t="s">
        <v>211</v>
      </c>
      <c r="I18" s="189" t="s">
        <v>211</v>
      </c>
      <c r="J18" s="189" t="s">
        <v>211</v>
      </c>
      <c r="K18" s="189" t="s">
        <v>211</v>
      </c>
      <c r="N18" s="335" t="str">
        <f>"Options at " &amp;TEXT(O18,"$0.000") &amp; " Strike Price Exercise"</f>
        <v>Options at $0.010 Strike Price Exercise</v>
      </c>
      <c r="O18" s="1544">
        <f>O7</f>
        <v>0.01</v>
      </c>
    </row>
    <row r="19" spans="2:24" ht="12.75" customHeight="1">
      <c r="B19" s="2" t="s">
        <v>214</v>
      </c>
      <c r="D19" s="187" t="s">
        <v>1</v>
      </c>
      <c r="E19" s="187" t="s">
        <v>1</v>
      </c>
      <c r="F19" s="187" t="s">
        <v>1</v>
      </c>
      <c r="G19" s="187" t="s">
        <v>1</v>
      </c>
      <c r="H19" s="187" t="s">
        <v>1</v>
      </c>
      <c r="I19" s="187" t="s">
        <v>1</v>
      </c>
      <c r="J19" s="187" t="s">
        <v>1</v>
      </c>
      <c r="K19" s="187" t="s">
        <v>1</v>
      </c>
      <c r="N19" s="335" t="str">
        <f>N8</f>
        <v>Expected Options Grant Exercise and Phantom Stock receive cash at $0.290 Strike Price</v>
      </c>
      <c r="O19" s="1358">
        <f>'Cap Table'!E26</f>
        <v>0.28999999999999998</v>
      </c>
    </row>
    <row r="20" spans="2:24" ht="12.75" customHeight="1">
      <c r="B20" s="2"/>
      <c r="D20" s="187"/>
      <c r="E20" s="187"/>
      <c r="F20" s="187"/>
      <c r="G20" s="187"/>
      <c r="H20" s="187"/>
      <c r="I20" s="187"/>
      <c r="J20" s="187"/>
      <c r="K20" s="187"/>
      <c r="N20" s="335" t="s">
        <v>1907</v>
      </c>
      <c r="O20" s="1360">
        <f>O9</f>
        <v>3.7264762065331927</v>
      </c>
    </row>
    <row r="21" spans="2:24" ht="12.75" customHeight="1">
      <c r="B21" s="2" t="s">
        <v>208</v>
      </c>
      <c r="D21" s="42">
        <v>0.08</v>
      </c>
      <c r="E21" s="42">
        <v>0.08</v>
      </c>
      <c r="F21" s="42">
        <v>0.08</v>
      </c>
      <c r="G21" s="42">
        <v>0.08</v>
      </c>
      <c r="H21" s="42">
        <v>0.08</v>
      </c>
      <c r="I21" s="42">
        <v>0.08</v>
      </c>
      <c r="J21" s="42">
        <v>0.08</v>
      </c>
      <c r="K21" s="42">
        <v>0.08</v>
      </c>
      <c r="N21" s="900" t="s">
        <v>2075</v>
      </c>
      <c r="O21" s="1361">
        <f>O10</f>
        <v>1.536225400140113</v>
      </c>
    </row>
    <row r="22" spans="2:24">
      <c r="B22" s="2" t="s">
        <v>365</v>
      </c>
      <c r="D22" s="294" t="s">
        <v>367</v>
      </c>
      <c r="E22" s="294" t="s">
        <v>367</v>
      </c>
      <c r="F22" s="294" t="s">
        <v>367</v>
      </c>
      <c r="G22" s="294" t="s">
        <v>367</v>
      </c>
      <c r="H22" s="294" t="s">
        <v>367</v>
      </c>
      <c r="I22" s="294" t="s">
        <v>367</v>
      </c>
      <c r="J22" s="294" t="s">
        <v>367</v>
      </c>
      <c r="K22" s="294" t="s">
        <v>367</v>
      </c>
      <c r="R22" s="7"/>
      <c r="S22" s="7"/>
      <c r="T22" s="7"/>
      <c r="U22" s="7"/>
      <c r="V22" s="7"/>
      <c r="W22" s="7"/>
      <c r="X22" s="7"/>
    </row>
    <row r="23" spans="2:24">
      <c r="B23" s="2" t="s">
        <v>366</v>
      </c>
      <c r="D23" s="294" t="s">
        <v>370</v>
      </c>
      <c r="E23" s="294" t="s">
        <v>370</v>
      </c>
      <c r="F23" s="294" t="s">
        <v>370</v>
      </c>
      <c r="G23" s="294" t="s">
        <v>370</v>
      </c>
      <c r="H23" s="294" t="s">
        <v>370</v>
      </c>
      <c r="I23" s="294" t="s">
        <v>370</v>
      </c>
      <c r="J23" s="294" t="s">
        <v>370</v>
      </c>
      <c r="K23" s="294" t="s">
        <v>370</v>
      </c>
      <c r="S23" s="7"/>
      <c r="T23" s="7"/>
      <c r="U23" s="7"/>
      <c r="V23" s="7"/>
      <c r="W23" s="7"/>
      <c r="X23" s="7"/>
    </row>
    <row r="24" spans="2:24" ht="12.75" customHeight="1">
      <c r="B24" s="161" t="s">
        <v>364</v>
      </c>
      <c r="C24" s="74"/>
      <c r="D24" s="1382">
        <f>IF(D9&gt;'MASTER PubCo Inputs'!$C$6,0,YEARFRAC(D9,'MASTER PubCo Inputs'!$C$6,3))</f>
        <v>2.9506849315068493</v>
      </c>
      <c r="E24" s="1382">
        <f>IF(E9&gt;'MASTER PubCo Inputs'!$C$6,0,YEARFRAC(E9,'MASTER PubCo Inputs'!$C$6,3))</f>
        <v>2.3123287671232875</v>
      </c>
      <c r="F24" s="1382">
        <f>IF(F9&gt;'MASTER PubCo Inputs'!$C$6,0,YEARFRAC(F9,'MASTER PubCo Inputs'!$C$6,3))</f>
        <v>1.8739726027397261</v>
      </c>
      <c r="G24" s="1382">
        <f>IF(G9&gt;'MASTER PubCo Inputs'!$C$6,0,YEARFRAC(G9,'MASTER PubCo Inputs'!$C$6,3))</f>
        <v>1.3342465753424657</v>
      </c>
      <c r="H24" s="1382">
        <f>IF(H9&gt;'MASTER PubCo Inputs'!$C$6,0,YEARFRAC(H9,'MASTER PubCo Inputs'!$C$6,3))</f>
        <v>0.58082191780821912</v>
      </c>
      <c r="I24" s="1382">
        <f>IF(I9&gt;'MASTER PubCo Inputs'!$C$6,0,YEARFRAC(I9,'MASTER PubCo Inputs'!$C$6,3))</f>
        <v>0.33424657534246577</v>
      </c>
      <c r="J24" s="1382">
        <f>IF(J9&gt;'MASTER PubCo Inputs'!$C$6,0,YEARFRAC(J9,'MASTER PubCo Inputs'!$C$6,3))</f>
        <v>5.7534246575342465E-2</v>
      </c>
      <c r="K24" s="1382">
        <f>IF(K9&gt;'MASTER PubCo Inputs'!$C$6,0,YEARFRAC(K9,'MASTER PubCo Inputs'!$C$6,3))</f>
        <v>0</v>
      </c>
      <c r="O24" s="169" t="s">
        <v>737</v>
      </c>
      <c r="P24" s="169" t="s">
        <v>2301</v>
      </c>
      <c r="Q24" s="169" t="s">
        <v>2300</v>
      </c>
      <c r="R24" s="169" t="s">
        <v>2285</v>
      </c>
      <c r="S24" s="169" t="s">
        <v>2285</v>
      </c>
      <c r="U24" s="7"/>
      <c r="V24" s="7"/>
      <c r="W24" s="7"/>
      <c r="X24" s="7"/>
    </row>
    <row r="25" spans="2:24" ht="12.75" customHeight="1">
      <c r="B25" s="161" t="s">
        <v>3342</v>
      </c>
      <c r="C25" s="74"/>
      <c r="D25" s="1382">
        <f>IF(D22="Non-Cumulative","NA",IF(D23="Simple",D11*D21*D24*D10,(D11*((1+D21)^D24-1))*D10))</f>
        <v>1534.3561643835617</v>
      </c>
      <c r="E25" s="1382">
        <f>IF(E22="Non-Cumulative","NA",IF(E23="Simple",E11*E21*E24*E10,(E11*((1+E21)^E24-1))*E10))</f>
        <v>924.93150684931493</v>
      </c>
      <c r="F25" s="1382">
        <f>IF(F22="Non-Cumulative","NA",IF(F23="Simple",F11*F21*F24*F10,(F11*((1+F21)^F24-1))*F10))</f>
        <v>749.58904109589037</v>
      </c>
      <c r="G25" s="1382">
        <f>IF(G22="Non-Cumulative","NA",IF(G23="Simple",G11*G21*G24*G10,(G11*((1+G21)^G24-1))*G10))</f>
        <v>1707.8356164383561</v>
      </c>
      <c r="H25" s="1382">
        <f t="shared" ref="H25:I25" si="3">IF(H22="Non-Cumulative","NA",IF(H23="Simple",H11*H21*H24*H10,(H11*((1+H21)^H24-1))*H10))</f>
        <v>580.82191780821915</v>
      </c>
      <c r="I25" s="1382">
        <f t="shared" si="3"/>
        <v>294.13698630136992</v>
      </c>
      <c r="J25" s="1382">
        <f>IF(J22="Non-Cumulative","NA",IF(J23="Simple",J11*J21*J24*'Cap Table'!E8,(J11*((1+J21)^J24-1))*'Cap Table'!E8))</f>
        <v>286.05250935412602</v>
      </c>
      <c r="K25" s="1382">
        <f>IF(K22="Non-Cumulative","NA",IF(K23="Simple",K11*K21*K24*'Cap Table'!F8,(K11*((1+K21)^K24-1))*'Cap Table'!F8))</f>
        <v>0</v>
      </c>
      <c r="O25" s="553" t="str">
        <f t="array" ref="O25:S25">TRANSPOSE('Exit Probability'!C43:C47)</f>
        <v>Phase Ib</v>
      </c>
      <c r="P25" s="553" t="str">
        <v>Phase IIa</v>
      </c>
      <c r="Q25" s="553" t="str">
        <v>Phase IIa</v>
      </c>
      <c r="R25" s="553" t="str">
        <v>Phase Ib</v>
      </c>
      <c r="S25" s="553" t="str">
        <v>Phase IIa</v>
      </c>
      <c r="U25" s="7"/>
      <c r="V25" s="7"/>
      <c r="W25" s="7"/>
      <c r="X25" s="7"/>
    </row>
    <row r="26" spans="2:24" ht="12.75" customHeight="1">
      <c r="B26" s="161" t="s">
        <v>3344</v>
      </c>
      <c r="C26" s="74"/>
      <c r="D26" s="1382">
        <f>PWERM_2!$D$13+D24</f>
        <v>4.3698630136986303</v>
      </c>
      <c r="E26" s="1382">
        <f>PWERM_2!$D$13+E24</f>
        <v>3.7315068493150685</v>
      </c>
      <c r="F26" s="1382">
        <f>PWERM_2!$D$13+F24</f>
        <v>3.2931506849315069</v>
      </c>
      <c r="G26" s="1382">
        <f>PWERM_2!$D$13+G24</f>
        <v>2.7534246575342465</v>
      </c>
      <c r="H26" s="1382">
        <f>PWERM_2!$D$13+H24</f>
        <v>2</v>
      </c>
      <c r="I26" s="1382">
        <f>PWERM_2!$D$13+I24</f>
        <v>1.7534246575342465</v>
      </c>
      <c r="J26" s="1382">
        <f>PWERM_2!$D$13+J24</f>
        <v>1.4767123287671233</v>
      </c>
      <c r="K26" s="1556">
        <f>PWERM_2!$D$13-YEARFRAC('MASTER PubCo Inputs'!C6,K9,3)</f>
        <v>1.2246575342465753</v>
      </c>
      <c r="O26" s="1707">
        <f t="array" ref="O26:S26">TRANSPOSE('Exit Probability'!H43:H47)</f>
        <v>43830</v>
      </c>
      <c r="P26" s="1707">
        <v>44377</v>
      </c>
      <c r="Q26" s="1707">
        <v>44377</v>
      </c>
      <c r="R26" s="1707">
        <v>43830</v>
      </c>
      <c r="S26" s="1707">
        <v>44377</v>
      </c>
      <c r="V26" s="7"/>
      <c r="W26" s="7"/>
      <c r="X26" s="7"/>
    </row>
    <row r="27" spans="2:24" ht="12.75" customHeight="1">
      <c r="B27" s="161" t="s">
        <v>3345</v>
      </c>
      <c r="C27" s="74"/>
      <c r="D27" s="1382">
        <f>PWERM_2!$E$13+D24</f>
        <v>5.868493150684932</v>
      </c>
      <c r="E27" s="1382">
        <f>PWERM_2!$E$13+E24</f>
        <v>5.2301369863013694</v>
      </c>
      <c r="F27" s="1382">
        <f>PWERM_2!$E$13+F24</f>
        <v>4.7917808219178086</v>
      </c>
      <c r="G27" s="1382">
        <f>PWERM_2!$E$13+G24</f>
        <v>4.2520547945205482</v>
      </c>
      <c r="H27" s="1382">
        <f>PWERM_2!$E$13+H24</f>
        <v>3.4986301369863013</v>
      </c>
      <c r="I27" s="1382">
        <f>PWERM_2!$E$13+I24</f>
        <v>3.2520547945205482</v>
      </c>
      <c r="J27" s="1382">
        <f>PWERM_2!$E$13+J24</f>
        <v>2.9753424657534246</v>
      </c>
      <c r="K27" s="1556">
        <f>PWERM_2!$E$13-YEARFRAC('MASTER PubCo Inputs'!C6,K9,3)</f>
        <v>2.7232876712328768</v>
      </c>
      <c r="O27" s="1707"/>
      <c r="P27" s="1707"/>
      <c r="Q27" s="1707"/>
      <c r="R27" s="1707"/>
      <c r="S27" s="1707"/>
      <c r="V27" s="7"/>
      <c r="W27" s="7"/>
      <c r="X27" s="7"/>
    </row>
    <row r="28" spans="2:24" ht="12.75" customHeight="1">
      <c r="B28" s="161"/>
      <c r="C28" s="74"/>
      <c r="D28" s="1382"/>
      <c r="E28" s="1382"/>
      <c r="F28" s="1382"/>
      <c r="G28" s="1382"/>
      <c r="H28" s="1382"/>
      <c r="I28" s="1382"/>
      <c r="J28" s="1382"/>
      <c r="K28" s="1556"/>
      <c r="O28" s="1707"/>
      <c r="P28" s="1707"/>
      <c r="Q28" s="1707"/>
      <c r="R28" s="1707"/>
      <c r="S28" s="1707"/>
      <c r="V28" s="7"/>
      <c r="W28" s="7"/>
      <c r="X28" s="7"/>
    </row>
    <row r="29" spans="2:24" ht="12.75" customHeight="1">
      <c r="B29" s="161" t="s">
        <v>3346</v>
      </c>
      <c r="C29" s="74"/>
      <c r="D29" s="1367">
        <f>IF(D22="Non-Cumulative","NA",IF(D23="Simple",D11*D21*D26*D10,(D11*((1+D21)^D26-1))*D10))</f>
        <v>2272.3287671232879</v>
      </c>
      <c r="E29" s="1367">
        <f t="shared" ref="E29:K29" si="4">IF(E22="Non-Cumulative","NA",IF(E23="Simple",E11*E21*E26*E10,(E11*((1+E21)^E26-1))*E10))</f>
        <v>1492.6027397260275</v>
      </c>
      <c r="F29" s="1367">
        <f t="shared" si="4"/>
        <v>1317.2602739726028</v>
      </c>
      <c r="G29" s="1367">
        <f t="shared" si="4"/>
        <v>3524.3835616438355</v>
      </c>
      <c r="H29" s="1367">
        <f t="shared" si="4"/>
        <v>2000</v>
      </c>
      <c r="I29" s="1367">
        <f t="shared" si="4"/>
        <v>1543.0136986301368</v>
      </c>
      <c r="J29" s="1367">
        <f t="shared" si="4"/>
        <v>7342.0144067559022</v>
      </c>
      <c r="K29" s="1367">
        <f t="shared" si="4"/>
        <v>769.25014292238893</v>
      </c>
      <c r="N29" s="1" t="s">
        <v>2302</v>
      </c>
      <c r="W29" s="7"/>
      <c r="X29" s="7"/>
    </row>
    <row r="30" spans="2:24" ht="12.75" customHeight="1">
      <c r="B30" s="161" t="s">
        <v>3347</v>
      </c>
      <c r="C30" s="74"/>
      <c r="D30" s="1367">
        <f>IF(D22="Non-Cumulative","NA",IF(D23="Simple",D11*D21*D27*D10,(D11*((1+D21)^D27-1))*D10))</f>
        <v>3051.616438356165</v>
      </c>
      <c r="E30" s="1367">
        <f t="shared" ref="E30:K30" si="5">IF(E22="Non-Cumulative","NA",IF(E23="Simple",E11*E21*E27*E10,(E11*((1+E21)^E27-1))*E10))</f>
        <v>2092.0547945205476</v>
      </c>
      <c r="F30" s="1367">
        <f t="shared" si="5"/>
        <v>1916.7123287671234</v>
      </c>
      <c r="G30" s="1367">
        <f t="shared" si="5"/>
        <v>5442.6301369863013</v>
      </c>
      <c r="H30" s="1367">
        <f t="shared" si="5"/>
        <v>3498.6301369863013</v>
      </c>
      <c r="I30" s="1367">
        <f t="shared" si="5"/>
        <v>2861.8082191780823</v>
      </c>
      <c r="J30" s="1367">
        <f t="shared" si="5"/>
        <v>14793.001198027661</v>
      </c>
      <c r="K30" s="1367">
        <f t="shared" si="5"/>
        <v>1710.5920404135454</v>
      </c>
      <c r="N30" s="1"/>
      <c r="W30" s="7"/>
      <c r="X30" s="7"/>
    </row>
    <row r="31" spans="2:24" ht="12.75" hidden="1" customHeight="1" outlineLevel="1">
      <c r="B31" s="161" t="s">
        <v>2757</v>
      </c>
      <c r="C31" s="74"/>
      <c r="D31" s="1367">
        <f>D15+D29</f>
        <v>8772.3287671232883</v>
      </c>
      <c r="E31" s="1367"/>
      <c r="F31" s="1367"/>
      <c r="G31" s="1367"/>
      <c r="H31" s="1367"/>
      <c r="I31" s="1367"/>
      <c r="J31" s="1367">
        <f t="shared" ref="J31:K31" si="6">J15+J29</f>
        <v>69490.327450955898</v>
      </c>
      <c r="K31" s="1367">
        <f t="shared" si="6"/>
        <v>8620.9364451223882</v>
      </c>
      <c r="N31" s="1"/>
      <c r="W31" s="7"/>
      <c r="X31" s="7"/>
    </row>
    <row r="32" spans="2:24" ht="10.5" hidden="1" customHeight="1" outlineLevel="1">
      <c r="B32" s="2"/>
      <c r="D32" s="295"/>
      <c r="E32" s="295"/>
      <c r="F32" s="295"/>
      <c r="G32" s="295"/>
      <c r="H32" s="295"/>
      <c r="I32" s="295"/>
      <c r="J32" s="295"/>
      <c r="K32" s="295"/>
      <c r="N32" s="385" t="s">
        <v>329</v>
      </c>
      <c r="O32" s="1371">
        <f>PWERM_2!D13+$D$24</f>
        <v>4.3698630136986303</v>
      </c>
      <c r="P32" s="1371">
        <f>PWERM_2!E13+$D$24</f>
        <v>5.868493150684932</v>
      </c>
      <c r="Q32" s="1371">
        <f>PWERM_2!F13+$D$24</f>
        <v>5.868493150684932</v>
      </c>
      <c r="R32" s="1371">
        <f>PWERM_2!G13+$D$24</f>
        <v>4.3698630136986303</v>
      </c>
      <c r="S32" s="1371">
        <f>PWERM_2!H13+$D$24</f>
        <v>5.868493150684932</v>
      </c>
      <c r="X32" s="7"/>
    </row>
    <row r="33" spans="1:24" ht="12.75" hidden="1" customHeight="1" outlineLevel="1">
      <c r="B33" s="2" t="s">
        <v>2299</v>
      </c>
      <c r="D33" s="163">
        <f>SUM(D15,J58)/D10</f>
        <v>3.7264762065331927</v>
      </c>
      <c r="E33" s="163"/>
      <c r="F33" s="163"/>
      <c r="G33" s="163"/>
      <c r="H33" s="163"/>
      <c r="I33" s="163"/>
      <c r="J33" s="163">
        <f>SUM(J31:K31)/SUM(J10:K10)</f>
        <v>1.536225400140113</v>
      </c>
      <c r="K33" s="163">
        <f>J33</f>
        <v>1.536225400140113</v>
      </c>
      <c r="N33" s="385" t="s">
        <v>2264</v>
      </c>
      <c r="O33" s="1371">
        <f>PWERM_2!D13+$J$24</f>
        <v>1.4767123287671233</v>
      </c>
      <c r="P33" s="1371">
        <f>PWERM_2!E13+$J$24</f>
        <v>2.9753424657534246</v>
      </c>
      <c r="Q33" s="1371">
        <f>PWERM_2!F13+$J$24</f>
        <v>2.9753424657534246</v>
      </c>
      <c r="R33" s="1371">
        <f>PWERM_2!G13+$J$24</f>
        <v>1.4767123287671233</v>
      </c>
      <c r="S33" s="1371">
        <f>PWERM_2!H13+$J$24</f>
        <v>2.9753424657534246</v>
      </c>
      <c r="X33" s="7"/>
    </row>
    <row r="34" spans="1:24" ht="9.75" customHeight="1" collapsed="1">
      <c r="B34" s="2"/>
      <c r="D34" s="295"/>
      <c r="E34" s="295"/>
      <c r="F34" s="295"/>
      <c r="G34" s="295"/>
      <c r="H34" s="295"/>
      <c r="I34" s="295"/>
      <c r="J34" s="295"/>
      <c r="K34" s="295"/>
      <c r="N34" s="385" t="s">
        <v>2265</v>
      </c>
      <c r="O34" s="1371">
        <f>YEARFRAC($K$9,O26,3)</f>
        <v>1.2246575342465753</v>
      </c>
      <c r="P34" s="1371">
        <f>YEARFRAC($K$9,P26,3)</f>
        <v>2.7232876712328768</v>
      </c>
      <c r="Q34" s="1371">
        <f>YEARFRAC($K$9,Q26,3)</f>
        <v>2.7232876712328768</v>
      </c>
      <c r="R34" s="1371">
        <f>YEARFRAC($K$9,R26,3)</f>
        <v>1.2246575342465753</v>
      </c>
      <c r="S34" s="1371">
        <f>YEARFRAC($K$9,S26,3)</f>
        <v>2.7232876712328768</v>
      </c>
      <c r="X34" s="7"/>
    </row>
    <row r="35" spans="1:24" ht="12.75" customHeight="1">
      <c r="B35" s="2" t="s">
        <v>3343</v>
      </c>
      <c r="D35" s="189" t="s">
        <v>363</v>
      </c>
      <c r="E35" s="189" t="s">
        <v>363</v>
      </c>
      <c r="F35" s="189" t="s">
        <v>363</v>
      </c>
      <c r="G35" s="189" t="s">
        <v>363</v>
      </c>
      <c r="H35" s="189" t="s">
        <v>363</v>
      </c>
      <c r="I35" s="189" t="s">
        <v>363</v>
      </c>
      <c r="J35" s="189" t="s">
        <v>363</v>
      </c>
      <c r="K35" s="189" t="s">
        <v>363</v>
      </c>
      <c r="L35" s="2157"/>
      <c r="N35" s="1937" t="s">
        <v>1908</v>
      </c>
      <c r="O35" s="1938"/>
      <c r="P35" s="1938"/>
      <c r="Q35" s="1938"/>
      <c r="R35" s="1938"/>
      <c r="S35" s="1939"/>
    </row>
    <row r="36" spans="1:24" ht="12.75" customHeight="1">
      <c r="B36" s="2" t="s">
        <v>210</v>
      </c>
      <c r="D36" s="189" t="s">
        <v>212</v>
      </c>
      <c r="E36" s="189" t="s">
        <v>212</v>
      </c>
      <c r="F36" s="189" t="s">
        <v>212</v>
      </c>
      <c r="G36" s="189" t="s">
        <v>212</v>
      </c>
      <c r="H36" s="189" t="s">
        <v>212</v>
      </c>
      <c r="I36" s="189" t="s">
        <v>212</v>
      </c>
      <c r="J36" s="189" t="s">
        <v>212</v>
      </c>
      <c r="K36" s="189" t="s">
        <v>212</v>
      </c>
      <c r="N36" s="335" t="s">
        <v>329</v>
      </c>
      <c r="O36" s="1940">
        <f>J68</f>
        <v>12149.589041095889</v>
      </c>
      <c r="P36" s="1940">
        <f>J74</f>
        <v>18863.452054794521</v>
      </c>
      <c r="Q36" s="1940">
        <f>J74</f>
        <v>18863.452054794521</v>
      </c>
      <c r="R36" s="1940">
        <f>J68</f>
        <v>12149.589041095889</v>
      </c>
      <c r="S36" s="1941">
        <f>J68</f>
        <v>12149.589041095889</v>
      </c>
    </row>
    <row r="37" spans="1:24" ht="12.75" customHeight="1">
      <c r="B37" s="2"/>
      <c r="N37" s="335" t="s">
        <v>2264</v>
      </c>
      <c r="O37" s="1940">
        <f>IF($J$22="Non-Cumulative","NA",IF($J$23="Simple",$J$10*$J$11*$J$21*O33,($J$11*((1+$J$21)^O33-1))*$J$10))</f>
        <v>7342.0144067559013</v>
      </c>
      <c r="P37" s="1940">
        <f>IF($J$22="Non-Cumulative","NA",IF($J$23="Simple",$J$10*$J$11*$J$21*P33,($J$11*((1+$J$21)^P33-1))*$J$10))</f>
        <v>14793.001198027659</v>
      </c>
      <c r="Q37" s="1940">
        <f>IF($J$22="Non-Cumulative","NA",IF($J$23="Simple",$J$10*$J$11*$J$21*Q33,($J$11*((1+$J$21)^Q33-1))*$J$10))</f>
        <v>14793.001198027659</v>
      </c>
      <c r="R37" s="1940">
        <f>IF($J$22="Non-Cumulative","NA",IF($J$23="Simple",$J$10*$J$11*$J$21*R33,($J$11*((1+$J$21)^R33-1))*$J$10))</f>
        <v>7342.0144067559013</v>
      </c>
      <c r="S37" s="1941">
        <f>IF($J$22="Non-Cumulative","NA",IF($J$23="Simple",$J$10*$J$11*$J$21*S33,($J$11*((1+$J$21)^S33-1))*$J$10))</f>
        <v>14793.001198027659</v>
      </c>
    </row>
    <row r="38" spans="1:24" ht="12.75" customHeight="1">
      <c r="B38" s="8" t="s">
        <v>21</v>
      </c>
      <c r="N38" s="1942" t="s">
        <v>2265</v>
      </c>
      <c r="O38" s="1943">
        <f>IF($K$22="Non-Cumulative","NA",IF($K$23="Simple",$K$10*$K$11*$K$21*O34,($K$11*((1+$K$21)^O34-1))*$K$10))</f>
        <v>769.25014292238893</v>
      </c>
      <c r="P38" s="1943">
        <f>IF($K$22="Non-Cumulative","NA",IF($K$23="Simple",$K$10*$K$11*$K$21*P34,($K$11*((1+$K$21)^P34-1))*$K$10))</f>
        <v>1710.5920404135452</v>
      </c>
      <c r="Q38" s="1943">
        <f>IF($K$22="Non-Cumulative","NA",IF($K$23="Simple",$K$10*$K$11*$K$21*Q34,($K$11*((1+$K$21)^Q34-1))*$K$10))</f>
        <v>1710.5920404135452</v>
      </c>
      <c r="R38" s="1943">
        <f>IF($K$22="Non-Cumulative","NA",IF($K$23="Simple",$K$10*$K$11*$K$21*R34,($K$11*((1+$K$21)^R34-1))*$K$10))</f>
        <v>769.25014292238893</v>
      </c>
      <c r="S38" s="1944">
        <f>IF($K$22="Non-Cumulative","NA",IF($K$23="Simple",$K$10*$K$11*$K$21*S34,($K$11*((1+$K$21)^S34-1))*$K$10))</f>
        <v>1710.5920404135452</v>
      </c>
    </row>
    <row r="39" spans="1:24" ht="12.75" customHeight="1">
      <c r="A39" s="2124">
        <v>1</v>
      </c>
      <c r="B39" s="385" t="s">
        <v>712</v>
      </c>
    </row>
    <row r="40" spans="1:24" ht="12.75" customHeight="1">
      <c r="A40" s="2124">
        <v>2</v>
      </c>
      <c r="B40" s="385" t="s">
        <v>3341</v>
      </c>
    </row>
    <row r="41" spans="1:24" ht="27.75" customHeight="1">
      <c r="A41" s="2152">
        <f>+A40+1</f>
        <v>3</v>
      </c>
      <c r="B41" s="2289" t="str">
        <f>"As of "&amp;TEXT(J9,"MMMM d, YYYY")&amp;", the Company issued "&amp;TEXT(J10/1000,"0.0")&amp;" million shares of Series B in Tranche I. The Company plans to issue the remaining shares of Series B in the amount of "&amp;TEXT(K12/1000,"$0.0")&amp;" million in the second Tranche. Management indicated that Series B Tranche II will be raised within 90 days after Series B Tranche I close date.  As such, we considered Series B Tranche II in our analysis."</f>
        <v>As of July 10, 2018, the Company issued 45.1 million shares of Series B in Tranche I. The Company plans to issue the remaining shares of Series B in the amount of $7.9 million in the second Tranche. Management indicated that Series B Tranche II will be raised within 90 days after Series B Tranche I close date.  As such, we considered Series B Tranche II in our analysis.</v>
      </c>
      <c r="C41" s="2289"/>
      <c r="D41" s="2289"/>
      <c r="E41" s="2289"/>
      <c r="F41" s="2289"/>
      <c r="G41" s="2289"/>
      <c r="H41" s="2289"/>
      <c r="I41" s="2289"/>
      <c r="J41" s="2289"/>
      <c r="K41" s="2289"/>
      <c r="L41" s="1532"/>
      <c r="M41" s="1532"/>
    </row>
    <row r="42" spans="1:24">
      <c r="A42" s="2152">
        <f>+A41+1</f>
        <v>4</v>
      </c>
      <c r="B42" s="2290" t="s">
        <v>2527</v>
      </c>
      <c r="C42" s="2290"/>
      <c r="D42" s="2290"/>
      <c r="E42" s="2290"/>
      <c r="F42" s="2290"/>
      <c r="G42" s="2290"/>
      <c r="H42" s="2290"/>
      <c r="I42" s="2290"/>
      <c r="J42" s="2290"/>
      <c r="K42" s="2290"/>
    </row>
    <row r="43" spans="1:24" ht="12.75" customHeight="1"/>
    <row r="44" spans="1:24" ht="12.75" customHeight="1">
      <c r="C44" s="300" t="s">
        <v>3330</v>
      </c>
    </row>
    <row r="46" spans="1:24" ht="12.75" customHeight="1">
      <c r="C46" s="2028"/>
      <c r="D46" s="2209" t="s">
        <v>2877</v>
      </c>
      <c r="E46" s="2209" t="s">
        <v>2878</v>
      </c>
      <c r="F46" s="2209" t="s">
        <v>2879</v>
      </c>
      <c r="G46" s="2209" t="s">
        <v>2880</v>
      </c>
      <c r="H46" s="2209" t="s">
        <v>2881</v>
      </c>
      <c r="I46" s="2211" t="s">
        <v>3325</v>
      </c>
    </row>
    <row r="47" spans="1:24">
      <c r="C47" s="335"/>
      <c r="D47" s="16"/>
      <c r="E47" s="16"/>
      <c r="F47" s="16"/>
      <c r="G47" s="16"/>
      <c r="H47" s="16"/>
      <c r="I47" s="197"/>
    </row>
    <row r="48" spans="1:24">
      <c r="B48" s="335" t="s">
        <v>3321</v>
      </c>
      <c r="D48" s="2187">
        <v>42235</v>
      </c>
      <c r="E48" s="2187">
        <v>42468</v>
      </c>
      <c r="F48" s="2187">
        <v>42628</v>
      </c>
      <c r="G48" s="2187">
        <v>42825</v>
      </c>
      <c r="H48" s="2187">
        <v>43100</v>
      </c>
      <c r="I48" s="2188">
        <v>43190</v>
      </c>
      <c r="J48" s="385" t="s">
        <v>3340</v>
      </c>
    </row>
    <row r="49" spans="2:11">
      <c r="B49" s="335" t="s">
        <v>1055</v>
      </c>
      <c r="D49" s="871">
        <f>D11</f>
        <v>1</v>
      </c>
      <c r="E49" s="871">
        <f>D49</f>
        <v>1</v>
      </c>
      <c r="F49" s="871">
        <f t="shared" ref="F49:I49" si="7">E49</f>
        <v>1</v>
      </c>
      <c r="G49" s="871">
        <f t="shared" si="7"/>
        <v>1</v>
      </c>
      <c r="H49" s="871">
        <f t="shared" si="7"/>
        <v>1</v>
      </c>
      <c r="I49" s="200">
        <f t="shared" si="7"/>
        <v>1</v>
      </c>
    </row>
    <row r="50" spans="2:11">
      <c r="B50" s="335" t="s">
        <v>3322</v>
      </c>
      <c r="D50" s="928">
        <v>6500</v>
      </c>
      <c r="E50" s="928">
        <v>5000</v>
      </c>
      <c r="F50" s="928">
        <v>5000</v>
      </c>
      <c r="G50" s="928">
        <v>16000</v>
      </c>
      <c r="H50" s="928">
        <v>12500</v>
      </c>
      <c r="I50" s="2212">
        <v>11000</v>
      </c>
    </row>
    <row r="51" spans="2:11">
      <c r="B51" s="335" t="s">
        <v>2477</v>
      </c>
      <c r="D51" s="637">
        <f t="shared" ref="D51:I51" si="8">D49*D50</f>
        <v>6500</v>
      </c>
      <c r="E51" s="637">
        <f t="shared" si="8"/>
        <v>5000</v>
      </c>
      <c r="F51" s="637">
        <f t="shared" si="8"/>
        <v>5000</v>
      </c>
      <c r="G51" s="637">
        <f t="shared" si="8"/>
        <v>16000</v>
      </c>
      <c r="H51" s="637">
        <f t="shared" si="8"/>
        <v>12500</v>
      </c>
      <c r="I51" s="2189">
        <f t="shared" si="8"/>
        <v>11000</v>
      </c>
      <c r="J51" s="2208">
        <f>SUM(D51:I51)</f>
        <v>56000</v>
      </c>
      <c r="K51" s="385" t="s">
        <v>372</v>
      </c>
    </row>
    <row r="52" spans="2:11">
      <c r="B52" s="335"/>
      <c r="D52" s="2190" t="s">
        <v>367</v>
      </c>
      <c r="E52" s="2190" t="s">
        <v>367</v>
      </c>
      <c r="F52" s="2190" t="s">
        <v>367</v>
      </c>
      <c r="G52" s="2190" t="s">
        <v>367</v>
      </c>
      <c r="H52" s="2190" t="s">
        <v>367</v>
      </c>
      <c r="I52" s="2191" t="s">
        <v>367</v>
      </c>
    </row>
    <row r="53" spans="2:11">
      <c r="B53" s="335"/>
      <c r="D53" s="2190" t="s">
        <v>370</v>
      </c>
      <c r="E53" s="2190" t="s">
        <v>370</v>
      </c>
      <c r="F53" s="2190" t="s">
        <v>370</v>
      </c>
      <c r="G53" s="2190" t="s">
        <v>370</v>
      </c>
      <c r="H53" s="2190" t="s">
        <v>370</v>
      </c>
      <c r="I53" s="2191" t="s">
        <v>370</v>
      </c>
    </row>
    <row r="54" spans="2:11">
      <c r="B54" s="335"/>
      <c r="D54" s="2190"/>
      <c r="E54" s="2190"/>
      <c r="F54" s="2190"/>
      <c r="G54" s="2190"/>
      <c r="H54" s="2190"/>
      <c r="I54" s="197"/>
    </row>
    <row r="55" spans="2:11">
      <c r="B55" s="335" t="str">
        <f>B24</f>
        <v>Duration as of Valuation Date</v>
      </c>
      <c r="D55" s="2054">
        <f>IF(D48&gt;'MASTER PubCo Inputs'!$C$6,0,YEARFRAC(D48,'MASTER PubCo Inputs'!$C$6,3))</f>
        <v>2.9506849315068493</v>
      </c>
      <c r="E55" s="2054">
        <f>IF(E48&gt;'MASTER PubCo Inputs'!$C$6,0,YEARFRAC(E48,'MASTER PubCo Inputs'!$C$6,3))</f>
        <v>2.3123287671232875</v>
      </c>
      <c r="F55" s="2054">
        <f>IF(F48&gt;'MASTER PubCo Inputs'!$C$6,0,YEARFRAC(F48,'MASTER PubCo Inputs'!$C$6,3))</f>
        <v>1.8739726027397261</v>
      </c>
      <c r="G55" s="2054">
        <f>IF(G48&gt;'MASTER PubCo Inputs'!$C$6,0,YEARFRAC(G48,'MASTER PubCo Inputs'!$C$6,3))</f>
        <v>1.3342465753424657</v>
      </c>
      <c r="H55" s="2054">
        <f>IF(H48&gt;'MASTER PubCo Inputs'!$C$6,0,YEARFRAC(H48,'MASTER PubCo Inputs'!$C$6,3))</f>
        <v>0.58082191780821912</v>
      </c>
      <c r="I55" s="2192">
        <f>IF(I48&gt;'MASTER PubCo Inputs'!$C$6,0,YEARFRAC(I48,'MASTER PubCo Inputs'!$C$6,3))</f>
        <v>0.33424657534246577</v>
      </c>
    </row>
    <row r="56" spans="2:11">
      <c r="B56" s="335" t="str">
        <f>B25</f>
        <v xml:space="preserve">Accrued Dividend as of Valuation Date </v>
      </c>
      <c r="D56" s="2054">
        <f t="shared" ref="D56:I56" si="9">IF(D52="Non-Cumulative","NA",IF(D53="Simple",D49*$D$21*D55*D50,(D49*((1+$D$21)^D55-1))*D50))</f>
        <v>1534.3561643835617</v>
      </c>
      <c r="E56" s="637">
        <f t="shared" si="9"/>
        <v>924.93150684931493</v>
      </c>
      <c r="F56" s="637">
        <f t="shared" si="9"/>
        <v>749.58904109589037</v>
      </c>
      <c r="G56" s="637">
        <f t="shared" si="9"/>
        <v>1707.8356164383561</v>
      </c>
      <c r="H56" s="637">
        <f t="shared" si="9"/>
        <v>580.82191780821915</v>
      </c>
      <c r="I56" s="2189">
        <f t="shared" si="9"/>
        <v>294.13698630136992</v>
      </c>
      <c r="J56" s="2208">
        <f>SUM(D56:I56)</f>
        <v>5791.6712328767117</v>
      </c>
    </row>
    <row r="57" spans="2:11">
      <c r="B57" s="335" t="str">
        <f>B26</f>
        <v>Duration as of PWERM Early Exit</v>
      </c>
      <c r="D57" s="2193">
        <f>'OPM 1'!$D$10+D55</f>
        <v>5.6137260273972602</v>
      </c>
      <c r="E57" s="2193">
        <f>'OPM 1'!$D$10+E55</f>
        <v>4.9753698630136984</v>
      </c>
      <c r="F57" s="2193">
        <f>'OPM 1'!$D$10+F55</f>
        <v>4.5370136986301368</v>
      </c>
      <c r="G57" s="2193">
        <f>'OPM 1'!$D$10+G55</f>
        <v>3.9972876712328764</v>
      </c>
      <c r="H57" s="2193">
        <f>'OPM 1'!$D$10+H55</f>
        <v>3.2438630136986299</v>
      </c>
      <c r="I57" s="2194">
        <f>'OPM 1'!$D$10+I55</f>
        <v>2.9972876712328769</v>
      </c>
    </row>
    <row r="58" spans="2:11">
      <c r="B58" s="335" t="str">
        <f>B29</f>
        <v>Accrued Dividend at PWERM Early Exit</v>
      </c>
      <c r="D58" s="1940">
        <f t="shared" ref="D58:I58" si="10">IF(D52="Non-Cumulative","NA",IF(D53="Simple",D49*$D$21*D57*D50,(D49*((1+$D$21)^D57-1))*D50))</f>
        <v>2919.1375342465753</v>
      </c>
      <c r="E58" s="1940">
        <f t="shared" si="10"/>
        <v>1990.1479452054793</v>
      </c>
      <c r="F58" s="1940">
        <f t="shared" si="10"/>
        <v>1814.8054794520549</v>
      </c>
      <c r="G58" s="1940">
        <f t="shared" si="10"/>
        <v>5116.5282191780816</v>
      </c>
      <c r="H58" s="1940">
        <f t="shared" si="10"/>
        <v>3243.8630136986299</v>
      </c>
      <c r="I58" s="1941">
        <f t="shared" si="10"/>
        <v>2637.6131506849315</v>
      </c>
      <c r="J58" s="2208">
        <f>SUM(D58:I58)</f>
        <v>17722.095342465753</v>
      </c>
    </row>
    <row r="59" spans="2:11">
      <c r="B59" s="1942" t="str">
        <f>B31</f>
        <v>Total Liquidation Preference plus Dividend</v>
      </c>
      <c r="D59" s="1943">
        <f>D51+D58</f>
        <v>9419.1375342465763</v>
      </c>
      <c r="E59" s="1943">
        <f t="shared" ref="E59:I59" si="11">E51+E58</f>
        <v>6990.1479452054791</v>
      </c>
      <c r="F59" s="1943">
        <f t="shared" si="11"/>
        <v>6814.8054794520549</v>
      </c>
      <c r="G59" s="1943">
        <f t="shared" si="11"/>
        <v>21116.528219178083</v>
      </c>
      <c r="H59" s="1943">
        <f t="shared" si="11"/>
        <v>15743.86301369863</v>
      </c>
      <c r="I59" s="1944">
        <f t="shared" si="11"/>
        <v>13637.613150684931</v>
      </c>
    </row>
    <row r="61" spans="2:11">
      <c r="B61" s="300" t="s">
        <v>3331</v>
      </c>
    </row>
    <row r="63" spans="2:11">
      <c r="B63" s="2028" t="s">
        <v>3333</v>
      </c>
      <c r="D63" s="2216"/>
      <c r="E63" s="2216"/>
      <c r="F63" s="2216"/>
      <c r="G63" s="2216"/>
      <c r="H63" s="2216"/>
      <c r="I63" s="2210"/>
    </row>
    <row r="64" spans="2:11">
      <c r="B64" s="335" t="s">
        <v>477</v>
      </c>
      <c r="D64" s="2214">
        <f>'Exit Probability'!I36</f>
        <v>43830</v>
      </c>
      <c r="E64" s="16"/>
      <c r="F64" s="16"/>
      <c r="G64" s="16"/>
      <c r="H64" s="16"/>
      <c r="I64" s="197"/>
    </row>
    <row r="65" spans="2:11">
      <c r="B65" s="335" t="s">
        <v>3326</v>
      </c>
      <c r="D65" s="2217">
        <f>PWERM_2!D13</f>
        <v>1.4191780821917808</v>
      </c>
      <c r="E65" s="16"/>
      <c r="F65" s="16"/>
      <c r="G65" s="16"/>
      <c r="H65" s="16"/>
      <c r="I65" s="197"/>
    </row>
    <row r="66" spans="2:11">
      <c r="B66" s="335"/>
      <c r="D66" s="16"/>
      <c r="E66" s="16"/>
      <c r="F66" s="16"/>
      <c r="G66" s="16"/>
      <c r="H66" s="16"/>
      <c r="I66" s="197"/>
    </row>
    <row r="67" spans="2:11">
      <c r="B67" s="335" t="s">
        <v>3328</v>
      </c>
      <c r="D67" s="2213">
        <f t="shared" ref="D67:I67" si="12">$D$65+D55</f>
        <v>4.3698630136986303</v>
      </c>
      <c r="E67" s="2213">
        <f t="shared" si="12"/>
        <v>3.7315068493150685</v>
      </c>
      <c r="F67" s="2213">
        <f t="shared" si="12"/>
        <v>3.2931506849315069</v>
      </c>
      <c r="G67" s="2213">
        <f t="shared" si="12"/>
        <v>2.7534246575342465</v>
      </c>
      <c r="H67" s="2213">
        <f t="shared" si="12"/>
        <v>2</v>
      </c>
      <c r="I67" s="2215">
        <f t="shared" si="12"/>
        <v>1.7534246575342465</v>
      </c>
    </row>
    <row r="68" spans="2:11">
      <c r="B68" s="335" t="s">
        <v>3327</v>
      </c>
      <c r="D68" s="637">
        <f t="shared" ref="D68:I68" si="13">IF(D52="Non-Cumulative","NA",IF(D53="Simple",D49*$D$21*D67*D50,(D49*((1+$D$21)^D67-1))*D50))</f>
        <v>2272.3287671232879</v>
      </c>
      <c r="E68" s="637">
        <f t="shared" si="13"/>
        <v>1492.6027397260275</v>
      </c>
      <c r="F68" s="637">
        <f t="shared" si="13"/>
        <v>1317.2602739726028</v>
      </c>
      <c r="G68" s="637">
        <f t="shared" si="13"/>
        <v>3524.3835616438355</v>
      </c>
      <c r="H68" s="637">
        <f t="shared" si="13"/>
        <v>2000</v>
      </c>
      <c r="I68" s="2189">
        <f t="shared" si="13"/>
        <v>1543.0136986301368</v>
      </c>
      <c r="J68" s="2218">
        <f>SUM(D68:I68)</f>
        <v>12149.589041095889</v>
      </c>
      <c r="K68" s="385" t="s">
        <v>3329</v>
      </c>
    </row>
    <row r="69" spans="2:11">
      <c r="B69" s="2028" t="s">
        <v>3334</v>
      </c>
      <c r="D69" s="2216"/>
      <c r="E69" s="2216"/>
      <c r="F69" s="2216"/>
      <c r="G69" s="2216"/>
      <c r="H69" s="2216"/>
      <c r="I69" s="2216"/>
    </row>
    <row r="70" spans="2:11">
      <c r="B70" s="335" t="str">
        <f>B64</f>
        <v>Event Date</v>
      </c>
      <c r="D70" s="2214">
        <f>'Exit Probability'!I37</f>
        <v>44377</v>
      </c>
      <c r="E70" s="16"/>
      <c r="F70" s="16"/>
      <c r="G70" s="16"/>
      <c r="H70" s="16"/>
      <c r="I70" s="197"/>
    </row>
    <row r="71" spans="2:11">
      <c r="B71" s="335" t="str">
        <f>B65</f>
        <v>Term to Exit (from VD)</v>
      </c>
      <c r="D71" s="2217">
        <f>PWERM_2!F13</f>
        <v>2.9178082191780823</v>
      </c>
      <c r="E71" s="16"/>
      <c r="F71" s="16"/>
      <c r="G71" s="16"/>
      <c r="H71" s="16"/>
      <c r="I71" s="197"/>
    </row>
    <row r="72" spans="2:11">
      <c r="B72" s="335"/>
      <c r="D72" s="16"/>
      <c r="E72" s="16"/>
      <c r="F72" s="16"/>
      <c r="G72" s="16"/>
      <c r="H72" s="16"/>
      <c r="I72" s="197"/>
    </row>
    <row r="73" spans="2:11">
      <c r="B73" s="335" t="str">
        <f>B67</f>
        <v xml:space="preserve">Duration as of Early PWERM Exit </v>
      </c>
      <c r="D73" s="2213">
        <f t="shared" ref="D73:I73" si="14">$D$71+D55</f>
        <v>5.868493150684932</v>
      </c>
      <c r="E73" s="2213">
        <f t="shared" si="14"/>
        <v>5.2301369863013694</v>
      </c>
      <c r="F73" s="2213">
        <f t="shared" si="14"/>
        <v>4.7917808219178086</v>
      </c>
      <c r="G73" s="2213">
        <f t="shared" si="14"/>
        <v>4.2520547945205482</v>
      </c>
      <c r="H73" s="2213">
        <f t="shared" si="14"/>
        <v>3.4986301369863013</v>
      </c>
      <c r="I73" s="2215">
        <f t="shared" si="14"/>
        <v>3.2520547945205482</v>
      </c>
    </row>
    <row r="74" spans="2:11">
      <c r="B74" s="1942" t="str">
        <f>B68</f>
        <v>Accrued Dividend as of Early PWERM Exit</v>
      </c>
      <c r="D74" s="2219">
        <f t="shared" ref="D74:I74" si="15">IF(D52="Non-Cumulative","NA",IF(D53="Simple",D49*$D$21*D73*D50,(D49*((1+$D$21)^D73-1))*D50))</f>
        <v>3051.616438356165</v>
      </c>
      <c r="E74" s="2219">
        <f t="shared" si="15"/>
        <v>2092.0547945205476</v>
      </c>
      <c r="F74" s="2219">
        <f t="shared" si="15"/>
        <v>1916.7123287671234</v>
      </c>
      <c r="G74" s="2219">
        <f t="shared" si="15"/>
        <v>5442.6301369863013</v>
      </c>
      <c r="H74" s="2219">
        <f t="shared" si="15"/>
        <v>3498.6301369863013</v>
      </c>
      <c r="I74" s="2220">
        <f t="shared" si="15"/>
        <v>2861.8082191780823</v>
      </c>
      <c r="J74" s="2218">
        <f>SUM(D74:I74)</f>
        <v>18863.452054794521</v>
      </c>
      <c r="K74" s="385" t="s">
        <v>3329</v>
      </c>
    </row>
    <row r="75" spans="2:11">
      <c r="C75" s="16"/>
      <c r="D75" s="637"/>
      <c r="E75" s="637"/>
      <c r="F75" s="637"/>
      <c r="G75" s="637"/>
      <c r="H75" s="637"/>
      <c r="I75" s="637"/>
      <c r="J75" s="2221"/>
    </row>
    <row r="76" spans="2:11">
      <c r="C76" s="2222" t="s">
        <v>3332</v>
      </c>
      <c r="D76" s="637"/>
      <c r="E76" s="637"/>
      <c r="F76" s="637"/>
      <c r="G76" s="637"/>
      <c r="H76" s="637"/>
      <c r="I76" s="637"/>
      <c r="J76" s="2221"/>
    </row>
    <row r="78" spans="2:11" ht="25.5">
      <c r="C78" s="2200"/>
      <c r="D78" s="2201" t="s">
        <v>78</v>
      </c>
      <c r="E78" s="2201" t="s">
        <v>2882</v>
      </c>
      <c r="F78" s="2201" t="s">
        <v>2883</v>
      </c>
      <c r="G78" s="2202" t="s">
        <v>2884</v>
      </c>
    </row>
    <row r="79" spans="2:11">
      <c r="C79" s="2130" t="s">
        <v>3323</v>
      </c>
      <c r="D79" s="2195">
        <v>0.29182253688483567</v>
      </c>
      <c r="E79" s="2196">
        <v>147700</v>
      </c>
      <c r="F79" s="2195">
        <v>1.3742914032097344</v>
      </c>
      <c r="G79" s="2197">
        <v>0.21197249719244254</v>
      </c>
    </row>
    <row r="80" spans="2:11">
      <c r="C80" s="335"/>
      <c r="D80" s="16"/>
      <c r="E80" s="16"/>
      <c r="F80" s="16"/>
      <c r="G80" s="197"/>
    </row>
    <row r="81" spans="3:15">
      <c r="C81" s="1972" t="s">
        <v>3324</v>
      </c>
      <c r="D81" s="2198">
        <f ca="1">'Val Summ'!F9</f>
        <v>0.29182253688483567</v>
      </c>
      <c r="E81" s="2207">
        <f>'Val Summ'!D9</f>
        <v>147700</v>
      </c>
      <c r="F81" s="2198">
        <f>'Val Summ'!J9</f>
        <v>1.3742914032097344</v>
      </c>
      <c r="G81" s="2199">
        <f ca="1">'Val Summ'!F14</f>
        <v>0.21197249719244254</v>
      </c>
      <c r="O81" s="18">
        <f ca="1">D79/D81-1</f>
        <v>0</v>
      </c>
    </row>
  </sheetData>
  <mergeCells count="2">
    <mergeCell ref="B41:K41"/>
    <mergeCell ref="B42:K42"/>
  </mergeCells>
  <conditionalFormatting sqref="B4:K4">
    <cfRule type="cellIs" dxfId="337" priority="3" stopIfTrue="1" operator="equal">
      <formula>"input"</formula>
    </cfRule>
  </conditionalFormatting>
  <conditionalFormatting sqref="K4">
    <cfRule type="cellIs" dxfId="336" priority="1" stopIfTrue="1" operator="equal">
      <formula>"input"</formula>
    </cfRule>
  </conditionalFormatting>
  <conditionalFormatting sqref="K4">
    <cfRule type="cellIs" dxfId="335" priority="2" stopIfTrue="1" operator="equal">
      <formula>"input"</formula>
    </cfRule>
  </conditionalFormatting>
  <pageMargins left="0.5" right="0.5" top="0.5" bottom="0.5" header="0.5" footer="0.5"/>
  <pageSetup scale="72" fitToWidth="0" fitToHeight="0" orientation="landscape" r:id="rId1"/>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'List Data'!$E$3:$E$5</xm:f>
          </x14:formula1>
          <xm:sqref>D53:I53 D23:K23</xm:sqref>
        </x14:dataValidation>
        <x14:dataValidation type="list" allowBlank="1" showInputMessage="1" showErrorMessage="1">
          <x14:formula1>
            <xm:f>'List Data'!$D$3:$D$5</xm:f>
          </x14:formula1>
          <xm:sqref>D54:H54 D52:I52 D22:K22</xm:sqref>
        </x14:dataValidation>
        <x14:dataValidation type="list" allowBlank="1" showInputMessage="1" showErrorMessage="1">
          <x14:formula1>
            <xm:f>'List Data'!$C$3:$C$6</xm:f>
          </x14:formula1>
          <xm:sqref>D18:K18 D35:K35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XEY225"/>
  <sheetViews>
    <sheetView showGridLines="0" view="pageBreakPreview" zoomScaleNormal="100" zoomScaleSheetLayoutView="100" workbookViewId="0">
      <selection activeCell="G12" sqref="G12"/>
    </sheetView>
  </sheetViews>
  <sheetFormatPr defaultRowHeight="12.75" outlineLevelRow="1"/>
  <cols>
    <col min="1" max="1" width="4.5" style="385" customWidth="1"/>
    <col min="2" max="2" width="64.1640625" style="385" customWidth="1"/>
    <col min="3" max="3" width="9.6640625" style="385" customWidth="1"/>
    <col min="4" max="8" width="19.33203125" style="385" customWidth="1"/>
    <col min="9" max="9" width="4.5" style="385" customWidth="1"/>
    <col min="10" max="10" width="12" style="385" customWidth="1"/>
    <col min="11" max="11" width="23.83203125" style="385" bestFit="1" customWidth="1"/>
    <col min="12" max="12" width="15" style="385" bestFit="1" customWidth="1"/>
    <col min="13" max="13" width="24.6640625" style="385" bestFit="1" customWidth="1"/>
    <col min="14" max="14" width="23.6640625" style="385" bestFit="1" customWidth="1"/>
    <col min="15" max="15" width="20.33203125" style="385" bestFit="1" customWidth="1"/>
    <col min="16" max="16" width="21.1640625" style="385" customWidth="1"/>
    <col min="17" max="17" width="3.83203125" style="385" customWidth="1"/>
    <col min="18" max="18" width="14.83203125" style="385" bestFit="1" customWidth="1"/>
    <col min="19" max="19" width="24.1640625" style="385" bestFit="1" customWidth="1"/>
    <col min="20" max="20" width="23.6640625" style="385" bestFit="1" customWidth="1"/>
    <col min="21" max="21" width="19.33203125" style="385" bestFit="1" customWidth="1"/>
    <col min="22" max="22" width="20.1640625" style="385" bestFit="1" customWidth="1"/>
    <col min="23" max="23" width="13.33203125" style="385" bestFit="1" customWidth="1"/>
    <col min="24" max="24" width="9.33203125" style="385"/>
    <col min="25" max="25" width="13.6640625" style="385" bestFit="1" customWidth="1"/>
    <col min="26" max="27" width="13.33203125" style="385" bestFit="1" customWidth="1"/>
    <col min="28" max="16384" width="9.33203125" style="385"/>
  </cols>
  <sheetData>
    <row r="1" spans="2:12" ht="10.7" customHeight="1" thickBot="1"/>
    <row r="2" spans="2:12" ht="16.5" customHeight="1" thickTop="1">
      <c r="B2" s="10" t="s">
        <v>1502</v>
      </c>
      <c r="C2" s="10"/>
      <c r="D2" s="10"/>
      <c r="E2" s="10"/>
      <c r="F2" s="10"/>
      <c r="G2" s="10"/>
      <c r="H2" s="10"/>
    </row>
    <row r="3" spans="2:12" ht="15.75" customHeight="1">
      <c r="B3" s="11" t="s">
        <v>3360</v>
      </c>
      <c r="C3" s="11"/>
      <c r="D3" s="11"/>
      <c r="E3" s="11"/>
      <c r="F3" s="11"/>
      <c r="G3" s="11"/>
      <c r="H3" s="11"/>
    </row>
    <row r="4" spans="2:12" ht="16.5" customHeight="1" thickBot="1">
      <c r="B4" s="12" t="s">
        <v>3368</v>
      </c>
      <c r="C4" s="12"/>
      <c r="D4" s="12"/>
      <c r="E4" s="13"/>
      <c r="F4" s="13"/>
      <c r="G4" s="13"/>
      <c r="H4" s="13" t="s">
        <v>487</v>
      </c>
    </row>
    <row r="5" spans="2:12" ht="12.75" customHeight="1" thickTop="1"/>
    <row r="6" spans="2:12" ht="14.25">
      <c r="B6" s="2243" t="s">
        <v>413</v>
      </c>
      <c r="D6" s="2244" t="s">
        <v>2847</v>
      </c>
      <c r="E6" s="2245" t="s">
        <v>2848</v>
      </c>
      <c r="F6" s="2245" t="s">
        <v>2849</v>
      </c>
      <c r="G6" s="2245" t="s">
        <v>2850</v>
      </c>
      <c r="H6" s="2246" t="s">
        <v>2851</v>
      </c>
      <c r="K6" s="1006"/>
      <c r="L6" s="1006"/>
    </row>
    <row r="7" spans="2:12" s="74" customFormat="1" ht="8.25" customHeight="1">
      <c r="B7" s="733"/>
      <c r="D7" s="1593"/>
      <c r="E7" s="1593"/>
      <c r="F7" s="1593"/>
      <c r="G7" s="1593"/>
      <c r="H7" s="1593"/>
      <c r="K7" s="1592"/>
      <c r="L7" s="1592"/>
    </row>
    <row r="8" spans="2:12" ht="15">
      <c r="B8" s="1" t="s">
        <v>473</v>
      </c>
      <c r="D8" s="415" t="s">
        <v>475</v>
      </c>
      <c r="E8" s="415" t="s">
        <v>475</v>
      </c>
      <c r="F8" s="415" t="s">
        <v>2489</v>
      </c>
      <c r="G8" s="415" t="s">
        <v>475</v>
      </c>
      <c r="H8" s="415" t="s">
        <v>475</v>
      </c>
      <c r="K8" s="1007"/>
      <c r="L8" s="1007"/>
    </row>
    <row r="9" spans="2:12" ht="8.1" customHeight="1"/>
    <row r="10" spans="2:12" ht="12.75" customHeight="1">
      <c r="B10" s="2247" t="s">
        <v>248</v>
      </c>
      <c r="C10" s="2248"/>
      <c r="D10" s="2249"/>
      <c r="E10" s="2248"/>
      <c r="F10" s="2248"/>
      <c r="G10" s="2248"/>
      <c r="H10" s="2250"/>
    </row>
    <row r="11" spans="2:12" ht="12.75" customHeight="1">
      <c r="B11" s="2" t="s">
        <v>244</v>
      </c>
      <c r="D11" s="552">
        <v>43312</v>
      </c>
      <c r="E11" s="552">
        <v>43312</v>
      </c>
      <c r="F11" s="552">
        <v>43312</v>
      </c>
      <c r="G11" s="552">
        <v>43312</v>
      </c>
      <c r="H11" s="552">
        <v>43312</v>
      </c>
    </row>
    <row r="12" spans="2:12" ht="8.1" customHeight="1">
      <c r="B12" s="2"/>
    </row>
    <row r="13" spans="2:12" ht="12.75" customHeight="1">
      <c r="B13" s="2" t="s">
        <v>246</v>
      </c>
      <c r="D13" s="371">
        <f>YEARFRAC(D11,D15,3)</f>
        <v>1.4191780821917808</v>
      </c>
      <c r="E13" s="371">
        <f t="shared" ref="E13:H13" si="0">YEARFRAC(E11,E15,3)</f>
        <v>2.9178082191780823</v>
      </c>
      <c r="F13" s="371">
        <f t="shared" si="0"/>
        <v>2.9178082191780823</v>
      </c>
      <c r="G13" s="371">
        <f t="shared" si="0"/>
        <v>1.4191780821917808</v>
      </c>
      <c r="H13" s="371">
        <f t="shared" si="0"/>
        <v>2.9178082191780823</v>
      </c>
    </row>
    <row r="14" spans="2:12" ht="8.1" customHeight="1">
      <c r="B14" s="2"/>
    </row>
    <row r="15" spans="2:12" ht="12.75" customHeight="1">
      <c r="B15" s="39" t="s">
        <v>245</v>
      </c>
      <c r="C15" s="1"/>
      <c r="D15" s="700">
        <v>43830</v>
      </c>
      <c r="E15" s="700">
        <v>44377</v>
      </c>
      <c r="F15" s="700">
        <v>44377</v>
      </c>
      <c r="G15" s="700">
        <v>43830</v>
      </c>
      <c r="H15" s="700">
        <v>44377</v>
      </c>
    </row>
    <row r="16" spans="2:12" ht="8.1" customHeight="1"/>
    <row r="17" spans="2:16" ht="12.75" customHeight="1">
      <c r="B17" s="2247" t="s">
        <v>247</v>
      </c>
      <c r="C17" s="2248"/>
      <c r="D17" s="2248"/>
      <c r="E17" s="2248"/>
      <c r="F17" s="2248"/>
      <c r="G17" s="2248"/>
      <c r="H17" s="2250"/>
    </row>
    <row r="18" spans="2:16" ht="8.1" customHeight="1">
      <c r="D18" s="1694"/>
      <c r="E18" s="74"/>
      <c r="F18" s="74"/>
      <c r="G18" s="74"/>
      <c r="H18" s="74"/>
    </row>
    <row r="19" spans="2:16">
      <c r="B19" s="2" t="s">
        <v>249</v>
      </c>
      <c r="D19" s="1369" t="s">
        <v>2069</v>
      </c>
      <c r="E19" s="1369" t="s">
        <v>2069</v>
      </c>
      <c r="F19" s="1369" t="s">
        <v>2069</v>
      </c>
      <c r="G19" s="1369" t="s">
        <v>2069</v>
      </c>
      <c r="H19" s="1369" t="s">
        <v>2069</v>
      </c>
      <c r="K19" s="2251" t="s">
        <v>474</v>
      </c>
      <c r="L19" s="2252"/>
      <c r="M19" s="2251" t="s">
        <v>474</v>
      </c>
      <c r="N19" s="2252"/>
      <c r="O19" s="2251" t="s">
        <v>474</v>
      </c>
      <c r="P19" s="2252"/>
    </row>
    <row r="20" spans="2:16" ht="12.75" customHeight="1">
      <c r="B20" s="2" t="s">
        <v>250</v>
      </c>
      <c r="D20" s="40">
        <v>125999.9993464</v>
      </c>
      <c r="E20" s="40">
        <v>195999.9993464</v>
      </c>
      <c r="F20" s="40">
        <v>195999.9993464</v>
      </c>
      <c r="G20" s="40">
        <v>125999.9993464</v>
      </c>
      <c r="H20" s="40">
        <v>195999.9993464</v>
      </c>
      <c r="K20" s="904" t="s">
        <v>1157</v>
      </c>
      <c r="L20" s="908">
        <f>F182</f>
        <v>1.3742914032097344</v>
      </c>
      <c r="M20" s="2253" t="s">
        <v>1159</v>
      </c>
      <c r="N20" s="2252"/>
      <c r="O20" s="2254" t="s">
        <v>1270</v>
      </c>
      <c r="P20" s="2255"/>
    </row>
    <row r="21" spans="2:16" ht="12.75" customHeight="1">
      <c r="B21" s="2" t="str">
        <f>CONCATENATE("Exit Multiple ",TEXT(A208,"(0)"))</f>
        <v>Exit Multiple (1)</v>
      </c>
      <c r="D21" s="417">
        <f>D23/D20</f>
        <v>1.7857142949773244</v>
      </c>
      <c r="E21" s="417">
        <f t="shared" ref="E21:F21" si="1">E23/E20</f>
        <v>1.6581632708355893</v>
      </c>
      <c r="F21" s="417">
        <f t="shared" si="1"/>
        <v>2.0408163333361098</v>
      </c>
      <c r="G21" s="1641">
        <v>0.75</v>
      </c>
      <c r="H21" s="1641">
        <v>0.75</v>
      </c>
      <c r="K21" s="905" t="s">
        <v>1158</v>
      </c>
      <c r="L21" s="909">
        <f>B108</f>
        <v>0.29182253688483567</v>
      </c>
      <c r="M21" s="905" t="s">
        <v>1158</v>
      </c>
      <c r="N21" s="909">
        <v>0.40433869821260598</v>
      </c>
      <c r="O21" s="2254" t="s">
        <v>1158</v>
      </c>
      <c r="P21" s="2256">
        <v>0.4805229004322234</v>
      </c>
    </row>
    <row r="22" spans="2:16" ht="8.1" customHeight="1">
      <c r="B22" s="5"/>
      <c r="C22" s="5"/>
      <c r="D22" s="5"/>
      <c r="E22" s="5"/>
      <c r="F22" s="5"/>
      <c r="G22" s="5"/>
      <c r="H22" s="5"/>
    </row>
    <row r="23" spans="2:16" ht="12.75" customHeight="1">
      <c r="B23" s="39" t="s">
        <v>247</v>
      </c>
      <c r="D23" s="2140">
        <v>225000</v>
      </c>
      <c r="E23" s="2140">
        <v>325000</v>
      </c>
      <c r="F23" s="2140">
        <v>400000</v>
      </c>
      <c r="G23" s="1011">
        <f>G20*G21</f>
        <v>94499.999509799993</v>
      </c>
      <c r="H23" s="1011">
        <f>H20*H21</f>
        <v>146999.99950979999</v>
      </c>
      <c r="K23" s="2257" t="s">
        <v>1229</v>
      </c>
      <c r="L23" s="2258">
        <v>1.3767</v>
      </c>
    </row>
    <row r="24" spans="2:16" ht="8.1" customHeight="1"/>
    <row r="25" spans="2:16" ht="12.75" customHeight="1">
      <c r="B25" s="279" t="str">
        <f>"Additional Term to Cash Flow (in Years) "&amp;TEXT(A209,"(0)")</f>
        <v>Additional Term to Cash Flow (in Years) (2)</v>
      </c>
      <c r="C25" s="196"/>
      <c r="D25" s="2142"/>
      <c r="E25" s="2142"/>
      <c r="F25" s="1935">
        <v>3</v>
      </c>
      <c r="G25" s="2142"/>
      <c r="H25" s="2143"/>
      <c r="K25" s="385" t="s">
        <v>2539</v>
      </c>
      <c r="L25" s="177">
        <f>1-(L20/L23)</f>
        <v>1.7495436843651957E-3</v>
      </c>
      <c r="M25" s="18"/>
    </row>
    <row r="26" spans="2:16" ht="12.75" hidden="1" customHeight="1" outlineLevel="1">
      <c r="B26" s="2" t="s">
        <v>2528</v>
      </c>
      <c r="D26" s="1934"/>
      <c r="E26" s="1934"/>
      <c r="F26" s="1935">
        <v>0</v>
      </c>
      <c r="G26" s="1934"/>
      <c r="H26" s="1934"/>
    </row>
    <row r="27" spans="2:16" ht="12.75" hidden="1" customHeight="1" outlineLevel="1">
      <c r="B27" s="2" t="s">
        <v>2529</v>
      </c>
      <c r="D27" s="1934"/>
      <c r="E27" s="1934"/>
      <c r="F27" s="1935">
        <v>0</v>
      </c>
      <c r="G27" s="1934"/>
      <c r="H27" s="1934"/>
    </row>
    <row r="28" spans="2:16" ht="12.75" hidden="1" customHeight="1" outlineLevel="1">
      <c r="B28" s="2" t="s">
        <v>2530</v>
      </c>
      <c r="D28" s="1934"/>
      <c r="E28" s="1934"/>
      <c r="F28" s="1935">
        <v>0</v>
      </c>
      <c r="G28" s="1934"/>
      <c r="H28" s="1934"/>
    </row>
    <row r="29" spans="2:16" ht="8.1" customHeight="1" collapsed="1"/>
    <row r="30" spans="2:16" ht="12.75" customHeight="1">
      <c r="B30" s="2247" t="s">
        <v>252</v>
      </c>
      <c r="C30" s="2248"/>
      <c r="D30" s="2248"/>
      <c r="E30" s="2248"/>
      <c r="F30" s="2248"/>
      <c r="G30" s="2248"/>
      <c r="H30" s="2250"/>
      <c r="K30" s="16"/>
      <c r="L30" s="871"/>
      <c r="O30" s="1"/>
    </row>
    <row r="31" spans="2:16" ht="12" customHeight="1"/>
    <row r="32" spans="2:16" ht="12.75" customHeight="1">
      <c r="B32" s="77" t="s">
        <v>337</v>
      </c>
      <c r="K32" s="2259" t="s">
        <v>337</v>
      </c>
      <c r="L32" s="2260"/>
    </row>
    <row r="33" spans="2:26" ht="12.75" customHeight="1">
      <c r="B33" s="2" t="s">
        <v>254</v>
      </c>
      <c r="D33" s="553">
        <f>IF(D15&gt;$L$33,$L$33,0)</f>
        <v>0</v>
      </c>
      <c r="E33" s="553">
        <f>IF(E15&gt;$L$33,$L$33,0)</f>
        <v>43830</v>
      </c>
      <c r="F33" s="553">
        <f>IF(F15&gt;$L$33,$L$33,0)</f>
        <v>43830</v>
      </c>
      <c r="G33" s="553">
        <f>IF(G15&gt;$L$33,$L$33,0)</f>
        <v>0</v>
      </c>
      <c r="H33" s="553">
        <f>IF(H15&gt;$L$33,$L$33,0)</f>
        <v>43830</v>
      </c>
      <c r="K33" s="2261" t="s">
        <v>477</v>
      </c>
      <c r="L33" s="2262">
        <v>43830</v>
      </c>
    </row>
    <row r="34" spans="2:26" ht="12.75" customHeight="1">
      <c r="B34" s="2" t="s">
        <v>253</v>
      </c>
      <c r="D34" s="371">
        <f>IF(D33=0,0,$L$34)</f>
        <v>0</v>
      </c>
      <c r="E34" s="371">
        <f>IF(E33=0,0,$L$34)</f>
        <v>70000</v>
      </c>
      <c r="F34" s="371">
        <f>IF(F33=0,0,$L$34)</f>
        <v>70000</v>
      </c>
      <c r="G34" s="371">
        <f>IF(G33=0,0,$L$34)</f>
        <v>0</v>
      </c>
      <c r="H34" s="371">
        <f>IF(H33=0,0,$L$34)</f>
        <v>70000</v>
      </c>
      <c r="K34" s="2261" t="s">
        <v>478</v>
      </c>
      <c r="L34" s="2263">
        <v>70000</v>
      </c>
      <c r="M34" s="1" t="s">
        <v>2535</v>
      </c>
    </row>
    <row r="35" spans="2:26" ht="12.75" customHeight="1">
      <c r="B35" s="2" t="s">
        <v>255</v>
      </c>
      <c r="D35" s="372">
        <f>IF(D33=0,0,$L$35)</f>
        <v>0</v>
      </c>
      <c r="E35" s="372">
        <f>IF(E33=0,0,$L$35)</f>
        <v>0.16</v>
      </c>
      <c r="F35" s="372">
        <f>IF(F33=0,0,$L$35)</f>
        <v>0.16</v>
      </c>
      <c r="G35" s="372">
        <f>IF(G33=0,0,$L$35)</f>
        <v>0</v>
      </c>
      <c r="H35" s="372">
        <f>IF(H33=0,0,$L$35)</f>
        <v>0.16</v>
      </c>
      <c r="K35" s="2264" t="s">
        <v>479</v>
      </c>
      <c r="L35" s="2265">
        <v>0.16</v>
      </c>
      <c r="M35" s="1" t="s">
        <v>2290</v>
      </c>
    </row>
    <row r="36" spans="2:26" ht="8.1" customHeight="1">
      <c r="B36" s="5"/>
      <c r="C36" s="5"/>
      <c r="D36" s="5"/>
      <c r="E36" s="5"/>
      <c r="F36" s="5"/>
      <c r="G36" s="5"/>
      <c r="H36" s="5"/>
    </row>
    <row r="37" spans="2:26" ht="12.75" hidden="1" customHeight="1" outlineLevel="1">
      <c r="B37" s="39" t="s">
        <v>86</v>
      </c>
      <c r="D37" s="371">
        <f>D34*(1+D35)^(YEARFRAC(D33,D$15,3))</f>
        <v>0</v>
      </c>
      <c r="E37" s="371">
        <f>E34*(1+E35)^(YEARFRAC(E33,E$15,3))</f>
        <v>87437.297339832643</v>
      </c>
      <c r="F37" s="371">
        <f>F34*(1+F35)^(YEARFRAC(F33,F$15,3))</f>
        <v>87437.297339832643</v>
      </c>
      <c r="G37" s="371">
        <f>G34*(1+G35)^(YEARFRAC(G33,G$15,3))</f>
        <v>0</v>
      </c>
      <c r="H37" s="371">
        <f>H34*(1+H35)^(YEARFRAC(H33,H$15,3))</f>
        <v>87437.297339832643</v>
      </c>
      <c r="Z37" s="385" t="s">
        <v>2291</v>
      </c>
    </row>
    <row r="38" spans="2:26" ht="8.1" hidden="1" customHeight="1" outlineLevel="1"/>
    <row r="39" spans="2:26" ht="15" customHeight="1" collapsed="1" thickBot="1">
      <c r="B39" s="2266" t="s">
        <v>86</v>
      </c>
      <c r="C39" s="2267"/>
      <c r="D39" s="2268">
        <f>D37</f>
        <v>0</v>
      </c>
      <c r="E39" s="2268">
        <f>E37</f>
        <v>87437.297339832643</v>
      </c>
      <c r="F39" s="2268">
        <f t="shared" ref="F39:H39" si="2">F37</f>
        <v>87437.297339832643</v>
      </c>
      <c r="G39" s="2268">
        <f t="shared" si="2"/>
        <v>0</v>
      </c>
      <c r="H39" s="2268">
        <f t="shared" si="2"/>
        <v>87437.297339832643</v>
      </c>
    </row>
    <row r="40" spans="2:26" ht="12.75" customHeight="1"/>
    <row r="41" spans="2:26" ht="12.75" customHeight="1">
      <c r="B41" s="2247" t="s">
        <v>258</v>
      </c>
      <c r="C41" s="2248"/>
      <c r="D41" s="2248"/>
      <c r="E41" s="2248"/>
      <c r="F41" s="2248"/>
      <c r="G41" s="2248"/>
      <c r="H41" s="2250"/>
    </row>
    <row r="42" spans="2:26" ht="8.1" customHeight="1"/>
    <row r="43" spans="2:26" ht="12.75" customHeight="1">
      <c r="B43" s="385" t="s">
        <v>247</v>
      </c>
      <c r="D43" s="386">
        <f>D23</f>
        <v>225000</v>
      </c>
      <c r="E43" s="386">
        <f>E23</f>
        <v>325000</v>
      </c>
      <c r="F43" s="386">
        <f>F23</f>
        <v>400000</v>
      </c>
      <c r="G43" s="386">
        <f>G23</f>
        <v>94499.999509799993</v>
      </c>
      <c r="H43" s="386">
        <f>H23</f>
        <v>146999.99950979999</v>
      </c>
    </row>
    <row r="44" spans="2:26" ht="12.75" customHeight="1">
      <c r="B44" s="2" t="s">
        <v>179</v>
      </c>
      <c r="D44" s="386">
        <f>-MIN(D39,D43)</f>
        <v>0</v>
      </c>
      <c r="E44" s="386">
        <f t="shared" ref="E44:H44" si="3">-MIN(E39,E43)</f>
        <v>-87437.297339832643</v>
      </c>
      <c r="F44" s="386">
        <f t="shared" si="3"/>
        <v>-87437.297339832643</v>
      </c>
      <c r="G44" s="386">
        <f t="shared" si="3"/>
        <v>0</v>
      </c>
      <c r="H44" s="386">
        <f t="shared" si="3"/>
        <v>-87437.297339832643</v>
      </c>
    </row>
    <row r="45" spans="2:26" ht="8.1" customHeight="1">
      <c r="B45" s="5"/>
      <c r="C45" s="5"/>
      <c r="D45" s="5"/>
      <c r="E45" s="5"/>
      <c r="F45" s="5"/>
      <c r="G45" s="5"/>
      <c r="H45" s="5"/>
    </row>
    <row r="46" spans="2:26" ht="12.75" customHeight="1">
      <c r="B46" s="1" t="s">
        <v>259</v>
      </c>
      <c r="D46" s="1011">
        <f t="shared" ref="D46:H46" si="4">SUM(D43:D44)</f>
        <v>225000</v>
      </c>
      <c r="E46" s="1011">
        <f t="shared" si="4"/>
        <v>237562.70266016736</v>
      </c>
      <c r="F46" s="1011">
        <f t="shared" si="4"/>
        <v>312562.70266016736</v>
      </c>
      <c r="G46" s="1011">
        <f t="shared" si="4"/>
        <v>94499.999509799993</v>
      </c>
      <c r="H46" s="1011">
        <f t="shared" si="4"/>
        <v>59562.70216996735</v>
      </c>
    </row>
    <row r="47" spans="2:26" ht="8.1" customHeight="1"/>
    <row r="48" spans="2:26" s="74" customFormat="1" ht="12.75" customHeight="1">
      <c r="B48" s="161" t="s">
        <v>1081</v>
      </c>
      <c r="D48" s="245">
        <v>0</v>
      </c>
      <c r="E48" s="245">
        <v>0</v>
      </c>
      <c r="F48" s="245">
        <v>0</v>
      </c>
      <c r="G48" s="245">
        <v>0</v>
      </c>
      <c r="H48" s="245">
        <v>0</v>
      </c>
    </row>
    <row r="49" spans="2:22" ht="8.1" customHeight="1">
      <c r="B49" s="5"/>
      <c r="C49" s="5"/>
      <c r="D49" s="5"/>
      <c r="E49" s="5"/>
      <c r="F49" s="5"/>
      <c r="G49" s="5"/>
      <c r="H49" s="5"/>
    </row>
    <row r="50" spans="2:22" ht="12.75" customHeight="1">
      <c r="B50" s="1" t="s">
        <v>269</v>
      </c>
      <c r="D50" s="1011">
        <f>MAX(SUM(D46:D48),0)</f>
        <v>225000</v>
      </c>
      <c r="E50" s="1011">
        <f t="shared" ref="E50:H50" si="5">MAX(SUM(E46:E48),0)</f>
        <v>237562.70266016736</v>
      </c>
      <c r="F50" s="1011">
        <f t="shared" si="5"/>
        <v>312562.70266016736</v>
      </c>
      <c r="G50" s="1011">
        <f t="shared" si="5"/>
        <v>94499.999509799993</v>
      </c>
      <c r="H50" s="1011">
        <f t="shared" si="5"/>
        <v>59562.70216996735</v>
      </c>
      <c r="L50" s="2253" t="s">
        <v>1909</v>
      </c>
      <c r="M50" s="2269"/>
      <c r="N50" s="2269"/>
      <c r="O50" s="2269"/>
      <c r="P50" s="2252"/>
    </row>
    <row r="51" spans="2:22" ht="8.1" customHeight="1"/>
    <row r="52" spans="2:22" ht="12.75" customHeight="1">
      <c r="B52" s="1" t="s">
        <v>260</v>
      </c>
      <c r="J52" s="1" t="s">
        <v>2477</v>
      </c>
      <c r="L52" s="342" t="str">
        <f>D6</f>
        <v>IPO - Early</v>
      </c>
      <c r="M52" s="342" t="str">
        <f>E6</f>
        <v>IPO - Late</v>
      </c>
      <c r="N52" s="342" t="str">
        <f>F6</f>
        <v>M&amp;A - Late</v>
      </c>
      <c r="O52" s="342" t="str">
        <f>G6</f>
        <v>Low Sale - Early</v>
      </c>
      <c r="P52" s="342" t="str">
        <f>H6</f>
        <v>Low Sale - Late</v>
      </c>
    </row>
    <row r="53" spans="2:22" ht="12.75" customHeight="1">
      <c r="B53" s="2" t="s">
        <v>329</v>
      </c>
      <c r="D53" s="1706"/>
      <c r="E53" s="1706"/>
      <c r="F53" s="386">
        <f>IF(F$62&gt;0,0,MIN(N53,F50-SUM(F54:F55)))</f>
        <v>0</v>
      </c>
      <c r="G53" s="386">
        <f t="shared" ref="G53:H53" si="6">IF(G$62&gt;0,0,MIN(O53,G50-SUM(G54:G55)))</f>
        <v>16388.735613721714</v>
      </c>
      <c r="H53" s="386">
        <f t="shared" si="6"/>
        <v>0</v>
      </c>
      <c r="J53" s="433">
        <v>56000</v>
      </c>
      <c r="K53" s="385" t="s">
        <v>329</v>
      </c>
      <c r="L53" s="387">
        <v>62615.67123287671</v>
      </c>
      <c r="M53" s="387">
        <v>69329.534246575349</v>
      </c>
      <c r="N53" s="387">
        <v>69329.534246575349</v>
      </c>
      <c r="O53" s="387">
        <v>62615.67123287671</v>
      </c>
      <c r="P53" s="387">
        <v>69329.534246575349</v>
      </c>
    </row>
    <row r="54" spans="2:22" ht="12.75" customHeight="1">
      <c r="B54" s="2" t="s">
        <v>2264</v>
      </c>
      <c r="D54" s="1706"/>
      <c r="E54" s="1706"/>
      <c r="F54" s="386">
        <f t="shared" ref="F54:H54" si="7">IF(F$63&gt;0,0,MIN(F$50*(N54/SUM(N$54:N$55)),N54))</f>
        <v>0</v>
      </c>
      <c r="G54" s="386">
        <f t="shared" si="7"/>
        <v>69490.327450955898</v>
      </c>
      <c r="H54" s="386">
        <f t="shared" si="7"/>
        <v>52978.523178455405</v>
      </c>
      <c r="J54" s="433">
        <v>62148.313044199997</v>
      </c>
      <c r="K54" s="385" t="s">
        <v>2264</v>
      </c>
      <c r="L54" s="387">
        <v>69490.327450955898</v>
      </c>
      <c r="M54" s="387">
        <v>76941.314242227658</v>
      </c>
      <c r="N54" s="387">
        <v>76941.314242227658</v>
      </c>
      <c r="O54" s="387">
        <v>69490.327450955898</v>
      </c>
      <c r="P54" s="387">
        <v>76941.314242227658</v>
      </c>
    </row>
    <row r="55" spans="2:22" ht="12.75" customHeight="1">
      <c r="B55" s="2" t="s">
        <v>2265</v>
      </c>
      <c r="D55" s="1706"/>
      <c r="E55" s="1706"/>
      <c r="F55" s="386">
        <f t="shared" ref="F55:H55" si="8">IF(F$64&gt;0,0,MIN(F$50*(N55/SUM(N$54:N$55)),N55))</f>
        <v>0</v>
      </c>
      <c r="G55" s="386">
        <f t="shared" si="8"/>
        <v>8620.9364451223882</v>
      </c>
      <c r="H55" s="386">
        <f t="shared" si="8"/>
        <v>6584.1789915119416</v>
      </c>
      <c r="J55" s="433">
        <v>7851.6863021999998</v>
      </c>
      <c r="K55" s="385" t="s">
        <v>2265</v>
      </c>
      <c r="L55" s="387">
        <v>8620.9364451223882</v>
      </c>
      <c r="M55" s="387">
        <v>9562.2783426135447</v>
      </c>
      <c r="N55" s="387">
        <v>9562.2783426135447</v>
      </c>
      <c r="O55" s="387">
        <v>8620.9364451223882</v>
      </c>
      <c r="P55" s="387">
        <v>9562.2783426135447</v>
      </c>
    </row>
    <row r="56" spans="2:22" ht="8.1" customHeight="1">
      <c r="B56" s="5"/>
      <c r="C56" s="5"/>
      <c r="D56" s="5"/>
      <c r="E56" s="5"/>
      <c r="F56" s="5"/>
      <c r="G56" s="5"/>
      <c r="H56" s="5"/>
      <c r="K56" s="392"/>
      <c r="L56" s="433"/>
    </row>
    <row r="57" spans="2:22" ht="12.75" customHeight="1">
      <c r="B57" s="175" t="str">
        <f>CONCATENATE("Total ",B52)</f>
        <v>Total Liquidation Preferences</v>
      </c>
      <c r="D57" s="1011">
        <f>SUM(D53:D55)</f>
        <v>0</v>
      </c>
      <c r="E57" s="1011">
        <f>SUM(E53:E55)</f>
        <v>0</v>
      </c>
      <c r="F57" s="1011">
        <f>SUM(F53:F55)</f>
        <v>0</v>
      </c>
      <c r="G57" s="1011">
        <f>SUM(G53:G55)</f>
        <v>94499.999509799993</v>
      </c>
      <c r="H57" s="1011">
        <f>SUM(H53:H55)</f>
        <v>59562.70216996735</v>
      </c>
      <c r="J57" s="36">
        <f>SUM(J53:J55)</f>
        <v>125999.9993464</v>
      </c>
      <c r="K57" s="2270"/>
      <c r="L57" s="2271">
        <f t="shared" ref="L57:P57" si="9">SUM(L53:L55)</f>
        <v>140726.935128955</v>
      </c>
      <c r="M57" s="2271">
        <f t="shared" si="9"/>
        <v>155833.12683141656</v>
      </c>
      <c r="N57" s="2271">
        <f t="shared" si="9"/>
        <v>155833.12683141656</v>
      </c>
      <c r="O57" s="2271">
        <f t="shared" si="9"/>
        <v>140726.935128955</v>
      </c>
      <c r="P57" s="2271">
        <f t="shared" si="9"/>
        <v>155833.12683141656</v>
      </c>
    </row>
    <row r="58" spans="2:22" ht="8.1" customHeight="1"/>
    <row r="59" spans="2:22" ht="12.75" customHeight="1">
      <c r="B59" s="1" t="s">
        <v>261</v>
      </c>
      <c r="C59" s="1"/>
      <c r="D59" s="1011">
        <f>D50-D57</f>
        <v>225000</v>
      </c>
      <c r="E59" s="1011">
        <f>E50-E57</f>
        <v>237562.70266016736</v>
      </c>
      <c r="F59" s="1011">
        <f>F50-F57</f>
        <v>312562.70266016736</v>
      </c>
      <c r="G59" s="1011">
        <f>G50-G57</f>
        <v>0</v>
      </c>
      <c r="H59" s="1011">
        <f>H50-H57</f>
        <v>0</v>
      </c>
      <c r="K59" s="169"/>
      <c r="L59" s="2253" t="s">
        <v>2299</v>
      </c>
      <c r="M59" s="2269"/>
      <c r="N59" s="2269"/>
      <c r="O59" s="2269"/>
      <c r="P59" s="2252"/>
      <c r="R59" s="2253" t="s">
        <v>2074</v>
      </c>
      <c r="S59" s="2269"/>
      <c r="T59" s="2269"/>
      <c r="U59" s="2269"/>
      <c r="V59" s="2252"/>
    </row>
    <row r="60" spans="2:22" ht="8.1" customHeight="1"/>
    <row r="61" spans="2:22" ht="12.75" customHeight="1">
      <c r="B61" s="1" t="s">
        <v>262</v>
      </c>
      <c r="J61" s="385" t="s">
        <v>164</v>
      </c>
      <c r="K61" s="301" t="s">
        <v>2074</v>
      </c>
      <c r="L61" s="390" t="str">
        <f>L52</f>
        <v>IPO - Early</v>
      </c>
      <c r="M61" s="390" t="str">
        <f t="shared" ref="M61:P61" si="10">M52</f>
        <v>IPO - Late</v>
      </c>
      <c r="N61" s="390" t="str">
        <f t="shared" si="10"/>
        <v>M&amp;A - Late</v>
      </c>
      <c r="O61" s="390" t="str">
        <f t="shared" si="10"/>
        <v>Low Sale - Early</v>
      </c>
      <c r="P61" s="390" t="str">
        <f t="shared" si="10"/>
        <v>Low Sale - Late</v>
      </c>
      <c r="Q61" s="169"/>
      <c r="R61" s="1" t="str">
        <f>L61</f>
        <v>IPO - Early</v>
      </c>
      <c r="S61" s="1" t="str">
        <f t="shared" ref="S61:V61" si="11">M61</f>
        <v>IPO - Late</v>
      </c>
      <c r="T61" s="1" t="str">
        <f t="shared" si="11"/>
        <v>M&amp;A - Late</v>
      </c>
      <c r="U61" s="1" t="str">
        <f t="shared" si="11"/>
        <v>Low Sale - Early</v>
      </c>
      <c r="V61" s="1" t="str">
        <f t="shared" si="11"/>
        <v>Low Sale - Late</v>
      </c>
    </row>
    <row r="62" spans="2:22" ht="12.75" customHeight="1">
      <c r="B62" s="161" t="str">
        <f>+$B53</f>
        <v>Series A</v>
      </c>
      <c r="D62" s="386">
        <f>J62</f>
        <v>56000</v>
      </c>
      <c r="E62" s="386">
        <f>IF(E$50&gt;M62,$J62,0)</f>
        <v>56000</v>
      </c>
      <c r="F62" s="386">
        <f>IF(F$50&gt;N62,$J62,0)</f>
        <v>56000</v>
      </c>
      <c r="G62" s="386">
        <f>IF(G$50&gt;O62,$J62,0)</f>
        <v>0</v>
      </c>
      <c r="H62" s="386">
        <f>IF(H$50&gt;P62,$J62,0)</f>
        <v>0</v>
      </c>
      <c r="J62" s="433">
        <v>56000</v>
      </c>
      <c r="K62" s="2272">
        <v>1.2176460273972602</v>
      </c>
      <c r="L62" s="1889">
        <f>L$69+SUM($J$62:$J62,$J$65:$J$69)*R62-SUMPRODUCT($J$65:$J$67,$K$65:$K$67)-L53</f>
        <v>165988.6104160235</v>
      </c>
      <c r="M62" s="1889">
        <f>M$69+SUM($J$62:$J62,$J$65:$J$69)*S62-SUMPRODUCT($J$65:$J$67,$K$65:$K$67)-M53</f>
        <v>184047.41628243023</v>
      </c>
      <c r="N62" s="1889">
        <f>N$69+SUM($J$62:$J62,$J$65:$J$69)*T62-SUMPRODUCT($J$65:$J$67,$K$65:$K$67)-N53</f>
        <v>184047.41628243023</v>
      </c>
      <c r="O62" s="1889">
        <f>O$69+SUM($J$62:$J62,$J$65:$J$69)*U62-SUMPRODUCT($J$65:$J$67,$K$65:$K$67)-O53</f>
        <v>165988.6104160235</v>
      </c>
      <c r="P62" s="1889">
        <f>P$69+SUM($J$62:$J62,$J$65:$J$69)*V62-SUMPRODUCT($J$65:$J$67,$K$65:$K$67)-P53</f>
        <v>184047.41628243023</v>
      </c>
      <c r="Q62" s="433"/>
      <c r="R62" s="7">
        <f>L53/$J62</f>
        <v>1.1181369863013699</v>
      </c>
      <c r="S62" s="7">
        <f t="shared" ref="S62:V62" si="12">M53/$J62</f>
        <v>1.238027397260274</v>
      </c>
      <c r="T62" s="7">
        <f t="shared" si="12"/>
        <v>1.238027397260274</v>
      </c>
      <c r="U62" s="7">
        <f t="shared" si="12"/>
        <v>1.1181369863013699</v>
      </c>
      <c r="V62" s="7">
        <f t="shared" si="12"/>
        <v>1.238027397260274</v>
      </c>
    </row>
    <row r="63" spans="2:22" ht="12.75" customHeight="1">
      <c r="B63" s="161" t="str">
        <f>+$B54</f>
        <v>Series B Tranche I</v>
      </c>
      <c r="D63" s="386">
        <f t="shared" ref="D63:D69" si="13">J63</f>
        <v>45142.960008861766</v>
      </c>
      <c r="E63" s="386">
        <f t="shared" ref="E63:H69" si="14">IF(E$50&gt;M63,$J63,0)</f>
        <v>45142.960008861766</v>
      </c>
      <c r="F63" s="386">
        <f t="shared" si="14"/>
        <v>45142.960008861766</v>
      </c>
      <c r="G63" s="386">
        <f t="shared" si="14"/>
        <v>0</v>
      </c>
      <c r="H63" s="386">
        <f t="shared" si="14"/>
        <v>0</v>
      </c>
      <c r="J63" s="433">
        <v>45142.960008861766</v>
      </c>
      <c r="K63" s="1705">
        <v>1.6732194970168255</v>
      </c>
      <c r="L63" s="1889">
        <f>L$69+SUM($J$62:$J64,$J$65:$J$69)*R63-SUMPRODUCT($J$65:$J$67,$K$65:$K$67)-SUM(L53:L55)</f>
        <v>200107.46134266409</v>
      </c>
      <c r="M63" s="1889">
        <f>M$69+SUM($J$62:$J64,$J$65:$J$69)*S63-SUMPRODUCT($J$65:$J$67,$K$65:$K$67)-SUM(M53:M55)</f>
        <v>221807.62916188932</v>
      </c>
      <c r="N63" s="1889">
        <f>N$69+SUM($J$62:$J64,$J$65:$J$69)*T63-SUMPRODUCT($J$65:$J$67,$K$65:$K$67)-SUM(N53:N55)</f>
        <v>221807.62916188932</v>
      </c>
      <c r="O63" s="1889">
        <f>O$69+SUM($J$62:$J64,$J$65:$J$69)*U63-SUMPRODUCT($J$65:$J$67,$K$65:$K$67)-SUM(O53:O55)</f>
        <v>200107.46134266409</v>
      </c>
      <c r="P63" s="1889">
        <f>P$69+SUM($J$62:$J64,$J$65:$J$69)*V63-SUMPRODUCT($J$65:$J$67,$K$65:$K$67)-SUM(P53:P55)</f>
        <v>221807.62916188932</v>
      </c>
      <c r="R63" s="7">
        <f t="shared" ref="R63:V64" si="15">L54/$J63</f>
        <v>1.5393391890410959</v>
      </c>
      <c r="S63" s="7">
        <f t="shared" si="15"/>
        <v>1.7043923178082192</v>
      </c>
      <c r="T63" s="7">
        <f t="shared" si="15"/>
        <v>1.7043923178082192</v>
      </c>
      <c r="U63" s="7">
        <f t="shared" si="15"/>
        <v>1.5393391890410959</v>
      </c>
      <c r="V63" s="7">
        <f t="shared" si="15"/>
        <v>1.7043923178082192</v>
      </c>
    </row>
    <row r="64" spans="2:22" ht="12.75" customHeight="1">
      <c r="B64" s="161" t="str">
        <f>+$B55</f>
        <v>Series B Tranche II</v>
      </c>
      <c r="D64" s="386">
        <f t="shared" si="13"/>
        <v>5703.2659999999996</v>
      </c>
      <c r="E64" s="386">
        <f t="shared" si="14"/>
        <v>5703.2659999999996</v>
      </c>
      <c r="F64" s="386">
        <f t="shared" si="14"/>
        <v>5703.2659999999996</v>
      </c>
      <c r="G64" s="386">
        <f t="shared" si="14"/>
        <v>0</v>
      </c>
      <c r="H64" s="386">
        <f>IF(H$50&gt;P64,$J64,0)</f>
        <v>0</v>
      </c>
      <c r="J64" s="433">
        <v>5703.2659999999996</v>
      </c>
      <c r="K64" s="1705">
        <v>1.6732194970168255</v>
      </c>
      <c r="L64" s="1889">
        <f>L63</f>
        <v>200107.46134266409</v>
      </c>
      <c r="M64" s="1889">
        <f t="shared" ref="M64:P64" si="16">M63</f>
        <v>221807.62916188932</v>
      </c>
      <c r="N64" s="1889">
        <f t="shared" si="16"/>
        <v>221807.62916188932</v>
      </c>
      <c r="O64" s="1889">
        <f t="shared" si="16"/>
        <v>200107.46134266409</v>
      </c>
      <c r="P64" s="1889">
        <f t="shared" si="16"/>
        <v>221807.62916188932</v>
      </c>
      <c r="R64" s="7">
        <f t="shared" si="15"/>
        <v>1.5115788821917808</v>
      </c>
      <c r="S64" s="7">
        <f t="shared" si="15"/>
        <v>1.6766320109589041</v>
      </c>
      <c r="T64" s="7">
        <f t="shared" si="15"/>
        <v>1.6766320109589041</v>
      </c>
      <c r="U64" s="7">
        <f t="shared" si="15"/>
        <v>1.5115788821917808</v>
      </c>
      <c r="V64" s="7">
        <f t="shared" si="15"/>
        <v>1.6766320109589041</v>
      </c>
    </row>
    <row r="65" spans="2:21" ht="12.75" customHeight="1">
      <c r="B65" s="297" t="s">
        <v>3363</v>
      </c>
      <c r="D65" s="386">
        <f t="shared" si="13"/>
        <v>10</v>
      </c>
      <c r="E65" s="386">
        <f t="shared" si="14"/>
        <v>10</v>
      </c>
      <c r="F65" s="386">
        <f t="shared" si="14"/>
        <v>10</v>
      </c>
      <c r="G65" s="386">
        <f t="shared" si="14"/>
        <v>0</v>
      </c>
      <c r="H65" s="386">
        <f t="shared" si="14"/>
        <v>0</v>
      </c>
      <c r="J65" s="433">
        <v>10</v>
      </c>
      <c r="K65" s="1705">
        <v>1E-3</v>
      </c>
      <c r="L65" s="1889">
        <f>L$69+(SUM($J65:$J$65,$J$69)*$K65-SUMPRODUCT($J65:$J$65,$K65:$K$65))</f>
        <v>140742.357810955</v>
      </c>
      <c r="M65" s="1889">
        <f>M$69+(SUM($J65:$J$65,$J$69)*$K65-SUMPRODUCT($J65:$J$65,$K65:$K$65))</f>
        <v>155848.54951341657</v>
      </c>
      <c r="N65" s="1889">
        <f>N$69+(SUM($J65:$J$65,$J$69)*$K65-SUMPRODUCT($J65:$J$65,$K65:$K$65))</f>
        <v>155848.54951341657</v>
      </c>
      <c r="O65" s="1889">
        <f>O$69+(SUM($J65:$J$65,$J$69)*$K65-SUMPRODUCT($J65:$J$65,$K65:$K$65))</f>
        <v>140742.357810955</v>
      </c>
      <c r="P65" s="1889">
        <f>P$69+(SUM($J65:$J$65,$J$69)*$K65-SUMPRODUCT($J65:$J$65,$K65:$K$65))</f>
        <v>155848.54951341657</v>
      </c>
      <c r="Q65" s="1009"/>
      <c r="R65" s="1009"/>
      <c r="S65" s="1009"/>
      <c r="T65" s="1009"/>
      <c r="U65" s="1009"/>
    </row>
    <row r="66" spans="2:21" ht="12.75" customHeight="1">
      <c r="B66" s="297" t="s">
        <v>3364</v>
      </c>
      <c r="D66" s="386">
        <f t="shared" si="13"/>
        <v>206.9</v>
      </c>
      <c r="E66" s="386">
        <f t="shared" si="14"/>
        <v>206.9</v>
      </c>
      <c r="F66" s="386">
        <f t="shared" si="14"/>
        <v>206.9</v>
      </c>
      <c r="G66" s="386">
        <f t="shared" si="14"/>
        <v>0</v>
      </c>
      <c r="H66" s="386">
        <f t="shared" si="14"/>
        <v>0</v>
      </c>
      <c r="J66" s="433">
        <v>206.9</v>
      </c>
      <c r="K66" s="1705">
        <v>0.01</v>
      </c>
      <c r="L66" s="1889">
        <f>L$69+(SUM($J$65:$J66,$J$69)*$K66-SUMPRODUCT($J$65:$J66,$K$65:$K66))</f>
        <v>140881.251948955</v>
      </c>
      <c r="M66" s="1889">
        <f>M$69+(SUM($J$65:$J66,$J$69)*$K66-SUMPRODUCT($J$65:$J66,$K$65:$K66))</f>
        <v>155987.44365141657</v>
      </c>
      <c r="N66" s="1889">
        <f>N$69+(SUM($J$65:$J66,$J$69)*$K66-SUMPRODUCT($J$65:$J66,$K$65:$K66))</f>
        <v>155987.44365141657</v>
      </c>
      <c r="O66" s="1889">
        <f>O$69+(SUM($J$65:$J66,$J$69)*$K66-SUMPRODUCT($J$65:$J66,$K$65:$K66))</f>
        <v>140881.251948955</v>
      </c>
      <c r="P66" s="1889">
        <f>P$69+(SUM($J$65:$J66,$J$69)*$K66-SUMPRODUCT($J$65:$J66,$K$65:$K66))</f>
        <v>155987.44365141657</v>
      </c>
      <c r="Q66" s="1009"/>
      <c r="R66" s="1009"/>
      <c r="S66" s="1009"/>
      <c r="T66" s="1009"/>
      <c r="U66" s="1009"/>
    </row>
    <row r="67" spans="2:21" ht="12.75" customHeight="1">
      <c r="B67" s="297" t="s">
        <v>362</v>
      </c>
      <c r="D67" s="386">
        <f t="shared" si="13"/>
        <v>7838.9179999999997</v>
      </c>
      <c r="E67" s="386">
        <f t="shared" si="14"/>
        <v>7838.9179999999997</v>
      </c>
      <c r="F67" s="386">
        <f t="shared" si="14"/>
        <v>7838.9179999999997</v>
      </c>
      <c r="G67" s="386">
        <f t="shared" si="14"/>
        <v>0</v>
      </c>
      <c r="H67" s="386">
        <f>IF(H$50&gt;P67,$J67,0)</f>
        <v>0</v>
      </c>
      <c r="J67" s="433">
        <v>7838.9179999999997</v>
      </c>
      <c r="K67" s="1705">
        <v>0.28999999999999998</v>
      </c>
      <c r="L67" s="1889">
        <f>L$69+(SUM($J$65:$J67,$J$69)*$K67-SUMPRODUCT($J$65:$J67,$K$65:$K67))</f>
        <v>145260.334908955</v>
      </c>
      <c r="M67" s="1889">
        <f>M$69+(SUM($J$65:$J67,$J$69)*$K67-SUMPRODUCT($J$65:$J67,$K$65:$K67))</f>
        <v>160366.52661141657</v>
      </c>
      <c r="N67" s="1889">
        <f>N$69+(SUM($J$65:$J67,$J$69)*$K67-SUMPRODUCT($J$65:$J67,$K$65:$K67))</f>
        <v>160366.52661141657</v>
      </c>
      <c r="O67" s="1889">
        <f>O$69+(SUM($J$65:$J67,$J$69)*$K67-SUMPRODUCT($J$65:$J67,$K$65:$K67))</f>
        <v>145260.334908955</v>
      </c>
      <c r="P67" s="1889">
        <f>P$69+(SUM($J$65:$J67,$J$69)*$K67-SUMPRODUCT($J$65:$J67,$K$65:$K67))</f>
        <v>160366.52661141657</v>
      </c>
      <c r="Q67" s="1009"/>
      <c r="R67" s="1009"/>
      <c r="S67" s="1009"/>
      <c r="T67" s="1009"/>
      <c r="U67" s="1009"/>
    </row>
    <row r="68" spans="2:21" ht="12.75" customHeight="1">
      <c r="B68" s="297" t="s">
        <v>1868</v>
      </c>
      <c r="D68" s="386">
        <f t="shared" si="13"/>
        <v>1149.1089999999999</v>
      </c>
      <c r="E68" s="386">
        <f t="shared" si="14"/>
        <v>1149.1089999999999</v>
      </c>
      <c r="F68" s="386">
        <f t="shared" si="14"/>
        <v>1149.1089999999999</v>
      </c>
      <c r="G68" s="386">
        <f t="shared" si="14"/>
        <v>0</v>
      </c>
      <c r="H68" s="386">
        <f>IF(H$50&gt;P68,$J68,0)</f>
        <v>0</v>
      </c>
      <c r="J68" s="433">
        <v>1149.1089999999999</v>
      </c>
      <c r="K68" s="2021">
        <v>0.28999999999999998</v>
      </c>
      <c r="L68" s="1889">
        <f>L67</f>
        <v>145260.334908955</v>
      </c>
      <c r="M68" s="1889">
        <f t="shared" ref="M68:P68" si="17">M67</f>
        <v>160366.52661141657</v>
      </c>
      <c r="N68" s="1889">
        <f t="shared" si="17"/>
        <v>160366.52661141657</v>
      </c>
      <c r="O68" s="1889">
        <f t="shared" si="17"/>
        <v>145260.334908955</v>
      </c>
      <c r="P68" s="1889">
        <f t="shared" si="17"/>
        <v>160366.52661141657</v>
      </c>
      <c r="Q68" s="1009"/>
      <c r="R68" s="1009"/>
      <c r="S68" s="1009"/>
      <c r="T68" s="1009"/>
      <c r="U68" s="1009"/>
    </row>
    <row r="69" spans="2:21" ht="12.75" customHeight="1">
      <c r="B69" s="160" t="s">
        <v>78</v>
      </c>
      <c r="D69" s="386">
        <f t="shared" si="13"/>
        <v>15422.682000000001</v>
      </c>
      <c r="E69" s="386">
        <f t="shared" si="14"/>
        <v>15422.682000000001</v>
      </c>
      <c r="F69" s="386">
        <f t="shared" si="14"/>
        <v>15422.682000000001</v>
      </c>
      <c r="G69" s="386">
        <f t="shared" si="14"/>
        <v>0</v>
      </c>
      <c r="H69" s="386">
        <f>IF(H$50&gt;P69,$J69,0)</f>
        <v>0</v>
      </c>
      <c r="J69" s="433">
        <v>15422.682000000001</v>
      </c>
      <c r="L69" s="1889">
        <f>L57</f>
        <v>140726.935128955</v>
      </c>
      <c r="M69" s="1889">
        <f>M57</f>
        <v>155833.12683141656</v>
      </c>
      <c r="N69" s="1889">
        <f>N57</f>
        <v>155833.12683141656</v>
      </c>
      <c r="O69" s="1889">
        <f>O57</f>
        <v>140726.935128955</v>
      </c>
      <c r="P69" s="1889">
        <f>P57</f>
        <v>155833.12683141656</v>
      </c>
    </row>
    <row r="70" spans="2:21" ht="8.1" customHeight="1">
      <c r="B70" s="5"/>
      <c r="C70" s="5"/>
      <c r="D70" s="5"/>
      <c r="E70" s="5"/>
      <c r="F70" s="5"/>
      <c r="G70" s="5"/>
      <c r="H70" s="5"/>
    </row>
    <row r="71" spans="2:21" ht="12.75" customHeight="1">
      <c r="B71" s="175" t="str">
        <f>CONCATENATE("Total ",B61)</f>
        <v>Total Shares (As Converted)</v>
      </c>
      <c r="D71" s="36">
        <f>SUM(D62:D69)</f>
        <v>131473.83500886176</v>
      </c>
      <c r="E71" s="36">
        <f>SUM(E62:E69)</f>
        <v>131473.83500886176</v>
      </c>
      <c r="F71" s="36">
        <f>SUM(F62:F69)</f>
        <v>131473.83500886176</v>
      </c>
      <c r="G71" s="36">
        <f>SUM(G62:G69)</f>
        <v>0</v>
      </c>
      <c r="H71" s="36">
        <f>SUM(H62:H69)</f>
        <v>0</v>
      </c>
    </row>
    <row r="72" spans="2:21" ht="8.1" customHeight="1"/>
    <row r="73" spans="2:21" ht="12.75" customHeight="1">
      <c r="B73" s="2" t="s">
        <v>270</v>
      </c>
      <c r="D73" s="386">
        <f>SUMPRODUCT(D65:D68,$K$65:$K$68)</f>
        <v>2608.6068300000002</v>
      </c>
      <c r="E73" s="386">
        <f>SUMPRODUCT(E65:E68,$K$65:$K$68)</f>
        <v>2608.6068300000002</v>
      </c>
      <c r="F73" s="386">
        <f>SUMPRODUCT(F65:F68,$K$65:$K$68)</f>
        <v>2608.6068300000002</v>
      </c>
      <c r="G73" s="386">
        <f>SUMPRODUCT(G65:G68,$K$65:$K$68)</f>
        <v>0</v>
      </c>
      <c r="H73" s="386">
        <f>SUMPRODUCT(H65:H68,$K$65:$K$68)</f>
        <v>0</v>
      </c>
    </row>
    <row r="74" spans="2:21" ht="8.1" customHeight="1"/>
    <row r="75" spans="2:21" ht="12.75" customHeight="1">
      <c r="B75" s="2247" t="s">
        <v>427</v>
      </c>
      <c r="C75" s="2248"/>
      <c r="D75" s="2248"/>
      <c r="E75" s="2248"/>
      <c r="F75" s="2248"/>
      <c r="G75" s="2248"/>
      <c r="H75" s="2250"/>
    </row>
    <row r="76" spans="2:21" ht="8.1" customHeight="1"/>
    <row r="77" spans="2:21" ht="12.75" customHeight="1">
      <c r="B77" s="2" t="str">
        <f t="shared" ref="B77:B84" si="18">+B62</f>
        <v>Series A</v>
      </c>
      <c r="D77" s="245">
        <f t="shared" ref="D77:H79" si="19">D53+IF(D62&gt;0,(D$59+D$73)*(D62/D$71),0)</f>
        <v>96947.670094364206</v>
      </c>
      <c r="E77" s="245">
        <f t="shared" si="19"/>
        <v>102298.63098268052</v>
      </c>
      <c r="F77" s="245">
        <f t="shared" si="19"/>
        <v>134244.15078680663</v>
      </c>
      <c r="G77" s="245">
        <f t="shared" si="19"/>
        <v>16388.735613721714</v>
      </c>
      <c r="H77" s="245">
        <f t="shared" si="19"/>
        <v>0</v>
      </c>
    </row>
    <row r="78" spans="2:21" ht="12.75" customHeight="1">
      <c r="B78" s="2" t="str">
        <f t="shared" si="18"/>
        <v>Series B Tranche I</v>
      </c>
      <c r="D78" s="245">
        <f t="shared" si="19"/>
        <v>78151.871321825121</v>
      </c>
      <c r="E78" s="245">
        <f t="shared" si="19"/>
        <v>82465.410846650964</v>
      </c>
      <c r="F78" s="245">
        <f t="shared" si="19"/>
        <v>108217.47018557893</v>
      </c>
      <c r="G78" s="245">
        <f t="shared" si="19"/>
        <v>69490.327450955898</v>
      </c>
      <c r="H78" s="245">
        <f t="shared" si="19"/>
        <v>52978.523178455405</v>
      </c>
    </row>
    <row r="79" spans="2:21" ht="12.75" customHeight="1">
      <c r="B79" s="2" t="str">
        <f t="shared" si="18"/>
        <v>Series B Tranche II</v>
      </c>
      <c r="D79" s="245">
        <f t="shared" si="19"/>
        <v>9873.5419755072162</v>
      </c>
      <c r="E79" s="245">
        <f t="shared" si="19"/>
        <v>10418.505427322651</v>
      </c>
      <c r="F79" s="245">
        <f t="shared" si="19"/>
        <v>13671.966087165489</v>
      </c>
      <c r="G79" s="245">
        <f t="shared" si="19"/>
        <v>8620.9364451223882</v>
      </c>
      <c r="H79" s="245">
        <f t="shared" si="19"/>
        <v>6584.1789915119416</v>
      </c>
    </row>
    <row r="80" spans="2:21" ht="12.75" customHeight="1">
      <c r="B80" s="2" t="str">
        <f t="shared" si="18"/>
        <v>Options at $0.001 Strike Price</v>
      </c>
      <c r="D80" s="245">
        <f>IF(D65&gt;0,(D$59+D$73)*(D65/D$71)-(D65*$K$65),0)</f>
        <v>17.302083945422176</v>
      </c>
      <c r="E80" s="245">
        <f>IF(E65&gt;0,(E$59+E$73)*(E65/E$71)-(E65*$K$65),0)</f>
        <v>18.257612675478661</v>
      </c>
      <c r="F80" s="245">
        <f>IF(F65&gt;0,(F$59+F$73)*(F65/F$71)-(F65*$K$65),0)</f>
        <v>23.962169783358323</v>
      </c>
      <c r="G80" s="245">
        <f>IF(G65&gt;0,(G$59+G$73)*(G65/G$71)-(G65*$K$65),0)</f>
        <v>0</v>
      </c>
      <c r="H80" s="245">
        <f>IF(H65&gt;0,(H$59+H$73)*(H65/H$71)-(H65*$K$65),0)</f>
        <v>0</v>
      </c>
    </row>
    <row r="81" spans="2:12" ht="12.75" customHeight="1">
      <c r="B81" s="2" t="str">
        <f t="shared" si="18"/>
        <v>Options at $0.010 Strike Price</v>
      </c>
      <c r="D81" s="245">
        <f>IF(D66&gt;0,(D$59+D$73)*(D66/D$71)-(D66*$K$66),0)</f>
        <v>356.11801683078482</v>
      </c>
      <c r="E81" s="245">
        <f>IF(E66&gt;0,(E$59+E$73)*(E66/E$71)-(E66*$K$66),0)</f>
        <v>375.88790625565355</v>
      </c>
      <c r="F81" s="245">
        <f>IF(F66&gt;0,(F$59+F$73)*(F66/F$71)-(F66*$K$66),0)</f>
        <v>493.9151928176837</v>
      </c>
      <c r="G81" s="245">
        <f>IF(G66&gt;0,(G$59+G$73)*(G66/G$71)-(G66*$K$66),0)</f>
        <v>0</v>
      </c>
      <c r="H81" s="245">
        <f>IF(H66&gt;0,(H$59+H$73)*(H66/H$71)-(H66*$K$66),0)</f>
        <v>0</v>
      </c>
    </row>
    <row r="82" spans="2:12" ht="12.75" customHeight="1">
      <c r="B82" s="2" t="str">
        <f t="shared" si="18"/>
        <v>Expected Options Grant</v>
      </c>
      <c r="D82" s="245">
        <f>IF(D67&gt;0,(D$59+D$73)*(D67/D$71)-(D67*$K$67),0)</f>
        <v>11297.514425728094</v>
      </c>
      <c r="E82" s="245">
        <f>IF(E67&gt;0,(E$59+E$73)*(E67/E$71)-(E67*$K$67),0)</f>
        <v>12046.545561883786</v>
      </c>
      <c r="F82" s="245">
        <f>IF(F67&gt;0,(F$59+F$73)*(F67/F$71)-(F67*$K$67),0)</f>
        <v>16518.301101382363</v>
      </c>
      <c r="G82" s="245">
        <f>IF(G67&gt;0,(G$59+G$73)*(G67/G$71)-(G67*$K$67),0)</f>
        <v>0</v>
      </c>
      <c r="H82" s="245">
        <f>IF(H67&gt;0,(H$59+H$73)*(H67/H$71)-(H67*$K$67),0)</f>
        <v>0</v>
      </c>
    </row>
    <row r="83" spans="2:12" ht="12.75" customHeight="1">
      <c r="B83" s="2" t="str">
        <f t="shared" si="18"/>
        <v>Phantom Stock</v>
      </c>
      <c r="D83" s="245">
        <f>IF(D68&gt;0,(D$59+D$73)*(D68/D$71)-(D68*$K$68),0)</f>
        <v>1656.1055370440131</v>
      </c>
      <c r="E83" s="245">
        <f>IF(E68&gt;0,(E$59+E$73)*(E68/E$71)-(E68*$K$68),0)</f>
        <v>1765.9062033906612</v>
      </c>
      <c r="F83" s="245">
        <f>IF(F68&gt;0,(F$59+F$73)*(F68/F$71)-(F68*$K$68),0)</f>
        <v>2421.4219947585098</v>
      </c>
      <c r="G83" s="245">
        <f>IF(G68&gt;0,(G$59+G$73)*(G68/G$71)-(G68*$K$68),0)</f>
        <v>0</v>
      </c>
      <c r="H83" s="245">
        <f>IF(H68&gt;0,(H$59+H$73)*(H68/H$71)-(H68*$K$68),0)</f>
        <v>0</v>
      </c>
    </row>
    <row r="84" spans="2:12" ht="12.75" customHeight="1">
      <c r="B84" s="2" t="str">
        <f t="shared" si="18"/>
        <v>Common Stock</v>
      </c>
      <c r="D84" s="245">
        <f>IF(D69&gt;0,(D$59+D$73)*(D69/D$71),0)</f>
        <v>26699.876544755163</v>
      </c>
      <c r="E84" s="245">
        <f>IF(E69&gt;0,(E$59+E$73)*(E69/E$71),0)</f>
        <v>28173.558119307665</v>
      </c>
      <c r="F84" s="245">
        <f>IF(F69&gt;0,(F$59+F$73)*(F69/F$71),0)</f>
        <v>36971.515141874435</v>
      </c>
      <c r="G84" s="245">
        <f>IF(G69&gt;0,(G$59+G$73)*(G69/G$71),0)</f>
        <v>0</v>
      </c>
      <c r="H84" s="245">
        <f>IF(H69&gt;0,(H$59+H$73)*(H69/H$71),0)</f>
        <v>0</v>
      </c>
    </row>
    <row r="85" spans="2:12" ht="8.1" customHeight="1">
      <c r="B85" s="5"/>
      <c r="C85" s="5"/>
      <c r="D85" s="5"/>
      <c r="E85" s="5"/>
      <c r="F85" s="5"/>
      <c r="G85" s="5"/>
      <c r="H85" s="5"/>
      <c r="J85" s="1009"/>
      <c r="K85" s="1009"/>
      <c r="L85" s="1009"/>
    </row>
    <row r="86" spans="2:12" ht="12.75" customHeight="1">
      <c r="B86" s="175" t="str">
        <f>CONCATENATE("Total ",B46)</f>
        <v>Total Value Allocable to Existing Investors</v>
      </c>
      <c r="D86" s="1011">
        <f>SUM(D77:D84)</f>
        <v>225000.00000000003</v>
      </c>
      <c r="E86" s="1011">
        <f>SUM(E77:E84)</f>
        <v>237562.70266016736</v>
      </c>
      <c r="F86" s="1011">
        <f>SUM(F77:F84)</f>
        <v>312562.70266016747</v>
      </c>
      <c r="G86" s="1011">
        <f>SUM(G77:G84)</f>
        <v>94499.999509799993</v>
      </c>
      <c r="H86" s="1011">
        <f>SUM(H77:H84)</f>
        <v>59562.70216996735</v>
      </c>
    </row>
    <row r="87" spans="2:12" ht="8.1" customHeight="1">
      <c r="B87" s="37"/>
      <c r="D87" s="421" t="str">
        <f>IF(ABS(D86-D50)&lt;0.1,"","Check")</f>
        <v/>
      </c>
      <c r="E87" s="421" t="str">
        <f>IF(ABS(E86-E50)&lt;0.1,"","Check")</f>
        <v/>
      </c>
      <c r="F87" s="421" t="str">
        <f>IF(ABS(F86-F50)&lt;0.1,"","Check")</f>
        <v/>
      </c>
      <c r="G87" s="421" t="str">
        <f>IF(ABS(G86-G50)&lt;0.1,"","Check")</f>
        <v/>
      </c>
      <c r="H87" s="421" t="str">
        <f>IF(ABS(H86-H50)&lt;0.1,"","Check")</f>
        <v/>
      </c>
      <c r="J87" s="2273" t="str">
        <f>IF(COUNTIF($D$87:$H$87,$J$88)&gt;0,$J$88,"")</f>
        <v/>
      </c>
    </row>
    <row r="88" spans="2:12" ht="12.75" customHeight="1">
      <c r="B88" s="2247" t="s">
        <v>263</v>
      </c>
      <c r="C88" s="2248"/>
      <c r="D88" s="2248"/>
      <c r="E88" s="2248"/>
      <c r="F88" s="2248"/>
      <c r="G88" s="2248"/>
      <c r="H88" s="2250"/>
      <c r="J88" s="385" t="s">
        <v>45</v>
      </c>
    </row>
    <row r="89" spans="2:12" ht="8.1" customHeight="1"/>
    <row r="90" spans="2:12" ht="12.75" customHeight="1">
      <c r="B90" s="385" t="s">
        <v>264</v>
      </c>
      <c r="D90" s="386">
        <f>D84</f>
        <v>26699.876544755163</v>
      </c>
      <c r="E90" s="386">
        <f t="shared" ref="E90:H90" si="20">E84</f>
        <v>28173.558119307665</v>
      </c>
      <c r="F90" s="386">
        <f t="shared" si="20"/>
        <v>36971.515141874435</v>
      </c>
      <c r="G90" s="386">
        <f t="shared" si="20"/>
        <v>0</v>
      </c>
      <c r="H90" s="386">
        <f t="shared" si="20"/>
        <v>0</v>
      </c>
    </row>
    <row r="91" spans="2:12" ht="12.75" customHeight="1">
      <c r="B91" s="385" t="s">
        <v>164</v>
      </c>
      <c r="D91" s="386">
        <f>D69</f>
        <v>15422.682000000001</v>
      </c>
      <c r="E91" s="386">
        <f>E69</f>
        <v>15422.682000000001</v>
      </c>
      <c r="F91" s="386">
        <f>F69</f>
        <v>15422.682000000001</v>
      </c>
      <c r="G91" s="386">
        <f>G69</f>
        <v>0</v>
      </c>
      <c r="H91" s="386">
        <f>H69</f>
        <v>0</v>
      </c>
    </row>
    <row r="92" spans="2:12" ht="8.1" customHeight="1">
      <c r="B92" s="5"/>
      <c r="C92" s="5"/>
      <c r="D92" s="5"/>
      <c r="E92" s="5"/>
      <c r="F92" s="5"/>
      <c r="G92" s="5"/>
      <c r="H92" s="5"/>
    </row>
    <row r="93" spans="2:12" ht="12.75" customHeight="1">
      <c r="B93" s="1" t="s">
        <v>265</v>
      </c>
      <c r="C93" s="1"/>
      <c r="D93" s="176">
        <f>IFERROR(D90/D91,0)</f>
        <v>1.7312083945422179</v>
      </c>
      <c r="E93" s="176">
        <f t="shared" ref="E93:H93" si="21">IFERROR(E90/E91,0)</f>
        <v>1.8267612675478664</v>
      </c>
      <c r="F93" s="176">
        <f t="shared" si="21"/>
        <v>2.3972169783358326</v>
      </c>
      <c r="G93" s="176">
        <f t="shared" si="21"/>
        <v>0</v>
      </c>
      <c r="H93" s="176">
        <f t="shared" si="21"/>
        <v>0</v>
      </c>
    </row>
    <row r="94" spans="2:12" ht="8.1" customHeight="1"/>
    <row r="95" spans="2:12" ht="12.75" customHeight="1">
      <c r="B95" s="74" t="str">
        <f>"Discount Factor "&amp;TEXT(A210,"(0)")</f>
        <v>Discount Factor (3)</v>
      </c>
      <c r="C95" s="429">
        <v>0.35</v>
      </c>
      <c r="D95" s="43">
        <f>1/(1+$C95)^(D13+D27)</f>
        <v>0.65318044212301851</v>
      </c>
      <c r="E95" s="43">
        <f>1/(1+$C95)^(E13+E27)</f>
        <v>0.416592127871873</v>
      </c>
      <c r="F95" s="43">
        <f>1/(1+$C95)^(F13+F27)</f>
        <v>0.416592127871873</v>
      </c>
      <c r="G95" s="43">
        <f>1/(1+$C95)^(G13+G27)</f>
        <v>0.65318044212301851</v>
      </c>
      <c r="H95" s="43">
        <f>1/(1+$C95)^(H13+H27)</f>
        <v>0.416592127871873</v>
      </c>
    </row>
    <row r="96" spans="2:12" ht="8.1" customHeight="1">
      <c r="B96" s="5"/>
      <c r="C96" s="5"/>
      <c r="D96" s="5"/>
      <c r="E96" s="5"/>
      <c r="F96" s="5"/>
      <c r="G96" s="5"/>
      <c r="H96" s="5"/>
    </row>
    <row r="97" spans="2:11" ht="12.75" customHeight="1">
      <c r="B97" s="1" t="s">
        <v>266</v>
      </c>
      <c r="D97" s="176">
        <f>D93*D95</f>
        <v>1.130791464554167</v>
      </c>
      <c r="E97" s="176">
        <f t="shared" ref="E97:H97" si="22">E93*E95</f>
        <v>0.7610143635616855</v>
      </c>
      <c r="F97" s="176">
        <f t="shared" si="22"/>
        <v>0.99866172197550618</v>
      </c>
      <c r="G97" s="176">
        <f t="shared" si="22"/>
        <v>0</v>
      </c>
      <c r="H97" s="176">
        <f t="shared" si="22"/>
        <v>0</v>
      </c>
    </row>
    <row r="98" spans="2:11" ht="8.1" customHeight="1"/>
    <row r="99" spans="2:11" ht="12.75" customHeight="1">
      <c r="B99" s="74" t="str">
        <f>"Less: DLOM "&amp;TEXT(A211,"(0)")</f>
        <v>Less: DLOM (4)</v>
      </c>
      <c r="C99" s="429"/>
      <c r="D99" s="1722">
        <v>0.31</v>
      </c>
      <c r="E99" s="1722">
        <v>0.47000000000000003</v>
      </c>
      <c r="F99" s="1722">
        <v>0.62</v>
      </c>
      <c r="G99" s="972"/>
      <c r="H99" s="972"/>
    </row>
    <row r="100" spans="2:11" ht="12.75" hidden="1" customHeight="1" outlineLevel="1">
      <c r="B100" s="74" t="s">
        <v>2834</v>
      </c>
      <c r="C100" s="429"/>
      <c r="D100" s="972"/>
      <c r="E100" s="972"/>
      <c r="F100" s="972"/>
      <c r="G100" s="972"/>
      <c r="H100" s="972"/>
      <c r="J100" s="1722"/>
    </row>
    <row r="101" spans="2:11" ht="8.1" customHeight="1" collapsed="1"/>
    <row r="102" spans="2:11" ht="12.75" customHeight="1">
      <c r="B102" s="77" t="s">
        <v>1252</v>
      </c>
      <c r="C102" s="429"/>
      <c r="D102" s="176">
        <f>IFERROR(D97*(1-D99)*(1-D100),0)</f>
        <v>0.78024611054237514</v>
      </c>
      <c r="E102" s="176">
        <f>IFERROR(E97*(1-E99)*(1-E100),0)</f>
        <v>0.40333761268769336</v>
      </c>
      <c r="F102" s="176">
        <f>IFERROR(F97*(1-F99)*(1-F100),0)</f>
        <v>0.37949145435069237</v>
      </c>
      <c r="G102" s="176">
        <f>IFERROR(G97*(1-G99)*(1-G100),0)</f>
        <v>0</v>
      </c>
      <c r="H102" s="176">
        <f>IFERROR(H97*(1-H99)*(1-H100),0)</f>
        <v>0</v>
      </c>
      <c r="J102" s="18">
        <f>1-D102/D97</f>
        <v>0.31000000000000005</v>
      </c>
      <c r="K102" s="177"/>
    </row>
    <row r="103" spans="2:11" ht="8.1" customHeight="1">
      <c r="B103" s="77"/>
      <c r="C103" s="429"/>
      <c r="D103" s="176"/>
      <c r="E103" s="176"/>
      <c r="F103" s="176"/>
      <c r="G103" s="176"/>
      <c r="H103" s="176"/>
    </row>
    <row r="104" spans="2:11" ht="12.75" customHeight="1">
      <c r="B104" s="385" t="str">
        <f>"Probability Weightings "&amp;TEXT(A212,"(0)")</f>
        <v>Probability Weightings (5)</v>
      </c>
      <c r="C104" s="554">
        <v>1</v>
      </c>
      <c r="D104" s="1946">
        <v>6.5000000000000002E-2</v>
      </c>
      <c r="E104" s="1946">
        <v>8.6506874999999997E-2</v>
      </c>
      <c r="F104" s="1946">
        <v>0.54615437499999997</v>
      </c>
      <c r="G104" s="1946">
        <v>0.10500000000000001</v>
      </c>
      <c r="H104" s="1946">
        <v>0.19733875000000001</v>
      </c>
    </row>
    <row r="105" spans="2:11" ht="12.75" customHeight="1">
      <c r="B105" s="385" t="s">
        <v>642</v>
      </c>
      <c r="C105" s="554">
        <v>1</v>
      </c>
      <c r="D105" s="1723">
        <f>MROUND(D104,0.5%)</f>
        <v>6.5000000000000002E-2</v>
      </c>
      <c r="E105" s="1723">
        <f t="shared" ref="E105:G105" si="23">MROUND(E104,0.5%)</f>
        <v>8.5000000000000006E-2</v>
      </c>
      <c r="F105" s="1723">
        <f t="shared" si="23"/>
        <v>0.54500000000000004</v>
      </c>
      <c r="G105" s="1723">
        <f t="shared" si="23"/>
        <v>0.105</v>
      </c>
      <c r="H105" s="1723">
        <f>1-SUM(D105:G105)</f>
        <v>0.19999999999999996</v>
      </c>
    </row>
    <row r="106" spans="2:11" ht="8.1" customHeight="1"/>
    <row r="107" spans="2:11" ht="12.75" customHeight="1">
      <c r="B107" s="2274" t="s">
        <v>267</v>
      </c>
      <c r="D107" s="901"/>
    </row>
    <row r="108" spans="2:11" ht="12.75" customHeight="1">
      <c r="B108" s="2275">
        <f>SUMPRODUCT(D102:H102,D105:H105)</f>
        <v>0.29182253688483567</v>
      </c>
    </row>
    <row r="109" spans="2:11" ht="8.1" customHeight="1"/>
    <row r="110" spans="2:11" ht="12.75" customHeight="1">
      <c r="B110" s="2247" t="s">
        <v>268</v>
      </c>
      <c r="C110" s="2248"/>
      <c r="D110" s="2248"/>
      <c r="E110" s="2248"/>
      <c r="F110" s="2248"/>
      <c r="G110" s="2248"/>
      <c r="H110" s="2250"/>
    </row>
    <row r="111" spans="2:11" ht="8.1" customHeight="1"/>
    <row r="112" spans="2:11" ht="12.75" customHeight="1">
      <c r="B112" s="1" t="s">
        <v>271</v>
      </c>
    </row>
    <row r="113" spans="2:8 16379:16379" ht="12.75" customHeight="1">
      <c r="B113" s="2" t="s">
        <v>272</v>
      </c>
      <c r="D113" s="245">
        <f>MIN(SUM(D77:D79),SUM(L53:L55))</f>
        <v>140726.935128955</v>
      </c>
      <c r="E113" s="245">
        <f>MIN(SUM(E77:E79),SUM(M53:M55))</f>
        <v>155833.12683141656</v>
      </c>
      <c r="F113" s="245">
        <f>MIN(SUM(F77:F79),SUM(N53:N55))</f>
        <v>155833.12683141656</v>
      </c>
      <c r="G113" s="245">
        <f>MIN(SUM(G77:G79),SUM(O53:O55))</f>
        <v>94499.999509799993</v>
      </c>
      <c r="H113" s="245">
        <f>MIN(SUM(H77:H79),SUM(P53:P55))</f>
        <v>59562.70216996735</v>
      </c>
      <c r="XEY113" s="174"/>
    </row>
    <row r="114" spans="2:8 16379:16379" ht="8.1" customHeight="1"/>
    <row r="115" spans="2:8 16379:16379" ht="12.75" customHeight="1">
      <c r="B115" s="161" t="str">
        <f>$B$95</f>
        <v>Discount Factor (3)</v>
      </c>
      <c r="C115" s="429">
        <v>0.12</v>
      </c>
      <c r="D115" s="43">
        <f>1/(1+$C115)^(D$13+D26)</f>
        <v>0.85143374958320417</v>
      </c>
      <c r="E115" s="43">
        <f>1/(1+$C115)^(E$13+E26)</f>
        <v>0.71844123198157717</v>
      </c>
      <c r="F115" s="43">
        <f>1/(1+$C115)^(F$13+F26)</f>
        <v>0.71844123198157717</v>
      </c>
      <c r="G115" s="43">
        <f>1/(1+$C115)^(G$13+G26)</f>
        <v>0.85143374958320417</v>
      </c>
      <c r="H115" s="43">
        <f>1/(1+$C115)^(H$13+H26)</f>
        <v>0.71844123198157717</v>
      </c>
    </row>
    <row r="116" spans="2:8 16379:16379" ht="8.1" customHeight="1"/>
    <row r="117" spans="2:8 16379:16379" ht="12.75" customHeight="1">
      <c r="B117" s="2" t="s">
        <v>96</v>
      </c>
      <c r="D117" s="386">
        <f>D113*D115</f>
        <v>119819.66204419849</v>
      </c>
      <c r="E117" s="386">
        <f t="shared" ref="E117:H117" si="24">E113*E115</f>
        <v>111956.94362430429</v>
      </c>
      <c r="F117" s="386">
        <f t="shared" si="24"/>
        <v>111956.94362430429</v>
      </c>
      <c r="G117" s="386">
        <f t="shared" si="24"/>
        <v>80460.488918239964</v>
      </c>
      <c r="H117" s="386">
        <f t="shared" si="24"/>
        <v>42792.301127143102</v>
      </c>
    </row>
    <row r="118" spans="2:8 16379:16379" ht="8.1" customHeight="1"/>
    <row r="119" spans="2:8 16379:16379" ht="12.75" customHeight="1">
      <c r="B119" s="2" t="s">
        <v>273</v>
      </c>
      <c r="D119" s="386">
        <f>D117*D$105</f>
        <v>7788.2780328729013</v>
      </c>
      <c r="E119" s="386">
        <f>E117*E$105</f>
        <v>9516.3402080658652</v>
      </c>
      <c r="F119" s="386">
        <f>F117*F$105</f>
        <v>61016.534275245838</v>
      </c>
      <c r="G119" s="386">
        <f>G117*G$105</f>
        <v>8448.3513364151968</v>
      </c>
      <c r="H119" s="386">
        <f>H117*H$105</f>
        <v>8558.4602254286183</v>
      </c>
    </row>
    <row r="120" spans="2:8 16379:16379" ht="12.75" customHeight="1">
      <c r="B120" s="2276">
        <f>SUM(D119:H119)</f>
        <v>95327.964078028424</v>
      </c>
    </row>
    <row r="121" spans="2:8 16379:16379" ht="8.1" customHeight="1"/>
    <row r="122" spans="2:8 16379:16379" ht="8.1" customHeight="1"/>
    <row r="123" spans="2:8 16379:16379" ht="12.75" customHeight="1">
      <c r="B123" s="1" t="s">
        <v>274</v>
      </c>
    </row>
    <row r="124" spans="2:8 16379:16379" ht="12.75" customHeight="1">
      <c r="B124" s="2" t="s">
        <v>272</v>
      </c>
      <c r="D124" s="245">
        <f>SUM(D77:D79)-D113</f>
        <v>44246.148262741568</v>
      </c>
      <c r="E124" s="245">
        <f>SUM(E77:E79)-E113</f>
        <v>39349.420425237564</v>
      </c>
      <c r="F124" s="245">
        <f>SUM(F77:F79)-F113</f>
        <v>100300.4602281345</v>
      </c>
      <c r="G124" s="245">
        <f>SUM(G77:G79)-G113</f>
        <v>0</v>
      </c>
      <c r="H124" s="245">
        <f>SUM(H77:H79)-H113</f>
        <v>0</v>
      </c>
    </row>
    <row r="125" spans="2:8 16379:16379" ht="8.1" customHeight="1"/>
    <row r="126" spans="2:8 16379:16379" ht="12.75" customHeight="1">
      <c r="B126" s="160" t="str">
        <f>B115</f>
        <v>Discount Factor (3)</v>
      </c>
      <c r="C126" s="429">
        <v>0.25</v>
      </c>
      <c r="D126" s="43">
        <f>1/(1+$C126)^(D$13+D26)</f>
        <v>0.72856353972829491</v>
      </c>
      <c r="E126" s="43">
        <f>1/(1+$C126)^(E$13+E26)</f>
        <v>0.52147701094067711</v>
      </c>
      <c r="F126" s="43">
        <f>1/(1+$C126)^(F$13+F26)</f>
        <v>0.52147701094067711</v>
      </c>
      <c r="G126" s="43">
        <f>1/(1+$C126)^(G$13+G26)</f>
        <v>0.72856353972829491</v>
      </c>
      <c r="H126" s="43">
        <f>1/(1+$C126)^(H$13+H26)</f>
        <v>0.52147701094067711</v>
      </c>
    </row>
    <row r="127" spans="2:8 16379:16379" ht="8.1" customHeight="1"/>
    <row r="128" spans="2:8 16379:16379" ht="12.75" customHeight="1">
      <c r="B128" s="2" t="s">
        <v>96</v>
      </c>
      <c r="D128" s="386">
        <f>D124*D126</f>
        <v>32236.130397645942</v>
      </c>
      <c r="E128" s="386">
        <f t="shared" ref="E128:H128" si="25">E124*E126</f>
        <v>20519.818145600912</v>
      </c>
      <c r="F128" s="386">
        <f t="shared" si="25"/>
        <v>52304.384195741841</v>
      </c>
      <c r="G128" s="386">
        <f t="shared" si="25"/>
        <v>0</v>
      </c>
      <c r="H128" s="386">
        <f t="shared" si="25"/>
        <v>0</v>
      </c>
    </row>
    <row r="129" spans="2:8" ht="8.1" customHeight="1"/>
    <row r="130" spans="2:8" ht="12.75" customHeight="1">
      <c r="B130" s="2" t="s">
        <v>273</v>
      </c>
      <c r="D130" s="386">
        <f>D128*D$105</f>
        <v>2095.3484758469863</v>
      </c>
      <c r="E130" s="386">
        <f>E128*E$105</f>
        <v>1744.1845423760776</v>
      </c>
      <c r="F130" s="386">
        <f>F128*F$105</f>
        <v>28505.889386679304</v>
      </c>
      <c r="G130" s="386">
        <f>G128*G$105</f>
        <v>0</v>
      </c>
      <c r="H130" s="386">
        <f>H128*H$105</f>
        <v>0</v>
      </c>
    </row>
    <row r="131" spans="2:8" ht="12.75" customHeight="1">
      <c r="B131" s="2276">
        <f>SUM(D130:H130)</f>
        <v>32345.422404902369</v>
      </c>
    </row>
    <row r="132" spans="2:8" ht="8.1" customHeight="1"/>
    <row r="133" spans="2:8" ht="12.75" customHeight="1">
      <c r="B133" s="2285" t="s">
        <v>3352</v>
      </c>
      <c r="C133" s="2286"/>
      <c r="D133" s="2286"/>
      <c r="E133" s="2286"/>
      <c r="F133" s="2286"/>
      <c r="G133" s="2286"/>
      <c r="H133" s="2255"/>
    </row>
    <row r="134" spans="2:8" ht="8.1" customHeight="1"/>
    <row r="135" spans="2:8" ht="12.75" customHeight="1">
      <c r="B135" s="1" t="s">
        <v>275</v>
      </c>
    </row>
    <row r="136" spans="2:8" ht="12.75" customHeight="1">
      <c r="B136" s="2" t="s">
        <v>272</v>
      </c>
      <c r="D136" s="245">
        <f>MIN(D77,L53)</f>
        <v>62615.67123287671</v>
      </c>
      <c r="E136" s="245">
        <f t="shared" ref="E136:H136" si="26">MIN(E77,M53)</f>
        <v>69329.534246575349</v>
      </c>
      <c r="F136" s="245">
        <f t="shared" si="26"/>
        <v>69329.534246575349</v>
      </c>
      <c r="G136" s="245">
        <f t="shared" si="26"/>
        <v>16388.735613721714</v>
      </c>
      <c r="H136" s="245">
        <f t="shared" si="26"/>
        <v>0</v>
      </c>
    </row>
    <row r="137" spans="2:8" ht="8.1" customHeight="1"/>
    <row r="138" spans="2:8" ht="12.75" customHeight="1">
      <c r="B138" s="161" t="str">
        <f>$B$95</f>
        <v>Discount Factor (3)</v>
      </c>
      <c r="C138" s="327">
        <f>C115</f>
        <v>0.12</v>
      </c>
      <c r="D138" s="43">
        <f>D115</f>
        <v>0.85143374958320417</v>
      </c>
      <c r="E138" s="43">
        <f t="shared" ref="E138:H138" si="27">E115</f>
        <v>0.71844123198157717</v>
      </c>
      <c r="F138" s="43">
        <f t="shared" si="27"/>
        <v>0.71844123198157717</v>
      </c>
      <c r="G138" s="43">
        <f t="shared" si="27"/>
        <v>0.85143374958320417</v>
      </c>
      <c r="H138" s="43">
        <f t="shared" si="27"/>
        <v>0.71844123198157717</v>
      </c>
    </row>
    <row r="139" spans="2:8" ht="8.1" customHeight="1">
      <c r="B139" s="2"/>
    </row>
    <row r="140" spans="2:8" ht="12.75" customHeight="1">
      <c r="B140" s="2" t="s">
        <v>96</v>
      </c>
      <c r="D140" s="386">
        <f>D136*D138</f>
        <v>53313.095740477387</v>
      </c>
      <c r="E140" s="386">
        <f t="shared" ref="E140:H140" si="28">E136*E138</f>
        <v>49809.19599681854</v>
      </c>
      <c r="F140" s="386">
        <f t="shared" si="28"/>
        <v>49809.19599681854</v>
      </c>
      <c r="G140" s="386">
        <f t="shared" si="28"/>
        <v>13953.922614518873</v>
      </c>
      <c r="H140" s="386">
        <f t="shared" si="28"/>
        <v>0</v>
      </c>
    </row>
    <row r="141" spans="2:8" ht="8.1" customHeight="1"/>
    <row r="142" spans="2:8" ht="12.75" customHeight="1">
      <c r="B142" s="2" t="s">
        <v>273</v>
      </c>
      <c r="D142" s="386">
        <f>D140*D$105</f>
        <v>3465.3512231310301</v>
      </c>
      <c r="E142" s="386">
        <f>E140*E$105</f>
        <v>4233.7816597295759</v>
      </c>
      <c r="F142" s="386">
        <f>F140*F$105</f>
        <v>27146.011818266106</v>
      </c>
      <c r="G142" s="386">
        <f>G140*G$105</f>
        <v>1465.1618745244816</v>
      </c>
      <c r="H142" s="386">
        <f>H140*H$105</f>
        <v>0</v>
      </c>
    </row>
    <row r="143" spans="2:8" ht="12.75" customHeight="1">
      <c r="B143" s="2276">
        <f>SUM(D142:H142)</f>
        <v>36310.306575651201</v>
      </c>
    </row>
    <row r="144" spans="2:8" ht="12.75" customHeight="1"/>
    <row r="145" spans="1:8" ht="12.75" customHeight="1">
      <c r="B145" s="1" t="s">
        <v>276</v>
      </c>
    </row>
    <row r="146" spans="1:8" ht="12.75" customHeight="1">
      <c r="B146" s="2" t="s">
        <v>272</v>
      </c>
      <c r="D146" s="245">
        <f>D77-D136</f>
        <v>34331.998861487496</v>
      </c>
      <c r="E146" s="245">
        <f>E77-E136</f>
        <v>32969.096736105173</v>
      </c>
      <c r="F146" s="245">
        <f>F77-F136</f>
        <v>64914.616540231276</v>
      </c>
      <c r="G146" s="245">
        <f>G77-G136</f>
        <v>0</v>
      </c>
      <c r="H146" s="245">
        <f>H77-H136</f>
        <v>0</v>
      </c>
    </row>
    <row r="147" spans="1:8" ht="8.1" customHeight="1"/>
    <row r="148" spans="1:8" ht="12.75" customHeight="1">
      <c r="B148" s="160" t="str">
        <f>B138</f>
        <v>Discount Factor (3)</v>
      </c>
      <c r="C148" s="327">
        <f t="shared" ref="C148:H148" si="29">C126</f>
        <v>0.25</v>
      </c>
      <c r="D148" s="43">
        <f t="shared" si="29"/>
        <v>0.72856353972829491</v>
      </c>
      <c r="E148" s="43">
        <f t="shared" si="29"/>
        <v>0.52147701094067711</v>
      </c>
      <c r="F148" s="43">
        <f t="shared" si="29"/>
        <v>0.52147701094067711</v>
      </c>
      <c r="G148" s="43">
        <f t="shared" si="29"/>
        <v>0.72856353972829491</v>
      </c>
      <c r="H148" s="43">
        <f t="shared" si="29"/>
        <v>0.52147701094067711</v>
      </c>
    </row>
    <row r="149" spans="1:8" ht="8.1" customHeight="1"/>
    <row r="150" spans="1:8" ht="12.75" customHeight="1">
      <c r="B150" s="2" t="s">
        <v>96</v>
      </c>
      <c r="D150" s="386">
        <f>D146*D148</f>
        <v>25013.042616473122</v>
      </c>
      <c r="E150" s="386">
        <f t="shared" ref="E150:H150" si="30">E146*E148</f>
        <v>17192.626019358158</v>
      </c>
      <c r="F150" s="386">
        <f t="shared" si="30"/>
        <v>33851.480199760044</v>
      </c>
      <c r="G150" s="386">
        <f t="shared" si="30"/>
        <v>0</v>
      </c>
      <c r="H150" s="386">
        <f t="shared" si="30"/>
        <v>0</v>
      </c>
    </row>
    <row r="151" spans="1:8" ht="8.1" customHeight="1"/>
    <row r="152" spans="1:8" ht="12.75" customHeight="1">
      <c r="B152" s="2" t="s">
        <v>273</v>
      </c>
      <c r="D152" s="386">
        <f>D150*D$105</f>
        <v>1625.8477700707529</v>
      </c>
      <c r="E152" s="386">
        <f>E150*E$105</f>
        <v>1461.3732116454435</v>
      </c>
      <c r="F152" s="386">
        <f>F150*F$105</f>
        <v>18449.056708869226</v>
      </c>
      <c r="G152" s="386">
        <f>G150*G$105</f>
        <v>0</v>
      </c>
      <c r="H152" s="386">
        <f>H150*H$105</f>
        <v>0</v>
      </c>
    </row>
    <row r="153" spans="1:8" ht="12.75" customHeight="1">
      <c r="B153" s="2276">
        <f>SUM(D152:H152)</f>
        <v>21536.277690585423</v>
      </c>
      <c r="D153" s="386"/>
      <c r="E153" s="386"/>
      <c r="F153" s="386"/>
      <c r="G153" s="386"/>
      <c r="H153" s="386"/>
    </row>
    <row r="154" spans="1:8" ht="8.1" customHeight="1">
      <c r="A154" s="16"/>
      <c r="B154" s="2277"/>
      <c r="D154" s="386"/>
      <c r="E154" s="386"/>
      <c r="F154" s="386"/>
      <c r="G154" s="386"/>
      <c r="H154" s="386"/>
    </row>
    <row r="155" spans="1:8" ht="12.75" customHeight="1">
      <c r="A155" s="16"/>
      <c r="B155" s="2278"/>
      <c r="C155" s="2279"/>
      <c r="D155" s="2280" t="s">
        <v>166</v>
      </c>
      <c r="E155" s="2281" t="s">
        <v>164</v>
      </c>
      <c r="F155" s="2282" t="s">
        <v>277</v>
      </c>
      <c r="G155" s="386"/>
      <c r="H155" s="386"/>
    </row>
    <row r="156" spans="1:8" ht="12.75" customHeight="1">
      <c r="A156" s="16"/>
      <c r="B156" s="1729" t="s">
        <v>278</v>
      </c>
      <c r="C156" s="107"/>
      <c r="D156" s="382">
        <f>B153+B143</f>
        <v>57846.584266236619</v>
      </c>
      <c r="E156" s="1730">
        <f>J62</f>
        <v>56000</v>
      </c>
      <c r="F156" s="909">
        <f>D156/E156</f>
        <v>1.0329747190399396</v>
      </c>
      <c r="G156" s="386"/>
      <c r="H156" s="386"/>
    </row>
    <row r="157" spans="1:8" ht="8.1" customHeight="1">
      <c r="A157" s="16"/>
      <c r="B157" s="2283"/>
      <c r="D157" s="386"/>
      <c r="E157" s="386"/>
      <c r="F157" s="386"/>
      <c r="G157" s="386"/>
      <c r="H157" s="386"/>
    </row>
    <row r="158" spans="1:8" ht="12.75" customHeight="1">
      <c r="B158" s="2247" t="s">
        <v>2303</v>
      </c>
      <c r="C158" s="2248"/>
      <c r="D158" s="2248"/>
      <c r="E158" s="2248"/>
      <c r="F158" s="2248"/>
      <c r="G158" s="2248"/>
      <c r="H158" s="2250"/>
    </row>
    <row r="159" spans="1:8" ht="8.1" customHeight="1"/>
    <row r="160" spans="1:8" ht="12.75" customHeight="1">
      <c r="B160" s="1" t="s">
        <v>275</v>
      </c>
    </row>
    <row r="161" spans="2:8" ht="12.75" customHeight="1">
      <c r="B161" s="2" t="s">
        <v>272</v>
      </c>
      <c r="D161" s="245">
        <f>MIN(D78,L54)</f>
        <v>69490.327450955898</v>
      </c>
      <c r="E161" s="245">
        <f>MIN(E78,M54)</f>
        <v>76941.314242227658</v>
      </c>
      <c r="F161" s="245">
        <f>MIN(F78,N54)</f>
        <v>76941.314242227658</v>
      </c>
      <c r="G161" s="245">
        <f>MIN(G78,O54)</f>
        <v>69490.327450955898</v>
      </c>
      <c r="H161" s="245">
        <f>MIN(H78,P54)</f>
        <v>52978.523178455405</v>
      </c>
    </row>
    <row r="162" spans="2:8" ht="8.1" customHeight="1"/>
    <row r="163" spans="2:8" ht="12.75" customHeight="1">
      <c r="B163" s="161" t="str">
        <f>$B$95</f>
        <v>Discount Factor (3)</v>
      </c>
      <c r="C163" s="327">
        <f>C115</f>
        <v>0.12</v>
      </c>
      <c r="D163" s="43">
        <f>+D115</f>
        <v>0.85143374958320417</v>
      </c>
      <c r="E163" s="43">
        <f>+E115</f>
        <v>0.71844123198157717</v>
      </c>
      <c r="F163" s="43">
        <f>+F115</f>
        <v>0.71844123198157717</v>
      </c>
      <c r="G163" s="43">
        <f>+G115</f>
        <v>0.85143374958320417</v>
      </c>
      <c r="H163" s="43">
        <f>+H115</f>
        <v>0.71844123198157717</v>
      </c>
    </row>
    <row r="164" spans="2:8" ht="8.1" customHeight="1">
      <c r="B164" s="2"/>
    </row>
    <row r="165" spans="2:8" ht="12.75" customHeight="1">
      <c r="B165" s="2" t="s">
        <v>96</v>
      </c>
      <c r="D165" s="386">
        <f>D161*D163</f>
        <v>59166.410061332041</v>
      </c>
      <c r="E165" s="386">
        <f t="shared" ref="E165:H165" si="31">E161*E163</f>
        <v>55277.812594467709</v>
      </c>
      <c r="F165" s="386">
        <f t="shared" si="31"/>
        <v>55277.812594467709</v>
      </c>
      <c r="G165" s="386">
        <f t="shared" si="31"/>
        <v>59166.410061332041</v>
      </c>
      <c r="H165" s="386">
        <f t="shared" si="31"/>
        <v>38061.955460894045</v>
      </c>
    </row>
    <row r="166" spans="2:8" ht="8.1" customHeight="1"/>
    <row r="167" spans="2:8" ht="12.75" customHeight="1">
      <c r="B167" s="2" t="s">
        <v>273</v>
      </c>
      <c r="D167" s="386">
        <f>D165*D$105</f>
        <v>3845.8166539865829</v>
      </c>
      <c r="E167" s="386">
        <f>E165*E$105</f>
        <v>4698.6140705297557</v>
      </c>
      <c r="F167" s="386">
        <f>F165*F$105</f>
        <v>30126.407863984903</v>
      </c>
      <c r="G167" s="386">
        <f>G165*G$105</f>
        <v>6212.4730564398642</v>
      </c>
      <c r="H167" s="386">
        <f>H165*H$105</f>
        <v>7612.3910921788074</v>
      </c>
    </row>
    <row r="168" spans="2:8" ht="12.75" customHeight="1">
      <c r="B168" s="2276">
        <f>SUM(D167:H167)</f>
        <v>52495.702737119907</v>
      </c>
    </row>
    <row r="169" spans="2:8" ht="8.1" customHeight="1"/>
    <row r="170" spans="2:8" ht="8.1" customHeight="1"/>
    <row r="171" spans="2:8" ht="12.75" customHeight="1">
      <c r="B171" s="1" t="s">
        <v>276</v>
      </c>
    </row>
    <row r="172" spans="2:8" ht="12.75" customHeight="1">
      <c r="B172" s="2" t="s">
        <v>272</v>
      </c>
      <c r="D172" s="245">
        <f>D78-D161</f>
        <v>8661.5438708692236</v>
      </c>
      <c r="E172" s="245">
        <f>E78-E161</f>
        <v>5524.0966044233064</v>
      </c>
      <c r="F172" s="245">
        <f>F78-F161</f>
        <v>31276.155943351274</v>
      </c>
      <c r="G172" s="245">
        <f>G78-G161</f>
        <v>0</v>
      </c>
      <c r="H172" s="245">
        <f>H78-H161</f>
        <v>0</v>
      </c>
    </row>
    <row r="173" spans="2:8" ht="8.1" customHeight="1"/>
    <row r="174" spans="2:8" ht="12.75" customHeight="1">
      <c r="B174" s="160" t="str">
        <f>B163</f>
        <v>Discount Factor (3)</v>
      </c>
      <c r="C174" s="327">
        <f>C126</f>
        <v>0.25</v>
      </c>
      <c r="D174" s="43">
        <f>+D126</f>
        <v>0.72856353972829491</v>
      </c>
      <c r="E174" s="43">
        <f>+E126</f>
        <v>0.52147701094067711</v>
      </c>
      <c r="F174" s="43">
        <f>+F126</f>
        <v>0.52147701094067711</v>
      </c>
      <c r="G174" s="43">
        <f>+G126</f>
        <v>0.72856353972829491</v>
      </c>
      <c r="H174" s="43">
        <f>+H126</f>
        <v>0.52147701094067711</v>
      </c>
    </row>
    <row r="175" spans="2:8" ht="8.1" customHeight="1"/>
    <row r="176" spans="2:8" ht="12.75" customHeight="1">
      <c r="B176" s="2" t="s">
        <v>96</v>
      </c>
      <c r="D176" s="386">
        <f>D172*D174</f>
        <v>6310.4850620723992</v>
      </c>
      <c r="E176" s="386">
        <f t="shared" ref="E176:H176" si="32">E172*E174</f>
        <v>2880.6893854222099</v>
      </c>
      <c r="F176" s="386">
        <f t="shared" si="32"/>
        <v>16309.796315053316</v>
      </c>
      <c r="G176" s="386">
        <f t="shared" si="32"/>
        <v>0</v>
      </c>
      <c r="H176" s="386">
        <f t="shared" si="32"/>
        <v>0</v>
      </c>
    </row>
    <row r="177" spans="2:9" ht="8.1" customHeight="1"/>
    <row r="178" spans="2:9" ht="12.75" customHeight="1">
      <c r="B178" s="2" t="s">
        <v>273</v>
      </c>
      <c r="D178" s="386">
        <f>D176*D$105</f>
        <v>410.18152903470593</v>
      </c>
      <c r="E178" s="386">
        <f>E176*E$105</f>
        <v>244.85859776088785</v>
      </c>
      <c r="F178" s="386">
        <f>F176*F$105</f>
        <v>8888.8389917040586</v>
      </c>
      <c r="G178" s="386">
        <f>G176*G$105</f>
        <v>0</v>
      </c>
      <c r="H178" s="386">
        <f>H176*H$105</f>
        <v>0</v>
      </c>
    </row>
    <row r="179" spans="2:9" ht="12.75" customHeight="1">
      <c r="B179" s="2276">
        <f>SUM(D178:H178)</f>
        <v>9543.8791184996517</v>
      </c>
      <c r="D179" s="386"/>
      <c r="E179" s="386"/>
      <c r="F179" s="386"/>
      <c r="G179" s="386"/>
      <c r="H179" s="386"/>
    </row>
    <row r="180" spans="2:9" ht="8.1" customHeight="1"/>
    <row r="181" spans="2:9" ht="12.75" customHeight="1">
      <c r="B181" s="2278"/>
      <c r="C181" s="2279"/>
      <c r="D181" s="2280" t="s">
        <v>166</v>
      </c>
      <c r="E181" s="2281" t="s">
        <v>164</v>
      </c>
      <c r="F181" s="2282" t="s">
        <v>277</v>
      </c>
    </row>
    <row r="182" spans="2:9" ht="12.75" customHeight="1">
      <c r="B182" s="1729" t="s">
        <v>278</v>
      </c>
      <c r="C182" s="107"/>
      <c r="D182" s="382">
        <f>B179+B168</f>
        <v>62039.581855619559</v>
      </c>
      <c r="E182" s="1730">
        <v>45142.960008861766</v>
      </c>
      <c r="F182" s="909">
        <f>D182/E182</f>
        <v>1.3742914032097344</v>
      </c>
      <c r="G182" s="441"/>
      <c r="I182" s="74"/>
    </row>
    <row r="183" spans="2:9" ht="8.1" customHeight="1">
      <c r="I183" s="74"/>
    </row>
    <row r="184" spans="2:9" ht="8.1" customHeight="1">
      <c r="I184" s="74"/>
    </row>
    <row r="185" spans="2:9" ht="12.75" customHeight="1">
      <c r="B185" s="2247" t="s">
        <v>178</v>
      </c>
      <c r="C185" s="2248"/>
      <c r="D185" s="2248"/>
      <c r="E185" s="2248"/>
      <c r="F185" s="2248"/>
      <c r="G185" s="2248"/>
      <c r="H185" s="2250"/>
      <c r="I185" s="181"/>
    </row>
    <row r="186" spans="2:9" ht="8.1" customHeight="1">
      <c r="I186" s="74"/>
    </row>
    <row r="187" spans="2:9" ht="12.75" customHeight="1">
      <c r="B187" s="2" t="s">
        <v>272</v>
      </c>
      <c r="D187" s="245">
        <f>D46</f>
        <v>225000</v>
      </c>
      <c r="E187" s="245">
        <f>E46</f>
        <v>237562.70266016736</v>
      </c>
      <c r="F187" s="245">
        <f>F46</f>
        <v>312562.70266016736</v>
      </c>
      <c r="G187" s="245">
        <f>G46</f>
        <v>94499.999509799993</v>
      </c>
      <c r="H187" s="245">
        <f>H46</f>
        <v>59562.70216996735</v>
      </c>
    </row>
    <row r="188" spans="2:9" ht="8.1" customHeight="1"/>
    <row r="189" spans="2:9" ht="12.75" customHeight="1">
      <c r="B189" s="161" t="str">
        <f>$B$95</f>
        <v>Discount Factor (3)</v>
      </c>
      <c r="C189" s="429">
        <v>0.17</v>
      </c>
      <c r="D189" s="43">
        <f>1/(1+$C189)^(D$13+D28)</f>
        <v>0.80026186059277815</v>
      </c>
      <c r="E189" s="43">
        <f>1/(1+$C189)^(E$13+E28)</f>
        <v>0.63247990558032574</v>
      </c>
      <c r="F189" s="43">
        <f>1/(1+$C189)^(F$13+F28)</f>
        <v>0.63247990558032574</v>
      </c>
      <c r="G189" s="43">
        <f>1/(1+$C189)^(G$13+G28)</f>
        <v>0.80026186059277815</v>
      </c>
      <c r="H189" s="43">
        <f>1/(1+$C189)^(H$13+H28)</f>
        <v>0.63247990558032574</v>
      </c>
    </row>
    <row r="190" spans="2:9" ht="8.1" customHeight="1"/>
    <row r="191" spans="2:9" ht="12.75" customHeight="1">
      <c r="B191" s="2" t="s">
        <v>96</v>
      </c>
      <c r="D191" s="386">
        <f>D187*D189</f>
        <v>180058.91863337508</v>
      </c>
      <c r="E191" s="386">
        <f t="shared" ref="E191:H191" si="33">E187*E189</f>
        <v>150253.63574790966</v>
      </c>
      <c r="F191" s="386">
        <f t="shared" si="33"/>
        <v>197689.62866643409</v>
      </c>
      <c r="G191" s="386">
        <f t="shared" si="33"/>
        <v>75624.745433729171</v>
      </c>
      <c r="H191" s="386">
        <f t="shared" si="33"/>
        <v>37672.212244570015</v>
      </c>
    </row>
    <row r="192" spans="2:9" ht="8.1" customHeight="1"/>
    <row r="193" spans="1:8" ht="12.75" customHeight="1">
      <c r="B193" s="2" t="s">
        <v>273</v>
      </c>
      <c r="D193" s="386">
        <f>D191*D$105</f>
        <v>11703.829711169381</v>
      </c>
      <c r="E193" s="386">
        <f>E191*E$105</f>
        <v>12771.559038572323</v>
      </c>
      <c r="F193" s="386">
        <f>F191*F$105</f>
        <v>107740.84762320659</v>
      </c>
      <c r="G193" s="386">
        <f>G191*G$105</f>
        <v>7940.5982705415627</v>
      </c>
      <c r="H193" s="386">
        <f>H191*H$105</f>
        <v>7534.442448914001</v>
      </c>
    </row>
    <row r="194" spans="1:8" ht="12.75" customHeight="1">
      <c r="B194" s="2276">
        <f>ROUND(SUM(D193:H193),-1)</f>
        <v>147690</v>
      </c>
    </row>
    <row r="195" spans="1:8" ht="12.75" customHeight="1"/>
    <row r="196" spans="1:8" ht="12.75" hidden="1" customHeight="1" outlineLevel="1">
      <c r="B196" s="2247" t="s">
        <v>2304</v>
      </c>
      <c r="C196" s="2248"/>
      <c r="D196" s="2250"/>
    </row>
    <row r="197" spans="1:8" ht="12.75" hidden="1" customHeight="1" outlineLevel="1"/>
    <row r="198" spans="1:8" ht="12.75" hidden="1" customHeight="1" outlineLevel="1">
      <c r="B198" s="2" t="s">
        <v>272</v>
      </c>
      <c r="D198" s="245">
        <f>D187-D79</f>
        <v>215126.45802449278</v>
      </c>
      <c r="E198" s="245">
        <f>E187-E79</f>
        <v>227144.19723284472</v>
      </c>
      <c r="F198" s="245">
        <f>F187-F79</f>
        <v>298890.73657300189</v>
      </c>
      <c r="G198" s="245">
        <f>G187-G79</f>
        <v>85879.063064677612</v>
      </c>
      <c r="H198" s="245">
        <f>H187-H79</f>
        <v>52978.523178455405</v>
      </c>
    </row>
    <row r="199" spans="1:8" ht="12.75" hidden="1" customHeight="1" outlineLevel="1">
      <c r="D199" s="74"/>
      <c r="E199" s="74"/>
    </row>
    <row r="200" spans="1:8" ht="12.75" hidden="1" customHeight="1" outlineLevel="1">
      <c r="B200" s="161" t="s">
        <v>1160</v>
      </c>
      <c r="C200" s="1631">
        <f>C189</f>
        <v>0.17</v>
      </c>
      <c r="D200" s="43">
        <f>D189</f>
        <v>0.80026186059277815</v>
      </c>
      <c r="E200" s="43">
        <f t="shared" ref="E200:H200" si="34">E189</f>
        <v>0.63247990558032574</v>
      </c>
      <c r="F200" s="43">
        <f t="shared" si="34"/>
        <v>0.63247990558032574</v>
      </c>
      <c r="G200" s="43">
        <f t="shared" si="34"/>
        <v>0.80026186059277815</v>
      </c>
      <c r="H200" s="43">
        <f t="shared" si="34"/>
        <v>0.63247990558032574</v>
      </c>
    </row>
    <row r="201" spans="1:8" ht="12.75" hidden="1" customHeight="1" outlineLevel="1"/>
    <row r="202" spans="1:8" ht="12.75" hidden="1" customHeight="1" outlineLevel="1">
      <c r="B202" s="2" t="s">
        <v>96</v>
      </c>
      <c r="D202" s="386">
        <f>D198*D200</f>
        <v>172157.49956141479</v>
      </c>
      <c r="E202" s="386">
        <f t="shared" ref="E202:H202" si="35">E198*E200</f>
        <v>143664.14041894852</v>
      </c>
      <c r="F202" s="386">
        <f t="shared" si="35"/>
        <v>189042.38484652626</v>
      </c>
      <c r="G202" s="386">
        <f t="shared" si="35"/>
        <v>68725.738794103439</v>
      </c>
      <c r="H202" s="386">
        <f t="shared" si="35"/>
        <v>33507.85133769457</v>
      </c>
    </row>
    <row r="203" spans="1:8" ht="12.75" hidden="1" customHeight="1" outlineLevel="1">
      <c r="B203" s="2"/>
      <c r="D203" s="386"/>
      <c r="E203" s="386"/>
      <c r="F203" s="386"/>
      <c r="G203" s="386"/>
      <c r="H203" s="386"/>
    </row>
    <row r="204" spans="1:8" ht="12.75" hidden="1" customHeight="1" outlineLevel="1">
      <c r="B204" s="2" t="s">
        <v>273</v>
      </c>
      <c r="D204" s="386">
        <f>D202*D$105</f>
        <v>11190.237471491962</v>
      </c>
      <c r="E204" s="386">
        <f t="shared" ref="E204:H204" si="36">E202*E$105</f>
        <v>12211.451935610625</v>
      </c>
      <c r="F204" s="386">
        <f t="shared" si="36"/>
        <v>103028.09974135681</v>
      </c>
      <c r="G204" s="386">
        <f t="shared" si="36"/>
        <v>7216.2025733808605</v>
      </c>
      <c r="H204" s="386">
        <f t="shared" si="36"/>
        <v>6701.570267538913</v>
      </c>
    </row>
    <row r="205" spans="1:8" ht="12.75" hidden="1" customHeight="1" outlineLevel="1">
      <c r="B205" s="2284">
        <f>ROUND(SUM(D204:H204),-1)</f>
        <v>140350</v>
      </c>
      <c r="D205" s="386"/>
      <c r="E205" s="386"/>
      <c r="F205" s="386"/>
      <c r="G205" s="386"/>
      <c r="H205" s="386"/>
    </row>
    <row r="206" spans="1:8" ht="12.75" hidden="1" customHeight="1" outlineLevel="1">
      <c r="B206" s="2"/>
      <c r="D206" s="386"/>
      <c r="E206" s="386"/>
    </row>
    <row r="207" spans="1:8" s="74" customFormat="1" ht="12.75" customHeight="1" collapsed="1">
      <c r="B207" s="903" t="s">
        <v>21</v>
      </c>
    </row>
    <row r="208" spans="1:8" s="74" customFormat="1" ht="25.5" customHeight="1">
      <c r="A208" s="2124">
        <v>1</v>
      </c>
      <c r="B208" s="2291" t="s">
        <v>2876</v>
      </c>
      <c r="C208" s="2291"/>
      <c r="D208" s="2291"/>
      <c r="E208" s="2291"/>
      <c r="F208" s="2291"/>
      <c r="G208" s="2291"/>
      <c r="H208" s="2291"/>
    </row>
    <row r="209" spans="1:10" ht="25.5" customHeight="1">
      <c r="A209" s="2124">
        <f>A208+1</f>
        <v>2</v>
      </c>
      <c r="B209" s="2292" t="s">
        <v>2536</v>
      </c>
      <c r="C209" s="2292"/>
      <c r="D209" s="2292"/>
      <c r="E209" s="2292"/>
      <c r="F209" s="2292"/>
      <c r="G209" s="2292"/>
      <c r="H209" s="2292"/>
    </row>
    <row r="210" spans="1:10" s="74" customFormat="1">
      <c r="A210" s="2124">
        <f>A209+1</f>
        <v>3</v>
      </c>
      <c r="B210" s="2144" t="s">
        <v>3362</v>
      </c>
      <c r="C210" s="2145"/>
      <c r="D210" s="2145"/>
      <c r="E210" s="2145"/>
      <c r="F210" s="2145"/>
      <c r="G210" s="2145"/>
      <c r="H210" s="2145"/>
    </row>
    <row r="211" spans="1:10" s="74" customFormat="1" ht="12.75" customHeight="1">
      <c r="A211" s="2124">
        <f t="shared" ref="A211:A212" si="37">A210+1</f>
        <v>4</v>
      </c>
      <c r="B211" s="2144" t="s">
        <v>3365</v>
      </c>
      <c r="C211" s="2146"/>
      <c r="D211" s="2146"/>
      <c r="E211" s="2146"/>
      <c r="F211" s="2146"/>
      <c r="G211" s="2146"/>
      <c r="H211" s="2146"/>
    </row>
    <row r="212" spans="1:10" s="74" customFormat="1" ht="12.75" customHeight="1">
      <c r="A212" s="2124">
        <f t="shared" si="37"/>
        <v>5</v>
      </c>
      <c r="B212" s="2144" t="s">
        <v>3361</v>
      </c>
      <c r="C212" s="2146"/>
      <c r="D212" s="2146"/>
      <c r="E212" s="2146"/>
      <c r="F212" s="2146"/>
      <c r="G212" s="2146"/>
      <c r="H212" s="2146"/>
    </row>
    <row r="213" spans="1:10" ht="42" customHeight="1">
      <c r="A213" s="1945" t="s">
        <v>150</v>
      </c>
      <c r="B213" s="2292" t="str">
        <f>"The implied value of Series B Tranche I based on the above analysis is "&amp;TEXT(F182,"$0.00")&amp;", which is approximately "&amp;TEXT(L25,"0.0%")&amp;" less than the Series B Original Issue Price (OIP). This is reasonable, since the preferred stockholders have more rights than the Common stockholders, such as preference at the time "&amp;" of liquidation,anti-dilution rights, voting rights, rightst of future stock issuance, "&amp;"conversion rights, etc. and these are already embedded in the OIP. As such, to remove the impact of these rights, we concluded per share value of Series B Tranche I slightly lower than its OIP."</f>
        <v>The implied value of Series B Tranche I based on the above analysis is $1.37, which is approximately 0.2% less than the Series B Original Issue Price (OIP). This is reasonable, since the preferred stockholders have more rights than the Common stockholders, such as preference at the time  of liquidation,anti-dilution rights, voting rights, rightst of future stock issuance, conversion rights, etc. and these are already embedded in the OIP. As such, to remove the impact of these rights, we concluded per share value of Series B Tranche I slightly lower than its OIP.</v>
      </c>
      <c r="C213" s="2292"/>
      <c r="D213" s="2292"/>
      <c r="E213" s="2292"/>
      <c r="F213" s="2292"/>
      <c r="G213" s="2292"/>
      <c r="H213" s="2292"/>
      <c r="J213" s="1952" t="s">
        <v>2540</v>
      </c>
    </row>
    <row r="214" spans="1:10" ht="12.75" customHeight="1"/>
    <row r="215" spans="1:10" ht="12.75" customHeight="1">
      <c r="B215" s="2247" t="s">
        <v>428</v>
      </c>
      <c r="C215" s="2248"/>
      <c r="D215" s="2248"/>
      <c r="E215" s="2248"/>
      <c r="F215" s="2248"/>
      <c r="G215" s="2248"/>
      <c r="H215" s="2250"/>
    </row>
    <row r="216" spans="1:10" ht="12.75" customHeight="1"/>
    <row r="217" spans="1:10" ht="12.75" customHeight="1">
      <c r="B217" s="2" t="str">
        <f>+B77</f>
        <v>Series A</v>
      </c>
      <c r="D217" s="336">
        <v>1.7312083945422179</v>
      </c>
      <c r="E217" s="336">
        <v>1.8267612675478664</v>
      </c>
      <c r="F217" s="336">
        <v>2.3972169783358326</v>
      </c>
      <c r="G217" s="336">
        <v>0.29265599310217344</v>
      </c>
      <c r="H217" s="336" t="s">
        <v>1</v>
      </c>
    </row>
    <row r="218" spans="1:10" ht="12.75" customHeight="1">
      <c r="B218" s="2" t="str">
        <f>+B78</f>
        <v>Series B Tranche I</v>
      </c>
      <c r="D218" s="336">
        <v>1.7312083945422179</v>
      </c>
      <c r="E218" s="336">
        <v>1.8267612675478664</v>
      </c>
      <c r="F218" s="336">
        <v>2.3972169783358326</v>
      </c>
      <c r="G218" s="336">
        <v>1.5393391890410959</v>
      </c>
      <c r="H218" s="336">
        <v>1.1735722063430374</v>
      </c>
    </row>
    <row r="219" spans="1:10" ht="12.75" customHeight="1">
      <c r="B219" s="2" t="str">
        <f>+B79</f>
        <v>Series B Tranche II</v>
      </c>
      <c r="D219" s="336">
        <v>1.7312083945422179</v>
      </c>
      <c r="E219" s="336">
        <v>1.8267612675478666</v>
      </c>
      <c r="F219" s="336">
        <v>2.3972169783358326</v>
      </c>
      <c r="G219" s="336">
        <v>1.5115788821917808</v>
      </c>
      <c r="H219" s="336">
        <v>1.1544576373453284</v>
      </c>
    </row>
    <row r="222" spans="1:10">
      <c r="B222" s="1" t="s">
        <v>639</v>
      </c>
    </row>
    <row r="223" spans="1:10">
      <c r="B223" s="385" t="s">
        <v>640</v>
      </c>
      <c r="D223" s="386">
        <f>SUM(D80:D83)*(1-D99)*(1-D100)</f>
        <v>9195.6576438483371</v>
      </c>
      <c r="E223" s="386">
        <f>SUM(E80:E83)*(1-E99)*(1-E100)</f>
        <v>7529.4965606289579</v>
      </c>
      <c r="F223" s="386">
        <f>SUM(F80:F83)*(1-F99)*(1-F100)</f>
        <v>7393.8881743219281</v>
      </c>
      <c r="G223" s="386">
        <f>SUM(G80:G83)*(1-G99)*(1-G100)</f>
        <v>0</v>
      </c>
      <c r="H223" s="386">
        <f>SUM(H80:H83)*(1-H99)*(1-H100)</f>
        <v>0</v>
      </c>
    </row>
    <row r="224" spans="1:10">
      <c r="B224" s="385" t="s">
        <v>641</v>
      </c>
      <c r="D224" s="386">
        <f>SUMPRODUCT(D223:H223,D105:H105,D95:H95)</f>
        <v>2335.7679128862019</v>
      </c>
    </row>
    <row r="225" spans="2:4">
      <c r="B225" s="385" t="s">
        <v>643</v>
      </c>
      <c r="D225" s="386">
        <f>+D224/B108</f>
        <v>8004.0696576083337</v>
      </c>
    </row>
  </sheetData>
  <mergeCells count="3">
    <mergeCell ref="B208:H208"/>
    <mergeCell ref="B209:H209"/>
    <mergeCell ref="B213:H213"/>
  </mergeCells>
  <conditionalFormatting sqref="D104:H105">
    <cfRule type="expression" dxfId="334" priority="16">
      <formula>$C$105&lt;&gt;1</formula>
    </cfRule>
  </conditionalFormatting>
  <conditionalFormatting sqref="C4:D4">
    <cfRule type="cellIs" dxfId="333" priority="15" stopIfTrue="1" operator="equal">
      <formula>"input"</formula>
    </cfRule>
  </conditionalFormatting>
  <conditionalFormatting sqref="E4:G4">
    <cfRule type="cellIs" dxfId="332" priority="13" stopIfTrue="1" operator="equal">
      <formula>"input"</formula>
    </cfRule>
  </conditionalFormatting>
  <conditionalFormatting sqref="E4:G4">
    <cfRule type="cellIs" dxfId="331" priority="14" stopIfTrue="1" operator="equal">
      <formula>"input"</formula>
    </cfRule>
  </conditionalFormatting>
  <conditionalFormatting sqref="H4">
    <cfRule type="cellIs" dxfId="330" priority="11" stopIfTrue="1" operator="equal">
      <formula>"input"</formula>
    </cfRule>
  </conditionalFormatting>
  <conditionalFormatting sqref="H4">
    <cfRule type="cellIs" dxfId="329" priority="12" stopIfTrue="1" operator="equal">
      <formula>"input"</formula>
    </cfRule>
  </conditionalFormatting>
  <conditionalFormatting sqref="D33:H35 E37:H37">
    <cfRule type="cellIs" dxfId="328" priority="9" operator="equal">
      <formula>0</formula>
    </cfRule>
    <cfRule type="cellIs" dxfId="327" priority="10" operator="equal">
      <formula>0</formula>
    </cfRule>
  </conditionalFormatting>
  <conditionalFormatting sqref="D37">
    <cfRule type="cellIs" dxfId="326" priority="7" operator="equal">
      <formula>0</formula>
    </cfRule>
    <cfRule type="cellIs" dxfId="325" priority="8" operator="equal">
      <formula>0</formula>
    </cfRule>
  </conditionalFormatting>
  <conditionalFormatting sqref="J100 D99:H100">
    <cfRule type="cellIs" dxfId="324" priority="6" operator="equal">
      <formula>0</formula>
    </cfRule>
  </conditionalFormatting>
  <conditionalFormatting sqref="D26:E28">
    <cfRule type="cellIs" dxfId="323" priority="5" operator="lessThan">
      <formula>0</formula>
    </cfRule>
  </conditionalFormatting>
  <conditionalFormatting sqref="G26:H28">
    <cfRule type="cellIs" dxfId="322" priority="4" operator="lessThan">
      <formula>0</formula>
    </cfRule>
  </conditionalFormatting>
  <conditionalFormatting sqref="F26:F28">
    <cfRule type="cellIs" dxfId="321" priority="3" operator="lessThan">
      <formula>0</formula>
    </cfRule>
  </conditionalFormatting>
  <conditionalFormatting sqref="F25">
    <cfRule type="cellIs" dxfId="320" priority="2" operator="lessThan">
      <formula>0</formula>
    </cfRule>
  </conditionalFormatting>
  <conditionalFormatting sqref="B4">
    <cfRule type="cellIs" dxfId="319" priority="1" stopIfTrue="1" operator="equal">
      <formula>"input"</formula>
    </cfRule>
  </conditionalFormatting>
  <pageMargins left="0.5" right="0.5" top="0.5" bottom="0.5" header="0.5" footer="0.5"/>
  <pageSetup scale="84" fitToWidth="0" fitToHeight="0" orientation="landscape" r:id="rId1"/>
  <rowBreaks count="4" manualBreakCount="4">
    <brk id="59" max="8" man="1"/>
    <brk id="102" max="8" man="1"/>
    <brk id="153" max="8" man="1"/>
    <brk id="169" max="8" man="1"/>
  </rowBreaks>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EY226"/>
  <sheetViews>
    <sheetView showGridLines="0" view="pageBreakPreview" zoomScaleNormal="100" zoomScaleSheetLayoutView="100" workbookViewId="0">
      <selection activeCell="G12" sqref="G12"/>
    </sheetView>
  </sheetViews>
  <sheetFormatPr defaultRowHeight="12.75" outlineLevelRow="1"/>
  <cols>
    <col min="1" max="1" width="4.5" style="385" customWidth="1"/>
    <col min="2" max="2" width="64.1640625" style="385" customWidth="1"/>
    <col min="3" max="3" width="9.6640625" style="385" customWidth="1"/>
    <col min="4" max="8" width="19.33203125" style="385" customWidth="1"/>
    <col min="9" max="9" width="4.5" style="385" customWidth="1"/>
    <col min="10" max="10" width="12" style="385" customWidth="1"/>
    <col min="11" max="11" width="23.83203125" style="385" bestFit="1" customWidth="1"/>
    <col min="12" max="12" width="15" style="385" bestFit="1" customWidth="1"/>
    <col min="13" max="13" width="24.6640625" style="385" bestFit="1" customWidth="1"/>
    <col min="14" max="14" width="23.6640625" style="385" bestFit="1" customWidth="1"/>
    <col min="15" max="15" width="20.33203125" style="385" bestFit="1" customWidth="1"/>
    <col min="16" max="16" width="21.1640625" style="385" customWidth="1"/>
    <col min="17" max="17" width="3.83203125" style="385" customWidth="1"/>
    <col min="18" max="18" width="14.83203125" style="385" bestFit="1" customWidth="1"/>
    <col min="19" max="19" width="24.1640625" style="385" bestFit="1" customWidth="1"/>
    <col min="20" max="20" width="23.6640625" style="385" bestFit="1" customWidth="1"/>
    <col min="21" max="21" width="19.33203125" style="385" bestFit="1" customWidth="1"/>
    <col min="22" max="22" width="20.1640625" style="385" bestFit="1" customWidth="1"/>
    <col min="23" max="23" width="13.33203125" style="385" bestFit="1" customWidth="1"/>
    <col min="24" max="24" width="9.33203125" style="385"/>
    <col min="25" max="25" width="13.6640625" style="385" bestFit="1" customWidth="1"/>
    <col min="26" max="27" width="13.33203125" style="385" bestFit="1" customWidth="1"/>
    <col min="28" max="16384" width="9.33203125" style="385"/>
  </cols>
  <sheetData>
    <row r="1" spans="2:12" ht="10.7" customHeight="1" thickBot="1"/>
    <row r="2" spans="2:12" ht="16.5" customHeight="1" thickTop="1">
      <c r="B2" s="10" t="str">
        <f>'MASTER PubCo Inputs'!$C$5</f>
        <v>Pliant Therapeutics, Inc.</v>
      </c>
      <c r="C2" s="10"/>
      <c r="D2" s="10"/>
      <c r="E2" s="10"/>
      <c r="F2" s="10"/>
      <c r="G2" s="10"/>
      <c r="H2" s="10"/>
    </row>
    <row r="3" spans="2:12" ht="15.75" customHeight="1">
      <c r="B3" s="11" t="s">
        <v>3366</v>
      </c>
      <c r="C3" s="11"/>
      <c r="D3" s="11"/>
      <c r="E3" s="11"/>
      <c r="F3" s="11"/>
      <c r="G3" s="11"/>
      <c r="H3" s="11"/>
    </row>
    <row r="4" spans="2:12" ht="16.5" customHeight="1" thickBot="1">
      <c r="B4" s="12" t="s">
        <v>3357</v>
      </c>
      <c r="C4" s="12"/>
      <c r="D4" s="12"/>
      <c r="E4" s="13"/>
      <c r="F4" s="13"/>
      <c r="G4" s="13"/>
      <c r="H4" s="13" t="str">
        <f>+'MASTER PubCo Inputs'!$C$20</f>
        <v>(in thousands of USD and shares, except price per share)</v>
      </c>
    </row>
    <row r="5" spans="2:12" ht="12.75" customHeight="1" thickTop="1"/>
    <row r="6" spans="2:12" ht="14.25">
      <c r="B6" s="31" t="s">
        <v>413</v>
      </c>
      <c r="D6" s="969" t="str">
        <f t="array" ref="D6:H6">TRANSPOSE('Exit Probability'!B43:B47)</f>
        <v>IPO - Early</v>
      </c>
      <c r="E6" s="970" t="str">
        <v>IPO - Late</v>
      </c>
      <c r="F6" s="970" t="str">
        <v>M&amp;A - Late</v>
      </c>
      <c r="G6" s="970" t="str">
        <v>Low Sale - Early</v>
      </c>
      <c r="H6" s="971" t="str">
        <v>Low Sale - Late</v>
      </c>
      <c r="K6" s="1006"/>
      <c r="L6" s="1006"/>
    </row>
    <row r="7" spans="2:12" s="74" customFormat="1" ht="8.25" customHeight="1">
      <c r="B7" s="733"/>
      <c r="D7" s="1593"/>
      <c r="E7" s="1593"/>
      <c r="F7" s="1593"/>
      <c r="G7" s="1593"/>
      <c r="H7" s="1593"/>
      <c r="K7" s="1592"/>
      <c r="L7" s="1592"/>
    </row>
    <row r="8" spans="2:12" ht="15">
      <c r="B8" s="1" t="s">
        <v>473</v>
      </c>
      <c r="D8" s="415" t="s">
        <v>475</v>
      </c>
      <c r="E8" s="415" t="s">
        <v>475</v>
      </c>
      <c r="F8" s="415" t="s">
        <v>2489</v>
      </c>
      <c r="G8" s="415" t="s">
        <v>475</v>
      </c>
      <c r="H8" s="415" t="s">
        <v>475</v>
      </c>
      <c r="K8" s="1007"/>
      <c r="L8" s="1007"/>
    </row>
    <row r="9" spans="2:12" ht="8.1" customHeight="1"/>
    <row r="10" spans="2:12" ht="12.75" customHeight="1">
      <c r="B10" s="76" t="s">
        <v>248</v>
      </c>
      <c r="C10" s="105"/>
      <c r="D10" s="1370"/>
      <c r="E10" s="105"/>
      <c r="F10" s="105"/>
      <c r="G10" s="105"/>
      <c r="H10" s="170"/>
    </row>
    <row r="11" spans="2:12" ht="12.75" customHeight="1">
      <c r="B11" s="2" t="s">
        <v>244</v>
      </c>
      <c r="D11" s="552">
        <f>'MASTER PubCo Inputs'!$C$6</f>
        <v>43312</v>
      </c>
      <c r="E11" s="552">
        <f>'MASTER PubCo Inputs'!$C$6</f>
        <v>43312</v>
      </c>
      <c r="F11" s="552">
        <f>'MASTER PubCo Inputs'!$C$6</f>
        <v>43312</v>
      </c>
      <c r="G11" s="552">
        <f>'MASTER PubCo Inputs'!$C$6</f>
        <v>43312</v>
      </c>
      <c r="H11" s="552">
        <f>'MASTER PubCo Inputs'!$C$6</f>
        <v>43312</v>
      </c>
    </row>
    <row r="12" spans="2:12" ht="8.1" customHeight="1">
      <c r="B12" s="2"/>
    </row>
    <row r="13" spans="2:12" ht="12.75" customHeight="1">
      <c r="B13" s="2" t="s">
        <v>246</v>
      </c>
      <c r="D13" s="371">
        <f>YEARFRAC(D11,D15,3)</f>
        <v>1.4191780821917808</v>
      </c>
      <c r="E13" s="371">
        <f t="shared" ref="E13:H13" si="0">YEARFRAC(E11,E15,3)</f>
        <v>2.9178082191780823</v>
      </c>
      <c r="F13" s="371">
        <f t="shared" si="0"/>
        <v>2.9178082191780823</v>
      </c>
      <c r="G13" s="371">
        <f t="shared" si="0"/>
        <v>1.4191780821917808</v>
      </c>
      <c r="H13" s="371">
        <f t="shared" si="0"/>
        <v>2.9178082191780823</v>
      </c>
    </row>
    <row r="14" spans="2:12" ht="8.1" customHeight="1">
      <c r="B14" s="2"/>
    </row>
    <row r="15" spans="2:12" ht="12.75" customHeight="1">
      <c r="B15" s="39" t="s">
        <v>245</v>
      </c>
      <c r="C15" s="1"/>
      <c r="D15" s="700">
        <f t="array" ref="D15:H15">TRANSPOSE('Exit Probability'!H43:H47)</f>
        <v>43830</v>
      </c>
      <c r="E15" s="700">
        <v>44377</v>
      </c>
      <c r="F15" s="700">
        <v>44377</v>
      </c>
      <c r="G15" s="700">
        <v>43830</v>
      </c>
      <c r="H15" s="700">
        <v>44377</v>
      </c>
    </row>
    <row r="16" spans="2:12" ht="8.1" customHeight="1"/>
    <row r="17" spans="2:16" ht="12.75" customHeight="1">
      <c r="B17" s="76" t="s">
        <v>247</v>
      </c>
      <c r="C17" s="105"/>
      <c r="D17" s="105"/>
      <c r="E17" s="105"/>
      <c r="F17" s="105"/>
      <c r="G17" s="105"/>
      <c r="H17" s="170"/>
    </row>
    <row r="18" spans="2:16" ht="8.1" customHeight="1">
      <c r="D18" s="1694"/>
      <c r="E18" s="74"/>
      <c r="F18" s="74"/>
      <c r="G18" s="74"/>
      <c r="H18" s="74"/>
    </row>
    <row r="19" spans="2:16">
      <c r="B19" s="2" t="s">
        <v>249</v>
      </c>
      <c r="D19" s="1369" t="s">
        <v>2069</v>
      </c>
      <c r="E19" s="1369" t="s">
        <v>2069</v>
      </c>
      <c r="F19" s="1369" t="s">
        <v>2069</v>
      </c>
      <c r="G19" s="1369" t="s">
        <v>2069</v>
      </c>
      <c r="H19" s="1369" t="s">
        <v>2069</v>
      </c>
      <c r="K19" s="906" t="s">
        <v>474</v>
      </c>
      <c r="L19" s="907"/>
      <c r="M19" s="906" t="s">
        <v>474</v>
      </c>
      <c r="N19" s="907"/>
      <c r="O19" s="906" t="s">
        <v>474</v>
      </c>
      <c r="P19" s="907"/>
    </row>
    <row r="20" spans="2:16" ht="12.75" customHeight="1">
      <c r="B20" s="2" t="s">
        <v>250</v>
      </c>
      <c r="D20" s="40">
        <f>SUM('Econ Rights'!$D$12:$F$12)+D34</f>
        <v>125999.9993464</v>
      </c>
      <c r="E20" s="40">
        <f>SUM('Econ Rights'!$D$12:$F$12)+E34</f>
        <v>195999.9993464</v>
      </c>
      <c r="F20" s="40">
        <f>SUM('Econ Rights'!$D$12:$F$12)+F34</f>
        <v>195999.9993464</v>
      </c>
      <c r="G20" s="40">
        <f>SUM('Econ Rights'!$D$12:$F$12)+G34</f>
        <v>125999.9993464</v>
      </c>
      <c r="H20" s="40">
        <f>SUM('Econ Rights'!$D$12:$F$12)+H34</f>
        <v>195999.9993464</v>
      </c>
      <c r="K20" s="904" t="s">
        <v>1157</v>
      </c>
      <c r="L20" s="908">
        <f>F183</f>
        <v>1.3742914032097344</v>
      </c>
      <c r="M20" s="910" t="s">
        <v>1159</v>
      </c>
      <c r="N20" s="907"/>
      <c r="O20" s="981" t="s">
        <v>1270</v>
      </c>
      <c r="P20" s="980"/>
    </row>
    <row r="21" spans="2:16" ht="12.75" customHeight="1">
      <c r="B21" s="2" t="str">
        <f>CONCATENATE("Exit Multiple ",TEXT(A209,"(0)"))</f>
        <v>Exit Multiple (1)</v>
      </c>
      <c r="D21" s="417">
        <f>D23/D20</f>
        <v>1.7857142949773244</v>
      </c>
      <c r="E21" s="417">
        <f t="shared" ref="E21:F21" si="1">E23/E20</f>
        <v>1.6581632708355893</v>
      </c>
      <c r="F21" s="417">
        <f t="shared" si="1"/>
        <v>2.0408163333361098</v>
      </c>
      <c r="G21" s="1641">
        <v>0.75</v>
      </c>
      <c r="H21" s="1641">
        <v>0.75</v>
      </c>
      <c r="K21" s="905" t="s">
        <v>1158</v>
      </c>
      <c r="L21" s="909">
        <f ca="1">B108</f>
        <v>0.29182253688483567</v>
      </c>
      <c r="M21" s="905" t="s">
        <v>1158</v>
      </c>
      <c r="N21" s="909">
        <f ca="1">'OPM 2'!L14</f>
        <v>0.39858870755843584</v>
      </c>
      <c r="O21" s="981" t="s">
        <v>1158</v>
      </c>
      <c r="P21" s="982">
        <f ca="1">'Hybrid OPM'!C33</f>
        <v>0.47643459553393552</v>
      </c>
    </row>
    <row r="22" spans="2:16" ht="8.1" customHeight="1">
      <c r="B22" s="5"/>
      <c r="C22" s="5"/>
      <c r="D22" s="5"/>
      <c r="E22" s="5"/>
      <c r="F22" s="5"/>
      <c r="G22" s="5"/>
      <c r="H22" s="5"/>
    </row>
    <row r="23" spans="2:16" ht="12.75" customHeight="1">
      <c r="B23" s="39" t="s">
        <v>247</v>
      </c>
      <c r="D23" s="2140">
        <v>225000</v>
      </c>
      <c r="E23" s="2140">
        <v>325000</v>
      </c>
      <c r="F23" s="2140">
        <v>400000</v>
      </c>
      <c r="G23" s="1011">
        <f>G20*G21</f>
        <v>94499.999509799993</v>
      </c>
      <c r="H23" s="1011">
        <f>H20*H21</f>
        <v>146999.99950979999</v>
      </c>
      <c r="K23" s="1899" t="s">
        <v>1229</v>
      </c>
      <c r="L23" s="1900">
        <f>'Econ Rights'!E11</f>
        <v>1.3767</v>
      </c>
    </row>
    <row r="24" spans="2:16" ht="8.1" customHeight="1"/>
    <row r="25" spans="2:16" ht="12.75" customHeight="1">
      <c r="B25" s="279" t="str">
        <f>"Additional Term to Cash Flow (in Years) "&amp;TEXT(A210,"(0)")</f>
        <v>Additional Term to Cash Flow (in Years) (2)</v>
      </c>
      <c r="C25" s="196"/>
      <c r="D25" s="2142"/>
      <c r="E25" s="2142"/>
      <c r="F25" s="1935">
        <v>3</v>
      </c>
      <c r="G25" s="2142"/>
      <c r="H25" s="2143"/>
      <c r="K25" s="385" t="s">
        <v>2539</v>
      </c>
      <c r="L25" s="177">
        <f>1-(L20/L23)</f>
        <v>1.7495436843651957E-3</v>
      </c>
      <c r="M25" s="18"/>
    </row>
    <row r="26" spans="2:16" ht="12.75" hidden="1" customHeight="1" outlineLevel="1">
      <c r="B26" s="2" t="s">
        <v>2528</v>
      </c>
      <c r="D26" s="1934"/>
      <c r="E26" s="1934"/>
      <c r="F26" s="1935">
        <v>0</v>
      </c>
      <c r="G26" s="1934"/>
      <c r="H26" s="1934"/>
    </row>
    <row r="27" spans="2:16" ht="12.75" hidden="1" customHeight="1" outlineLevel="1">
      <c r="B27" s="2" t="s">
        <v>2529</v>
      </c>
      <c r="D27" s="1934"/>
      <c r="E27" s="1934"/>
      <c r="F27" s="1935">
        <v>0</v>
      </c>
      <c r="G27" s="1934"/>
      <c r="H27" s="1934"/>
    </row>
    <row r="28" spans="2:16" ht="12.75" hidden="1" customHeight="1" outlineLevel="1">
      <c r="B28" s="2" t="s">
        <v>2530</v>
      </c>
      <c r="D28" s="1934"/>
      <c r="E28" s="1934"/>
      <c r="F28" s="1935">
        <v>0</v>
      </c>
      <c r="G28" s="1934"/>
      <c r="H28" s="1934"/>
    </row>
    <row r="29" spans="2:16" ht="8.1" customHeight="1" collapsed="1"/>
    <row r="30" spans="2:16" ht="12.75" customHeight="1">
      <c r="B30" s="76" t="s">
        <v>252</v>
      </c>
      <c r="C30" s="105"/>
      <c r="D30" s="105"/>
      <c r="E30" s="105"/>
      <c r="F30" s="105"/>
      <c r="G30" s="105"/>
      <c r="H30" s="170"/>
      <c r="K30" s="16"/>
      <c r="L30" s="871"/>
      <c r="O30" s="1"/>
    </row>
    <row r="31" spans="2:16" ht="12" customHeight="1"/>
    <row r="32" spans="2:16" ht="12.75" customHeight="1">
      <c r="B32" s="77" t="s">
        <v>337</v>
      </c>
      <c r="K32" s="376" t="s">
        <v>337</v>
      </c>
      <c r="L32" s="377"/>
    </row>
    <row r="33" spans="2:26" ht="12.75" customHeight="1">
      <c r="B33" s="2" t="s">
        <v>254</v>
      </c>
      <c r="D33" s="553">
        <f>IF(D15&gt;$L$33,$L$33,0)</f>
        <v>0</v>
      </c>
      <c r="E33" s="553">
        <f>IF(E15&gt;$L$33,$L$33,0)</f>
        <v>43830</v>
      </c>
      <c r="F33" s="553">
        <f>IF(F15&gt;$L$33,$L$33,0)</f>
        <v>43830</v>
      </c>
      <c r="G33" s="553">
        <f>IF(G15&gt;$L$33,$L$33,0)</f>
        <v>0</v>
      </c>
      <c r="H33" s="553">
        <f>IF(H15&gt;$L$33,$L$33,0)</f>
        <v>43830</v>
      </c>
      <c r="K33" s="378" t="s">
        <v>477</v>
      </c>
      <c r="L33" s="379">
        <v>43830</v>
      </c>
    </row>
    <row r="34" spans="2:26" ht="12.75" customHeight="1">
      <c r="B34" s="2" t="s">
        <v>253</v>
      </c>
      <c r="D34" s="371">
        <f>IF(D33=0,0,$L$34)</f>
        <v>0</v>
      </c>
      <c r="E34" s="371">
        <f>IF(E33=0,0,$L$34)</f>
        <v>70000</v>
      </c>
      <c r="F34" s="371">
        <f>IF(F33=0,0,$L$34)</f>
        <v>70000</v>
      </c>
      <c r="G34" s="371">
        <f>IF(G33=0,0,$L$34)</f>
        <v>0</v>
      </c>
      <c r="H34" s="371">
        <f>IF(H33=0,0,$L$34)</f>
        <v>70000</v>
      </c>
      <c r="K34" s="378" t="s">
        <v>478</v>
      </c>
      <c r="L34" s="380">
        <v>70000</v>
      </c>
      <c r="M34" s="1" t="s">
        <v>2535</v>
      </c>
    </row>
    <row r="35" spans="2:26" ht="12.75" customHeight="1">
      <c r="B35" s="2" t="s">
        <v>255</v>
      </c>
      <c r="D35" s="372">
        <f>IF(D33=0,0,$L$35)</f>
        <v>0</v>
      </c>
      <c r="E35" s="372">
        <f>IF(E33=0,0,$L$35)</f>
        <v>0.16</v>
      </c>
      <c r="F35" s="372">
        <f>IF(F33=0,0,$L$35)</f>
        <v>0.16</v>
      </c>
      <c r="G35" s="372">
        <f>IF(G33=0,0,$L$35)</f>
        <v>0</v>
      </c>
      <c r="H35" s="372">
        <f>IF(H33=0,0,$L$35)</f>
        <v>0.16</v>
      </c>
      <c r="K35" s="369" t="s">
        <v>479</v>
      </c>
      <c r="L35" s="710">
        <f>+'WACC PWERM'!P21</f>
        <v>0.16</v>
      </c>
      <c r="M35" s="1" t="s">
        <v>2290</v>
      </c>
    </row>
    <row r="36" spans="2:26" ht="8.1" customHeight="1">
      <c r="B36" s="5"/>
      <c r="C36" s="5"/>
      <c r="D36" s="5"/>
      <c r="E36" s="5"/>
      <c r="F36" s="5"/>
      <c r="G36" s="5"/>
      <c r="H36" s="5"/>
    </row>
    <row r="37" spans="2:26" ht="12.75" hidden="1" customHeight="1" outlineLevel="1">
      <c r="B37" s="39" t="s">
        <v>86</v>
      </c>
      <c r="D37" s="371">
        <f>D34*(1+D35)^(YEARFRAC(D33,D$15,3))</f>
        <v>0</v>
      </c>
      <c r="E37" s="371">
        <f>E34*(1+E35)^(YEARFRAC(E33,E$15,3))</f>
        <v>87437.297339832643</v>
      </c>
      <c r="F37" s="371">
        <f>F34*(1+F35)^(YEARFRAC(F33,F$15,3))</f>
        <v>87437.297339832643</v>
      </c>
      <c r="G37" s="371">
        <f>G34*(1+G35)^(YEARFRAC(G33,G$15,3))</f>
        <v>0</v>
      </c>
      <c r="H37" s="371">
        <f>H34*(1+H35)^(YEARFRAC(H33,H$15,3))</f>
        <v>87437.297339832643</v>
      </c>
      <c r="Z37" s="385" t="s">
        <v>2291</v>
      </c>
    </row>
    <row r="38" spans="2:26" ht="8.1" hidden="1" customHeight="1" outlineLevel="1"/>
    <row r="39" spans="2:26" ht="15" customHeight="1" collapsed="1" thickBot="1">
      <c r="B39" s="418" t="s">
        <v>86</v>
      </c>
      <c r="C39" s="172"/>
      <c r="D39" s="173">
        <f>D37</f>
        <v>0</v>
      </c>
      <c r="E39" s="173">
        <f>E37</f>
        <v>87437.297339832643</v>
      </c>
      <c r="F39" s="173">
        <f t="shared" ref="F39:H39" si="2">F37</f>
        <v>87437.297339832643</v>
      </c>
      <c r="G39" s="173">
        <f t="shared" si="2"/>
        <v>0</v>
      </c>
      <c r="H39" s="173">
        <f t="shared" si="2"/>
        <v>87437.297339832643</v>
      </c>
    </row>
    <row r="40" spans="2:26" ht="12.75" customHeight="1"/>
    <row r="41" spans="2:26" ht="12.75" customHeight="1">
      <c r="B41" s="76" t="s">
        <v>258</v>
      </c>
      <c r="C41" s="105"/>
      <c r="D41" s="105"/>
      <c r="E41" s="105"/>
      <c r="F41" s="105"/>
      <c r="G41" s="105"/>
      <c r="H41" s="170"/>
    </row>
    <row r="42" spans="2:26" ht="8.1" customHeight="1"/>
    <row r="43" spans="2:26" ht="12.75" customHeight="1">
      <c r="B43" s="385" t="s">
        <v>247</v>
      </c>
      <c r="D43" s="386">
        <f>D23</f>
        <v>225000</v>
      </c>
      <c r="E43" s="386">
        <f>E23</f>
        <v>325000</v>
      </c>
      <c r="F43" s="386">
        <f>F23</f>
        <v>400000</v>
      </c>
      <c r="G43" s="386">
        <f>G23</f>
        <v>94499.999509799993</v>
      </c>
      <c r="H43" s="386">
        <f>H23</f>
        <v>146999.99950979999</v>
      </c>
    </row>
    <row r="44" spans="2:26" ht="12.75" customHeight="1">
      <c r="B44" s="2" t="s">
        <v>179</v>
      </c>
      <c r="D44" s="386">
        <f>-MIN(D39,D43)</f>
        <v>0</v>
      </c>
      <c r="E44" s="386">
        <f t="shared" ref="E44:H44" si="3">-MIN(E39,E43)</f>
        <v>-87437.297339832643</v>
      </c>
      <c r="F44" s="386">
        <f t="shared" si="3"/>
        <v>-87437.297339832643</v>
      </c>
      <c r="G44" s="386">
        <f t="shared" si="3"/>
        <v>0</v>
      </c>
      <c r="H44" s="386">
        <f t="shared" si="3"/>
        <v>-87437.297339832643</v>
      </c>
    </row>
    <row r="45" spans="2:26" ht="8.1" customHeight="1">
      <c r="B45" s="5"/>
      <c r="C45" s="5"/>
      <c r="D45" s="5"/>
      <c r="E45" s="5"/>
      <c r="F45" s="5"/>
      <c r="G45" s="5"/>
      <c r="H45" s="5"/>
    </row>
    <row r="46" spans="2:26" ht="12.75" customHeight="1">
      <c r="B46" s="1" t="s">
        <v>259</v>
      </c>
      <c r="D46" s="1011">
        <f t="shared" ref="D46:H46" si="4">SUM(D43:D44)</f>
        <v>225000</v>
      </c>
      <c r="E46" s="1011">
        <f t="shared" si="4"/>
        <v>237562.70266016736</v>
      </c>
      <c r="F46" s="1011">
        <f t="shared" si="4"/>
        <v>312562.70266016736</v>
      </c>
      <c r="G46" s="1011">
        <f t="shared" si="4"/>
        <v>94499.999509799993</v>
      </c>
      <c r="H46" s="1011">
        <f t="shared" si="4"/>
        <v>59562.70216996735</v>
      </c>
      <c r="O46" s="1009">
        <f>J53+10837.9</f>
        <v>66837.899999999994</v>
      </c>
    </row>
    <row r="47" spans="2:26" ht="8.1" customHeight="1"/>
    <row r="48" spans="2:26" s="74" customFormat="1" ht="12.75" customHeight="1">
      <c r="B48" s="161" t="s">
        <v>1081</v>
      </c>
      <c r="D48" s="245">
        <f>-'Hist BS'!$H$52</f>
        <v>0</v>
      </c>
      <c r="E48" s="245">
        <f>-'Hist BS'!$H$52</f>
        <v>0</v>
      </c>
      <c r="F48" s="245">
        <f>-'Hist BS'!$H$52</f>
        <v>0</v>
      </c>
      <c r="G48" s="245">
        <f>-'Hist BS'!$H$52</f>
        <v>0</v>
      </c>
      <c r="H48" s="245">
        <f>-'Hist BS'!$H$52</f>
        <v>0</v>
      </c>
    </row>
    <row r="49" spans="2:22" ht="8.1" customHeight="1">
      <c r="B49" s="5"/>
      <c r="C49" s="5"/>
      <c r="D49" s="5"/>
      <c r="E49" s="5"/>
      <c r="F49" s="5"/>
      <c r="G49" s="5"/>
      <c r="H49" s="5"/>
    </row>
    <row r="50" spans="2:22" ht="12.75" customHeight="1">
      <c r="B50" s="1" t="s">
        <v>269</v>
      </c>
      <c r="D50" s="1011">
        <f>MAX(SUM(D46:D48),0)</f>
        <v>225000</v>
      </c>
      <c r="E50" s="1011">
        <f t="shared" ref="E50:H50" si="5">MAX(SUM(E46:E48),0)</f>
        <v>237562.70266016736</v>
      </c>
      <c r="F50" s="1011">
        <f t="shared" si="5"/>
        <v>312562.70266016736</v>
      </c>
      <c r="G50" s="1011">
        <f t="shared" si="5"/>
        <v>94499.999509799993</v>
      </c>
      <c r="H50" s="1011">
        <f t="shared" si="5"/>
        <v>59562.70216996735</v>
      </c>
      <c r="L50" s="1885" t="s">
        <v>1909</v>
      </c>
      <c r="M50" s="1886"/>
      <c r="N50" s="1886"/>
      <c r="O50" s="1886"/>
      <c r="P50" s="1887"/>
    </row>
    <row r="51" spans="2:22" ht="8.1" customHeight="1"/>
    <row r="52" spans="2:22" ht="12.75" customHeight="1">
      <c r="B52" s="1" t="s">
        <v>260</v>
      </c>
      <c r="J52" s="1" t="s">
        <v>2477</v>
      </c>
      <c r="L52" s="342" t="str">
        <f>D6</f>
        <v>IPO - Early</v>
      </c>
      <c r="M52" s="342" t="str">
        <f>E6</f>
        <v>IPO - Late</v>
      </c>
      <c r="N52" s="342" t="str">
        <f>F6</f>
        <v>M&amp;A - Late</v>
      </c>
      <c r="O52" s="342" t="str">
        <f>G6</f>
        <v>Low Sale - Early</v>
      </c>
      <c r="P52" s="342" t="str">
        <f>H6</f>
        <v>Low Sale - Late</v>
      </c>
    </row>
    <row r="53" spans="2:22" ht="12.75" customHeight="1">
      <c r="B53" s="2" t="str">
        <f>'Cap Table'!$D$6</f>
        <v>Series A</v>
      </c>
      <c r="D53" s="1706"/>
      <c r="E53" s="1706"/>
      <c r="F53" s="386">
        <f>IF(F$62&gt;0,0,MIN(N53,F50-SUM(F54:F55)))</f>
        <v>0</v>
      </c>
      <c r="G53" s="386">
        <f t="shared" ref="G53:H53" si="6">IF(G$62&gt;0,0,MIN(O53,G50-SUM(G54:G55)))</f>
        <v>16388.735613721714</v>
      </c>
      <c r="H53" s="386">
        <f t="shared" si="6"/>
        <v>0</v>
      </c>
      <c r="J53" s="433">
        <f>'Econ Rights'!D15</f>
        <v>56000</v>
      </c>
      <c r="K53" s="385" t="s">
        <v>329</v>
      </c>
      <c r="L53" s="387">
        <f>SUM('Dividend Calculations'!$D$29:$I$29)+$J53</f>
        <v>68149.589041095896</v>
      </c>
      <c r="M53" s="387">
        <f>SUM('Dividend Calculations'!$D$30:$I$30)+$J53</f>
        <v>74863.452054794529</v>
      </c>
      <c r="N53" s="387">
        <f>SUM('Dividend Calculations'!$D$30:$I$30)+$J53</f>
        <v>74863.452054794529</v>
      </c>
      <c r="O53" s="387">
        <f>SUM('Dividend Calculations'!$D$29:$I$29)+$J53</f>
        <v>68149.589041095896</v>
      </c>
      <c r="P53" s="387">
        <f>SUM('Dividend Calculations'!$D$30:$I$30)+$J53</f>
        <v>74863.452054794529</v>
      </c>
    </row>
    <row r="54" spans="2:22" ht="12.75" customHeight="1">
      <c r="B54" s="2" t="str">
        <f>'Cap Table'!$E$6</f>
        <v>Series B Tranche I</v>
      </c>
      <c r="D54" s="1706"/>
      <c r="E54" s="1706"/>
      <c r="F54" s="386">
        <f t="shared" ref="F54:H54" si="7">IF(F$63&gt;0,0,MIN(F$50*(N54/SUM(N$54:N$55)),N54))</f>
        <v>0</v>
      </c>
      <c r="G54" s="386">
        <f t="shared" si="7"/>
        <v>69490.327450955898</v>
      </c>
      <c r="H54" s="386">
        <f t="shared" si="7"/>
        <v>52978.523178455405</v>
      </c>
      <c r="J54" s="433">
        <f>'Econ Rights'!E15</f>
        <v>62148.313044199997</v>
      </c>
      <c r="K54" s="385" t="s">
        <v>2264</v>
      </c>
      <c r="L54" s="387">
        <f>'Dividend Calculations'!$J$29+$J54</f>
        <v>69490.327450955898</v>
      </c>
      <c r="M54" s="387">
        <f>'Dividend Calculations'!$J$30+$J54</f>
        <v>76941.314242227658</v>
      </c>
      <c r="N54" s="387">
        <f>'Dividend Calculations'!$J$30+$J54</f>
        <v>76941.314242227658</v>
      </c>
      <c r="O54" s="387">
        <f>'Dividend Calculations'!$J$29+$J54</f>
        <v>69490.327450955898</v>
      </c>
      <c r="P54" s="387">
        <f>'Dividend Calculations'!$J$30+$J54</f>
        <v>76941.314242227658</v>
      </c>
    </row>
    <row r="55" spans="2:22" ht="12.75" customHeight="1">
      <c r="B55" s="2" t="str">
        <f>'Cap Table'!$F$6</f>
        <v>Series B Tranche II</v>
      </c>
      <c r="D55" s="1706"/>
      <c r="E55" s="1706"/>
      <c r="F55" s="386">
        <f t="shared" ref="F55:H55" si="8">IF(F$64&gt;0,0,MIN(F$50*(N55/SUM(N$54:N$55)),N55))</f>
        <v>0</v>
      </c>
      <c r="G55" s="386">
        <f t="shared" si="8"/>
        <v>8620.9364451223882</v>
      </c>
      <c r="H55" s="386">
        <f t="shared" si="8"/>
        <v>6584.1789915119416</v>
      </c>
      <c r="J55" s="433">
        <f>'Econ Rights'!F12</f>
        <v>7851.6863021999998</v>
      </c>
      <c r="K55" s="385" t="s">
        <v>2265</v>
      </c>
      <c r="L55" s="387">
        <f>'Dividend Calculations'!$K$29+$J55</f>
        <v>8620.9364451223882</v>
      </c>
      <c r="M55" s="387">
        <f>'Dividend Calculations'!$K$30+$J55</f>
        <v>9562.2783426135447</v>
      </c>
      <c r="N55" s="387">
        <f>'Dividend Calculations'!$K$30+$J55</f>
        <v>9562.2783426135447</v>
      </c>
      <c r="O55" s="387">
        <f>'Dividend Calculations'!$K$29+$J55</f>
        <v>8620.9364451223882</v>
      </c>
      <c r="P55" s="387">
        <f>'Dividend Calculations'!$K$30+$J55</f>
        <v>9562.2783426135447</v>
      </c>
    </row>
    <row r="56" spans="2:22" ht="8.1" customHeight="1">
      <c r="B56" s="5"/>
      <c r="C56" s="5"/>
      <c r="D56" s="5"/>
      <c r="E56" s="5"/>
      <c r="F56" s="5"/>
      <c r="G56" s="5"/>
      <c r="H56" s="5"/>
      <c r="K56" s="392"/>
      <c r="L56" s="433"/>
    </row>
    <row r="57" spans="2:22" ht="12.75" customHeight="1">
      <c r="B57" s="175" t="str">
        <f>CONCATENATE("Total ",B52)</f>
        <v>Total Liquidation Preferences</v>
      </c>
      <c r="D57" s="1011">
        <f>SUM(D53:D55)</f>
        <v>0</v>
      </c>
      <c r="E57" s="1011">
        <f>SUM(E53:E55)</f>
        <v>0</v>
      </c>
      <c r="F57" s="1011">
        <f>SUM(F53:F55)</f>
        <v>0</v>
      </c>
      <c r="G57" s="1011">
        <f>SUM(G53:G55)</f>
        <v>94499.999509799993</v>
      </c>
      <c r="H57" s="1011">
        <f>SUM(H53:H55)</f>
        <v>59562.70216996735</v>
      </c>
      <c r="J57" s="36">
        <f>SUM(J53:J55)</f>
        <v>125999.9993464</v>
      </c>
      <c r="K57" s="874"/>
      <c r="L57" s="1888">
        <f t="shared" ref="L57:P57" si="9">SUM(L53:L55)</f>
        <v>146260.85293717418</v>
      </c>
      <c r="M57" s="1888">
        <f t="shared" si="9"/>
        <v>161367.04463963571</v>
      </c>
      <c r="N57" s="1888">
        <f t="shared" si="9"/>
        <v>161367.04463963571</v>
      </c>
      <c r="O57" s="1888">
        <f t="shared" si="9"/>
        <v>146260.85293717418</v>
      </c>
      <c r="P57" s="1888">
        <f t="shared" si="9"/>
        <v>161367.04463963571</v>
      </c>
    </row>
    <row r="58" spans="2:22" ht="8.1" customHeight="1"/>
    <row r="59" spans="2:22" ht="12.75" customHeight="1">
      <c r="B59" s="1" t="s">
        <v>261</v>
      </c>
      <c r="C59" s="1"/>
      <c r="D59" s="1011">
        <f>D50-D57</f>
        <v>225000</v>
      </c>
      <c r="E59" s="1011">
        <f>E50-E57</f>
        <v>237562.70266016736</v>
      </c>
      <c r="F59" s="1011">
        <f>F50-F57</f>
        <v>312562.70266016736</v>
      </c>
      <c r="G59" s="1011">
        <f>G50-G57</f>
        <v>0</v>
      </c>
      <c r="H59" s="1011">
        <f>H50-H57</f>
        <v>0</v>
      </c>
      <c r="K59" s="169"/>
      <c r="L59" s="1885" t="s">
        <v>2299</v>
      </c>
      <c r="M59" s="1886"/>
      <c r="N59" s="1886"/>
      <c r="O59" s="1886"/>
      <c r="P59" s="1887"/>
      <c r="R59" s="1885" t="s">
        <v>2074</v>
      </c>
      <c r="S59" s="1886"/>
      <c r="T59" s="1886"/>
      <c r="U59" s="1886"/>
      <c r="V59" s="1887"/>
    </row>
    <row r="60" spans="2:22" ht="8.1" customHeight="1"/>
    <row r="61" spans="2:22" ht="12.75" customHeight="1">
      <c r="B61" s="1" t="s">
        <v>262</v>
      </c>
      <c r="J61" s="385" t="s">
        <v>164</v>
      </c>
      <c r="K61" s="301" t="s">
        <v>2074</v>
      </c>
      <c r="L61" s="390" t="str">
        <f>L52</f>
        <v>IPO - Early</v>
      </c>
      <c r="M61" s="390" t="str">
        <f t="shared" ref="M61:P61" si="10">M52</f>
        <v>IPO - Late</v>
      </c>
      <c r="N61" s="390" t="str">
        <f t="shared" si="10"/>
        <v>M&amp;A - Late</v>
      </c>
      <c r="O61" s="390" t="str">
        <f t="shared" si="10"/>
        <v>Low Sale - Early</v>
      </c>
      <c r="P61" s="390" t="str">
        <f t="shared" si="10"/>
        <v>Low Sale - Late</v>
      </c>
      <c r="Q61" s="169"/>
      <c r="R61" s="1" t="str">
        <f>L61</f>
        <v>IPO - Early</v>
      </c>
      <c r="S61" s="1" t="str">
        <f t="shared" ref="S61:V61" si="11">M61</f>
        <v>IPO - Late</v>
      </c>
      <c r="T61" s="1" t="str">
        <f t="shared" si="11"/>
        <v>M&amp;A - Late</v>
      </c>
      <c r="U61" s="1" t="str">
        <f t="shared" si="11"/>
        <v>Low Sale - Early</v>
      </c>
      <c r="V61" s="1" t="str">
        <f t="shared" si="11"/>
        <v>Low Sale - Late</v>
      </c>
    </row>
    <row r="62" spans="2:22" ht="12.75" customHeight="1">
      <c r="B62" s="161" t="str">
        <f>+$B53</f>
        <v>Series A</v>
      </c>
      <c r="D62" s="386">
        <f>J62</f>
        <v>56000</v>
      </c>
      <c r="E62" s="386">
        <f>IF(E$50&gt;M62,$J62,0)</f>
        <v>56000</v>
      </c>
      <c r="F62" s="386">
        <f>IF(F$50&gt;N62,$J62,0)</f>
        <v>56000</v>
      </c>
      <c r="G62" s="386">
        <f>IF(G$50&gt;O62,$J62,0)</f>
        <v>0</v>
      </c>
      <c r="H62" s="386">
        <f>IF(H$50&gt;P62,$J62,0)</f>
        <v>0</v>
      </c>
      <c r="J62" s="433">
        <f t="array" ref="J62:J64">TRANSPOSE('Cap Table'!D20:F20)</f>
        <v>56000</v>
      </c>
      <c r="K62" s="2020">
        <f t="array" ref="K62:K64">TRANSPOSE('Econ Rights'!D30:F30)</f>
        <v>1.316465988258317</v>
      </c>
      <c r="L62" s="1889">
        <f>L$69+SUM($J$62:$J62,$J$65:$J$69)*R62-SUMPRODUCT($J$65:$J$67,$K$65:$K$67)-L53</f>
        <v>173956.22758172406</v>
      </c>
      <c r="M62" s="1889">
        <f>M$69+SUM($J$62:$J62,$J$65:$J$69)*S62-SUMPRODUCT($J$65:$J$67,$K$65:$K$67)-M53</f>
        <v>192015.03344813088</v>
      </c>
      <c r="N62" s="1889">
        <f>N$69+SUM($J$62:$J62,$J$65:$J$69)*T62-SUMPRODUCT($J$65:$J$67,$K$65:$K$67)-N53</f>
        <v>192015.03344813088</v>
      </c>
      <c r="O62" s="1889">
        <f>O$69+SUM($J$62:$J62,$J$65:$J$69)*U62-SUMPRODUCT($J$65:$J$67,$K$65:$K$67)-O53</f>
        <v>173956.22758172406</v>
      </c>
      <c r="P62" s="1889">
        <f>P$69+SUM($J$62:$J62,$J$65:$J$69)*V62-SUMPRODUCT($J$65:$J$67,$K$65:$K$67)-P53</f>
        <v>192015.03344813088</v>
      </c>
      <c r="Q62" s="433"/>
      <c r="R62" s="7">
        <f>L53/$J62</f>
        <v>1.2169569471624266</v>
      </c>
      <c r="S62" s="7">
        <f t="shared" ref="S62:V62" si="12">M53/$J62</f>
        <v>1.3368473581213309</v>
      </c>
      <c r="T62" s="7">
        <f t="shared" si="12"/>
        <v>1.3368473581213309</v>
      </c>
      <c r="U62" s="7">
        <f t="shared" si="12"/>
        <v>1.2169569471624266</v>
      </c>
      <c r="V62" s="7">
        <f t="shared" si="12"/>
        <v>1.3368473581213309</v>
      </c>
    </row>
    <row r="63" spans="2:22" ht="12.75" customHeight="1">
      <c r="B63" s="161" t="str">
        <f>+$B54</f>
        <v>Series B Tranche I</v>
      </c>
      <c r="D63" s="386">
        <f t="shared" ref="D63:D69" si="13">J63</f>
        <v>45142.960008861766</v>
      </c>
      <c r="E63" s="386">
        <f t="shared" ref="E63:G69" si="14">IF(E$50&gt;M63,$J63,0)</f>
        <v>45142.960008861766</v>
      </c>
      <c r="F63" s="386">
        <f t="shared" si="14"/>
        <v>45142.960008861766</v>
      </c>
      <c r="G63" s="386">
        <f t="shared" si="14"/>
        <v>0</v>
      </c>
      <c r="H63" s="386">
        <f t="shared" ref="H63:H66" si="15">IF(H$50&gt;P63,$J63,0)</f>
        <v>0</v>
      </c>
      <c r="J63" s="433">
        <v>45142.960008861766</v>
      </c>
      <c r="K63" s="1705">
        <v>1.6732194970168255</v>
      </c>
      <c r="L63" s="1889">
        <f>L$69+SUM($J$62:$J64,$J$65:$J$69)*R63-SUMPRODUCT($J$65:$J$67,$K$65:$K$67)-SUM(L53:L55)</f>
        <v>200107.46134266412</v>
      </c>
      <c r="M63" s="1889">
        <f>M$69+SUM($J$62:$J64,$J$65:$J$69)*S63-SUMPRODUCT($J$65:$J$67,$K$65:$K$67)-SUM(M53:M55)</f>
        <v>221807.62916188932</v>
      </c>
      <c r="N63" s="1889">
        <f>N$69+SUM($J$62:$J64,$J$65:$J$69)*T63-SUMPRODUCT($J$65:$J$67,$K$65:$K$67)-SUM(N53:N55)</f>
        <v>221807.62916188932</v>
      </c>
      <c r="O63" s="1889">
        <f>O$69+SUM($J$62:$J64,$J$65:$J$69)*U63-SUMPRODUCT($J$65:$J$67,$K$65:$K$67)-SUM(O53:O55)</f>
        <v>200107.46134266412</v>
      </c>
      <c r="P63" s="1889">
        <f>P$69+SUM($J$62:$J64,$J$65:$J$69)*V63-SUMPRODUCT($J$65:$J$67,$K$65:$K$67)-SUM(P53:P55)</f>
        <v>221807.62916188932</v>
      </c>
      <c r="R63" s="7">
        <f t="shared" ref="R63:V63" si="16">L54/$J63</f>
        <v>1.5393391890410959</v>
      </c>
      <c r="S63" s="7">
        <f t="shared" si="16"/>
        <v>1.7043923178082192</v>
      </c>
      <c r="T63" s="7">
        <f t="shared" si="16"/>
        <v>1.7043923178082192</v>
      </c>
      <c r="U63" s="7">
        <f t="shared" si="16"/>
        <v>1.5393391890410959</v>
      </c>
      <c r="V63" s="7">
        <f t="shared" si="16"/>
        <v>1.7043923178082192</v>
      </c>
    </row>
    <row r="64" spans="2:22" ht="12.75" customHeight="1">
      <c r="B64" s="161" t="str">
        <f>+$B55</f>
        <v>Series B Tranche II</v>
      </c>
      <c r="D64" s="386">
        <f t="shared" si="13"/>
        <v>5703.2659999999996</v>
      </c>
      <c r="E64" s="386">
        <f t="shared" si="14"/>
        <v>5703.2659999999996</v>
      </c>
      <c r="F64" s="386">
        <f t="shared" si="14"/>
        <v>5703.2659999999996</v>
      </c>
      <c r="G64" s="386">
        <f t="shared" si="14"/>
        <v>0</v>
      </c>
      <c r="H64" s="386">
        <f>IF(H$50&gt;P64,$J64,0)</f>
        <v>0</v>
      </c>
      <c r="J64" s="433">
        <v>5703.2659999999996</v>
      </c>
      <c r="K64" s="1705">
        <v>1.6732194970168255</v>
      </c>
      <c r="L64" s="1889">
        <f>L63</f>
        <v>200107.46134266412</v>
      </c>
      <c r="M64" s="1889">
        <f t="shared" ref="M64:P64" si="17">M63</f>
        <v>221807.62916188932</v>
      </c>
      <c r="N64" s="1889">
        <f t="shared" si="17"/>
        <v>221807.62916188932</v>
      </c>
      <c r="O64" s="1889">
        <f t="shared" si="17"/>
        <v>200107.46134266412</v>
      </c>
      <c r="P64" s="1889">
        <f t="shared" si="17"/>
        <v>221807.62916188932</v>
      </c>
      <c r="R64" s="7">
        <f t="shared" ref="R64:V64" si="18">L55/$J64</f>
        <v>1.5115788821917808</v>
      </c>
      <c r="S64" s="7">
        <f t="shared" si="18"/>
        <v>1.6766320109589041</v>
      </c>
      <c r="T64" s="7">
        <f t="shared" si="18"/>
        <v>1.6766320109589041</v>
      </c>
      <c r="U64" s="7">
        <f t="shared" si="18"/>
        <v>1.5115788821917808</v>
      </c>
      <c r="V64" s="7">
        <f t="shared" si="18"/>
        <v>1.6766320109589041</v>
      </c>
    </row>
    <row r="65" spans="2:21" ht="12.75" customHeight="1">
      <c r="B65" s="297" t="str">
        <f>'Cap Table'!$B24</f>
        <v>Options at $0.001 Strike Price</v>
      </c>
      <c r="D65" s="386">
        <f t="shared" ref="D65" si="19">J65</f>
        <v>10</v>
      </c>
      <c r="E65" s="386">
        <f t="shared" ref="E65" si="20">IF(E$50&gt;M65,$J65,0)</f>
        <v>10</v>
      </c>
      <c r="F65" s="386">
        <f t="shared" ref="F65" si="21">IF(F$50&gt;N65,$J65,0)</f>
        <v>10</v>
      </c>
      <c r="G65" s="386">
        <f t="shared" ref="G65" si="22">IF(G$50&gt;O65,$J65,0)</f>
        <v>0</v>
      </c>
      <c r="H65" s="386">
        <f t="shared" ref="H65" si="23">IF(H$50&gt;P65,$J65,0)</f>
        <v>0</v>
      </c>
      <c r="J65" s="433">
        <f>'Cap Table'!D24</f>
        <v>10</v>
      </c>
      <c r="K65" s="1705">
        <f>'OPM 1'!P29</f>
        <v>1E-3</v>
      </c>
      <c r="L65" s="1889">
        <f>L$69+(SUM($J65:$J$65,$J$69)*$K65-SUMPRODUCT($J65:$J$65,$K65:$K$65))</f>
        <v>146276.27561917418</v>
      </c>
      <c r="M65" s="1889">
        <f>M$69+(SUM($J65:$J$65,$J$69)*$K65-SUMPRODUCT($J65:$J$65,$K65:$K$65))</f>
        <v>161382.46732163572</v>
      </c>
      <c r="N65" s="1889">
        <f>N$69+(SUM($J65:$J$65,$J$69)*$K65-SUMPRODUCT($J65:$J$65,$K65:$K$65))</f>
        <v>161382.46732163572</v>
      </c>
      <c r="O65" s="1889">
        <f>O$69+(SUM($J65:$J$65,$J$69)*$K65-SUMPRODUCT($J65:$J$65,$K65:$K$65))</f>
        <v>146276.27561917418</v>
      </c>
      <c r="P65" s="1889">
        <f>P$69+(SUM($J65:$J$65,$J$69)*$K65-SUMPRODUCT($J65:$J$65,$K65:$K$65))</f>
        <v>161382.46732163572</v>
      </c>
      <c r="Q65" s="1009"/>
      <c r="R65" s="1009"/>
      <c r="S65" s="1009"/>
      <c r="T65" s="1009"/>
      <c r="U65" s="1009"/>
    </row>
    <row r="66" spans="2:21" ht="12.75" customHeight="1">
      <c r="B66" s="297" t="str">
        <f>'Cap Table'!$B25</f>
        <v>Options at $0.010 Strike Price</v>
      </c>
      <c r="D66" s="386">
        <f t="shared" si="13"/>
        <v>206.9</v>
      </c>
      <c r="E66" s="386">
        <f t="shared" si="14"/>
        <v>206.9</v>
      </c>
      <c r="F66" s="386">
        <f t="shared" si="14"/>
        <v>206.9</v>
      </c>
      <c r="G66" s="386">
        <f t="shared" si="14"/>
        <v>0</v>
      </c>
      <c r="H66" s="386">
        <f t="shared" si="15"/>
        <v>0</v>
      </c>
      <c r="J66" s="433">
        <f>'Cap Table'!D25</f>
        <v>206.9</v>
      </c>
      <c r="K66" s="1705">
        <f>'OPM 1'!P30</f>
        <v>0.01</v>
      </c>
      <c r="L66" s="1889">
        <f>L$69+(SUM($J$65:$J66,$J$69)*$K66-SUMPRODUCT($J$65:$J66,$K$65:$K66))</f>
        <v>146415.16975717418</v>
      </c>
      <c r="M66" s="1889">
        <f>M$69+(SUM($J$65:$J66,$J$69)*$K66-SUMPRODUCT($J$65:$J66,$K$65:$K66))</f>
        <v>161521.36145963572</v>
      </c>
      <c r="N66" s="1889">
        <f>N$69+(SUM($J$65:$J66,$J$69)*$K66-SUMPRODUCT($J$65:$J66,$K$65:$K66))</f>
        <v>161521.36145963572</v>
      </c>
      <c r="O66" s="1889">
        <f>O$69+(SUM($J$65:$J66,$J$69)*$K66-SUMPRODUCT($J$65:$J66,$K$65:$K66))</f>
        <v>146415.16975717418</v>
      </c>
      <c r="P66" s="1889">
        <f>P$69+(SUM($J$65:$J66,$J$69)*$K66-SUMPRODUCT($J$65:$J66,$K$65:$K66))</f>
        <v>161521.36145963572</v>
      </c>
      <c r="Q66" s="1009"/>
      <c r="R66" s="1009"/>
      <c r="S66" s="1009"/>
      <c r="T66" s="1009"/>
      <c r="U66" s="1009"/>
    </row>
    <row r="67" spans="2:21" ht="12.75" customHeight="1">
      <c r="B67" s="297" t="str">
        <f>'Cap Table'!$B26</f>
        <v>Expected Options Grant</v>
      </c>
      <c r="D67" s="386">
        <f t="shared" si="13"/>
        <v>7838.9179999999997</v>
      </c>
      <c r="E67" s="386">
        <f t="shared" si="14"/>
        <v>7838.9179999999997</v>
      </c>
      <c r="F67" s="386">
        <f t="shared" si="14"/>
        <v>7838.9179999999997</v>
      </c>
      <c r="G67" s="386">
        <f t="shared" si="14"/>
        <v>0</v>
      </c>
      <c r="H67" s="386">
        <f>IF(H$50&gt;P67,$J67,0)</f>
        <v>0</v>
      </c>
      <c r="J67" s="433">
        <f>'Cap Table'!D26</f>
        <v>7838.9179999999997</v>
      </c>
      <c r="K67" s="1705">
        <f>'OPM 1'!P31</f>
        <v>0.28999999999999998</v>
      </c>
      <c r="L67" s="1889">
        <f>L$69+(SUM($J$65:$J67,$J$69)*$K67-SUMPRODUCT($J$65:$J67,$K$65:$K67))</f>
        <v>150794.25271717418</v>
      </c>
      <c r="M67" s="1889">
        <f>M$69+(SUM($J$65:$J67,$J$69)*$K67-SUMPRODUCT($J$65:$J67,$K$65:$K67))</f>
        <v>165900.44441963572</v>
      </c>
      <c r="N67" s="1889">
        <f>N$69+(SUM($J$65:$J67,$J$69)*$K67-SUMPRODUCT($J$65:$J67,$K$65:$K67))</f>
        <v>165900.44441963572</v>
      </c>
      <c r="O67" s="1889">
        <f>O$69+(SUM($J$65:$J67,$J$69)*$K67-SUMPRODUCT($J$65:$J67,$K$65:$K67))</f>
        <v>150794.25271717418</v>
      </c>
      <c r="P67" s="1889">
        <f>P$69+(SUM($J$65:$J67,$J$69)*$K67-SUMPRODUCT($J$65:$J67,$K$65:$K67))</f>
        <v>165900.44441963572</v>
      </c>
      <c r="Q67" s="1009"/>
      <c r="R67" s="1009"/>
      <c r="S67" s="1009"/>
      <c r="T67" s="1009"/>
      <c r="U67" s="1009"/>
    </row>
    <row r="68" spans="2:21" ht="12.75" customHeight="1">
      <c r="B68" s="297" t="str">
        <f>'Cap Table'!$B27</f>
        <v>Phantom Stock</v>
      </c>
      <c r="D68" s="386">
        <f t="shared" ref="D68" si="24">J68</f>
        <v>1149.1089999999999</v>
      </c>
      <c r="E68" s="386">
        <f t="shared" ref="E68" si="25">IF(E$50&gt;M68,$J68,0)</f>
        <v>1149.1089999999999</v>
      </c>
      <c r="F68" s="386">
        <f t="shared" ref="F68" si="26">IF(F$50&gt;N68,$J68,0)</f>
        <v>1149.1089999999999</v>
      </c>
      <c r="G68" s="386">
        <f t="shared" ref="G68" si="27">IF(G$50&gt;O68,$J68,0)</f>
        <v>0</v>
      </c>
      <c r="H68" s="386">
        <f>IF(H$50&gt;P68,$J68,0)</f>
        <v>0</v>
      </c>
      <c r="J68" s="433">
        <f>'Cap Table'!D27</f>
        <v>1149.1089999999999</v>
      </c>
      <c r="K68" s="2021">
        <f>'OPM 1'!P32</f>
        <v>0.28999999999999998</v>
      </c>
      <c r="L68" s="1889">
        <f>L67</f>
        <v>150794.25271717418</v>
      </c>
      <c r="M68" s="1889">
        <f t="shared" ref="M68:P68" si="28">M67</f>
        <v>165900.44441963572</v>
      </c>
      <c r="N68" s="1889">
        <f t="shared" si="28"/>
        <v>165900.44441963572</v>
      </c>
      <c r="O68" s="1889">
        <f t="shared" si="28"/>
        <v>150794.25271717418</v>
      </c>
      <c r="P68" s="1889">
        <f t="shared" si="28"/>
        <v>165900.44441963572</v>
      </c>
      <c r="Q68" s="1009"/>
      <c r="R68" s="1009"/>
      <c r="S68" s="1009"/>
      <c r="T68" s="1009"/>
      <c r="U68" s="1009"/>
    </row>
    <row r="69" spans="2:21" ht="12.75" customHeight="1">
      <c r="B69" s="160" t="str">
        <f>'Cap Table'!$G6 &amp;" Stock"</f>
        <v>Common Stock</v>
      </c>
      <c r="D69" s="386">
        <f t="shared" si="13"/>
        <v>15422.682000000001</v>
      </c>
      <c r="E69" s="386">
        <f t="shared" si="14"/>
        <v>15422.682000000001</v>
      </c>
      <c r="F69" s="386">
        <f t="shared" si="14"/>
        <v>15422.682000000001</v>
      </c>
      <c r="G69" s="386">
        <f t="shared" si="14"/>
        <v>0</v>
      </c>
      <c r="H69" s="386">
        <f>IF(H$50&gt;P69,$J69,0)</f>
        <v>0</v>
      </c>
      <c r="J69" s="433">
        <f>'Cap Table'!G8</f>
        <v>15422.682000000001</v>
      </c>
      <c r="L69" s="1889">
        <f>L57</f>
        <v>146260.85293717418</v>
      </c>
      <c r="M69" s="1889">
        <f>M57</f>
        <v>161367.04463963571</v>
      </c>
      <c r="N69" s="1889">
        <f>N57</f>
        <v>161367.04463963571</v>
      </c>
      <c r="O69" s="1889">
        <f>O57</f>
        <v>146260.85293717418</v>
      </c>
      <c r="P69" s="1889">
        <f>P57</f>
        <v>161367.04463963571</v>
      </c>
    </row>
    <row r="70" spans="2:21" ht="8.1" customHeight="1">
      <c r="B70" s="5"/>
      <c r="C70" s="5"/>
      <c r="D70" s="5"/>
      <c r="E70" s="5"/>
      <c r="F70" s="5"/>
      <c r="G70" s="5"/>
      <c r="H70" s="5"/>
    </row>
    <row r="71" spans="2:21" ht="12.75" customHeight="1">
      <c r="B71" s="175" t="str">
        <f>CONCATENATE("Total ",B61)</f>
        <v>Total Shares (As Converted)</v>
      </c>
      <c r="D71" s="36">
        <f>SUM(D62:D69)</f>
        <v>131473.83500886176</v>
      </c>
      <c r="E71" s="36">
        <f>SUM(E62:E69)</f>
        <v>131473.83500886176</v>
      </c>
      <c r="F71" s="36">
        <f>SUM(F62:F69)</f>
        <v>131473.83500886176</v>
      </c>
      <c r="G71" s="36">
        <f>SUM(G62:G69)</f>
        <v>0</v>
      </c>
      <c r="H71" s="36">
        <f>SUM(H62:H69)</f>
        <v>0</v>
      </c>
    </row>
    <row r="72" spans="2:21" ht="8.1" customHeight="1"/>
    <row r="73" spans="2:21" ht="12.75" customHeight="1">
      <c r="B73" s="2" t="s">
        <v>270</v>
      </c>
      <c r="D73" s="386">
        <f>SUMPRODUCT(D65:D68,$K$65:$K$68)</f>
        <v>2608.6068300000002</v>
      </c>
      <c r="E73" s="386">
        <f>SUMPRODUCT(E65:E68,$K$65:$K$68)</f>
        <v>2608.6068300000002</v>
      </c>
      <c r="F73" s="386">
        <f>SUMPRODUCT(F65:F68,$K$65:$K$68)</f>
        <v>2608.6068300000002</v>
      </c>
      <c r="G73" s="386">
        <f>SUMPRODUCT(G65:G68,$K$65:$K$68)</f>
        <v>0</v>
      </c>
      <c r="H73" s="386">
        <f>SUMPRODUCT(H65:H68,$K$65:$K$68)</f>
        <v>0</v>
      </c>
    </row>
    <row r="74" spans="2:21" ht="8.1" customHeight="1"/>
    <row r="75" spans="2:21" ht="12.75" customHeight="1">
      <c r="B75" s="76" t="s">
        <v>427</v>
      </c>
      <c r="C75" s="105"/>
      <c r="D75" s="105"/>
      <c r="E75" s="105"/>
      <c r="F75" s="105"/>
      <c r="G75" s="105"/>
      <c r="H75" s="170"/>
    </row>
    <row r="76" spans="2:21" ht="8.1" customHeight="1"/>
    <row r="77" spans="2:21" ht="12.75" customHeight="1">
      <c r="B77" s="2" t="str">
        <f t="shared" ref="B77:B84" si="29">+B62</f>
        <v>Series A</v>
      </c>
      <c r="D77" s="245">
        <f t="shared" ref="D77:H79" si="30">D53+IF(D62&gt;0,(D$59+D$73)*(D62/D$71),0)</f>
        <v>96947.670094364206</v>
      </c>
      <c r="E77" s="245">
        <f t="shared" si="30"/>
        <v>102298.63098268052</v>
      </c>
      <c r="F77" s="245">
        <f t="shared" si="30"/>
        <v>134244.15078680663</v>
      </c>
      <c r="G77" s="245">
        <f t="shared" si="30"/>
        <v>16388.735613721714</v>
      </c>
      <c r="H77" s="245">
        <f t="shared" si="30"/>
        <v>0</v>
      </c>
    </row>
    <row r="78" spans="2:21" ht="12.75" customHeight="1">
      <c r="B78" s="2" t="str">
        <f t="shared" si="29"/>
        <v>Series B Tranche I</v>
      </c>
      <c r="D78" s="245">
        <f t="shared" si="30"/>
        <v>78151.871321825121</v>
      </c>
      <c r="E78" s="245">
        <f t="shared" si="30"/>
        <v>82465.410846650964</v>
      </c>
      <c r="F78" s="245">
        <f t="shared" si="30"/>
        <v>108217.47018557893</v>
      </c>
      <c r="G78" s="245">
        <f t="shared" si="30"/>
        <v>69490.327450955898</v>
      </c>
      <c r="H78" s="245">
        <f t="shared" si="30"/>
        <v>52978.523178455405</v>
      </c>
    </row>
    <row r="79" spans="2:21" ht="12.75" customHeight="1">
      <c r="B79" s="2" t="str">
        <f t="shared" si="29"/>
        <v>Series B Tranche II</v>
      </c>
      <c r="D79" s="245">
        <f t="shared" si="30"/>
        <v>9873.5419755072162</v>
      </c>
      <c r="E79" s="245">
        <f t="shared" si="30"/>
        <v>10418.505427322651</v>
      </c>
      <c r="F79" s="245">
        <f t="shared" si="30"/>
        <v>13671.966087165489</v>
      </c>
      <c r="G79" s="245">
        <f t="shared" si="30"/>
        <v>8620.9364451223882</v>
      </c>
      <c r="H79" s="245">
        <f t="shared" si="30"/>
        <v>6584.1789915119416</v>
      </c>
    </row>
    <row r="80" spans="2:21" ht="12.75" customHeight="1">
      <c r="B80" s="2" t="str">
        <f t="shared" si="29"/>
        <v>Options at $0.001 Strike Price</v>
      </c>
      <c r="D80" s="245">
        <f>IF(D65&gt;0,(D$59+D$73)*(D65/D$71)-(D65*$K$65),0)</f>
        <v>17.302083945422176</v>
      </c>
      <c r="E80" s="245">
        <f>IF(E65&gt;0,(E$59+E$73)*(E65/E$71)-(E65*$K$65),0)</f>
        <v>18.257612675478661</v>
      </c>
      <c r="F80" s="245">
        <f>IF(F65&gt;0,(F$59+F$73)*(F65/F$71)-(F65*$K$65),0)</f>
        <v>23.962169783358323</v>
      </c>
      <c r="G80" s="245">
        <f>IF(G65&gt;0,(G$59+G$73)*(G65/G$71)-(G65*$K$65),0)</f>
        <v>0</v>
      </c>
      <c r="H80" s="245">
        <f>IF(H65&gt;0,(H$59+H$73)*(H65/H$71)-(H65*$K$65),0)</f>
        <v>0</v>
      </c>
    </row>
    <row r="81" spans="2:12" ht="12.75" customHeight="1">
      <c r="B81" s="2" t="str">
        <f t="shared" si="29"/>
        <v>Options at $0.010 Strike Price</v>
      </c>
      <c r="D81" s="245">
        <f>IF(D66&gt;0,(D$59+D$73)*(D66/D$71)-(D66*$K$66),0)</f>
        <v>356.11801683078482</v>
      </c>
      <c r="E81" s="245">
        <f>IF(E66&gt;0,(E$59+E$73)*(E66/E$71)-(E66*$K$66),0)</f>
        <v>375.88790625565355</v>
      </c>
      <c r="F81" s="245">
        <f>IF(F66&gt;0,(F$59+F$73)*(F66/F$71)-(F66*$K$66),0)</f>
        <v>493.9151928176837</v>
      </c>
      <c r="G81" s="245">
        <f>IF(G66&gt;0,(G$59+G$73)*(G66/G$71)-(G66*$K$66),0)</f>
        <v>0</v>
      </c>
      <c r="H81" s="245">
        <f>IF(H66&gt;0,(H$59+H$73)*(H66/H$71)-(H66*$K$66),0)</f>
        <v>0</v>
      </c>
    </row>
    <row r="82" spans="2:12" ht="12.75" customHeight="1">
      <c r="B82" s="2" t="str">
        <f t="shared" si="29"/>
        <v>Expected Options Grant</v>
      </c>
      <c r="D82" s="245">
        <f>IF(D67&gt;0,(D$59+D$73)*(D67/D$71)-(D67*$K$67),0)</f>
        <v>11297.514425728094</v>
      </c>
      <c r="E82" s="245">
        <f>IF(E67&gt;0,(E$59+E$73)*(E67/E$71)-(E67*$K$67),0)</f>
        <v>12046.545561883786</v>
      </c>
      <c r="F82" s="245">
        <f>IF(F67&gt;0,(F$59+F$73)*(F67/F$71)-(F67*$K$67),0)</f>
        <v>16518.301101382363</v>
      </c>
      <c r="G82" s="245">
        <f>IF(G67&gt;0,(G$59+G$73)*(G67/G$71)-(G67*$K$67),0)</f>
        <v>0</v>
      </c>
      <c r="H82" s="245">
        <f>IF(H67&gt;0,(H$59+H$73)*(H67/H$71)-(H67*$K$67),0)</f>
        <v>0</v>
      </c>
    </row>
    <row r="83" spans="2:12" ht="12.75" customHeight="1">
      <c r="B83" s="2" t="str">
        <f t="shared" si="29"/>
        <v>Phantom Stock</v>
      </c>
      <c r="D83" s="245">
        <f>IF(D68&gt;0,(D$59+D$73)*(D68/D$71)-(D68*$K$68),0)</f>
        <v>1656.1055370440131</v>
      </c>
      <c r="E83" s="245">
        <f>IF(E68&gt;0,(E$59+E$73)*(E68/E$71)-(E68*$K$68),0)</f>
        <v>1765.9062033906612</v>
      </c>
      <c r="F83" s="245">
        <f>IF(F68&gt;0,(F$59+F$73)*(F68/F$71)-(F68*$K$68),0)</f>
        <v>2421.4219947585098</v>
      </c>
      <c r="G83" s="245">
        <f>IF(G68&gt;0,(G$59+G$73)*(G68/G$71)-(G68*$K$68),0)</f>
        <v>0</v>
      </c>
      <c r="H83" s="245">
        <f>IF(H68&gt;0,(H$59+H$73)*(H68/H$71)-(H68*$K$68),0)</f>
        <v>0</v>
      </c>
    </row>
    <row r="84" spans="2:12" ht="12.75" customHeight="1">
      <c r="B84" s="2" t="str">
        <f t="shared" si="29"/>
        <v>Common Stock</v>
      </c>
      <c r="D84" s="245">
        <f>IF(D69&gt;0,(D$59+D$73)*(D69/D$71),0)</f>
        <v>26699.876544755163</v>
      </c>
      <c r="E84" s="245">
        <f>IF(E69&gt;0,(E$59+E$73)*(E69/E$71),0)</f>
        <v>28173.558119307665</v>
      </c>
      <c r="F84" s="245">
        <f>IF(F69&gt;0,(F$59+F$73)*(F69/F$71),0)</f>
        <v>36971.515141874435</v>
      </c>
      <c r="G84" s="245">
        <f>IF(G69&gt;0,(G$59+G$73)*(G69/G$71),0)</f>
        <v>0</v>
      </c>
      <c r="H84" s="245">
        <f>IF(H69&gt;0,(H$59+H$73)*(H69/H$71),0)</f>
        <v>0</v>
      </c>
    </row>
    <row r="85" spans="2:12" ht="8.1" customHeight="1">
      <c r="B85" s="5"/>
      <c r="C85" s="5"/>
      <c r="D85" s="5"/>
      <c r="E85" s="5"/>
      <c r="F85" s="5"/>
      <c r="G85" s="5"/>
      <c r="H85" s="5"/>
      <c r="J85" s="1009"/>
      <c r="K85" s="1009"/>
      <c r="L85" s="1009"/>
    </row>
    <row r="86" spans="2:12" ht="12.75" customHeight="1">
      <c r="B86" s="175" t="str">
        <f>CONCATENATE("Total ",B46)</f>
        <v>Total Value Allocable to Existing Investors</v>
      </c>
      <c r="D86" s="1011">
        <f>SUM(D77:D84)</f>
        <v>225000.00000000003</v>
      </c>
      <c r="E86" s="1011">
        <f>SUM(E77:E84)</f>
        <v>237562.70266016736</v>
      </c>
      <c r="F86" s="1011">
        <f>SUM(F77:F84)</f>
        <v>312562.70266016747</v>
      </c>
      <c r="G86" s="1011">
        <f>SUM(G77:G84)</f>
        <v>94499.999509799993</v>
      </c>
      <c r="H86" s="1011">
        <f>SUM(H77:H84)</f>
        <v>59562.70216996735</v>
      </c>
    </row>
    <row r="87" spans="2:12" ht="8.1" customHeight="1">
      <c r="B87" s="37"/>
      <c r="D87" s="421" t="str">
        <f>IF(ABS(D86-D50)&lt;0.1,"","Check")</f>
        <v/>
      </c>
      <c r="E87" s="421" t="str">
        <f>IF(ABS(E86-E50)&lt;0.1,"","Check")</f>
        <v/>
      </c>
      <c r="F87" s="421" t="str">
        <f>IF(ABS(F86-F50)&lt;0.1,"","Check")</f>
        <v/>
      </c>
      <c r="G87" s="421" t="str">
        <f>IF(ABS(G86-G50)&lt;0.1,"","Check")</f>
        <v/>
      </c>
      <c r="H87" s="421" t="str">
        <f>IF(ABS(H86-H50)&lt;0.1,"","Check")</f>
        <v/>
      </c>
      <c r="J87" s="953" t="str">
        <f>IF(COUNTIF($D$87:$H$87,$J$88)&gt;0,$J$88,"")</f>
        <v/>
      </c>
    </row>
    <row r="88" spans="2:12" ht="12.75" customHeight="1">
      <c r="B88" s="76" t="s">
        <v>263</v>
      </c>
      <c r="C88" s="105"/>
      <c r="D88" s="105"/>
      <c r="E88" s="105"/>
      <c r="F88" s="105"/>
      <c r="G88" s="105"/>
      <c r="H88" s="170"/>
      <c r="J88" s="385" t="s">
        <v>45</v>
      </c>
    </row>
    <row r="89" spans="2:12" ht="8.1" customHeight="1"/>
    <row r="90" spans="2:12" ht="12.75" customHeight="1">
      <c r="B90" s="385" t="s">
        <v>264</v>
      </c>
      <c r="D90" s="386">
        <f>D84</f>
        <v>26699.876544755163</v>
      </c>
      <c r="E90" s="386">
        <f t="shared" ref="E90:H90" si="31">E84</f>
        <v>28173.558119307665</v>
      </c>
      <c r="F90" s="386">
        <f t="shared" si="31"/>
        <v>36971.515141874435</v>
      </c>
      <c r="G90" s="386">
        <f t="shared" si="31"/>
        <v>0</v>
      </c>
      <c r="H90" s="386">
        <f t="shared" si="31"/>
        <v>0</v>
      </c>
    </row>
    <row r="91" spans="2:12" ht="12.75" customHeight="1">
      <c r="B91" s="385" t="s">
        <v>164</v>
      </c>
      <c r="D91" s="386">
        <f>D69</f>
        <v>15422.682000000001</v>
      </c>
      <c r="E91" s="386">
        <f>E69</f>
        <v>15422.682000000001</v>
      </c>
      <c r="F91" s="386">
        <f>F69</f>
        <v>15422.682000000001</v>
      </c>
      <c r="G91" s="386">
        <f>G69</f>
        <v>0</v>
      </c>
      <c r="H91" s="386">
        <f>H69</f>
        <v>0</v>
      </c>
    </row>
    <row r="92" spans="2:12" ht="8.1" customHeight="1">
      <c r="B92" s="5"/>
      <c r="C92" s="5"/>
      <c r="D92" s="5"/>
      <c r="E92" s="5"/>
      <c r="F92" s="5"/>
      <c r="G92" s="5"/>
      <c r="H92" s="5"/>
    </row>
    <row r="93" spans="2:12" ht="12.75" customHeight="1">
      <c r="B93" s="1" t="s">
        <v>265</v>
      </c>
      <c r="C93" s="1"/>
      <c r="D93" s="176">
        <f>IFERROR(D90/D91,0)</f>
        <v>1.7312083945422179</v>
      </c>
      <c r="E93" s="176">
        <f t="shared" ref="E93:H93" si="32">IFERROR(E90/E91,0)</f>
        <v>1.8267612675478664</v>
      </c>
      <c r="F93" s="176">
        <f t="shared" si="32"/>
        <v>2.3972169783358326</v>
      </c>
      <c r="G93" s="176">
        <f t="shared" si="32"/>
        <v>0</v>
      </c>
      <c r="H93" s="176">
        <f t="shared" si="32"/>
        <v>0</v>
      </c>
    </row>
    <row r="94" spans="2:12" ht="8.1" customHeight="1"/>
    <row r="95" spans="2:12" ht="12.75" customHeight="1">
      <c r="B95" s="74" t="str">
        <f>"Discount Factor "&amp;TEXT(A211,"(0)")</f>
        <v>Discount Factor (3)</v>
      </c>
      <c r="C95" s="429">
        <f>'WACC PWERM'!$J$15</f>
        <v>0.35</v>
      </c>
      <c r="D95" s="43">
        <f>1/(1+$C95)^(D13+D27)</f>
        <v>0.65318044212301851</v>
      </c>
      <c r="E95" s="43">
        <f>1/(1+$C95)^(E13+E27)</f>
        <v>0.416592127871873</v>
      </c>
      <c r="F95" s="43">
        <f>1/(1+$C95)^(F13+F27)</f>
        <v>0.416592127871873</v>
      </c>
      <c r="G95" s="43">
        <f>1/(1+$C95)^(G13+G27)</f>
        <v>0.65318044212301851</v>
      </c>
      <c r="H95" s="43">
        <f>1/(1+$C95)^(H13+H27)</f>
        <v>0.416592127871873</v>
      </c>
    </row>
    <row r="96" spans="2:12" ht="8.1" customHeight="1">
      <c r="B96" s="5"/>
      <c r="C96" s="5"/>
      <c r="D96" s="5"/>
      <c r="E96" s="5"/>
      <c r="F96" s="5"/>
      <c r="G96" s="5"/>
      <c r="H96" s="5"/>
    </row>
    <row r="97" spans="2:11" ht="12.75" customHeight="1">
      <c r="B97" s="1" t="s">
        <v>266</v>
      </c>
      <c r="D97" s="176">
        <f>D93*D95</f>
        <v>1.130791464554167</v>
      </c>
      <c r="E97" s="176">
        <f t="shared" ref="E97:H97" si="33">E93*E95</f>
        <v>0.7610143635616855</v>
      </c>
      <c r="F97" s="176">
        <f t="shared" si="33"/>
        <v>0.99866172197550618</v>
      </c>
      <c r="G97" s="176">
        <f t="shared" si="33"/>
        <v>0</v>
      </c>
      <c r="H97" s="176">
        <f t="shared" si="33"/>
        <v>0</v>
      </c>
    </row>
    <row r="98" spans="2:11" ht="8.1" customHeight="1"/>
    <row r="99" spans="2:11" ht="12.75" customHeight="1">
      <c r="B99" s="74" t="str">
        <f>"Less: DLOM "&amp;TEXT(A212,"(0)")</f>
        <v>Less: DLOM (4)</v>
      </c>
      <c r="C99" s="429"/>
      <c r="D99" s="1722">
        <f ca="1">'PWERM DLOM'!D66</f>
        <v>0.31</v>
      </c>
      <c r="E99" s="1722">
        <f ca="1">'PWERM DLOM'!E66</f>
        <v>0.47000000000000003</v>
      </c>
      <c r="F99" s="1722">
        <f ca="1">'PWERM DLOM'!F66</f>
        <v>0.62</v>
      </c>
      <c r="G99" s="972"/>
      <c r="H99" s="972"/>
    </row>
    <row r="100" spans="2:11" ht="12.75" hidden="1" customHeight="1" outlineLevel="1">
      <c r="B100" s="74" t="s">
        <v>2834</v>
      </c>
      <c r="C100" s="429"/>
      <c r="D100" s="972"/>
      <c r="E100" s="972"/>
      <c r="F100" s="972"/>
      <c r="G100" s="972"/>
      <c r="H100" s="972"/>
      <c r="J100" s="1722"/>
    </row>
    <row r="101" spans="2:11" ht="8.1" customHeight="1" collapsed="1"/>
    <row r="102" spans="2:11" ht="12.75" customHeight="1">
      <c r="B102" s="77" t="s">
        <v>1252</v>
      </c>
      <c r="C102" s="429"/>
      <c r="D102" s="176">
        <f ca="1">IFERROR(D97*(1-D99)*(1-D100),0)</f>
        <v>0.78024611054237514</v>
      </c>
      <c r="E102" s="176">
        <f ca="1">IFERROR(E97*(1-E99)*(1-E100),0)</f>
        <v>0.40333761268769336</v>
      </c>
      <c r="F102" s="176">
        <f ca="1">IFERROR(F97*(1-F99)*(1-F100),0)</f>
        <v>0.37949145435069237</v>
      </c>
      <c r="G102" s="176">
        <f>IFERROR(G97*(1-G99)*(1-G100),0)</f>
        <v>0</v>
      </c>
      <c r="H102" s="176">
        <f>IFERROR(H97*(1-H99)*(1-H100),0)</f>
        <v>0</v>
      </c>
      <c r="J102" s="18">
        <f ca="1">1-D102/D97</f>
        <v>0.31000000000000005</v>
      </c>
      <c r="K102" s="177"/>
    </row>
    <row r="103" spans="2:11" ht="8.1" customHeight="1">
      <c r="B103" s="77"/>
      <c r="C103" s="429"/>
      <c r="D103" s="176"/>
      <c r="E103" s="176"/>
      <c r="F103" s="176"/>
      <c r="G103" s="176"/>
      <c r="H103" s="176"/>
    </row>
    <row r="104" spans="2:11" ht="12.75" customHeight="1">
      <c r="B104" s="385" t="str">
        <f>"Probability Weightings "&amp;TEXT(A213,"(0)")</f>
        <v>Probability Weightings (5)</v>
      </c>
      <c r="C104" s="554">
        <v>1</v>
      </c>
      <c r="D104" s="1946">
        <f t="array" ref="D104:H104">TRANSPOSE('Exit Probability'!I43:I47)</f>
        <v>6.5000000000000002E-2</v>
      </c>
      <c r="E104" s="1946">
        <v>8.6506874999999997E-2</v>
      </c>
      <c r="F104" s="1946">
        <v>0.54615437499999997</v>
      </c>
      <c r="G104" s="1946">
        <v>0.10500000000000001</v>
      </c>
      <c r="H104" s="1946">
        <v>0.19733875000000001</v>
      </c>
    </row>
    <row r="105" spans="2:11" ht="12.75" customHeight="1">
      <c r="B105" s="385" t="s">
        <v>642</v>
      </c>
      <c r="C105" s="554">
        <v>1</v>
      </c>
      <c r="D105" s="1723">
        <f>MROUND(D104,0.5%)</f>
        <v>6.5000000000000002E-2</v>
      </c>
      <c r="E105" s="1723">
        <f t="shared" ref="E105:G105" si="34">MROUND(E104,0.5%)</f>
        <v>8.5000000000000006E-2</v>
      </c>
      <c r="F105" s="1723">
        <f t="shared" si="34"/>
        <v>0.54500000000000004</v>
      </c>
      <c r="G105" s="1723">
        <f t="shared" si="34"/>
        <v>0.105</v>
      </c>
      <c r="H105" s="1723">
        <f>1-SUM(D105:G105)</f>
        <v>0.19999999999999996</v>
      </c>
    </row>
    <row r="106" spans="2:11" ht="8.1" customHeight="1"/>
    <row r="107" spans="2:11" ht="12.75" customHeight="1">
      <c r="B107" s="178" t="s">
        <v>267</v>
      </c>
      <c r="D107" s="901"/>
    </row>
    <row r="108" spans="2:11" ht="12.75" customHeight="1">
      <c r="B108" s="179">
        <f ca="1">SUMPRODUCT(D102:H102,D105:H105)</f>
        <v>0.29182253688483567</v>
      </c>
    </row>
    <row r="109" spans="2:11" ht="8.1" customHeight="1"/>
    <row r="110" spans="2:11" ht="12.75" customHeight="1">
      <c r="B110" s="76" t="s">
        <v>268</v>
      </c>
      <c r="C110" s="105"/>
      <c r="D110" s="105"/>
      <c r="E110" s="105"/>
      <c r="F110" s="105"/>
      <c r="G110" s="105"/>
      <c r="H110" s="170"/>
    </row>
    <row r="111" spans="2:11" ht="8.1" customHeight="1"/>
    <row r="112" spans="2:11" ht="12.75" customHeight="1">
      <c r="B112" s="1" t="s">
        <v>271</v>
      </c>
    </row>
    <row r="113" spans="2:8 16379:16379" ht="12.75" customHeight="1">
      <c r="B113" s="2" t="s">
        <v>272</v>
      </c>
      <c r="D113" s="245">
        <f>MIN(SUM(D77:D79),SUM(L53:L55))</f>
        <v>146260.85293717418</v>
      </c>
      <c r="E113" s="245">
        <f>MIN(SUM(E77:E79),SUM(M53:M55))</f>
        <v>161367.04463963571</v>
      </c>
      <c r="F113" s="245">
        <f>MIN(SUM(F77:F79),SUM(N53:N55))</f>
        <v>161367.04463963571</v>
      </c>
      <c r="G113" s="245">
        <f>MIN(SUM(G77:G79),SUM(O53:O55))</f>
        <v>94499.999509799993</v>
      </c>
      <c r="H113" s="245">
        <f>MIN(SUM(H77:H79),SUM(P53:P55))</f>
        <v>59562.70216996735</v>
      </c>
      <c r="XEY113" s="174"/>
    </row>
    <row r="114" spans="2:8 16379:16379" ht="8.1" customHeight="1"/>
    <row r="115" spans="2:8 16379:16379" ht="12.75" customHeight="1">
      <c r="B115" s="161" t="str">
        <f>$B$95</f>
        <v>Discount Factor (3)</v>
      </c>
      <c r="C115" s="429">
        <f>'WACC PWERM'!$J$11</f>
        <v>0.12</v>
      </c>
      <c r="D115" s="43">
        <f>1/(1+$C115)^(D$13+D26)</f>
        <v>0.85143374958320417</v>
      </c>
      <c r="E115" s="43">
        <f>1/(1+$C115)^(E$13+E26)</f>
        <v>0.71844123198157717</v>
      </c>
      <c r="F115" s="43">
        <f>1/(1+$C115)^(F$13+F26)</f>
        <v>0.71844123198157717</v>
      </c>
      <c r="G115" s="43">
        <f>1/(1+$C115)^(G$13+G26)</f>
        <v>0.85143374958320417</v>
      </c>
      <c r="H115" s="43">
        <f>1/(1+$C115)^(H$13+H26)</f>
        <v>0.71844123198157717</v>
      </c>
    </row>
    <row r="116" spans="2:8 16379:16379" ht="8.1" customHeight="1"/>
    <row r="117" spans="2:8 16379:16379" ht="12.75" customHeight="1">
      <c r="B117" s="2" t="s">
        <v>96</v>
      </c>
      <c r="D117" s="386">
        <f>D113*D115</f>
        <v>124531.4264335358</v>
      </c>
      <c r="E117" s="386">
        <f t="shared" ref="E117:H117" si="35">E113*E115</f>
        <v>115932.73835212603</v>
      </c>
      <c r="F117" s="386">
        <f t="shared" si="35"/>
        <v>115932.73835212603</v>
      </c>
      <c r="G117" s="386">
        <f t="shared" si="35"/>
        <v>80460.488918239964</v>
      </c>
      <c r="H117" s="386">
        <f t="shared" si="35"/>
        <v>42792.301127143102</v>
      </c>
    </row>
    <row r="118" spans="2:8 16379:16379" ht="8.1" customHeight="1"/>
    <row r="119" spans="2:8 16379:16379" ht="12.75" customHeight="1">
      <c r="B119" s="2" t="s">
        <v>273</v>
      </c>
      <c r="D119" s="386">
        <f>D117*D$105</f>
        <v>8094.5427181798277</v>
      </c>
      <c r="E119" s="386">
        <f>E117*E$105</f>
        <v>9854.2827599307129</v>
      </c>
      <c r="F119" s="386">
        <f>F117*F$105</f>
        <v>63183.342401908696</v>
      </c>
      <c r="G119" s="386">
        <f>G117*G$105</f>
        <v>8448.3513364151968</v>
      </c>
      <c r="H119" s="386">
        <f>H117*H$105</f>
        <v>8558.4602254286183</v>
      </c>
    </row>
    <row r="120" spans="2:8 16379:16379" ht="12.75" customHeight="1">
      <c r="B120" s="2141">
        <f>SUM(D119:H119)</f>
        <v>98138.979441863048</v>
      </c>
    </row>
    <row r="121" spans="2:8 16379:16379" ht="8.1" customHeight="1"/>
    <row r="122" spans="2:8 16379:16379" ht="8.1" customHeight="1"/>
    <row r="123" spans="2:8 16379:16379" ht="12.75" customHeight="1">
      <c r="B123" s="1" t="s">
        <v>274</v>
      </c>
    </row>
    <row r="124" spans="2:8 16379:16379" ht="12.75" customHeight="1">
      <c r="B124" s="2" t="s">
        <v>272</v>
      </c>
      <c r="D124" s="245">
        <f>SUM(D77:D79)-D113</f>
        <v>38712.230454522389</v>
      </c>
      <c r="E124" s="245">
        <f>SUM(E77:E79)-E113</f>
        <v>33815.502617018414</v>
      </c>
      <c r="F124" s="245">
        <f>SUM(F77:F79)-F113</f>
        <v>94766.542419915349</v>
      </c>
      <c r="G124" s="245">
        <f>SUM(G77:G79)-G113</f>
        <v>0</v>
      </c>
      <c r="H124" s="245">
        <f>SUM(H77:H79)-H113</f>
        <v>0</v>
      </c>
    </row>
    <row r="125" spans="2:8 16379:16379" ht="8.1" customHeight="1"/>
    <row r="126" spans="2:8 16379:16379" ht="12.75" customHeight="1">
      <c r="B126" s="160" t="str">
        <f>B115</f>
        <v>Discount Factor (3)</v>
      </c>
      <c r="C126" s="429">
        <f>'WACC PWERM'!$J$13</f>
        <v>0.25</v>
      </c>
      <c r="D126" s="43">
        <f>1/(1+$C126)^(D$13+D26)</f>
        <v>0.72856353972829491</v>
      </c>
      <c r="E126" s="43">
        <f>1/(1+$C126)^(E$13+E26)</f>
        <v>0.52147701094067711</v>
      </c>
      <c r="F126" s="43">
        <f>1/(1+$C126)^(F$13+F26)</f>
        <v>0.52147701094067711</v>
      </c>
      <c r="G126" s="43">
        <f>1/(1+$C126)^(G$13+G26)</f>
        <v>0.72856353972829491</v>
      </c>
      <c r="H126" s="43">
        <f>1/(1+$C126)^(H$13+H26)</f>
        <v>0.52147701094067711</v>
      </c>
    </row>
    <row r="127" spans="2:8 16379:16379" ht="8.1" customHeight="1"/>
    <row r="128" spans="2:8 16379:16379" ht="12.75" customHeight="1">
      <c r="B128" s="2" t="s">
        <v>96</v>
      </c>
      <c r="D128" s="386">
        <f>D124*D126</f>
        <v>28204.31965072433</v>
      </c>
      <c r="E128" s="386">
        <f t="shared" ref="E128:H128" si="36">E124*E126</f>
        <v>17634.007228179406</v>
      </c>
      <c r="F128" s="386">
        <f t="shared" si="36"/>
        <v>49418.573278320335</v>
      </c>
      <c r="G128" s="386">
        <f t="shared" si="36"/>
        <v>0</v>
      </c>
      <c r="H128" s="386">
        <f t="shared" si="36"/>
        <v>0</v>
      </c>
    </row>
    <row r="129" spans="2:8" ht="8.1" customHeight="1"/>
    <row r="130" spans="2:8" ht="12.75" customHeight="1">
      <c r="B130" s="2" t="s">
        <v>273</v>
      </c>
      <c r="D130" s="386">
        <f>D128*D$105</f>
        <v>1833.2807772970816</v>
      </c>
      <c r="E130" s="386">
        <f>E128*E$105</f>
        <v>1498.8906143952495</v>
      </c>
      <c r="F130" s="386">
        <f>F128*F$105</f>
        <v>26933.122436684585</v>
      </c>
      <c r="G130" s="386">
        <f>G128*G$105</f>
        <v>0</v>
      </c>
      <c r="H130" s="386">
        <f>H128*H$105</f>
        <v>0</v>
      </c>
    </row>
    <row r="131" spans="2:8" ht="12.75" customHeight="1">
      <c r="B131" s="2141">
        <f>SUM(D130:H130)</f>
        <v>30265.293828376918</v>
      </c>
    </row>
    <row r="132" spans="2:8" ht="8.1" customHeight="1"/>
    <row r="133" spans="2:8" ht="12.75" customHeight="1">
      <c r="B133" s="76" t="s">
        <v>3352</v>
      </c>
      <c r="C133" s="105"/>
      <c r="D133" s="105"/>
      <c r="E133" s="105"/>
      <c r="F133" s="105"/>
      <c r="G133" s="105"/>
      <c r="H133" s="170"/>
    </row>
    <row r="134" spans="2:8" ht="8.1" customHeight="1"/>
    <row r="135" spans="2:8" ht="12.75" customHeight="1">
      <c r="B135" s="1" t="s">
        <v>275</v>
      </c>
    </row>
    <row r="136" spans="2:8" ht="12.75" customHeight="1">
      <c r="B136" s="2" t="s">
        <v>272</v>
      </c>
      <c r="D136" s="245">
        <f>MIN(D77,L53)</f>
        <v>68149.589041095896</v>
      </c>
      <c r="E136" s="245">
        <f t="shared" ref="E136:H136" si="37">MIN(E77,M53)</f>
        <v>74863.452054794529</v>
      </c>
      <c r="F136" s="245">
        <f t="shared" si="37"/>
        <v>74863.452054794529</v>
      </c>
      <c r="G136" s="245">
        <f t="shared" si="37"/>
        <v>16388.735613721714</v>
      </c>
      <c r="H136" s="245">
        <f t="shared" si="37"/>
        <v>0</v>
      </c>
    </row>
    <row r="137" spans="2:8" ht="8.1" customHeight="1"/>
    <row r="138" spans="2:8" ht="12.75" customHeight="1">
      <c r="B138" s="161" t="str">
        <f>$B$95</f>
        <v>Discount Factor (3)</v>
      </c>
      <c r="C138" s="327">
        <f>C115</f>
        <v>0.12</v>
      </c>
      <c r="D138" s="43">
        <f>D115</f>
        <v>0.85143374958320417</v>
      </c>
      <c r="E138" s="43">
        <f t="shared" ref="E138:H138" si="38">E115</f>
        <v>0.71844123198157717</v>
      </c>
      <c r="F138" s="43">
        <f t="shared" si="38"/>
        <v>0.71844123198157717</v>
      </c>
      <c r="G138" s="43">
        <f t="shared" si="38"/>
        <v>0.85143374958320417</v>
      </c>
      <c r="H138" s="43">
        <f t="shared" si="38"/>
        <v>0.71844123198157717</v>
      </c>
    </row>
    <row r="139" spans="2:8" ht="8.1" customHeight="1">
      <c r="B139" s="2"/>
    </row>
    <row r="140" spans="2:8" ht="12.75" customHeight="1">
      <c r="B140" s="2" t="s">
        <v>96</v>
      </c>
      <c r="D140" s="386">
        <f>D136*D138</f>
        <v>58024.860129814719</v>
      </c>
      <c r="E140" s="386">
        <f t="shared" ref="E140:H140" si="39">E136*E138</f>
        <v>53784.990724640316</v>
      </c>
      <c r="F140" s="386">
        <f t="shared" si="39"/>
        <v>53784.990724640316</v>
      </c>
      <c r="G140" s="386">
        <f t="shared" si="39"/>
        <v>13953.922614518873</v>
      </c>
      <c r="H140" s="386">
        <f t="shared" si="39"/>
        <v>0</v>
      </c>
    </row>
    <row r="141" spans="2:8" ht="8.1" customHeight="1"/>
    <row r="142" spans="2:8" ht="12.75" customHeight="1">
      <c r="B142" s="2" t="s">
        <v>273</v>
      </c>
      <c r="D142" s="386">
        <f>D140*D$105</f>
        <v>3771.6159084379569</v>
      </c>
      <c r="E142" s="386">
        <f>E140*E$105</f>
        <v>4571.7242115944273</v>
      </c>
      <c r="F142" s="386">
        <f>F140*F$105</f>
        <v>29312.819944928975</v>
      </c>
      <c r="G142" s="386">
        <f>G140*G$105</f>
        <v>1465.1618745244816</v>
      </c>
      <c r="H142" s="386">
        <f>H140*H$105</f>
        <v>0</v>
      </c>
    </row>
    <row r="143" spans="2:8" ht="12.75" customHeight="1">
      <c r="B143" s="2141">
        <f>SUM(D142:H142)</f>
        <v>39121.321939485846</v>
      </c>
    </row>
    <row r="144" spans="2:8" ht="12.75" customHeight="1"/>
    <row r="145" spans="2:8" ht="12.75" customHeight="1">
      <c r="B145" s="1" t="s">
        <v>276</v>
      </c>
    </row>
    <row r="146" spans="2:8" ht="12.75" customHeight="1">
      <c r="B146" s="2" t="s">
        <v>272</v>
      </c>
      <c r="D146" s="245">
        <f>D77-D136</f>
        <v>28798.08105326831</v>
      </c>
      <c r="E146" s="245">
        <f t="shared" ref="E146:H146" si="40">E77-E136</f>
        <v>27435.178927885994</v>
      </c>
      <c r="F146" s="245">
        <f t="shared" si="40"/>
        <v>59380.698732012097</v>
      </c>
      <c r="G146" s="245">
        <f t="shared" si="40"/>
        <v>0</v>
      </c>
      <c r="H146" s="245">
        <f t="shared" si="40"/>
        <v>0</v>
      </c>
    </row>
    <row r="147" spans="2:8" ht="8.1" customHeight="1"/>
    <row r="148" spans="2:8" ht="12.75" customHeight="1">
      <c r="B148" s="160" t="str">
        <f>B138</f>
        <v>Discount Factor (3)</v>
      </c>
      <c r="C148" s="327">
        <f>C126</f>
        <v>0.25</v>
      </c>
      <c r="D148" s="43">
        <f>D126</f>
        <v>0.72856353972829491</v>
      </c>
      <c r="E148" s="43">
        <f t="shared" ref="E148:H148" si="41">E126</f>
        <v>0.52147701094067711</v>
      </c>
      <c r="F148" s="43">
        <f t="shared" si="41"/>
        <v>0.52147701094067711</v>
      </c>
      <c r="G148" s="43">
        <f t="shared" si="41"/>
        <v>0.72856353972829491</v>
      </c>
      <c r="H148" s="43">
        <f t="shared" si="41"/>
        <v>0.52147701094067711</v>
      </c>
    </row>
    <row r="149" spans="2:8" ht="8.1" customHeight="1"/>
    <row r="150" spans="2:8" ht="12.75" customHeight="1">
      <c r="B150" s="2" t="s">
        <v>96</v>
      </c>
      <c r="D150" s="386">
        <f>D146*D148</f>
        <v>20981.231869551502</v>
      </c>
      <c r="E150" s="386">
        <f t="shared" ref="E150:H150" si="42">E146*E148</f>
        <v>14306.815101936638</v>
      </c>
      <c r="F150" s="386">
        <f t="shared" si="42"/>
        <v>30965.669282338524</v>
      </c>
      <c r="G150" s="386">
        <f t="shared" si="42"/>
        <v>0</v>
      </c>
      <c r="H150" s="386">
        <f t="shared" si="42"/>
        <v>0</v>
      </c>
    </row>
    <row r="151" spans="2:8" ht="12.75" customHeight="1"/>
    <row r="152" spans="2:8" ht="12.75" customHeight="1">
      <c r="B152" s="2" t="s">
        <v>273</v>
      </c>
      <c r="D152" s="386">
        <f>D150*D$105</f>
        <v>1363.7800715208477</v>
      </c>
      <c r="E152" s="386">
        <f>E150*E$105</f>
        <v>1216.0792836646142</v>
      </c>
      <c r="F152" s="386">
        <f>F150*F$105</f>
        <v>16876.289758874496</v>
      </c>
      <c r="G152" s="386">
        <f>G150*G$105</f>
        <v>0</v>
      </c>
      <c r="H152" s="386">
        <f>H150*H$105</f>
        <v>0</v>
      </c>
    </row>
    <row r="153" spans="2:8" ht="12.75" customHeight="1">
      <c r="B153" s="2141">
        <f>SUM(D152:H152)</f>
        <v>19456.149114059957</v>
      </c>
      <c r="D153" s="386"/>
      <c r="E153" s="386"/>
      <c r="F153" s="386"/>
      <c r="G153" s="386"/>
      <c r="H153" s="386"/>
    </row>
    <row r="154" spans="2:8" ht="12.75" customHeight="1"/>
    <row r="155" spans="2:8" ht="12.75" customHeight="1">
      <c r="B155" s="1724"/>
      <c r="C155" s="1725"/>
      <c r="D155" s="1726" t="s">
        <v>166</v>
      </c>
      <c r="E155" s="1727" t="s">
        <v>164</v>
      </c>
      <c r="F155" s="1728" t="s">
        <v>277</v>
      </c>
    </row>
    <row r="156" spans="2:8" ht="12.75" customHeight="1">
      <c r="B156" s="1729" t="s">
        <v>278</v>
      </c>
      <c r="C156" s="107"/>
      <c r="D156" s="382">
        <f>B153+B143</f>
        <v>58577.4710535458</v>
      </c>
      <c r="E156" s="1730">
        <f>J62</f>
        <v>56000</v>
      </c>
      <c r="F156" s="909">
        <f>D156/E156</f>
        <v>1.0460262688133179</v>
      </c>
      <c r="G156" s="441"/>
    </row>
    <row r="157" spans="2:8" ht="8.1" customHeight="1"/>
    <row r="158" spans="2:8" ht="8.1" customHeight="1"/>
    <row r="159" spans="2:8" ht="12.75" customHeight="1">
      <c r="B159" s="76" t="s">
        <v>2303</v>
      </c>
      <c r="C159" s="105"/>
      <c r="D159" s="105"/>
      <c r="E159" s="105"/>
      <c r="F159" s="105"/>
      <c r="G159" s="105"/>
      <c r="H159" s="170"/>
    </row>
    <row r="160" spans="2:8" ht="8.1" customHeight="1"/>
    <row r="161" spans="2:8" ht="12.75" customHeight="1">
      <c r="B161" s="1" t="s">
        <v>275</v>
      </c>
    </row>
    <row r="162" spans="2:8" ht="12.75" customHeight="1">
      <c r="B162" s="2" t="s">
        <v>272</v>
      </c>
      <c r="D162" s="245">
        <f>MIN(D78,L54)</f>
        <v>69490.327450955898</v>
      </c>
      <c r="E162" s="245">
        <f>MIN(E78,M54)</f>
        <v>76941.314242227658</v>
      </c>
      <c r="F162" s="245">
        <f>MIN(F78,N54)</f>
        <v>76941.314242227658</v>
      </c>
      <c r="G162" s="245">
        <f>MIN(G78,O54)</f>
        <v>69490.327450955898</v>
      </c>
      <c r="H162" s="245">
        <f>MIN(H78,P54)</f>
        <v>52978.523178455405</v>
      </c>
    </row>
    <row r="163" spans="2:8" ht="8.1" customHeight="1"/>
    <row r="164" spans="2:8" ht="12.75" customHeight="1">
      <c r="B164" s="161" t="str">
        <f>$B$95</f>
        <v>Discount Factor (3)</v>
      </c>
      <c r="C164" s="327">
        <f>C115</f>
        <v>0.12</v>
      </c>
      <c r="D164" s="43">
        <f>+D115</f>
        <v>0.85143374958320417</v>
      </c>
      <c r="E164" s="43">
        <f>+E115</f>
        <v>0.71844123198157717</v>
      </c>
      <c r="F164" s="43">
        <f>+F115</f>
        <v>0.71844123198157717</v>
      </c>
      <c r="G164" s="43">
        <f>+G115</f>
        <v>0.85143374958320417</v>
      </c>
      <c r="H164" s="43">
        <f>+H115</f>
        <v>0.71844123198157717</v>
      </c>
    </row>
    <row r="165" spans="2:8" ht="8.1" customHeight="1">
      <c r="B165" s="2"/>
    </row>
    <row r="166" spans="2:8" ht="12.75" customHeight="1">
      <c r="B166" s="2" t="s">
        <v>96</v>
      </c>
      <c r="D166" s="386">
        <f>D162*D164</f>
        <v>59166.410061332041</v>
      </c>
      <c r="E166" s="386">
        <f t="shared" ref="E166:H166" si="43">E162*E164</f>
        <v>55277.812594467709</v>
      </c>
      <c r="F166" s="386">
        <f t="shared" si="43"/>
        <v>55277.812594467709</v>
      </c>
      <c r="G166" s="386">
        <f t="shared" si="43"/>
        <v>59166.410061332041</v>
      </c>
      <c r="H166" s="386">
        <f t="shared" si="43"/>
        <v>38061.955460894045</v>
      </c>
    </row>
    <row r="167" spans="2:8" ht="8.1" customHeight="1"/>
    <row r="168" spans="2:8" ht="12.75" customHeight="1">
      <c r="B168" s="2" t="s">
        <v>273</v>
      </c>
      <c r="D168" s="386">
        <f>D166*D$105</f>
        <v>3845.8166539865829</v>
      </c>
      <c r="E168" s="386">
        <f>E166*E$105</f>
        <v>4698.6140705297557</v>
      </c>
      <c r="F168" s="386">
        <f>F166*F$105</f>
        <v>30126.407863984903</v>
      </c>
      <c r="G168" s="386">
        <f>G166*G$105</f>
        <v>6212.4730564398642</v>
      </c>
      <c r="H168" s="386">
        <f>H166*H$105</f>
        <v>7612.3910921788074</v>
      </c>
    </row>
    <row r="169" spans="2:8" ht="12.75" customHeight="1">
      <c r="B169" s="2141">
        <f>SUM(D168:H168)</f>
        <v>52495.702737119907</v>
      </c>
    </row>
    <row r="170" spans="2:8" ht="8.1" customHeight="1"/>
    <row r="171" spans="2:8" ht="8.1" customHeight="1"/>
    <row r="172" spans="2:8" ht="12.75" customHeight="1">
      <c r="B172" s="1" t="s">
        <v>276</v>
      </c>
    </row>
    <row r="173" spans="2:8" ht="12.75" customHeight="1">
      <c r="B173" s="2" t="s">
        <v>272</v>
      </c>
      <c r="D173" s="245">
        <f>D78-D162</f>
        <v>8661.5438708692236</v>
      </c>
      <c r="E173" s="245">
        <f>E78-E162</f>
        <v>5524.0966044233064</v>
      </c>
      <c r="F173" s="245">
        <f>F78-F162</f>
        <v>31276.155943351274</v>
      </c>
      <c r="G173" s="245">
        <f>G78-G162</f>
        <v>0</v>
      </c>
      <c r="H173" s="245">
        <f>H78-H162</f>
        <v>0</v>
      </c>
    </row>
    <row r="174" spans="2:8" ht="8.1" customHeight="1"/>
    <row r="175" spans="2:8" ht="12.75" customHeight="1">
      <c r="B175" s="160" t="str">
        <f>B164</f>
        <v>Discount Factor (3)</v>
      </c>
      <c r="C175" s="327">
        <f>C126</f>
        <v>0.25</v>
      </c>
      <c r="D175" s="43">
        <f>+D126</f>
        <v>0.72856353972829491</v>
      </c>
      <c r="E175" s="43">
        <f>+E126</f>
        <v>0.52147701094067711</v>
      </c>
      <c r="F175" s="43">
        <f>+F126</f>
        <v>0.52147701094067711</v>
      </c>
      <c r="G175" s="43">
        <f>+G126</f>
        <v>0.72856353972829491</v>
      </c>
      <c r="H175" s="43">
        <f>+H126</f>
        <v>0.52147701094067711</v>
      </c>
    </row>
    <row r="176" spans="2:8" ht="8.1" customHeight="1"/>
    <row r="177" spans="2:9" ht="12.75" customHeight="1">
      <c r="B177" s="2" t="s">
        <v>96</v>
      </c>
      <c r="D177" s="386">
        <f>D173*D175</f>
        <v>6310.4850620723992</v>
      </c>
      <c r="E177" s="386">
        <f t="shared" ref="E177:H177" si="44">E173*E175</f>
        <v>2880.6893854222099</v>
      </c>
      <c r="F177" s="386">
        <f t="shared" si="44"/>
        <v>16309.796315053316</v>
      </c>
      <c r="G177" s="386">
        <f t="shared" si="44"/>
        <v>0</v>
      </c>
      <c r="H177" s="386">
        <f t="shared" si="44"/>
        <v>0</v>
      </c>
    </row>
    <row r="178" spans="2:9" ht="8.1" customHeight="1"/>
    <row r="179" spans="2:9" ht="12.75" customHeight="1">
      <c r="B179" s="2" t="s">
        <v>273</v>
      </c>
      <c r="D179" s="386">
        <f>D177*D$105</f>
        <v>410.18152903470593</v>
      </c>
      <c r="E179" s="386">
        <f>E177*E$105</f>
        <v>244.85859776088785</v>
      </c>
      <c r="F179" s="386">
        <f>F177*F$105</f>
        <v>8888.8389917040586</v>
      </c>
      <c r="G179" s="386">
        <f>G177*G$105</f>
        <v>0</v>
      </c>
      <c r="H179" s="386">
        <f>H177*H$105</f>
        <v>0</v>
      </c>
    </row>
    <row r="180" spans="2:9" ht="12.75" customHeight="1">
      <c r="B180" s="2141">
        <f>SUM(D179:H179)</f>
        <v>9543.8791184996517</v>
      </c>
      <c r="D180" s="386"/>
      <c r="E180" s="386"/>
      <c r="F180" s="386"/>
      <c r="G180" s="386"/>
      <c r="H180" s="386"/>
    </row>
    <row r="181" spans="2:9" ht="8.1" customHeight="1"/>
    <row r="182" spans="2:9" ht="12.75" customHeight="1">
      <c r="B182" s="1724"/>
      <c r="C182" s="1725"/>
      <c r="D182" s="1726" t="s">
        <v>166</v>
      </c>
      <c r="E182" s="1727" t="s">
        <v>164</v>
      </c>
      <c r="F182" s="1728" t="s">
        <v>277</v>
      </c>
    </row>
    <row r="183" spans="2:9" ht="12.75" customHeight="1">
      <c r="B183" s="1729" t="s">
        <v>278</v>
      </c>
      <c r="C183" s="107"/>
      <c r="D183" s="382">
        <f>B180+B169</f>
        <v>62039.581855619559</v>
      </c>
      <c r="E183" s="1730">
        <f>'Cap Table'!E8</f>
        <v>45142.960008861766</v>
      </c>
      <c r="F183" s="909">
        <f>D183/E183</f>
        <v>1.3742914032097344</v>
      </c>
      <c r="G183" s="441"/>
      <c r="I183" s="74"/>
    </row>
    <row r="184" spans="2:9" ht="8.1" customHeight="1">
      <c r="I184" s="74"/>
    </row>
    <row r="185" spans="2:9" ht="8.1" customHeight="1">
      <c r="I185" s="74"/>
    </row>
    <row r="186" spans="2:9" ht="12.75" customHeight="1">
      <c r="B186" s="76" t="s">
        <v>178</v>
      </c>
      <c r="C186" s="105"/>
      <c r="D186" s="105"/>
      <c r="E186" s="105"/>
      <c r="F186" s="105"/>
      <c r="G186" s="105"/>
      <c r="H186" s="170"/>
      <c r="I186" s="181"/>
    </row>
    <row r="187" spans="2:9" ht="8.1" customHeight="1">
      <c r="I187" s="74"/>
    </row>
    <row r="188" spans="2:9" ht="12.75" customHeight="1">
      <c r="B188" s="2" t="s">
        <v>272</v>
      </c>
      <c r="D188" s="245">
        <f>D46</f>
        <v>225000</v>
      </c>
      <c r="E188" s="245">
        <f>E46</f>
        <v>237562.70266016736</v>
      </c>
      <c r="F188" s="245">
        <f>F46</f>
        <v>312562.70266016736</v>
      </c>
      <c r="G188" s="245">
        <f>G46</f>
        <v>94499.999509799993</v>
      </c>
      <c r="H188" s="245">
        <f>H46</f>
        <v>59562.70216996735</v>
      </c>
    </row>
    <row r="189" spans="2:9" ht="8.1" customHeight="1"/>
    <row r="190" spans="2:9" ht="12.75" customHeight="1">
      <c r="B190" s="161" t="str">
        <f>$B$95</f>
        <v>Discount Factor (3)</v>
      </c>
      <c r="C190" s="429">
        <f>'WACC PWERM'!$J$23</f>
        <v>0.17</v>
      </c>
      <c r="D190" s="43">
        <f>1/(1+$C190)^(D$13+D28)</f>
        <v>0.80026186059277815</v>
      </c>
      <c r="E190" s="43">
        <f>1/(1+$C190)^(E$13+E28)</f>
        <v>0.63247990558032574</v>
      </c>
      <c r="F190" s="43">
        <f>1/(1+$C190)^(F$13+F28)</f>
        <v>0.63247990558032574</v>
      </c>
      <c r="G190" s="43">
        <f>1/(1+$C190)^(G$13+G28)</f>
        <v>0.80026186059277815</v>
      </c>
      <c r="H190" s="43">
        <f>1/(1+$C190)^(H$13+H28)</f>
        <v>0.63247990558032574</v>
      </c>
    </row>
    <row r="191" spans="2:9" ht="8.1" customHeight="1"/>
    <row r="192" spans="2:9" ht="12.75" customHeight="1">
      <c r="B192" s="2" t="s">
        <v>96</v>
      </c>
      <c r="D192" s="386">
        <f>D188*D190</f>
        <v>180058.91863337508</v>
      </c>
      <c r="E192" s="386">
        <f t="shared" ref="E192:H192" si="45">E188*E190</f>
        <v>150253.63574790966</v>
      </c>
      <c r="F192" s="386">
        <f t="shared" si="45"/>
        <v>197689.62866643409</v>
      </c>
      <c r="G192" s="386">
        <f t="shared" si="45"/>
        <v>75624.745433729171</v>
      </c>
      <c r="H192" s="386">
        <f t="shared" si="45"/>
        <v>37672.212244570015</v>
      </c>
    </row>
    <row r="193" spans="2:8" ht="8.1" customHeight="1"/>
    <row r="194" spans="2:8" ht="12.75" customHeight="1">
      <c r="B194" s="2" t="s">
        <v>273</v>
      </c>
      <c r="D194" s="386">
        <f>D192*D$105</f>
        <v>11703.829711169381</v>
      </c>
      <c r="E194" s="386">
        <f>E192*E$105</f>
        <v>12771.559038572323</v>
      </c>
      <c r="F194" s="386">
        <f>F192*F$105</f>
        <v>107740.84762320659</v>
      </c>
      <c r="G194" s="386">
        <f>G192*G$105</f>
        <v>7940.5982705415627</v>
      </c>
      <c r="H194" s="386">
        <f>H192*H$105</f>
        <v>7534.442448914001</v>
      </c>
    </row>
    <row r="195" spans="2:8" ht="12.75" customHeight="1">
      <c r="B195" s="2141">
        <f>ROUND(SUM(D194:H194),-1)</f>
        <v>147690</v>
      </c>
    </row>
    <row r="196" spans="2:8" ht="12.75" customHeight="1"/>
    <row r="197" spans="2:8" ht="12.75" hidden="1" customHeight="1" outlineLevel="1">
      <c r="B197" s="76" t="s">
        <v>2304</v>
      </c>
      <c r="C197" s="105"/>
      <c r="D197" s="170"/>
    </row>
    <row r="198" spans="2:8" ht="12.75" hidden="1" customHeight="1" outlineLevel="1"/>
    <row r="199" spans="2:8" ht="12.75" hidden="1" customHeight="1" outlineLevel="1">
      <c r="B199" s="2" t="s">
        <v>272</v>
      </c>
      <c r="D199" s="245">
        <f>D188-D79</f>
        <v>215126.45802449278</v>
      </c>
      <c r="E199" s="245">
        <f>E188-E79</f>
        <v>227144.19723284472</v>
      </c>
      <c r="F199" s="245">
        <f>F188-F79</f>
        <v>298890.73657300189</v>
      </c>
      <c r="G199" s="245">
        <f>G188-G79</f>
        <v>85879.063064677612</v>
      </c>
      <c r="H199" s="245">
        <f>H188-H79</f>
        <v>52978.523178455405</v>
      </c>
    </row>
    <row r="200" spans="2:8" ht="12.75" hidden="1" customHeight="1" outlineLevel="1">
      <c r="D200" s="74"/>
      <c r="E200" s="74"/>
    </row>
    <row r="201" spans="2:8" ht="12.75" hidden="1" customHeight="1" outlineLevel="1">
      <c r="B201" s="161" t="s">
        <v>1160</v>
      </c>
      <c r="C201" s="1631">
        <f>C190</f>
        <v>0.17</v>
      </c>
      <c r="D201" s="43">
        <f>D190</f>
        <v>0.80026186059277815</v>
      </c>
      <c r="E201" s="43">
        <f t="shared" ref="E201:H201" si="46">E190</f>
        <v>0.63247990558032574</v>
      </c>
      <c r="F201" s="43">
        <f t="shared" si="46"/>
        <v>0.63247990558032574</v>
      </c>
      <c r="G201" s="43">
        <f t="shared" si="46"/>
        <v>0.80026186059277815</v>
      </c>
      <c r="H201" s="43">
        <f t="shared" si="46"/>
        <v>0.63247990558032574</v>
      </c>
    </row>
    <row r="202" spans="2:8" ht="12.75" hidden="1" customHeight="1" outlineLevel="1"/>
    <row r="203" spans="2:8" ht="12.75" hidden="1" customHeight="1" outlineLevel="1">
      <c r="B203" s="2" t="s">
        <v>96</v>
      </c>
      <c r="D203" s="386">
        <f>D199*D201</f>
        <v>172157.49956141479</v>
      </c>
      <c r="E203" s="386">
        <f t="shared" ref="E203:H203" si="47">E199*E201</f>
        <v>143664.14041894852</v>
      </c>
      <c r="F203" s="386">
        <f t="shared" si="47"/>
        <v>189042.38484652626</v>
      </c>
      <c r="G203" s="386">
        <f t="shared" si="47"/>
        <v>68725.738794103439</v>
      </c>
      <c r="H203" s="386">
        <f t="shared" si="47"/>
        <v>33507.85133769457</v>
      </c>
    </row>
    <row r="204" spans="2:8" ht="12.75" hidden="1" customHeight="1" outlineLevel="1">
      <c r="B204" s="2"/>
      <c r="D204" s="386"/>
      <c r="E204" s="386"/>
      <c r="F204" s="386"/>
      <c r="G204" s="386"/>
      <c r="H204" s="386"/>
    </row>
    <row r="205" spans="2:8" ht="12.75" hidden="1" customHeight="1" outlineLevel="1">
      <c r="B205" s="2" t="s">
        <v>273</v>
      </c>
      <c r="D205" s="386">
        <f>D203*D$105</f>
        <v>11190.237471491962</v>
      </c>
      <c r="E205" s="386">
        <f t="shared" ref="E205:H205" si="48">E203*E$105</f>
        <v>12211.451935610625</v>
      </c>
      <c r="F205" s="386">
        <f t="shared" si="48"/>
        <v>103028.09974135681</v>
      </c>
      <c r="G205" s="386">
        <f t="shared" si="48"/>
        <v>7216.2025733808605</v>
      </c>
      <c r="H205" s="386">
        <f t="shared" si="48"/>
        <v>6701.570267538913</v>
      </c>
    </row>
    <row r="206" spans="2:8" ht="12.75" hidden="1" customHeight="1" outlineLevel="1">
      <c r="B206" s="1731">
        <f>ROUND(SUM(D205:H205),-1)</f>
        <v>140350</v>
      </c>
      <c r="D206" s="386"/>
      <c r="E206" s="386"/>
      <c r="F206" s="386"/>
      <c r="G206" s="386"/>
      <c r="H206" s="386"/>
    </row>
    <row r="207" spans="2:8" ht="12.75" hidden="1" customHeight="1" outlineLevel="1">
      <c r="B207" s="2"/>
      <c r="D207" s="386"/>
      <c r="E207" s="386"/>
    </row>
    <row r="208" spans="2:8" s="74" customFormat="1" ht="12.75" customHeight="1" collapsed="1">
      <c r="B208" s="903" t="s">
        <v>21</v>
      </c>
    </row>
    <row r="209" spans="1:10" s="74" customFormat="1" ht="25.5" customHeight="1">
      <c r="A209" s="2124">
        <v>1</v>
      </c>
      <c r="B209" s="2291" t="s">
        <v>2876</v>
      </c>
      <c r="C209" s="2291"/>
      <c r="D209" s="2291"/>
      <c r="E209" s="2291"/>
      <c r="F209" s="2291"/>
      <c r="G209" s="2291"/>
      <c r="H209" s="2291"/>
    </row>
    <row r="210" spans="1:10" ht="25.5" customHeight="1">
      <c r="A210" s="2124">
        <f>A209+1</f>
        <v>2</v>
      </c>
      <c r="B210" s="2292" t="s">
        <v>2536</v>
      </c>
      <c r="C210" s="2292"/>
      <c r="D210" s="2292"/>
      <c r="E210" s="2292"/>
      <c r="F210" s="2292"/>
      <c r="G210" s="2292"/>
      <c r="H210" s="2292"/>
    </row>
    <row r="211" spans="1:10" s="74" customFormat="1">
      <c r="A211" s="2124">
        <f>A210+1</f>
        <v>3</v>
      </c>
      <c r="B211" s="2144" t="str">
        <f>"Refer to "&amp;'WACC PWERM'!B3&amp;" for the discount rate calculations."</f>
        <v>Refer to Exhibit D.1 for the discount rate calculations.</v>
      </c>
      <c r="C211" s="2145"/>
      <c r="D211" s="2145"/>
      <c r="E211" s="2145"/>
      <c r="F211" s="2145"/>
      <c r="G211" s="2145"/>
      <c r="H211" s="2145"/>
    </row>
    <row r="212" spans="1:10" s="74" customFormat="1" ht="12.75" customHeight="1">
      <c r="A212" s="2124">
        <f t="shared" ref="A212:A213" si="49">A211+1</f>
        <v>4</v>
      </c>
      <c r="B212" s="2144" t="str">
        <f>"Refer to "&amp;'PWERM DLOM'!B3&amp;" for DLOM calculations."</f>
        <v>Refer to Exhibit H.1 for DLOM calculations.</v>
      </c>
      <c r="C212" s="2146"/>
      <c r="D212" s="2146"/>
      <c r="E212" s="2146"/>
      <c r="F212" s="2146"/>
      <c r="G212" s="2146"/>
      <c r="H212" s="2146"/>
    </row>
    <row r="213" spans="1:10" s="74" customFormat="1" ht="12.75" customHeight="1">
      <c r="A213" s="2124">
        <f t="shared" si="49"/>
        <v>5</v>
      </c>
      <c r="B213" s="2144" t="str">
        <f>"Refer to "&amp;'Exit Probability'!B3&amp;" for details regarding the probability weightings."</f>
        <v>Refer to Exhibit B.2 for details regarding the probability weightings.</v>
      </c>
      <c r="C213" s="2146"/>
      <c r="D213" s="2146"/>
      <c r="E213" s="2146"/>
      <c r="F213" s="2146"/>
      <c r="G213" s="2146"/>
      <c r="H213" s="2146"/>
    </row>
    <row r="214" spans="1:10" ht="42" customHeight="1">
      <c r="A214" s="1945" t="s">
        <v>150</v>
      </c>
      <c r="B214" s="2292" t="str">
        <f>"The implied value of Series B Tranche I based on the above analysis is "&amp;TEXT(F183,"$0.00")&amp;", which is approximately "&amp;TEXT(L25,"0.0%")&amp;" less than the Series B Original Issue Price (OIP). This is reasonable, since the preferred stockholders have more rights than the Common stockholders, such as preference at the time "&amp;" of liquidation,anti-dilution rights, voting rights, rightst of future stock issuance, "&amp;"conversion rights, etc. and these are already embedded in the OIP. As such, to remove the impact of these rights, we concluded per share value of Series B Tranche I slightly lower than its OIP."</f>
        <v>The implied value of Series B Tranche I based on the above analysis is $1.37, which is approximately 0.2% less than the Series B Original Issue Price (OIP). This is reasonable, since the preferred stockholders have more rights than the Common stockholders, such as preference at the time  of liquidation,anti-dilution rights, voting rights, rightst of future stock issuance, conversion rights, etc. and these are already embedded in the OIP. As such, to remove the impact of these rights, we concluded per share value of Series B Tranche I slightly lower than its OIP.</v>
      </c>
      <c r="C214" s="2292"/>
      <c r="D214" s="2292"/>
      <c r="E214" s="2292"/>
      <c r="F214" s="2292"/>
      <c r="G214" s="2292"/>
      <c r="H214" s="2292"/>
      <c r="J214" s="1952" t="s">
        <v>2540</v>
      </c>
    </row>
    <row r="215" spans="1:10" ht="12.75" customHeight="1"/>
    <row r="216" spans="1:10" ht="12.75" customHeight="1">
      <c r="B216" s="76" t="s">
        <v>428</v>
      </c>
      <c r="C216" s="105"/>
      <c r="D216" s="105"/>
      <c r="E216" s="105"/>
      <c r="F216" s="105"/>
      <c r="G216" s="105"/>
      <c r="H216" s="170"/>
    </row>
    <row r="217" spans="1:10" ht="12.75" customHeight="1"/>
    <row r="218" spans="1:10" ht="12.75" customHeight="1">
      <c r="B218" s="2" t="str">
        <f>+B77</f>
        <v>Series A</v>
      </c>
      <c r="D218" s="336">
        <f>IF(D77=0,"n/a",(D77/'OPM 2'!$F9))</f>
        <v>1.7312083945422179</v>
      </c>
      <c r="E218" s="336">
        <f>IF(E77=0,"n/a",(E77/'OPM 2'!$F9))</f>
        <v>1.8267612675478664</v>
      </c>
      <c r="F218" s="336">
        <f>IF(F77=0,"n/a",(F77/'OPM 2'!$F9))</f>
        <v>2.3972169783358326</v>
      </c>
      <c r="G218" s="336">
        <f>IF(G77=0,"n/a",(G77/'OPM 2'!$F9))</f>
        <v>0.29265599310217344</v>
      </c>
      <c r="H218" s="336" t="str">
        <f>IF(H77=0,"n/a",(H77/'OPM 2'!$F9))</f>
        <v>n/a</v>
      </c>
    </row>
    <row r="219" spans="1:10" ht="12.75" customHeight="1">
      <c r="B219" s="2" t="str">
        <f>+B78</f>
        <v>Series B Tranche I</v>
      </c>
      <c r="D219" s="336">
        <f>IF(D78=0,"n/a",(D78/'OPM 2'!$F10))</f>
        <v>1.7312083945422179</v>
      </c>
      <c r="E219" s="336">
        <f>IF(E78=0,"n/a",(E78/'OPM 2'!$F10))</f>
        <v>1.8267612675478664</v>
      </c>
      <c r="F219" s="336">
        <f>IF(F78=0,"n/a",(F78/'OPM 2'!$F10))</f>
        <v>2.3972169783358326</v>
      </c>
      <c r="G219" s="336">
        <f>IF(G78=0,"n/a",(G78/'OPM 2'!$F10))</f>
        <v>1.5393391890410959</v>
      </c>
      <c r="H219" s="336">
        <f>IF(H78=0,"n/a",(H78/'OPM 2'!$F10))</f>
        <v>1.1735722063430374</v>
      </c>
    </row>
    <row r="220" spans="1:10" ht="12.75" customHeight="1">
      <c r="B220" s="2" t="str">
        <f>+B79</f>
        <v>Series B Tranche II</v>
      </c>
      <c r="D220" s="336">
        <f>IF(D79=0,"n/a",(D79/'OPM 2'!$F11))</f>
        <v>1.7312083945422179</v>
      </c>
      <c r="E220" s="336">
        <f>IF(E79=0,"n/a",(E79/'OPM 2'!$F11))</f>
        <v>1.8267612675478666</v>
      </c>
      <c r="F220" s="336">
        <f>IF(F79=0,"n/a",(F79/'OPM 2'!$F11))</f>
        <v>2.3972169783358326</v>
      </c>
      <c r="G220" s="336">
        <f>IF(G79=0,"n/a",(G79/'OPM 2'!$F11))</f>
        <v>1.5115788821917808</v>
      </c>
      <c r="H220" s="336">
        <f>IF(H79=0,"n/a",(H79/'OPM 2'!$F11))</f>
        <v>1.1544576373453284</v>
      </c>
    </row>
    <row r="223" spans="1:10">
      <c r="B223" s="1" t="s">
        <v>639</v>
      </c>
    </row>
    <row r="224" spans="1:10">
      <c r="B224" s="385" t="s">
        <v>640</v>
      </c>
      <c r="D224" s="386">
        <f ca="1">SUM(D80:D83)*(1-D99)*(1-D100)</f>
        <v>9195.6576438483371</v>
      </c>
      <c r="E224" s="386">
        <f ca="1">SUM(E80:E83)*(1-E99)*(1-E100)</f>
        <v>7529.4965606289579</v>
      </c>
      <c r="F224" s="386">
        <f ca="1">SUM(F80:F83)*(1-F99)*(1-F100)</f>
        <v>7393.8881743219281</v>
      </c>
      <c r="G224" s="386">
        <f>SUM(G80:G83)*(1-G99)*(1-G100)</f>
        <v>0</v>
      </c>
      <c r="H224" s="386">
        <f>SUM(H80:H83)*(1-H99)*(1-H100)</f>
        <v>0</v>
      </c>
    </row>
    <row r="225" spans="2:4">
      <c r="B225" s="385" t="s">
        <v>641</v>
      </c>
      <c r="D225" s="386">
        <f ca="1">SUMPRODUCT(D224:H224,D105:H105,D95:H95)</f>
        <v>2335.7679128862019</v>
      </c>
    </row>
    <row r="226" spans="2:4">
      <c r="B226" s="385" t="s">
        <v>643</v>
      </c>
      <c r="D226" s="386">
        <f ca="1">+D225/B108</f>
        <v>8004.0696576083337</v>
      </c>
    </row>
  </sheetData>
  <mergeCells count="3">
    <mergeCell ref="B210:H210"/>
    <mergeCell ref="B214:H214"/>
    <mergeCell ref="B209:H209"/>
  </mergeCells>
  <conditionalFormatting sqref="D104:H105">
    <cfRule type="expression" dxfId="318" priority="43">
      <formula>$C$105&lt;&gt;1</formula>
    </cfRule>
  </conditionalFormatting>
  <conditionalFormatting sqref="B4:D4">
    <cfRule type="cellIs" dxfId="317" priority="42" stopIfTrue="1" operator="equal">
      <formula>"input"</formula>
    </cfRule>
  </conditionalFormatting>
  <conditionalFormatting sqref="E4:G4">
    <cfRule type="cellIs" dxfId="316" priority="38" stopIfTrue="1" operator="equal">
      <formula>"input"</formula>
    </cfRule>
  </conditionalFormatting>
  <conditionalFormatting sqref="E4:G4">
    <cfRule type="cellIs" dxfId="315" priority="39" stopIfTrue="1" operator="equal">
      <formula>"input"</formula>
    </cfRule>
  </conditionalFormatting>
  <conditionalFormatting sqref="H4">
    <cfRule type="cellIs" dxfId="314" priority="36" stopIfTrue="1" operator="equal">
      <formula>"input"</formula>
    </cfRule>
  </conditionalFormatting>
  <conditionalFormatting sqref="H4">
    <cfRule type="cellIs" dxfId="313" priority="37" stopIfTrue="1" operator="equal">
      <formula>"input"</formula>
    </cfRule>
  </conditionalFormatting>
  <conditionalFormatting sqref="D33:H35 E37:H37">
    <cfRule type="cellIs" dxfId="312" priority="32" operator="equal">
      <formula>0</formula>
    </cfRule>
    <cfRule type="cellIs" dxfId="311" priority="33" operator="equal">
      <formula>0</formula>
    </cfRule>
  </conditionalFormatting>
  <conditionalFormatting sqref="D37">
    <cfRule type="cellIs" dxfId="310" priority="30" operator="equal">
      <formula>0</formula>
    </cfRule>
    <cfRule type="cellIs" dxfId="309" priority="31" operator="equal">
      <formula>0</formula>
    </cfRule>
  </conditionalFormatting>
  <conditionalFormatting sqref="J100 D99:H100">
    <cfRule type="cellIs" dxfId="308" priority="15" operator="equal">
      <formula>0</formula>
    </cfRule>
  </conditionalFormatting>
  <conditionalFormatting sqref="D26:E28">
    <cfRule type="cellIs" dxfId="307" priority="6" operator="lessThan">
      <formula>0</formula>
    </cfRule>
  </conditionalFormatting>
  <conditionalFormatting sqref="G26:H28">
    <cfRule type="cellIs" dxfId="306" priority="4" operator="lessThan">
      <formula>0</formula>
    </cfRule>
  </conditionalFormatting>
  <conditionalFormatting sqref="F26:F28">
    <cfRule type="cellIs" dxfId="305" priority="2" operator="lessThan">
      <formula>0</formula>
    </cfRule>
  </conditionalFormatting>
  <conditionalFormatting sqref="F25">
    <cfRule type="cellIs" dxfId="304" priority="1" operator="lessThan">
      <formula>0</formula>
    </cfRule>
  </conditionalFormatting>
  <pageMargins left="0.5" right="0.5" top="0.5" bottom="0.5" header="0.5" footer="0.5"/>
  <pageSetup scale="83" fitToWidth="0" fitToHeight="0" orientation="landscape" r:id="rId1"/>
  <rowBreaks count="4" manualBreakCount="4">
    <brk id="59" max="8" man="1"/>
    <brk id="102" max="8" man="1"/>
    <brk id="153" max="8" man="1"/>
    <brk id="170" max="8" man="1"/>
  </rowBreak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
  <sheetViews>
    <sheetView workbookViewId="0"/>
  </sheetViews>
  <sheetFormatPr defaultRowHeight="12.75"/>
  <cols>
    <col min="1" max="16384" width="9.33203125" style="385"/>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6:J28"/>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15.83203125" style="259" customWidth="1"/>
    <col min="5" max="5" width="8.33203125" style="258" customWidth="1"/>
    <col min="6" max="6" width="3.83203125" style="258" customWidth="1"/>
    <col min="7" max="7" width="4.5" style="258" customWidth="1"/>
    <col min="8" max="8" width="9.33203125" style="258"/>
    <col min="9" max="9" width="22.33203125" style="258" bestFit="1" customWidth="1"/>
    <col min="10" max="10" width="19" style="258" bestFit="1" customWidth="1"/>
    <col min="11" max="16384" width="9.33203125" style="258"/>
  </cols>
  <sheetData>
    <row r="6" spans="2:9">
      <c r="B6" s="260"/>
      <c r="C6" s="249"/>
      <c r="D6" s="250"/>
      <c r="E6" s="249"/>
      <c r="F6" s="249"/>
    </row>
    <row r="7" spans="2:9" ht="15.75" thickBot="1">
      <c r="B7" s="260"/>
      <c r="C7" s="249"/>
      <c r="D7" s="250"/>
      <c r="E7" s="249"/>
      <c r="F7" s="249"/>
    </row>
    <row r="8" spans="2:9" ht="15.75" thickTop="1">
      <c r="B8" s="14"/>
      <c r="C8" s="261"/>
      <c r="D8" s="262"/>
      <c r="E8" s="261"/>
      <c r="F8" s="261"/>
    </row>
    <row r="9" spans="2:9" s="263" customFormat="1" ht="40.5">
      <c r="B9" s="264"/>
      <c r="C9" s="283"/>
      <c r="D9" s="283" t="str">
        <f>+'MASTER PubCo Inputs'!C8</f>
        <v>IRC 409A and ASC 718 Common Stock Independent Appraisal</v>
      </c>
      <c r="E9" s="265"/>
      <c r="F9" s="265"/>
      <c r="I9" s="979" t="str">
        <f ca="1">IF(COUNTIF(Checklist!D10:D32,"Check")&gt;0,"Check","")</f>
        <v/>
      </c>
    </row>
    <row r="10" spans="2:9">
      <c r="B10" s="251"/>
      <c r="C10" s="267"/>
      <c r="D10" s="284"/>
      <c r="E10" s="267"/>
      <c r="F10" s="267"/>
    </row>
    <row r="11" spans="2:9" ht="23.25">
      <c r="B11" s="251"/>
      <c r="C11" s="267"/>
      <c r="D11" s="252" t="s">
        <v>292</v>
      </c>
      <c r="E11" s="267"/>
      <c r="F11" s="267"/>
    </row>
    <row r="12" spans="2:9" ht="19.5">
      <c r="B12" s="251"/>
      <c r="C12" s="267"/>
      <c r="D12" s="285" t="s">
        <v>293</v>
      </c>
      <c r="E12" s="267"/>
      <c r="F12" s="267"/>
    </row>
    <row r="13" spans="2:9" ht="23.25">
      <c r="B13" s="251"/>
      <c r="C13" s="267"/>
      <c r="D13" s="252" t="str">
        <f>IF('MASTER PubCo Inputs'!C5="","",'MASTER PubCo Inputs'!C5)</f>
        <v>Pliant Therapeutics, Inc.</v>
      </c>
      <c r="E13" s="267"/>
      <c r="F13" s="267"/>
    </row>
    <row r="14" spans="2:9">
      <c r="B14" s="251"/>
      <c r="C14" s="267"/>
      <c r="D14" s="284"/>
      <c r="E14" s="267"/>
      <c r="F14" s="267"/>
    </row>
    <row r="15" spans="2:9" ht="23.25">
      <c r="B15" s="251"/>
      <c r="C15" s="267"/>
      <c r="D15" s="252" t="str">
        <f>"Valuation Date as of "&amp;TEXT('MASTER PubCo Inputs'!$C$6,"mmmm d, yyyy")&amp;""</f>
        <v>Valuation Date as of July 31, 2018</v>
      </c>
      <c r="E15" s="267"/>
      <c r="F15" s="267"/>
    </row>
    <row r="16" spans="2:9" ht="15.75" thickBot="1">
      <c r="B16" s="253"/>
      <c r="C16" s="268"/>
      <c r="D16" s="269"/>
      <c r="E16" s="268"/>
      <c r="F16" s="268"/>
    </row>
    <row r="17" spans="4:10" ht="15.75" thickTop="1"/>
    <row r="19" spans="4:10" ht="18.75">
      <c r="D19" s="254" t="s">
        <v>294</v>
      </c>
    </row>
    <row r="20" spans="4:10" ht="18.75">
      <c r="D20" s="255" t="str">
        <f ca="1">TEXT(J20,"mmmm d, yyyy")</f>
        <v>November 29, 2018</v>
      </c>
      <c r="I20" s="258" t="s">
        <v>296</v>
      </c>
      <c r="J20" s="282">
        <f ca="1">TODAY()</f>
        <v>43433</v>
      </c>
    </row>
    <row r="25" spans="4:10" ht="23.25">
      <c r="D25" s="856" t="s">
        <v>646</v>
      </c>
    </row>
    <row r="27" spans="4:10" ht="18.75">
      <c r="D27" s="256" t="s">
        <v>470</v>
      </c>
    </row>
    <row r="28" spans="4:10" ht="37.5">
      <c r="D28" s="257" t="s">
        <v>295</v>
      </c>
    </row>
  </sheetData>
  <pageMargins left="0.5" right="0.5" top="0.5" bottom="0.5" header="0.5" footer="0.5"/>
  <pageSetup scale="98" orientation="landscape"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64"/>
  <sheetViews>
    <sheetView showGridLines="0" view="pageBreakPreview" zoomScaleNormal="145" zoomScaleSheetLayoutView="100" workbookViewId="0"/>
  </sheetViews>
  <sheetFormatPr defaultRowHeight="12.75" outlineLevelRow="1" outlineLevelCol="1"/>
  <cols>
    <col min="1" max="1" width="4.5" style="385" customWidth="1"/>
    <col min="2" max="2" width="20.83203125" style="385" customWidth="1"/>
    <col min="3" max="3" width="14.83203125" style="385" customWidth="1"/>
    <col min="4" max="4" width="15.83203125" style="385" customWidth="1"/>
    <col min="5" max="5" width="66" style="391" customWidth="1"/>
    <col min="6" max="6" width="30.83203125" style="385" customWidth="1"/>
    <col min="7" max="7" width="20.83203125" style="391" hidden="1" customWidth="1" outlineLevel="1"/>
    <col min="8" max="8" width="4.5" style="385" customWidth="1" collapsed="1"/>
    <col min="9" max="10" width="2.83203125" style="385" customWidth="1"/>
    <col min="11" max="11" width="3.33203125" style="385" customWidth="1"/>
    <col min="12" max="16384" width="9.33203125" style="385"/>
  </cols>
  <sheetData>
    <row r="1" spans="2:12" ht="10.7" customHeight="1" thickBot="1"/>
    <row r="2" spans="2:12" ht="16.5" customHeight="1" thickTop="1">
      <c r="B2" s="10" t="str">
        <f>'MASTER PubCo Inputs'!$C$5</f>
        <v>Pliant Therapeutics, Inc.</v>
      </c>
      <c r="C2" s="10"/>
      <c r="D2" s="10"/>
      <c r="E2" s="345"/>
      <c r="F2" s="10"/>
      <c r="G2" s="345"/>
    </row>
    <row r="3" spans="2:12" ht="16.5" customHeight="1" thickBot="1">
      <c r="B3" s="12" t="s">
        <v>435</v>
      </c>
      <c r="C3" s="12"/>
      <c r="D3" s="12"/>
      <c r="E3" s="346"/>
      <c r="F3" s="12"/>
      <c r="G3" s="346"/>
    </row>
    <row r="4" spans="2:12" ht="12.75" customHeight="1" thickTop="1"/>
    <row r="5" spans="2:12" ht="12.75" customHeight="1"/>
    <row r="6" spans="2:12" ht="12.75" customHeight="1">
      <c r="B6" s="342" t="s">
        <v>436</v>
      </c>
      <c r="C6" s="1"/>
      <c r="D6" s="1"/>
      <c r="E6" s="342" t="s">
        <v>499</v>
      </c>
      <c r="F6" s="1"/>
      <c r="G6" s="342"/>
    </row>
    <row r="7" spans="2:12" ht="12.75" customHeight="1">
      <c r="B7" s="358"/>
      <c r="C7" s="1"/>
      <c r="D7" s="1"/>
      <c r="E7" s="342"/>
      <c r="F7" s="1"/>
      <c r="G7" s="342"/>
    </row>
    <row r="8" spans="2:12">
      <c r="B8" s="359" t="str">
        <f>K8&amp;"."&amp;L8</f>
        <v>A.1</v>
      </c>
      <c r="E8" s="281" t="str">
        <f>'Val Summ'!B4</f>
        <v>Valuation Summary</v>
      </c>
      <c r="G8" s="391" t="str">
        <f>"Exhibit "&amp;B8</f>
        <v>Exhibit A.1</v>
      </c>
      <c r="J8" s="385">
        <v>65</v>
      </c>
      <c r="K8" s="385" t="str">
        <f>CHAR(J8)</f>
        <v>A</v>
      </c>
      <c r="L8" s="385">
        <v>1</v>
      </c>
    </row>
    <row r="9" spans="2:12">
      <c r="B9" s="359"/>
      <c r="E9" s="281"/>
      <c r="G9" s="391" t="str">
        <f t="shared" ref="G9:G48" si="0">"Exhibit "&amp;B9</f>
        <v xml:space="preserve">Exhibit </v>
      </c>
    </row>
    <row r="10" spans="2:12">
      <c r="B10" s="359"/>
      <c r="E10" s="281" t="str">
        <f>'Allocation Method &gt;&gt;'!D9</f>
        <v>Allocation Methodology</v>
      </c>
      <c r="G10" s="391" t="str">
        <f t="shared" si="0"/>
        <v xml:space="preserve">Exhibit </v>
      </c>
    </row>
    <row r="11" spans="2:12">
      <c r="B11" s="359" t="str">
        <f t="shared" ref="B11:B49" si="1">K11&amp;"."&amp;L11</f>
        <v>B.1</v>
      </c>
      <c r="E11" s="281" t="str">
        <f>PWERM_2!B4</f>
        <v>PWERM Analysis (Scenario 2)</v>
      </c>
      <c r="G11" s="391" t="str">
        <f t="shared" si="0"/>
        <v>Exhibit B.1</v>
      </c>
      <c r="J11" s="385">
        <f>IF(J10="",J8+1,J10)</f>
        <v>66</v>
      </c>
      <c r="K11" s="385" t="str">
        <f>CHAR(J11)</f>
        <v>B</v>
      </c>
      <c r="L11" s="385">
        <f>IF(L10="",1,L10+1)</f>
        <v>1</v>
      </c>
    </row>
    <row r="12" spans="2:12">
      <c r="B12" s="359" t="str">
        <f t="shared" si="1"/>
        <v>B.2</v>
      </c>
      <c r="E12" s="281" t="str">
        <f>'Exit Probability'!B4</f>
        <v>PWERM - Exit Probabilities</v>
      </c>
      <c r="G12" s="391" t="str">
        <f t="shared" si="0"/>
        <v>Exhibit B.2</v>
      </c>
      <c r="J12" s="385">
        <f t="shared" ref="J12:J13" si="2">IF(J11="",J10+1,J11)</f>
        <v>66</v>
      </c>
      <c r="K12" s="385" t="str">
        <f t="shared" ref="K12:K13" si="3">CHAR(J12)</f>
        <v>B</v>
      </c>
      <c r="L12" s="385">
        <f t="shared" ref="L12:L13" si="4">IF(L11="",1,L11+1)</f>
        <v>2</v>
      </c>
    </row>
    <row r="13" spans="2:12">
      <c r="B13" s="359" t="str">
        <f t="shared" si="1"/>
        <v>B.3</v>
      </c>
      <c r="E13" s="281" t="str">
        <f>PoTS!B4</f>
        <v>PWERM - Probability of Technical Success</v>
      </c>
      <c r="G13" s="391" t="str">
        <f t="shared" si="0"/>
        <v>Exhibit B.3</v>
      </c>
      <c r="J13" s="385">
        <f t="shared" si="2"/>
        <v>66</v>
      </c>
      <c r="K13" s="385" t="str">
        <f t="shared" si="3"/>
        <v>B</v>
      </c>
      <c r="L13" s="385">
        <f t="shared" si="4"/>
        <v>3</v>
      </c>
    </row>
    <row r="14" spans="2:12">
      <c r="B14" s="359"/>
      <c r="E14" s="281"/>
      <c r="G14" s="391" t="str">
        <f t="shared" si="0"/>
        <v xml:space="preserve">Exhibit </v>
      </c>
    </row>
    <row r="15" spans="2:12">
      <c r="B15" s="359"/>
      <c r="E15" s="375" t="str">
        <f>'FS &gt;&gt;'!$D$9</f>
        <v>Financial Statements</v>
      </c>
      <c r="G15" s="391" t="str">
        <f t="shared" si="0"/>
        <v xml:space="preserve">Exhibit </v>
      </c>
    </row>
    <row r="16" spans="2:12">
      <c r="B16" s="359" t="str">
        <f t="shared" si="1"/>
        <v>C.1</v>
      </c>
      <c r="E16" s="281" t="str">
        <f>Forecast!B4</f>
        <v>Financial Projections</v>
      </c>
      <c r="G16" s="391" t="str">
        <f t="shared" si="0"/>
        <v>Exhibit C.1</v>
      </c>
      <c r="J16" s="385">
        <f>IF(J15="",J13+1,J15)</f>
        <v>67</v>
      </c>
      <c r="K16" s="385" t="str">
        <f>CHAR(J16)</f>
        <v>C</v>
      </c>
      <c r="L16" s="385">
        <f>IF(L15="",1,L15+1)</f>
        <v>1</v>
      </c>
    </row>
    <row r="17" spans="2:12">
      <c r="B17" s="359" t="str">
        <f t="shared" ref="B17" si="5">K17&amp;"."&amp;L17</f>
        <v>C.2</v>
      </c>
      <c r="E17" s="281" t="str">
        <f>'Hist IS'!B4</f>
        <v>Historical Income Statement</v>
      </c>
      <c r="G17" s="391" t="str">
        <f t="shared" ref="G17" si="6">"Exhibit "&amp;B17</f>
        <v>Exhibit C.2</v>
      </c>
      <c r="J17" s="385">
        <f t="shared" ref="J17:J18" si="7">IF(J16="",J15+1,J16)</f>
        <v>67</v>
      </c>
      <c r="K17" s="385" t="str">
        <f t="shared" ref="K17" si="8">CHAR(J17)</f>
        <v>C</v>
      </c>
      <c r="L17" s="385">
        <f t="shared" ref="L17:L18" si="9">IF(L16="",1,L16+1)</f>
        <v>2</v>
      </c>
    </row>
    <row r="18" spans="2:12">
      <c r="B18" s="359" t="str">
        <f t="shared" si="1"/>
        <v>C.3</v>
      </c>
      <c r="E18" s="281" t="str">
        <f>'Hist BS'!B4</f>
        <v>Historical Balance Sheet</v>
      </c>
      <c r="G18" s="391" t="str">
        <f t="shared" si="0"/>
        <v>Exhibit C.3</v>
      </c>
      <c r="J18" s="385">
        <f t="shared" si="7"/>
        <v>67</v>
      </c>
      <c r="K18" s="385" t="str">
        <f t="shared" ref="K18" si="10">CHAR(J18)</f>
        <v>C</v>
      </c>
      <c r="L18" s="385">
        <f t="shared" si="9"/>
        <v>3</v>
      </c>
    </row>
    <row r="19" spans="2:12">
      <c r="B19" s="359"/>
      <c r="E19" s="281"/>
      <c r="G19" s="391" t="str">
        <f t="shared" si="0"/>
        <v xml:space="preserve">Exhibit </v>
      </c>
    </row>
    <row r="20" spans="2:12">
      <c r="B20" s="359"/>
      <c r="E20" s="281" t="str">
        <f>'Discount Rate FP &gt;&gt;'!$D$9</f>
        <v>Discount Rates</v>
      </c>
      <c r="G20" s="391" t="str">
        <f t="shared" si="0"/>
        <v xml:space="preserve">Exhibit </v>
      </c>
    </row>
    <row r="21" spans="2:12">
      <c r="B21" s="359" t="str">
        <f>K21&amp;"."&amp;L21</f>
        <v>D.1</v>
      </c>
      <c r="E21" s="281" t="str">
        <f>'WACC PWERM'!B4</f>
        <v xml:space="preserve">Weighted Average Cost of Capital - PWERM-Based </v>
      </c>
      <c r="G21" s="391" t="str">
        <f>"Exhibit "&amp;B21</f>
        <v>Exhibit D.1</v>
      </c>
      <c r="J21" s="385">
        <f>IF(J20="",J18+1,J20)</f>
        <v>68</v>
      </c>
      <c r="K21" s="385" t="str">
        <f>CHAR(J21)</f>
        <v>D</v>
      </c>
      <c r="L21" s="385">
        <f>IF(L20="",1,L20+1)</f>
        <v>1</v>
      </c>
    </row>
    <row r="22" spans="2:12">
      <c r="B22" s="359" t="str">
        <f t="shared" si="1"/>
        <v>D.2</v>
      </c>
      <c r="E22" s="281" t="str">
        <f>'RoR Stage of Dev'!B4</f>
        <v xml:space="preserve">Rate of Return By Stage of Development </v>
      </c>
      <c r="G22" s="391" t="str">
        <f t="shared" si="0"/>
        <v>Exhibit D.2</v>
      </c>
      <c r="J22" s="385">
        <f t="shared" ref="J22" si="11">IF(J21="",J20+1,J21)</f>
        <v>68</v>
      </c>
      <c r="K22" s="385" t="str">
        <f t="shared" ref="K22" si="12">CHAR(J22)</f>
        <v>D</v>
      </c>
      <c r="L22" s="385">
        <f t="shared" ref="L22" si="13">IF(L21="",1,L21+1)</f>
        <v>2</v>
      </c>
    </row>
    <row r="23" spans="2:12">
      <c r="B23" s="359"/>
      <c r="E23" s="281"/>
      <c r="G23" s="391" t="str">
        <f t="shared" si="0"/>
        <v xml:space="preserve">Exhibit </v>
      </c>
    </row>
    <row r="24" spans="2:12">
      <c r="B24" s="359"/>
      <c r="E24" s="375" t="str">
        <f>'GCM FP &gt;&gt;'!$D$9</f>
        <v>Guideline Comparables Analysis</v>
      </c>
      <c r="G24" s="391" t="str">
        <f t="shared" si="0"/>
        <v xml:space="preserve">Exhibit </v>
      </c>
    </row>
    <row r="25" spans="2:12">
      <c r="B25" s="359" t="str">
        <f t="shared" si="1"/>
        <v>E.1</v>
      </c>
      <c r="E25" s="281" t="str">
        <f>'Comp.1'!B4</f>
        <v>Guideline Public Companies' Revenue Multiples</v>
      </c>
      <c r="G25" s="391" t="str">
        <f>"Exhibit "&amp;B25</f>
        <v>Exhibit E.1</v>
      </c>
      <c r="J25" s="385">
        <f>IF(J24="",J22+1,J24)</f>
        <v>69</v>
      </c>
      <c r="K25" s="385" t="str">
        <f>CHAR(J25)</f>
        <v>E</v>
      </c>
      <c r="L25" s="385">
        <f>IF(L24="",1,L24+1)</f>
        <v>1</v>
      </c>
    </row>
    <row r="26" spans="2:12">
      <c r="B26" s="359" t="str">
        <f t="shared" si="1"/>
        <v>E.2</v>
      </c>
      <c r="E26" s="281" t="str">
        <f>'Comp.6'!B4</f>
        <v>Guideline Public Companies' Descriptions</v>
      </c>
      <c r="G26" s="391" t="str">
        <f t="shared" si="0"/>
        <v>Exhibit E.2</v>
      </c>
      <c r="J26" s="385">
        <f t="shared" ref="J26" si="14">IF(J25="",J24+1,J25)</f>
        <v>69</v>
      </c>
      <c r="K26" s="385" t="str">
        <f t="shared" ref="K26" si="15">CHAR(J26)</f>
        <v>E</v>
      </c>
      <c r="L26" s="385">
        <f t="shared" ref="L26" si="16">IF(L25="",1,L25+1)</f>
        <v>2</v>
      </c>
    </row>
    <row r="27" spans="2:12">
      <c r="B27" s="359"/>
      <c r="E27" s="281"/>
      <c r="G27" s="391" t="str">
        <f t="shared" si="0"/>
        <v xml:space="preserve">Exhibit </v>
      </c>
    </row>
    <row r="28" spans="2:12">
      <c r="B28" s="359"/>
      <c r="E28" s="375" t="str">
        <f>'GTM FP &gt;&gt;'!$D$9</f>
        <v>Guideline Transaction Analysis</v>
      </c>
      <c r="G28" s="391" t="str">
        <f t="shared" si="0"/>
        <v xml:space="preserve">Exhibit </v>
      </c>
    </row>
    <row r="29" spans="2:12">
      <c r="B29" s="359" t="str">
        <f t="shared" si="1"/>
        <v>F.1</v>
      </c>
      <c r="E29" s="281" t="str">
        <f>Trans.1!B4</f>
        <v>Guideline Transactions' Multiples Analysis</v>
      </c>
      <c r="G29" s="391" t="str">
        <f t="shared" si="0"/>
        <v>Exhibit F.1</v>
      </c>
      <c r="J29" s="385">
        <f>IF(J28="",J26+1,J28)</f>
        <v>70</v>
      </c>
      <c r="K29" s="385" t="str">
        <f>CHAR(J29)</f>
        <v>F</v>
      </c>
      <c r="L29" s="385">
        <f>IF(L28="",1,L28+1)</f>
        <v>1</v>
      </c>
    </row>
    <row r="30" spans="2:12">
      <c r="B30" s="359" t="str">
        <f t="shared" si="1"/>
        <v>F.2</v>
      </c>
      <c r="E30" s="281" t="str">
        <f>Trans.2!B4</f>
        <v>Guideline Transactions' Target Descriptions</v>
      </c>
      <c r="G30" s="391" t="str">
        <f t="shared" si="0"/>
        <v>Exhibit F.2</v>
      </c>
      <c r="J30" s="385">
        <f t="shared" ref="J30" si="17">IF(J29="",J28+1,J29)</f>
        <v>70</v>
      </c>
      <c r="K30" s="385" t="str">
        <f t="shared" ref="K30" si="18">CHAR(J30)</f>
        <v>F</v>
      </c>
      <c r="L30" s="385">
        <f t="shared" ref="L30" si="19">IF(L29="",1,L29+1)</f>
        <v>2</v>
      </c>
    </row>
    <row r="31" spans="2:12">
      <c r="B31" s="359"/>
      <c r="E31" s="281"/>
      <c r="G31" s="391" t="str">
        <f t="shared" si="0"/>
        <v xml:space="preserve">Exhibit </v>
      </c>
    </row>
    <row r="32" spans="2:12">
      <c r="B32" s="359"/>
      <c r="E32" s="281" t="str">
        <f>'Cap Structure FP &gt;&gt;'!$D$9</f>
        <v>Capitalization Summary</v>
      </c>
      <c r="G32" s="391" t="str">
        <f t="shared" si="0"/>
        <v xml:space="preserve">Exhibit </v>
      </c>
    </row>
    <row r="33" spans="2:12">
      <c r="B33" s="359" t="str">
        <f t="shared" si="1"/>
        <v>G.1</v>
      </c>
      <c r="E33" s="281" t="str">
        <f>'Cap Table'!$B$4</f>
        <v xml:space="preserve">Capitalization Table </v>
      </c>
      <c r="G33" s="391" t="str">
        <f t="shared" si="0"/>
        <v>Exhibit G.1</v>
      </c>
      <c r="J33" s="385">
        <f>IF(J32="",J30+1,J32)</f>
        <v>71</v>
      </c>
      <c r="K33" s="385" t="str">
        <f>CHAR(J33)</f>
        <v>G</v>
      </c>
      <c r="L33" s="385">
        <f>IF(L32="",1,L32+1)</f>
        <v>1</v>
      </c>
    </row>
    <row r="34" spans="2:12">
      <c r="B34" s="359" t="str">
        <f t="shared" si="1"/>
        <v>G.2</v>
      </c>
      <c r="E34" s="281" t="str">
        <f>'Econ Rights'!$B$4</f>
        <v xml:space="preserve">Economic Rights Summary </v>
      </c>
      <c r="G34" s="391" t="str">
        <f t="shared" si="0"/>
        <v>Exhibit G.2</v>
      </c>
      <c r="J34" s="385">
        <f t="shared" ref="J34" si="20">IF(J33="",J32+1,J33)</f>
        <v>71</v>
      </c>
      <c r="K34" s="385" t="str">
        <f t="shared" ref="K34" si="21">CHAR(J34)</f>
        <v>G</v>
      </c>
      <c r="L34" s="385">
        <f t="shared" ref="L34" si="22">IF(L33="",1,L33+1)</f>
        <v>2</v>
      </c>
    </row>
    <row r="35" spans="2:12">
      <c r="B35" s="359"/>
      <c r="E35" s="281"/>
      <c r="G35" s="391" t="str">
        <f t="shared" si="0"/>
        <v xml:space="preserve">Exhibit </v>
      </c>
    </row>
    <row r="36" spans="2:12">
      <c r="B36" s="359"/>
      <c r="E36" s="281" t="str">
        <f>+'Support FP &gt;&gt;'!D9</f>
        <v>Appendices</v>
      </c>
      <c r="G36" s="391" t="str">
        <f t="shared" si="0"/>
        <v xml:space="preserve">Exhibit </v>
      </c>
    </row>
    <row r="37" spans="2:12">
      <c r="B37" s="359" t="str">
        <f t="shared" si="1"/>
        <v>H.1</v>
      </c>
      <c r="E37" s="281" t="str">
        <f>'PWERM DLOM'!B4</f>
        <v>Discount for Lack of Marketability - PWERM</v>
      </c>
      <c r="G37" s="391" t="str">
        <f t="shared" si="0"/>
        <v>Exhibit H.1</v>
      </c>
      <c r="J37" s="385">
        <f>IF(J36="",J34+1,J36)</f>
        <v>72</v>
      </c>
      <c r="K37" s="385" t="str">
        <f>CHAR(J37)</f>
        <v>H</v>
      </c>
      <c r="L37" s="385">
        <f>IF(L36="",1,L36+1)</f>
        <v>1</v>
      </c>
    </row>
    <row r="38" spans="2:12">
      <c r="B38" s="359" t="str">
        <f t="shared" ref="B38:B42" si="23">K38&amp;"."&amp;L38</f>
        <v>H.2</v>
      </c>
      <c r="E38" s="281" t="str">
        <f>'Asset Vol_Early'!B4</f>
        <v>Asset Volatility - Early Exit</v>
      </c>
      <c r="G38" s="391" t="str">
        <f t="shared" ref="G38:G42" si="24">"Exhibit "&amp;B38</f>
        <v>Exhibit H.2</v>
      </c>
      <c r="J38" s="385">
        <f t="shared" ref="J38" si="25">IF(J37="",J36+1,J37)</f>
        <v>72</v>
      </c>
      <c r="K38" s="385" t="str">
        <f t="shared" ref="K38" si="26">CHAR(J38)</f>
        <v>H</v>
      </c>
      <c r="L38" s="385">
        <f t="shared" ref="L38" si="27">IF(L37="",1,L37+1)</f>
        <v>2</v>
      </c>
    </row>
    <row r="39" spans="2:12">
      <c r="B39" s="359" t="str">
        <f t="shared" si="23"/>
        <v>H.3</v>
      </c>
      <c r="E39" s="281" t="str">
        <f>'Asset Vol_Late'!B4</f>
        <v>Asset Volatility - Late Exit</v>
      </c>
      <c r="G39" s="391" t="str">
        <f t="shared" si="24"/>
        <v>Exhibit H.3</v>
      </c>
      <c r="J39" s="385">
        <f t="shared" ref="J39:J49" si="28">IF(J38="",J37+1,J38)</f>
        <v>72</v>
      </c>
      <c r="K39" s="385" t="str">
        <f t="shared" ref="K39:K48" si="29">CHAR(J39)</f>
        <v>H</v>
      </c>
      <c r="L39" s="385">
        <f t="shared" ref="L39:L49" si="30">IF(L38="",1,L38+1)</f>
        <v>3</v>
      </c>
    </row>
    <row r="40" spans="2:12">
      <c r="B40" s="359" t="str">
        <f t="shared" si="23"/>
        <v>H.4</v>
      </c>
      <c r="E40" s="281" t="str">
        <f>'Asset Vol_Structured'!B4</f>
        <v>Asset Volatility - Structured Exit</v>
      </c>
      <c r="G40" s="391" t="str">
        <f t="shared" si="24"/>
        <v>Exhibit H.4</v>
      </c>
      <c r="J40" s="385">
        <f t="shared" si="28"/>
        <v>72</v>
      </c>
      <c r="K40" s="385" t="str">
        <f t="shared" si="29"/>
        <v>H</v>
      </c>
      <c r="L40" s="385">
        <f t="shared" si="30"/>
        <v>4</v>
      </c>
    </row>
    <row r="41" spans="2:12">
      <c r="B41" s="359" t="str">
        <f t="shared" si="23"/>
        <v>H.5</v>
      </c>
      <c r="E41" s="281" t="str">
        <f>'Equity Vol'!B4</f>
        <v>Equity Volatility</v>
      </c>
      <c r="G41" s="391" t="str">
        <f t="shared" si="24"/>
        <v>Exhibit H.5</v>
      </c>
      <c r="J41" s="385">
        <f t="shared" si="28"/>
        <v>72</v>
      </c>
      <c r="K41" s="385" t="str">
        <f t="shared" si="29"/>
        <v>H</v>
      </c>
      <c r="L41" s="385">
        <f t="shared" si="30"/>
        <v>5</v>
      </c>
    </row>
    <row r="42" spans="2:12">
      <c r="B42" s="359" t="str">
        <f t="shared" si="23"/>
        <v>H.6</v>
      </c>
      <c r="E42" s="281" t="str">
        <f>'Risk-Free Rates'!B4</f>
        <v>Risk-Free Rates</v>
      </c>
      <c r="G42" s="391" t="str">
        <f t="shared" si="24"/>
        <v>Exhibit H.6</v>
      </c>
      <c r="J42" s="385">
        <f t="shared" si="28"/>
        <v>72</v>
      </c>
      <c r="K42" s="385" t="str">
        <f t="shared" ref="K42:K45" si="31">CHAR(J42)</f>
        <v>H</v>
      </c>
      <c r="L42" s="385">
        <f t="shared" si="30"/>
        <v>6</v>
      </c>
    </row>
    <row r="43" spans="2:12">
      <c r="B43" s="359" t="str">
        <f t="shared" ref="B43" si="32">K43&amp;"."&amp;L43</f>
        <v>H.7</v>
      </c>
      <c r="E43" s="281" t="str">
        <f>'Licensing Deals'!B4</f>
        <v>Licensing Deals</v>
      </c>
      <c r="G43" s="391" t="str">
        <f t="shared" ref="G43" si="33">"Exhibit "&amp;B43</f>
        <v>Exhibit H.7</v>
      </c>
      <c r="J43" s="385">
        <f t="shared" si="28"/>
        <v>72</v>
      </c>
      <c r="K43" s="385" t="str">
        <f t="shared" si="31"/>
        <v>H</v>
      </c>
      <c r="L43" s="385">
        <f t="shared" si="30"/>
        <v>7</v>
      </c>
    </row>
    <row r="44" spans="2:12">
      <c r="B44" s="359" t="str">
        <f t="shared" si="1"/>
        <v>H.8</v>
      </c>
      <c r="E44" s="281" t="str">
        <f>'Fibrosis IPO Data'!B4</f>
        <v>Fibrosis Companies' IPO Data</v>
      </c>
      <c r="G44" s="391" t="str">
        <f t="shared" si="0"/>
        <v>Exhibit H.8</v>
      </c>
      <c r="J44" s="385">
        <f t="shared" si="28"/>
        <v>72</v>
      </c>
      <c r="K44" s="385" t="str">
        <f t="shared" si="31"/>
        <v>H</v>
      </c>
      <c r="L44" s="385">
        <f t="shared" si="30"/>
        <v>8</v>
      </c>
    </row>
    <row r="45" spans="2:12">
      <c r="B45" s="359" t="str">
        <f t="shared" si="1"/>
        <v>H.9</v>
      </c>
      <c r="E45" s="281" t="str">
        <f>'IPO Data_BioPharma'!B4</f>
        <v>Initial Public Offerings Data</v>
      </c>
      <c r="G45" s="391" t="str">
        <f t="shared" si="0"/>
        <v>Exhibit H.9</v>
      </c>
      <c r="J45" s="385">
        <f t="shared" si="28"/>
        <v>72</v>
      </c>
      <c r="K45" s="385" t="str">
        <f t="shared" si="31"/>
        <v>H</v>
      </c>
      <c r="L45" s="385">
        <f t="shared" si="30"/>
        <v>9</v>
      </c>
    </row>
    <row r="46" spans="2:12" hidden="1" outlineLevel="1">
      <c r="B46" s="359" t="str">
        <f t="shared" si="1"/>
        <v>H.10</v>
      </c>
      <c r="E46" s="281"/>
      <c r="G46" s="391" t="str">
        <f t="shared" si="0"/>
        <v>Exhibit H.10</v>
      </c>
      <c r="J46" s="385">
        <f t="shared" si="28"/>
        <v>72</v>
      </c>
      <c r="K46" s="385" t="str">
        <f t="shared" si="29"/>
        <v>H</v>
      </c>
      <c r="L46" s="385">
        <f t="shared" si="30"/>
        <v>10</v>
      </c>
    </row>
    <row r="47" spans="2:12" hidden="1" outlineLevel="1">
      <c r="B47" s="359" t="str">
        <f t="shared" si="1"/>
        <v>H.11</v>
      </c>
      <c r="E47" s="281"/>
      <c r="G47" s="391" t="str">
        <f t="shared" si="0"/>
        <v>Exhibit H.11</v>
      </c>
      <c r="J47" s="385">
        <f t="shared" si="28"/>
        <v>72</v>
      </c>
      <c r="K47" s="385" t="str">
        <f t="shared" si="29"/>
        <v>H</v>
      </c>
      <c r="L47" s="385">
        <f t="shared" si="30"/>
        <v>11</v>
      </c>
    </row>
    <row r="48" spans="2:12" hidden="1" outlineLevel="1">
      <c r="B48" s="359" t="str">
        <f t="shared" si="1"/>
        <v>H.12</v>
      </c>
      <c r="E48" s="707"/>
      <c r="G48" s="391" t="str">
        <f t="shared" si="0"/>
        <v>Exhibit H.12</v>
      </c>
      <c r="J48" s="385">
        <f t="shared" si="28"/>
        <v>72</v>
      </c>
      <c r="K48" s="385" t="str">
        <f t="shared" si="29"/>
        <v>H</v>
      </c>
      <c r="L48" s="385">
        <f t="shared" si="30"/>
        <v>12</v>
      </c>
    </row>
    <row r="49" spans="2:12" hidden="1" outlineLevel="1">
      <c r="B49" s="359" t="str">
        <f t="shared" si="1"/>
        <v>H.13</v>
      </c>
      <c r="E49" s="375"/>
      <c r="G49" s="391" t="str">
        <f t="shared" ref="G49" si="34">"Exhibit "&amp;B49</f>
        <v>Exhibit H.13</v>
      </c>
      <c r="J49" s="385">
        <f t="shared" si="28"/>
        <v>72</v>
      </c>
      <c r="K49" s="385" t="str">
        <f t="shared" ref="K49" si="35">CHAR(J49)</f>
        <v>H</v>
      </c>
      <c r="L49" s="385">
        <f t="shared" si="30"/>
        <v>13</v>
      </c>
    </row>
    <row r="50" spans="2:12" collapsed="1">
      <c r="B50" s="359" t="s">
        <v>460</v>
      </c>
      <c r="E50" s="281"/>
    </row>
    <row r="51" spans="2:12">
      <c r="B51" s="359" t="str">
        <f>K51&amp;L51</f>
        <v>#1</v>
      </c>
      <c r="E51" s="281" t="str">
        <f>'Hybrid OPM'!B4</f>
        <v>Hybrid OPM</v>
      </c>
      <c r="G51" s="391" t="str">
        <f>"Workpaper "&amp;B51</f>
        <v>Workpaper #1</v>
      </c>
      <c r="K51" s="385" t="s">
        <v>1082</v>
      </c>
      <c r="L51" s="385">
        <v>1</v>
      </c>
    </row>
    <row r="52" spans="2:12">
      <c r="B52" s="359" t="str">
        <f t="shared" ref="B52:B56" si="36">K52&amp;L52</f>
        <v>#2</v>
      </c>
      <c r="E52" s="281" t="str">
        <f>'Waterfall Analysis'!B4</f>
        <v>Waterfall Analysis</v>
      </c>
      <c r="G52" s="391" t="str">
        <f t="shared" ref="G52:G54" si="37">"Workpaper "&amp;B52</f>
        <v>Workpaper #2</v>
      </c>
      <c r="K52" s="385" t="str">
        <f>K51</f>
        <v>#</v>
      </c>
      <c r="L52" s="385">
        <f>L51+1</f>
        <v>2</v>
      </c>
    </row>
    <row r="53" spans="2:12">
      <c r="B53" s="359" t="str">
        <f t="shared" si="36"/>
        <v>#3</v>
      </c>
      <c r="E53" s="281" t="str">
        <f>'Hybrid OPM 1'!B4</f>
        <v>Option Pricing Method - Breakpoints &amp; Allocation (Hybrid OPM)</v>
      </c>
      <c r="G53" s="391" t="str">
        <f t="shared" si="37"/>
        <v>Workpaper #3</v>
      </c>
      <c r="K53" s="385" t="str">
        <f>K52</f>
        <v>#</v>
      </c>
      <c r="L53" s="385">
        <f>L52+1</f>
        <v>3</v>
      </c>
    </row>
    <row r="54" spans="2:12">
      <c r="B54" s="359" t="str">
        <f t="shared" si="36"/>
        <v>#4</v>
      </c>
      <c r="E54" s="281" t="str">
        <f>'Hybrid OPM 2'!B4</f>
        <v>Option Pricing Method - Implied Value Per Share (Hybrid OPM)</v>
      </c>
      <c r="G54" s="391" t="str">
        <f t="shared" si="37"/>
        <v>Workpaper #4</v>
      </c>
      <c r="K54" s="385" t="str">
        <f>K53</f>
        <v>#</v>
      </c>
      <c r="L54" s="385">
        <f>L53+1</f>
        <v>4</v>
      </c>
    </row>
    <row r="55" spans="2:12">
      <c r="B55" s="359" t="str">
        <f t="shared" si="36"/>
        <v>#5</v>
      </c>
      <c r="E55" s="281" t="str">
        <f>'Asset Vol_Hybrid OPM'!B4</f>
        <v>Asset Volatility - Hybrid OPM</v>
      </c>
      <c r="G55" s="391" t="str">
        <f t="shared" ref="G55:G59" si="38">"Workpaper "&amp;B55</f>
        <v>Workpaper #5</v>
      </c>
      <c r="K55" s="385" t="str">
        <f t="shared" ref="K55:K58" si="39">K54</f>
        <v>#</v>
      </c>
      <c r="L55" s="385">
        <f t="shared" ref="L55:L58" si="40">L54+1</f>
        <v>5</v>
      </c>
    </row>
    <row r="56" spans="2:12">
      <c r="B56" s="359" t="str">
        <f t="shared" si="36"/>
        <v>#6</v>
      </c>
      <c r="E56" s="281" t="str">
        <f>'DLOM Hybrid OPM'!B4</f>
        <v>Discount for Lack of Marketability - Hybrid OPM</v>
      </c>
      <c r="G56" s="391" t="str">
        <f t="shared" si="38"/>
        <v>Workpaper #6</v>
      </c>
      <c r="K56" s="385" t="str">
        <f t="shared" si="39"/>
        <v>#</v>
      </c>
      <c r="L56" s="385">
        <f t="shared" si="40"/>
        <v>6</v>
      </c>
    </row>
    <row r="57" spans="2:12">
      <c r="B57" s="359" t="str">
        <f t="shared" ref="B57:B59" si="41">K57&amp;L57</f>
        <v>#7</v>
      </c>
      <c r="E57" s="281" t="str">
        <f>'Market Trends since Prior Val'!B4</f>
        <v>Market Trends since Previous Valuation</v>
      </c>
      <c r="G57" s="391" t="str">
        <f t="shared" si="38"/>
        <v>Workpaper #7</v>
      </c>
      <c r="K57" s="385" t="str">
        <f t="shared" si="39"/>
        <v>#</v>
      </c>
      <c r="L57" s="385">
        <f t="shared" si="40"/>
        <v>7</v>
      </c>
    </row>
    <row r="58" spans="2:12">
      <c r="B58" s="359" t="str">
        <f t="shared" si="41"/>
        <v>#8</v>
      </c>
      <c r="E58" s="281" t="str">
        <f>'Comparative Sheet'!B4</f>
        <v>Comparative Sheet</v>
      </c>
      <c r="G58" s="391" t="str">
        <f t="shared" si="38"/>
        <v>Workpaper #8</v>
      </c>
      <c r="K58" s="385" t="str">
        <f t="shared" si="39"/>
        <v>#</v>
      </c>
      <c r="L58" s="385">
        <f t="shared" si="40"/>
        <v>8</v>
      </c>
    </row>
    <row r="59" spans="2:12" hidden="1" outlineLevel="1">
      <c r="B59" s="359" t="str">
        <f t="shared" si="41"/>
        <v>#9</v>
      </c>
      <c r="E59" s="281" t="str">
        <f>'OPM BackSolve WP'!B4</f>
        <v>Option Pricing Method - Breakpoints &amp; Allocation (OPM Backsolve)</v>
      </c>
      <c r="G59" s="391" t="str">
        <f t="shared" si="38"/>
        <v>Workpaper #9</v>
      </c>
      <c r="K59" s="385" t="s">
        <v>1082</v>
      </c>
      <c r="L59" s="385">
        <f t="shared" ref="L59:L63" si="42">L58+1</f>
        <v>9</v>
      </c>
    </row>
    <row r="60" spans="2:12" hidden="1" outlineLevel="1">
      <c r="B60" s="359" t="str">
        <f t="shared" ref="B60:B63" si="43">K60&amp;L60</f>
        <v>#10</v>
      </c>
      <c r="E60" s="281" t="str">
        <f>'OPM Backsolve WP2'!B4</f>
        <v>Option Pricing Method - Implied Value Per Share (OPM Backsolve)</v>
      </c>
      <c r="G60" s="391" t="str">
        <f t="shared" ref="G60:G63" si="44">"Workpaper "&amp;B60</f>
        <v>Workpaper #10</v>
      </c>
      <c r="K60" s="385" t="s">
        <v>1082</v>
      </c>
      <c r="L60" s="385">
        <f t="shared" si="42"/>
        <v>10</v>
      </c>
    </row>
    <row r="61" spans="2:12" hidden="1" outlineLevel="1">
      <c r="B61" s="359" t="str">
        <f t="shared" si="43"/>
        <v>#11</v>
      </c>
      <c r="E61" s="281" t="str">
        <f>'Asset Vol_OPM BackSolve'!B4</f>
        <v>Asset Volatility - OPM Backsolve</v>
      </c>
      <c r="G61" s="391" t="str">
        <f t="shared" si="44"/>
        <v>Workpaper #11</v>
      </c>
      <c r="K61" s="385" t="str">
        <f t="shared" ref="K61:K63" si="45">K60</f>
        <v>#</v>
      </c>
      <c r="L61" s="385">
        <f t="shared" si="42"/>
        <v>11</v>
      </c>
    </row>
    <row r="62" spans="2:12" hidden="1" outlineLevel="1">
      <c r="B62" s="359" t="str">
        <f t="shared" si="43"/>
        <v>#12</v>
      </c>
      <c r="E62" s="281" t="str">
        <f>'DLOM OPM Backsolve'!B4</f>
        <v>Discount for Lack of Marketability - OPM Backsolve</v>
      </c>
      <c r="G62" s="391" t="str">
        <f t="shared" si="44"/>
        <v>Workpaper #12</v>
      </c>
      <c r="K62" s="385" t="str">
        <f t="shared" si="45"/>
        <v>#</v>
      </c>
      <c r="L62" s="385">
        <f t="shared" si="42"/>
        <v>12</v>
      </c>
    </row>
    <row r="63" spans="2:12" hidden="1" outlineLevel="1">
      <c r="B63" s="359" t="str">
        <f t="shared" si="43"/>
        <v>#13</v>
      </c>
      <c r="E63" s="281" t="str">
        <f>'Additional Adjustment'!B4</f>
        <v>Additional Adjustment Factor Calculation</v>
      </c>
      <c r="G63" s="391" t="str">
        <f t="shared" si="44"/>
        <v>Workpaper #13</v>
      </c>
      <c r="K63" s="385" t="str">
        <f t="shared" si="45"/>
        <v>#</v>
      </c>
      <c r="L63" s="385">
        <f t="shared" si="42"/>
        <v>13</v>
      </c>
    </row>
    <row r="64" spans="2:12" collapsed="1"/>
  </sheetData>
  <conditionalFormatting sqref="B3:G3">
    <cfRule type="cellIs" dxfId="303" priority="33" stopIfTrue="1" operator="equal">
      <formula>"input"</formula>
    </cfRule>
  </conditionalFormatting>
  <conditionalFormatting sqref="B42:B50 B57:B63 B18:B37 B7:B16">
    <cfRule type="expression" dxfId="302" priority="30">
      <formula>OR($B7="Exhibits",$B7="Workpapers")</formula>
    </cfRule>
  </conditionalFormatting>
  <conditionalFormatting sqref="E42:E43 E18:E36 E7:E16">
    <cfRule type="expression" dxfId="301" priority="29">
      <formula>$B7=""</formula>
    </cfRule>
  </conditionalFormatting>
  <conditionalFormatting sqref="G50 G42:G48 G60:G63 G18:G37 G8:G16">
    <cfRule type="expression" dxfId="300" priority="28">
      <formula>$B8="Workpapers"</formula>
    </cfRule>
  </conditionalFormatting>
  <conditionalFormatting sqref="E63">
    <cfRule type="expression" dxfId="299" priority="54">
      <formula>$B61=""</formula>
    </cfRule>
  </conditionalFormatting>
  <conditionalFormatting sqref="E37 E44:E46">
    <cfRule type="expression" dxfId="298" priority="58">
      <formula>$B37=""</formula>
    </cfRule>
  </conditionalFormatting>
  <conditionalFormatting sqref="B17">
    <cfRule type="expression" dxfId="297" priority="25">
      <formula>OR($B17="Exhibits",$B17="Workpapers")</formula>
    </cfRule>
  </conditionalFormatting>
  <conditionalFormatting sqref="E17">
    <cfRule type="expression" dxfId="296" priority="24">
      <formula>$B17=""</formula>
    </cfRule>
  </conditionalFormatting>
  <conditionalFormatting sqref="G17">
    <cfRule type="expression" dxfId="295" priority="23">
      <formula>$B17="Workpapers"</formula>
    </cfRule>
  </conditionalFormatting>
  <conditionalFormatting sqref="E58">
    <cfRule type="expression" dxfId="294" priority="60">
      <formula>#REF!=""</formula>
    </cfRule>
  </conditionalFormatting>
  <conditionalFormatting sqref="E50">
    <cfRule type="expression" dxfId="293" priority="62">
      <formula>$B47=""</formula>
    </cfRule>
  </conditionalFormatting>
  <conditionalFormatting sqref="B51:B56">
    <cfRule type="expression" dxfId="292" priority="18">
      <formula>OR($B51="Exhibits",$B51="Workpapers")</formula>
    </cfRule>
  </conditionalFormatting>
  <conditionalFormatting sqref="G51:G59">
    <cfRule type="expression" dxfId="291" priority="17">
      <formula>$B51="Workpapers"</formula>
    </cfRule>
  </conditionalFormatting>
  <conditionalFormatting sqref="E53">
    <cfRule type="expression" dxfId="290" priority="19">
      <formula>$B51=""</formula>
    </cfRule>
  </conditionalFormatting>
  <conditionalFormatting sqref="E54">
    <cfRule type="expression" dxfId="289" priority="20">
      <formula>#REF!=""</formula>
    </cfRule>
  </conditionalFormatting>
  <conditionalFormatting sqref="E55:E56">
    <cfRule type="expression" dxfId="288" priority="21">
      <formula>$B52=""</formula>
    </cfRule>
  </conditionalFormatting>
  <conditionalFormatting sqref="B38:B41">
    <cfRule type="expression" dxfId="287" priority="13">
      <formula>OR($B38="Exhibits",$B38="Workpapers")</formula>
    </cfRule>
  </conditionalFormatting>
  <conditionalFormatting sqref="G38:G41">
    <cfRule type="expression" dxfId="286" priority="12">
      <formula>$B38="Workpapers"</formula>
    </cfRule>
  </conditionalFormatting>
  <conditionalFormatting sqref="E38:E40">
    <cfRule type="expression" dxfId="285" priority="14">
      <formula>$B38=""</formula>
    </cfRule>
  </conditionalFormatting>
  <conditionalFormatting sqref="G49">
    <cfRule type="expression" dxfId="284" priority="8">
      <formula>$B49="Workpapers"</formula>
    </cfRule>
  </conditionalFormatting>
  <conditionalFormatting sqref="E57:E58">
    <cfRule type="expression" dxfId="283" priority="7">
      <formula>#REF!=""</formula>
    </cfRule>
  </conditionalFormatting>
  <conditionalFormatting sqref="E59">
    <cfRule type="expression" dxfId="282" priority="1">
      <formula>$B57=""</formula>
    </cfRule>
  </conditionalFormatting>
  <conditionalFormatting sqref="E60">
    <cfRule type="expression" dxfId="281" priority="2">
      <formula>#REF!=""</formula>
    </cfRule>
  </conditionalFormatting>
  <conditionalFormatting sqref="E61:E62">
    <cfRule type="expression" dxfId="280" priority="3">
      <formula>$B58=""</formula>
    </cfRule>
  </conditionalFormatting>
  <pageMargins left="0.5" right="0.5" top="0.5" bottom="0.5" header="0.5" footer="0.5"/>
  <pageSetup scale="95" fitToWidth="0" fitToHeight="0"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2"/>
  <sheetViews>
    <sheetView workbookViewId="0"/>
  </sheetViews>
  <sheetFormatPr defaultRowHeight="12.75"/>
  <sheetData>
    <row r="1" spans="1:256">
      <c r="A1">
        <v>437</v>
      </c>
      <c r="B1" t="s">
        <v>2885</v>
      </c>
      <c r="C1" t="s">
        <v>2886</v>
      </c>
      <c r="D1" t="s">
        <v>2887</v>
      </c>
      <c r="E1" t="s">
        <v>2888</v>
      </c>
      <c r="F1" t="s">
        <v>2889</v>
      </c>
      <c r="G1" t="s">
        <v>2890</v>
      </c>
      <c r="H1" t="s">
        <v>2891</v>
      </c>
      <c r="I1" t="s">
        <v>2892</v>
      </c>
      <c r="J1" t="s">
        <v>2893</v>
      </c>
      <c r="K1" t="s">
        <v>2894</v>
      </c>
      <c r="L1" t="s">
        <v>2895</v>
      </c>
      <c r="M1" t="s">
        <v>2896</v>
      </c>
      <c r="N1" t="s">
        <v>2897</v>
      </c>
      <c r="O1" t="s">
        <v>2898</v>
      </c>
      <c r="P1" t="s">
        <v>2899</v>
      </c>
      <c r="Q1" t="s">
        <v>2900</v>
      </c>
      <c r="R1" t="s">
        <v>2901</v>
      </c>
      <c r="S1" t="s">
        <v>2902</v>
      </c>
      <c r="T1" t="s">
        <v>2903</v>
      </c>
      <c r="U1" t="s">
        <v>2904</v>
      </c>
      <c r="V1" t="s">
        <v>2905</v>
      </c>
      <c r="W1" t="s">
        <v>2906</v>
      </c>
      <c r="X1" t="s">
        <v>2907</v>
      </c>
      <c r="Y1" t="s">
        <v>2908</v>
      </c>
      <c r="Z1" t="s">
        <v>2909</v>
      </c>
      <c r="AA1" t="s">
        <v>2910</v>
      </c>
      <c r="AB1" t="s">
        <v>2911</v>
      </c>
      <c r="AC1" t="s">
        <v>2912</v>
      </c>
      <c r="AD1" t="s">
        <v>2913</v>
      </c>
      <c r="AE1" t="s">
        <v>2914</v>
      </c>
      <c r="AF1" t="s">
        <v>2915</v>
      </c>
      <c r="AG1" t="s">
        <v>2916</v>
      </c>
      <c r="AH1" t="s">
        <v>2917</v>
      </c>
      <c r="AI1" t="s">
        <v>2918</v>
      </c>
      <c r="AJ1" t="s">
        <v>2919</v>
      </c>
      <c r="AK1" t="s">
        <v>2920</v>
      </c>
      <c r="AL1" t="s">
        <v>2921</v>
      </c>
      <c r="AM1" t="s">
        <v>2922</v>
      </c>
      <c r="AN1" t="s">
        <v>2923</v>
      </c>
      <c r="AO1" t="s">
        <v>2924</v>
      </c>
      <c r="AP1" t="s">
        <v>2925</v>
      </c>
      <c r="AQ1" t="s">
        <v>2926</v>
      </c>
      <c r="AR1" t="s">
        <v>2927</v>
      </c>
      <c r="AS1" t="s">
        <v>2928</v>
      </c>
      <c r="AT1" t="s">
        <v>2929</v>
      </c>
      <c r="AU1" t="s">
        <v>2930</v>
      </c>
      <c r="AV1" t="s">
        <v>2931</v>
      </c>
      <c r="AW1" t="s">
        <v>2932</v>
      </c>
      <c r="AX1" t="s">
        <v>2933</v>
      </c>
      <c r="AY1" t="s">
        <v>2934</v>
      </c>
      <c r="AZ1" t="s">
        <v>2935</v>
      </c>
      <c r="BA1" t="s">
        <v>2936</v>
      </c>
      <c r="BB1" t="s">
        <v>2937</v>
      </c>
      <c r="BC1" t="s">
        <v>2938</v>
      </c>
      <c r="BD1" t="s">
        <v>2939</v>
      </c>
      <c r="BE1" t="s">
        <v>2940</v>
      </c>
      <c r="BF1" t="s">
        <v>2941</v>
      </c>
      <c r="BG1" t="s">
        <v>2942</v>
      </c>
      <c r="BH1" t="s">
        <v>2943</v>
      </c>
      <c r="BI1" t="s">
        <v>2944</v>
      </c>
      <c r="BJ1" t="s">
        <v>2945</v>
      </c>
      <c r="BK1" t="s">
        <v>2946</v>
      </c>
      <c r="BL1" t="s">
        <v>2947</v>
      </c>
      <c r="BM1" t="s">
        <v>2948</v>
      </c>
      <c r="BN1" t="s">
        <v>2949</v>
      </c>
      <c r="BO1" t="s">
        <v>2950</v>
      </c>
      <c r="BP1" t="s">
        <v>2951</v>
      </c>
      <c r="BQ1" t="s">
        <v>2952</v>
      </c>
      <c r="BR1" t="s">
        <v>2953</v>
      </c>
      <c r="BS1" t="s">
        <v>2954</v>
      </c>
      <c r="BT1" t="s">
        <v>2955</v>
      </c>
      <c r="BU1" t="s">
        <v>2956</v>
      </c>
      <c r="BV1" t="s">
        <v>2957</v>
      </c>
      <c r="BW1" t="s">
        <v>2958</v>
      </c>
      <c r="BX1" t="s">
        <v>2959</v>
      </c>
      <c r="BY1" t="s">
        <v>2960</v>
      </c>
      <c r="BZ1" t="s">
        <v>2961</v>
      </c>
      <c r="CA1" t="s">
        <v>2962</v>
      </c>
      <c r="CB1" t="s">
        <v>2963</v>
      </c>
      <c r="CC1" t="s">
        <v>2964</v>
      </c>
      <c r="CD1" t="s">
        <v>2965</v>
      </c>
      <c r="CE1" t="s">
        <v>2966</v>
      </c>
      <c r="CF1" t="s">
        <v>2967</v>
      </c>
      <c r="CG1" t="s">
        <v>2968</v>
      </c>
      <c r="CH1" t="s">
        <v>2969</v>
      </c>
      <c r="CI1" t="s">
        <v>2970</v>
      </c>
      <c r="CJ1" t="s">
        <v>2971</v>
      </c>
      <c r="CK1" t="s">
        <v>2972</v>
      </c>
      <c r="CL1" t="s">
        <v>2973</v>
      </c>
      <c r="CM1" t="s">
        <v>2974</v>
      </c>
      <c r="CN1" t="s">
        <v>2975</v>
      </c>
      <c r="CO1" t="s">
        <v>2976</v>
      </c>
      <c r="CP1" t="s">
        <v>2977</v>
      </c>
      <c r="CQ1" t="s">
        <v>2978</v>
      </c>
      <c r="CR1" t="s">
        <v>2979</v>
      </c>
      <c r="CS1" t="s">
        <v>2980</v>
      </c>
      <c r="CT1" t="s">
        <v>2981</v>
      </c>
      <c r="CU1" t="s">
        <v>2982</v>
      </c>
      <c r="CV1" t="s">
        <v>2983</v>
      </c>
      <c r="CW1" t="s">
        <v>2984</v>
      </c>
      <c r="CX1" t="s">
        <v>2985</v>
      </c>
      <c r="CY1" t="s">
        <v>2986</v>
      </c>
      <c r="CZ1" t="s">
        <v>2987</v>
      </c>
      <c r="DA1" t="s">
        <v>2988</v>
      </c>
      <c r="DB1" t="s">
        <v>2989</v>
      </c>
      <c r="DC1" t="s">
        <v>2990</v>
      </c>
      <c r="DD1" t="s">
        <v>2991</v>
      </c>
      <c r="DE1" t="s">
        <v>2992</v>
      </c>
      <c r="DF1" t="s">
        <v>2993</v>
      </c>
      <c r="DG1" t="s">
        <v>2994</v>
      </c>
      <c r="DH1" t="s">
        <v>2995</v>
      </c>
      <c r="DI1" t="s">
        <v>2996</v>
      </c>
      <c r="DJ1" t="s">
        <v>2997</v>
      </c>
      <c r="DK1" t="s">
        <v>2998</v>
      </c>
      <c r="DL1" t="s">
        <v>2999</v>
      </c>
      <c r="DM1" t="s">
        <v>3000</v>
      </c>
      <c r="DN1" t="s">
        <v>3001</v>
      </c>
      <c r="DO1" t="s">
        <v>3002</v>
      </c>
      <c r="DP1" t="s">
        <v>3003</v>
      </c>
      <c r="DQ1" t="s">
        <v>3004</v>
      </c>
      <c r="DR1" t="s">
        <v>3005</v>
      </c>
      <c r="DS1" t="s">
        <v>3006</v>
      </c>
      <c r="DT1" t="s">
        <v>3007</v>
      </c>
      <c r="DU1" t="s">
        <v>3008</v>
      </c>
      <c r="DV1" t="s">
        <v>3009</v>
      </c>
      <c r="DW1" t="s">
        <v>3010</v>
      </c>
      <c r="DX1" t="s">
        <v>3011</v>
      </c>
      <c r="DY1" t="s">
        <v>3012</v>
      </c>
      <c r="DZ1" t="s">
        <v>3013</v>
      </c>
      <c r="EA1" t="s">
        <v>3014</v>
      </c>
      <c r="EB1" t="s">
        <v>3015</v>
      </c>
      <c r="EC1" t="s">
        <v>3016</v>
      </c>
      <c r="ED1" t="s">
        <v>3017</v>
      </c>
      <c r="EE1" t="s">
        <v>3018</v>
      </c>
      <c r="EF1" t="s">
        <v>3019</v>
      </c>
      <c r="EG1" t="s">
        <v>3020</v>
      </c>
      <c r="EH1" t="s">
        <v>3021</v>
      </c>
      <c r="EI1" t="s">
        <v>3022</v>
      </c>
      <c r="EJ1" t="s">
        <v>3023</v>
      </c>
      <c r="EK1" t="s">
        <v>3024</v>
      </c>
      <c r="EL1" t="s">
        <v>3025</v>
      </c>
      <c r="EM1" t="s">
        <v>3026</v>
      </c>
      <c r="EN1" t="s">
        <v>3027</v>
      </c>
      <c r="EO1" t="s">
        <v>3028</v>
      </c>
      <c r="EP1" t="s">
        <v>3029</v>
      </c>
      <c r="EQ1" t="s">
        <v>3030</v>
      </c>
      <c r="ER1" t="s">
        <v>3031</v>
      </c>
      <c r="ES1" t="s">
        <v>3032</v>
      </c>
      <c r="ET1" t="s">
        <v>3033</v>
      </c>
      <c r="EU1" t="s">
        <v>3034</v>
      </c>
      <c r="EV1" t="s">
        <v>3035</v>
      </c>
      <c r="EW1" t="s">
        <v>3036</v>
      </c>
      <c r="EX1" t="s">
        <v>3037</v>
      </c>
      <c r="EY1" t="s">
        <v>3038</v>
      </c>
      <c r="EZ1" t="s">
        <v>3039</v>
      </c>
      <c r="FA1" t="s">
        <v>3040</v>
      </c>
      <c r="FB1" t="s">
        <v>3041</v>
      </c>
      <c r="FC1" t="s">
        <v>3042</v>
      </c>
      <c r="FD1" t="s">
        <v>3043</v>
      </c>
      <c r="FE1" t="s">
        <v>3044</v>
      </c>
      <c r="FF1" t="s">
        <v>3045</v>
      </c>
      <c r="FG1" t="s">
        <v>3046</v>
      </c>
      <c r="FH1" t="s">
        <v>3047</v>
      </c>
      <c r="FI1" t="s">
        <v>3048</v>
      </c>
      <c r="FJ1" t="s">
        <v>3049</v>
      </c>
      <c r="FK1" t="s">
        <v>3050</v>
      </c>
      <c r="FL1" t="s">
        <v>3051</v>
      </c>
      <c r="FM1" t="s">
        <v>3052</v>
      </c>
      <c r="FN1" t="s">
        <v>3053</v>
      </c>
      <c r="FO1" t="s">
        <v>3054</v>
      </c>
      <c r="FP1" t="s">
        <v>3055</v>
      </c>
      <c r="FQ1" t="s">
        <v>3056</v>
      </c>
      <c r="FR1" t="s">
        <v>3057</v>
      </c>
      <c r="FS1" t="s">
        <v>3058</v>
      </c>
      <c r="FT1" t="s">
        <v>3059</v>
      </c>
      <c r="FU1" t="s">
        <v>3060</v>
      </c>
      <c r="FV1" t="s">
        <v>3061</v>
      </c>
      <c r="FW1" t="s">
        <v>3062</v>
      </c>
      <c r="FX1" t="s">
        <v>3063</v>
      </c>
      <c r="FY1" t="s">
        <v>3064</v>
      </c>
      <c r="FZ1" t="s">
        <v>3065</v>
      </c>
      <c r="GA1" t="s">
        <v>3066</v>
      </c>
      <c r="GB1" t="s">
        <v>3067</v>
      </c>
      <c r="GC1" t="s">
        <v>3068</v>
      </c>
      <c r="GD1" t="s">
        <v>3069</v>
      </c>
      <c r="GE1" t="s">
        <v>3070</v>
      </c>
      <c r="GF1" t="s">
        <v>3071</v>
      </c>
      <c r="GG1" t="s">
        <v>3072</v>
      </c>
      <c r="GH1" t="s">
        <v>3073</v>
      </c>
      <c r="GI1" t="s">
        <v>3074</v>
      </c>
      <c r="GJ1" t="s">
        <v>3075</v>
      </c>
      <c r="GK1" t="s">
        <v>3076</v>
      </c>
      <c r="GL1" t="s">
        <v>3077</v>
      </c>
      <c r="GM1" t="s">
        <v>3078</v>
      </c>
      <c r="GN1" t="s">
        <v>3079</v>
      </c>
      <c r="GO1" t="s">
        <v>3080</v>
      </c>
      <c r="GP1" t="s">
        <v>3081</v>
      </c>
      <c r="GQ1" t="s">
        <v>3082</v>
      </c>
      <c r="GR1" t="s">
        <v>3083</v>
      </c>
      <c r="GS1" t="s">
        <v>3084</v>
      </c>
      <c r="GT1" t="s">
        <v>3085</v>
      </c>
      <c r="GU1" t="s">
        <v>3086</v>
      </c>
      <c r="GV1" t="s">
        <v>3087</v>
      </c>
      <c r="GW1" t="s">
        <v>3088</v>
      </c>
      <c r="GX1" t="s">
        <v>3089</v>
      </c>
      <c r="GY1" t="s">
        <v>3090</v>
      </c>
      <c r="GZ1" t="s">
        <v>3091</v>
      </c>
      <c r="HA1" t="s">
        <v>3092</v>
      </c>
      <c r="HB1" t="s">
        <v>3093</v>
      </c>
      <c r="HC1" t="s">
        <v>3094</v>
      </c>
      <c r="HD1" t="s">
        <v>3095</v>
      </c>
      <c r="HE1" t="s">
        <v>3096</v>
      </c>
      <c r="HF1" t="s">
        <v>3097</v>
      </c>
      <c r="HG1" t="s">
        <v>3098</v>
      </c>
      <c r="HH1" t="s">
        <v>3099</v>
      </c>
      <c r="HI1" t="s">
        <v>3100</v>
      </c>
      <c r="HJ1" t="s">
        <v>3101</v>
      </c>
      <c r="HK1" t="s">
        <v>3102</v>
      </c>
      <c r="HL1" t="s">
        <v>3103</v>
      </c>
      <c r="HM1" t="s">
        <v>3104</v>
      </c>
      <c r="HN1" t="s">
        <v>3105</v>
      </c>
      <c r="HO1" t="s">
        <v>3106</v>
      </c>
      <c r="HP1" t="s">
        <v>3107</v>
      </c>
      <c r="HQ1" t="s">
        <v>3108</v>
      </c>
      <c r="HR1" t="s">
        <v>3109</v>
      </c>
      <c r="HS1" t="s">
        <v>3110</v>
      </c>
      <c r="HT1" t="s">
        <v>3111</v>
      </c>
      <c r="HU1" t="s">
        <v>3112</v>
      </c>
      <c r="HV1" t="s">
        <v>3113</v>
      </c>
      <c r="HW1" t="s">
        <v>3114</v>
      </c>
      <c r="HX1" t="s">
        <v>3115</v>
      </c>
      <c r="HY1" t="s">
        <v>3116</v>
      </c>
      <c r="HZ1" t="s">
        <v>3117</v>
      </c>
      <c r="IA1" t="s">
        <v>3118</v>
      </c>
      <c r="IB1" t="s">
        <v>3119</v>
      </c>
      <c r="IC1" t="s">
        <v>3120</v>
      </c>
      <c r="ID1" t="s">
        <v>3121</v>
      </c>
      <c r="IE1" t="s">
        <v>3122</v>
      </c>
      <c r="IF1" t="s">
        <v>3123</v>
      </c>
      <c r="IG1" t="s">
        <v>3124</v>
      </c>
      <c r="IH1" t="s">
        <v>3125</v>
      </c>
      <c r="II1" t="s">
        <v>3126</v>
      </c>
      <c r="IJ1" t="s">
        <v>3127</v>
      </c>
      <c r="IK1" t="s">
        <v>3128</v>
      </c>
      <c r="IL1" t="s">
        <v>3129</v>
      </c>
      <c r="IM1" t="s">
        <v>3130</v>
      </c>
      <c r="IN1" t="s">
        <v>3131</v>
      </c>
      <c r="IO1" t="s">
        <v>3132</v>
      </c>
      <c r="IP1" t="s">
        <v>3133</v>
      </c>
      <c r="IQ1" t="s">
        <v>3134</v>
      </c>
      <c r="IR1" t="s">
        <v>3135</v>
      </c>
      <c r="IS1" t="s">
        <v>3136</v>
      </c>
      <c r="IT1" t="s">
        <v>3137</v>
      </c>
      <c r="IU1" t="s">
        <v>3138</v>
      </c>
      <c r="IV1" t="s">
        <v>3139</v>
      </c>
    </row>
    <row r="2" spans="1:256">
      <c r="A2" t="s">
        <v>3140</v>
      </c>
      <c r="B2" t="s">
        <v>3141</v>
      </c>
      <c r="C2" t="s">
        <v>3142</v>
      </c>
      <c r="D2" t="s">
        <v>3143</v>
      </c>
      <c r="E2" t="s">
        <v>3144</v>
      </c>
      <c r="F2" t="s">
        <v>3145</v>
      </c>
      <c r="G2" t="s">
        <v>3146</v>
      </c>
      <c r="H2" t="s">
        <v>3147</v>
      </c>
      <c r="I2" t="s">
        <v>3148</v>
      </c>
      <c r="J2" t="s">
        <v>3149</v>
      </c>
      <c r="K2" t="s">
        <v>3150</v>
      </c>
      <c r="L2" t="s">
        <v>3151</v>
      </c>
      <c r="M2" t="s">
        <v>3152</v>
      </c>
      <c r="N2" t="s">
        <v>3153</v>
      </c>
      <c r="O2" t="s">
        <v>3154</v>
      </c>
      <c r="P2" t="s">
        <v>3155</v>
      </c>
      <c r="Q2" t="s">
        <v>3156</v>
      </c>
      <c r="R2" t="s">
        <v>3157</v>
      </c>
      <c r="S2" t="s">
        <v>3158</v>
      </c>
      <c r="T2" t="s">
        <v>3159</v>
      </c>
      <c r="U2" t="s">
        <v>3160</v>
      </c>
      <c r="V2" t="s">
        <v>3161</v>
      </c>
      <c r="W2" t="s">
        <v>3162</v>
      </c>
      <c r="X2" t="s">
        <v>3163</v>
      </c>
      <c r="Y2" t="s">
        <v>3164</v>
      </c>
      <c r="Z2" t="s">
        <v>3165</v>
      </c>
      <c r="AA2" t="s">
        <v>3166</v>
      </c>
      <c r="AB2" t="s">
        <v>3167</v>
      </c>
      <c r="AC2" t="s">
        <v>3168</v>
      </c>
      <c r="AD2" t="s">
        <v>3169</v>
      </c>
      <c r="AE2" t="s">
        <v>3170</v>
      </c>
      <c r="AF2" t="s">
        <v>3171</v>
      </c>
      <c r="AG2" t="s">
        <v>3172</v>
      </c>
      <c r="AH2" t="s">
        <v>3173</v>
      </c>
      <c r="AI2" t="s">
        <v>3174</v>
      </c>
      <c r="AJ2" t="s">
        <v>3175</v>
      </c>
      <c r="AK2" t="s">
        <v>3176</v>
      </c>
      <c r="AL2" t="s">
        <v>3177</v>
      </c>
      <c r="AM2" t="s">
        <v>3178</v>
      </c>
      <c r="AN2" t="s">
        <v>3179</v>
      </c>
      <c r="AO2" t="s">
        <v>3180</v>
      </c>
      <c r="AP2" t="s">
        <v>3181</v>
      </c>
      <c r="AQ2" t="s">
        <v>3182</v>
      </c>
      <c r="AR2" t="s">
        <v>3183</v>
      </c>
      <c r="AS2" t="s">
        <v>3184</v>
      </c>
      <c r="AT2" t="s">
        <v>3185</v>
      </c>
      <c r="AU2" t="s">
        <v>3186</v>
      </c>
      <c r="AV2" t="s">
        <v>3187</v>
      </c>
      <c r="AW2" t="s">
        <v>3188</v>
      </c>
      <c r="AX2" t="s">
        <v>3189</v>
      </c>
      <c r="AY2" t="s">
        <v>3190</v>
      </c>
      <c r="AZ2" t="s">
        <v>3191</v>
      </c>
      <c r="BA2" t="s">
        <v>3192</v>
      </c>
      <c r="BB2" t="s">
        <v>3193</v>
      </c>
      <c r="BC2" t="s">
        <v>3194</v>
      </c>
      <c r="BD2" t="s">
        <v>3195</v>
      </c>
      <c r="BE2" t="s">
        <v>3196</v>
      </c>
      <c r="BF2" t="s">
        <v>3197</v>
      </c>
      <c r="BG2" t="s">
        <v>3198</v>
      </c>
      <c r="BH2" t="s">
        <v>3199</v>
      </c>
      <c r="BI2" t="s">
        <v>3200</v>
      </c>
      <c r="BJ2" t="s">
        <v>3201</v>
      </c>
      <c r="BK2" t="s">
        <v>3202</v>
      </c>
      <c r="BL2" t="s">
        <v>3203</v>
      </c>
      <c r="BM2" t="s">
        <v>3204</v>
      </c>
      <c r="BN2" t="s">
        <v>3205</v>
      </c>
      <c r="BO2" t="s">
        <v>3206</v>
      </c>
      <c r="BP2" t="s">
        <v>3207</v>
      </c>
      <c r="BQ2" t="s">
        <v>3208</v>
      </c>
      <c r="BR2" t="s">
        <v>3209</v>
      </c>
      <c r="BS2" t="s">
        <v>3210</v>
      </c>
      <c r="BT2" t="s">
        <v>3211</v>
      </c>
      <c r="BU2" t="s">
        <v>3212</v>
      </c>
      <c r="BV2" t="s">
        <v>3213</v>
      </c>
      <c r="BW2" t="s">
        <v>3214</v>
      </c>
      <c r="BX2" t="s">
        <v>3215</v>
      </c>
      <c r="BY2" t="s">
        <v>3216</v>
      </c>
      <c r="BZ2" t="s">
        <v>3217</v>
      </c>
      <c r="CA2" t="s">
        <v>3218</v>
      </c>
      <c r="CB2" t="s">
        <v>3219</v>
      </c>
      <c r="CC2" t="s">
        <v>3220</v>
      </c>
      <c r="CD2" t="s">
        <v>3221</v>
      </c>
      <c r="CE2" t="s">
        <v>3222</v>
      </c>
      <c r="CF2" t="s">
        <v>3223</v>
      </c>
      <c r="CG2" t="s">
        <v>3224</v>
      </c>
      <c r="CH2" t="s">
        <v>3225</v>
      </c>
      <c r="CI2" t="s">
        <v>3226</v>
      </c>
      <c r="CJ2" t="s">
        <v>3227</v>
      </c>
      <c r="CK2" t="s">
        <v>3228</v>
      </c>
      <c r="CL2" t="s">
        <v>3229</v>
      </c>
      <c r="CM2" t="s">
        <v>3230</v>
      </c>
      <c r="CN2" t="s">
        <v>3231</v>
      </c>
      <c r="CO2" t="s">
        <v>3232</v>
      </c>
      <c r="CP2" t="s">
        <v>3233</v>
      </c>
      <c r="CQ2" t="s">
        <v>3234</v>
      </c>
      <c r="CR2" t="s">
        <v>3235</v>
      </c>
      <c r="CS2" t="s">
        <v>3236</v>
      </c>
      <c r="CT2" t="s">
        <v>3237</v>
      </c>
      <c r="CU2" t="s">
        <v>3238</v>
      </c>
      <c r="CV2" t="s">
        <v>3239</v>
      </c>
      <c r="CW2" t="s">
        <v>3240</v>
      </c>
      <c r="CX2" t="s">
        <v>3241</v>
      </c>
      <c r="CY2" t="s">
        <v>3242</v>
      </c>
      <c r="CZ2" t="s">
        <v>3243</v>
      </c>
      <c r="DA2" t="s">
        <v>3244</v>
      </c>
      <c r="DB2" t="s">
        <v>3245</v>
      </c>
      <c r="DC2" t="s">
        <v>3246</v>
      </c>
      <c r="DD2" t="s">
        <v>3247</v>
      </c>
      <c r="DE2" t="s">
        <v>3248</v>
      </c>
      <c r="DF2" t="s">
        <v>3249</v>
      </c>
      <c r="DG2" t="s">
        <v>3250</v>
      </c>
      <c r="DH2" t="s">
        <v>3251</v>
      </c>
      <c r="DI2" t="s">
        <v>3252</v>
      </c>
      <c r="DJ2" t="s">
        <v>3253</v>
      </c>
      <c r="DK2" t="s">
        <v>3254</v>
      </c>
      <c r="DL2" t="s">
        <v>3255</v>
      </c>
      <c r="DM2" t="s">
        <v>3256</v>
      </c>
      <c r="DN2" t="s">
        <v>3257</v>
      </c>
      <c r="DO2" t="s">
        <v>3258</v>
      </c>
      <c r="DP2" t="s">
        <v>3259</v>
      </c>
      <c r="DQ2" t="s">
        <v>3260</v>
      </c>
      <c r="DR2" t="s">
        <v>3261</v>
      </c>
      <c r="DS2" t="s">
        <v>3262</v>
      </c>
      <c r="DT2" t="s">
        <v>3263</v>
      </c>
      <c r="DU2" t="s">
        <v>3264</v>
      </c>
      <c r="DV2" t="s">
        <v>3265</v>
      </c>
      <c r="DW2" t="s">
        <v>3266</v>
      </c>
      <c r="DX2" t="s">
        <v>3267</v>
      </c>
      <c r="DY2" t="s">
        <v>3268</v>
      </c>
      <c r="DZ2" t="s">
        <v>3269</v>
      </c>
      <c r="EA2" t="s">
        <v>3270</v>
      </c>
      <c r="EB2" t="s">
        <v>3271</v>
      </c>
      <c r="EC2" t="s">
        <v>3272</v>
      </c>
      <c r="ED2" t="s">
        <v>3273</v>
      </c>
      <c r="EE2" t="s">
        <v>3274</v>
      </c>
      <c r="EF2" t="s">
        <v>3275</v>
      </c>
      <c r="EG2" t="s">
        <v>3276</v>
      </c>
      <c r="EH2" t="s">
        <v>3277</v>
      </c>
      <c r="EI2" t="s">
        <v>3278</v>
      </c>
      <c r="EJ2" t="s">
        <v>3279</v>
      </c>
      <c r="EK2" t="s">
        <v>3280</v>
      </c>
      <c r="EL2" t="s">
        <v>3281</v>
      </c>
      <c r="EM2" t="s">
        <v>3282</v>
      </c>
      <c r="EN2" t="s">
        <v>3283</v>
      </c>
      <c r="EO2" t="s">
        <v>3284</v>
      </c>
      <c r="EP2" t="s">
        <v>3285</v>
      </c>
      <c r="EQ2" t="s">
        <v>3286</v>
      </c>
      <c r="ER2" t="s">
        <v>3287</v>
      </c>
      <c r="ES2" t="s">
        <v>3288</v>
      </c>
      <c r="ET2" t="s">
        <v>3289</v>
      </c>
      <c r="EU2" t="s">
        <v>3290</v>
      </c>
      <c r="EV2" t="s">
        <v>3291</v>
      </c>
      <c r="EW2" t="s">
        <v>3292</v>
      </c>
      <c r="EX2" t="s">
        <v>3293</v>
      </c>
      <c r="EY2" t="s">
        <v>3294</v>
      </c>
      <c r="EZ2" t="s">
        <v>3295</v>
      </c>
      <c r="FA2" t="s">
        <v>3296</v>
      </c>
      <c r="FB2" t="s">
        <v>3297</v>
      </c>
      <c r="FC2" t="s">
        <v>3298</v>
      </c>
      <c r="FD2" t="s">
        <v>3299</v>
      </c>
      <c r="FE2" t="s">
        <v>3300</v>
      </c>
      <c r="FF2" t="s">
        <v>3301</v>
      </c>
      <c r="FG2" t="s">
        <v>3302</v>
      </c>
      <c r="FH2" t="s">
        <v>3303</v>
      </c>
      <c r="FI2" t="s">
        <v>3304</v>
      </c>
      <c r="FJ2" t="s">
        <v>3305</v>
      </c>
      <c r="FK2" t="s">
        <v>3306</v>
      </c>
      <c r="FL2" t="s">
        <v>3307</v>
      </c>
      <c r="FM2" t="s">
        <v>3308</v>
      </c>
      <c r="FN2" t="s">
        <v>3309</v>
      </c>
      <c r="FO2" t="s">
        <v>3310</v>
      </c>
      <c r="FP2" t="s">
        <v>3311</v>
      </c>
      <c r="FQ2" t="s">
        <v>3312</v>
      </c>
      <c r="FR2" t="s">
        <v>3313</v>
      </c>
      <c r="FS2" t="s">
        <v>3314</v>
      </c>
      <c r="FT2" t="s">
        <v>3315</v>
      </c>
      <c r="FU2" t="s">
        <v>3316</v>
      </c>
      <c r="FV2" t="s">
        <v>3317</v>
      </c>
      <c r="FW2" t="s">
        <v>3318</v>
      </c>
      <c r="FX2" t="s">
        <v>3319</v>
      </c>
      <c r="FY2" t="s">
        <v>3320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M37"/>
  <sheetViews>
    <sheetView showGridLines="0" view="pageBreakPreview" zoomScaleNormal="145" zoomScaleSheetLayoutView="100" workbookViewId="0">
      <selection activeCell="D9" sqref="D9"/>
    </sheetView>
  </sheetViews>
  <sheetFormatPr defaultRowHeight="12.75"/>
  <cols>
    <col min="1" max="1" width="4.5" style="385" customWidth="1"/>
    <col min="2" max="2" width="66.5" style="385" customWidth="1"/>
    <col min="3" max="3" width="2.83203125" style="385" customWidth="1"/>
    <col min="4" max="4" width="22.83203125" style="385" customWidth="1"/>
    <col min="5" max="5" width="4" style="385" customWidth="1"/>
    <col min="6" max="6" width="23.5" style="385" customWidth="1"/>
    <col min="7" max="7" width="2.83203125" style="385" customWidth="1"/>
    <col min="8" max="8" width="19.83203125" style="385" customWidth="1"/>
    <col min="9" max="9" width="4.5" style="385" customWidth="1"/>
    <col min="10" max="10" width="17" style="385" customWidth="1"/>
    <col min="11" max="11" width="9.33203125" style="385"/>
    <col min="12" max="12" width="9.5" style="385" bestFit="1" customWidth="1"/>
    <col min="13" max="13" width="9.6640625" style="385" bestFit="1" customWidth="1"/>
    <col min="14" max="14" width="9.6640625" style="385" customWidth="1"/>
    <col min="15" max="16" width="9.6640625" style="385" bestFit="1" customWidth="1"/>
    <col min="17" max="16384" width="9.33203125" style="385"/>
  </cols>
  <sheetData>
    <row r="1" spans="1:13" ht="10.7" customHeight="1" thickBot="1"/>
    <row r="2" spans="1:13" ht="16.5" customHeight="1" thickTop="1">
      <c r="B2" s="10" t="str">
        <f>'MASTER PubCo Inputs'!$C$5</f>
        <v>Pliant Therapeutics, Inc.</v>
      </c>
      <c r="C2" s="10"/>
      <c r="D2" s="10"/>
      <c r="E2" s="10"/>
      <c r="F2" s="10"/>
      <c r="G2" s="10"/>
      <c r="H2" s="10"/>
      <c r="J2" s="687" t="s">
        <v>637</v>
      </c>
      <c r="K2" s="688"/>
      <c r="L2" s="689"/>
      <c r="M2" s="385" t="b">
        <v>1</v>
      </c>
    </row>
    <row r="3" spans="1:13" ht="15.75" customHeight="1">
      <c r="B3" s="11" t="str">
        <f>VLOOKUP(B4,Outline!$E$8:$G$69,COLUMNS(Outline!$E$8:$G$8),FALSE)</f>
        <v>Exhibit A.1</v>
      </c>
      <c r="C3" s="11"/>
      <c r="D3" s="11"/>
      <c r="E3" s="11"/>
      <c r="F3" s="11"/>
      <c r="G3" s="11"/>
      <c r="H3" s="11"/>
      <c r="J3" s="690" t="s">
        <v>85</v>
      </c>
      <c r="K3" s="691" t="s">
        <v>93</v>
      </c>
      <c r="L3" s="692" t="s">
        <v>638</v>
      </c>
      <c r="M3" s="964" t="e">
        <f ca="1">IF(AND(J4=$M$2,K4=$M$2,L4=$M$2,J5=$M$2,K5=$M$2,L5=$M$2,J6=$M$2,K6=$M$2,L6=$M$2),"","Check")</f>
        <v>#NAME?</v>
      </c>
    </row>
    <row r="4" spans="1:13" ht="16.5" customHeight="1" thickBot="1">
      <c r="B4" s="12" t="s">
        <v>74</v>
      </c>
      <c r="C4" s="12"/>
      <c r="D4" s="12"/>
      <c r="E4" s="12"/>
      <c r="F4" s="12"/>
      <c r="G4" s="12"/>
      <c r="H4" s="13" t="str">
        <f>+'MASTER PubCo Inputs'!$C$19</f>
        <v>(in thousands of USD, except price per share)</v>
      </c>
      <c r="J4" s="693" t="e">
        <f ca="1">+'Comp.1'!AF2</f>
        <v>#NAME?</v>
      </c>
      <c r="K4" s="344" t="e">
        <f ca="1">+'Comp.2'!AB2</f>
        <v>#NAME?</v>
      </c>
      <c r="L4" s="694" t="e">
        <f ca="1">+Trans.1!AR3</f>
        <v>#NAME?</v>
      </c>
    </row>
    <row r="5" spans="1:13" ht="12.75" customHeight="1" thickTop="1">
      <c r="J5" s="693" t="e">
        <f ca="1">+'Comp.1'!AF3</f>
        <v>#NAME?</v>
      </c>
      <c r="K5" s="344" t="e">
        <f ca="1">+'Comp.2'!AB3</f>
        <v>#NAME?</v>
      </c>
      <c r="L5" s="694" t="e">
        <f ca="1">+Trans.1!AR4</f>
        <v>#NAME?</v>
      </c>
    </row>
    <row r="6" spans="1:13" ht="12.75" customHeight="1">
      <c r="J6" s="311" t="e">
        <f ca="1">+'Comp.1'!AF4</f>
        <v>#NAME?</v>
      </c>
      <c r="K6" s="695" t="e">
        <f ca="1">+'Comp.2'!AB4</f>
        <v>#NAME?</v>
      </c>
      <c r="L6" s="696" t="e">
        <f ca="1">+Trans.1!AR5</f>
        <v>#NAME?</v>
      </c>
    </row>
    <row r="7" spans="1:13" s="6" customFormat="1">
      <c r="B7" s="31" t="s">
        <v>77</v>
      </c>
      <c r="D7" s="1950" t="s">
        <v>76</v>
      </c>
      <c r="E7" s="298"/>
      <c r="F7" s="561" t="s">
        <v>78</v>
      </c>
      <c r="H7" s="30" t="s">
        <v>5</v>
      </c>
      <c r="J7" s="30" t="s">
        <v>1467</v>
      </c>
    </row>
    <row r="8" spans="1:13" ht="12.75" customHeight="1"/>
    <row r="9" spans="1:13" ht="12.75" customHeight="1">
      <c r="B9" s="385" t="s">
        <v>2305</v>
      </c>
      <c r="D9" s="428">
        <f>ROUND(PWERM_2!B195,-2)</f>
        <v>147700</v>
      </c>
      <c r="F9" s="461">
        <f ca="1">PWERM_2!B108</f>
        <v>0.29182253688483567</v>
      </c>
      <c r="H9" s="281" t="str">
        <f>PWERM_2!B3</f>
        <v>Workpaper 3</v>
      </c>
      <c r="J9" s="461">
        <f>PWERM_2!F183</f>
        <v>1.3742914032097344</v>
      </c>
    </row>
    <row r="10" spans="1:13" ht="12.75" customHeight="1"/>
    <row r="11" spans="1:13" ht="12.75" customHeight="1">
      <c r="B11" s="26" t="s">
        <v>80</v>
      </c>
      <c r="C11" s="27"/>
      <c r="D11" s="27"/>
      <c r="E11" s="27"/>
      <c r="F11" s="374">
        <f ca="1">F9</f>
        <v>0.29182253688483567</v>
      </c>
      <c r="J11" s="1892">
        <v>0.28999999999999998</v>
      </c>
      <c r="K11" s="385" t="s">
        <v>498</v>
      </c>
    </row>
    <row r="12" spans="1:13" ht="12.75" customHeight="1">
      <c r="J12" s="960" t="str">
        <f ca="1">IF(OR(F11-J11&gt;0.01,F11-J11&lt;-0.01),"Check","")</f>
        <v/>
      </c>
      <c r="K12" s="177" t="s">
        <v>1434</v>
      </c>
    </row>
    <row r="13" spans="1:13" ht="12.75" customHeight="1">
      <c r="B13" s="8"/>
    </row>
    <row r="14" spans="1:13" ht="12.75" customHeight="1">
      <c r="A14" s="714"/>
      <c r="B14" s="713"/>
      <c r="C14" s="414"/>
      <c r="D14" s="293" t="s">
        <v>459</v>
      </c>
      <c r="F14" s="356">
        <f ca="1">F11/'Econ Rights'!$F$11</f>
        <v>0.21197249719244254</v>
      </c>
      <c r="G14" s="414"/>
    </row>
    <row r="15" spans="1:13" ht="12.75" customHeight="1">
      <c r="A15" s="714"/>
      <c r="B15" s="713"/>
      <c r="C15" s="414"/>
      <c r="D15" s="414"/>
      <c r="E15" s="414"/>
      <c r="F15" s="414"/>
      <c r="G15" s="414"/>
    </row>
    <row r="16" spans="1:13" ht="12.75" customHeight="1">
      <c r="B16" s="1567"/>
      <c r="C16" s="1541"/>
      <c r="D16" s="1541"/>
      <c r="E16" s="1541"/>
      <c r="F16" s="1541"/>
      <c r="G16" s="1541"/>
      <c r="H16" s="1541"/>
      <c r="I16" s="1541"/>
      <c r="J16" s="1541"/>
      <c r="K16" s="1568"/>
    </row>
    <row r="17" spans="2:11">
      <c r="B17" s="335" t="s">
        <v>2270</v>
      </c>
      <c r="C17" s="16"/>
      <c r="D17" s="1569">
        <f>'Hybrid OPM'!C37</f>
        <v>138000</v>
      </c>
      <c r="E17" s="16"/>
      <c r="F17" s="1570">
        <f ca="1">'Hybrid OPM'!C33</f>
        <v>0.47643459553393552</v>
      </c>
      <c r="G17" s="16"/>
      <c r="H17" s="1571" t="str">
        <f>'Hybrid OPM'!B3</f>
        <v>Workpaper #1</v>
      </c>
      <c r="I17" s="16"/>
      <c r="J17" s="461">
        <f ca="1">'Hybrid OPM'!C35</f>
        <v>1.3767000002578116</v>
      </c>
      <c r="K17" s="197"/>
    </row>
    <row r="18" spans="2:11">
      <c r="B18" s="335"/>
      <c r="C18" s="16"/>
      <c r="D18" s="16"/>
      <c r="E18" s="16"/>
      <c r="F18" s="16"/>
      <c r="G18" s="16"/>
      <c r="H18" s="16"/>
      <c r="I18" s="16"/>
      <c r="J18" s="16"/>
      <c r="K18" s="197"/>
    </row>
    <row r="19" spans="2:11">
      <c r="B19" s="335" t="s">
        <v>2284</v>
      </c>
      <c r="C19" s="16"/>
      <c r="D19" s="16"/>
      <c r="E19" s="16"/>
      <c r="F19" s="1572">
        <f ca="1">F17/'Econ Rights'!$F$11</f>
        <v>0.3460700192735785</v>
      </c>
      <c r="G19" s="16"/>
      <c r="H19" s="16"/>
      <c r="I19" s="16"/>
      <c r="J19" s="16"/>
      <c r="K19" s="197"/>
    </row>
    <row r="20" spans="2:11">
      <c r="B20" s="900"/>
      <c r="C20" s="5"/>
      <c r="D20" s="5"/>
      <c r="E20" s="5"/>
      <c r="F20" s="5"/>
      <c r="G20" s="5"/>
      <c r="H20" s="5"/>
      <c r="I20" s="5"/>
      <c r="J20" s="5"/>
      <c r="K20" s="427"/>
    </row>
    <row r="22" spans="2:11">
      <c r="B22" s="1567" t="s">
        <v>520</v>
      </c>
      <c r="C22" s="1541"/>
      <c r="D22" s="1541"/>
      <c r="E22" s="1541"/>
      <c r="F22" s="1541"/>
      <c r="G22" s="1541"/>
      <c r="H22" s="1541"/>
      <c r="I22" s="1541"/>
      <c r="J22" s="1541"/>
      <c r="K22" s="1568"/>
    </row>
    <row r="23" spans="2:11">
      <c r="B23" s="335" t="s">
        <v>2276</v>
      </c>
      <c r="C23" s="16"/>
      <c r="D23" s="1569">
        <f>'Comparative Sheet'!D14</f>
        <v>4790</v>
      </c>
      <c r="E23" s="16"/>
      <c r="F23" s="1570">
        <f>'Comparative Sheet'!D19</f>
        <v>1.40059229789887E-2</v>
      </c>
      <c r="G23" s="16"/>
      <c r="H23" s="1571" t="str">
        <f>'Comparative Sheet'!B3</f>
        <v>Workpaper #8</v>
      </c>
      <c r="I23" s="16"/>
      <c r="J23" s="1573">
        <f>'Comparative Sheet'!D126</f>
        <v>1</v>
      </c>
      <c r="K23" s="197"/>
    </row>
    <row r="24" spans="2:11">
      <c r="B24" s="335"/>
      <c r="C24" s="16"/>
      <c r="D24" s="16"/>
      <c r="E24" s="16"/>
      <c r="F24" s="16"/>
      <c r="G24" s="16"/>
      <c r="H24" s="16"/>
      <c r="I24" s="16"/>
      <c r="J24" s="16"/>
      <c r="K24" s="197"/>
    </row>
    <row r="25" spans="2:11">
      <c r="B25" s="335" t="s">
        <v>2284</v>
      </c>
      <c r="C25" s="16"/>
      <c r="D25" s="16"/>
      <c r="E25" s="16"/>
      <c r="F25" s="1951">
        <f>'Comparative Sheet'!D20</f>
        <v>1.40059229789887E-2</v>
      </c>
      <c r="G25" s="16"/>
      <c r="H25" s="16"/>
      <c r="I25" s="16"/>
      <c r="J25" s="16"/>
      <c r="K25" s="197"/>
    </row>
    <row r="26" spans="2:11">
      <c r="B26" s="900"/>
      <c r="C26" s="5"/>
      <c r="D26" s="5"/>
      <c r="E26" s="5"/>
      <c r="F26" s="5"/>
      <c r="G26" s="5"/>
      <c r="H26" s="5"/>
      <c r="I26" s="5"/>
      <c r="J26" s="5"/>
      <c r="K26" s="427"/>
    </row>
    <row r="33" spans="4:8">
      <c r="D33" s="2182"/>
      <c r="E33" s="589"/>
      <c r="F33" s="2183"/>
      <c r="G33" s="16"/>
      <c r="H33" s="2183"/>
    </row>
    <row r="34" spans="4:8">
      <c r="D34" s="16"/>
      <c r="E34" s="16"/>
      <c r="F34" s="16"/>
      <c r="G34" s="16"/>
      <c r="H34" s="16"/>
    </row>
    <row r="35" spans="4:8">
      <c r="D35" s="16"/>
      <c r="E35" s="16"/>
      <c r="F35" s="16"/>
      <c r="G35" s="16"/>
      <c r="H35" s="16"/>
    </row>
    <row r="36" spans="4:8">
      <c r="D36" s="16"/>
      <c r="E36" s="16"/>
      <c r="F36" s="16"/>
      <c r="G36" s="16"/>
      <c r="H36" s="16"/>
    </row>
    <row r="37" spans="4:8">
      <c r="D37" s="16"/>
      <c r="E37" s="16"/>
      <c r="F37" s="16"/>
      <c r="G37" s="16"/>
      <c r="H37" s="16"/>
    </row>
  </sheetData>
  <conditionalFormatting sqref="B4:G4">
    <cfRule type="cellIs" dxfId="279" priority="6" stopIfTrue="1" operator="equal">
      <formula>"input"</formula>
    </cfRule>
  </conditionalFormatting>
  <conditionalFormatting sqref="H4">
    <cfRule type="cellIs" dxfId="278" priority="3" stopIfTrue="1" operator="equal">
      <formula>"input"</formula>
    </cfRule>
  </conditionalFormatting>
  <conditionalFormatting sqref="H4">
    <cfRule type="cellIs" dxfId="277" priority="4" stopIfTrue="1" operator="equal">
      <formula>"input"</formula>
    </cfRule>
  </conditionalFormatting>
  <pageMargins left="0.5" right="0.5" top="0.5" bottom="0.5" header="0.5" footer="0.5"/>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06" style="259" customWidth="1"/>
    <col min="5" max="5" width="15.83203125" style="258" customWidth="1"/>
    <col min="6" max="6" width="3.83203125" style="258" customWidth="1"/>
    <col min="7" max="7" width="4.5" style="258" customWidth="1"/>
    <col min="8" max="8" width="9.33203125" style="258"/>
    <col min="9" max="9" width="16.33203125" style="258" bestFit="1" customWidth="1"/>
    <col min="10" max="10" width="19" style="258" bestFit="1" customWidth="1"/>
    <col min="11" max="16384" width="9.33203125" style="258"/>
  </cols>
  <sheetData>
    <row r="6" spans="2:6">
      <c r="B6" s="260"/>
      <c r="C6" s="249"/>
      <c r="D6" s="250"/>
      <c r="E6" s="249"/>
      <c r="F6" s="249"/>
    </row>
    <row r="7" spans="2:6" ht="15.75" thickBot="1">
      <c r="B7" s="260"/>
      <c r="C7" s="249"/>
      <c r="D7" s="250"/>
      <c r="E7" s="249"/>
      <c r="F7" s="249"/>
    </row>
    <row r="8" spans="2:6" ht="15.75" thickTop="1">
      <c r="B8" s="14"/>
      <c r="C8" s="261"/>
      <c r="D8" s="262"/>
      <c r="E8" s="261"/>
      <c r="F8" s="261"/>
    </row>
    <row r="9" spans="2:6" s="263" customFormat="1" ht="40.5">
      <c r="B9" s="264"/>
      <c r="C9" s="265"/>
      <c r="D9" s="266" t="s">
        <v>81</v>
      </c>
      <c r="E9" s="265"/>
      <c r="F9" s="265"/>
    </row>
    <row r="10" spans="2:6" ht="15.75" thickBot="1">
      <c r="B10" s="253"/>
      <c r="C10" s="268"/>
      <c r="D10" s="269"/>
      <c r="E10" s="268"/>
      <c r="F10" s="268"/>
    </row>
    <row r="11" spans="2:6" ht="15.75" thickTop="1"/>
    <row r="13" spans="2:6" ht="18.75">
      <c r="D13" s="254"/>
    </row>
    <row r="14" spans="2:6" ht="18.75">
      <c r="D14" s="255"/>
    </row>
    <row r="27" spans="4:4" ht="23.25">
      <c r="D27" s="856" t="s">
        <v>646</v>
      </c>
    </row>
    <row r="29" spans="4:4" ht="18.75">
      <c r="D29" s="256" t="s">
        <v>470</v>
      </c>
    </row>
    <row r="30" spans="4:4" ht="37.5">
      <c r="D30" s="257" t="s">
        <v>295</v>
      </c>
    </row>
  </sheetData>
  <pageMargins left="0.5" right="0.5" top="0.5" bottom="0.5" header="0.5" footer="0.5"/>
  <pageSetup scale="9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U209"/>
  <sheetViews>
    <sheetView showGridLines="0" view="pageBreakPreview" zoomScaleNormal="100" zoomScaleSheetLayoutView="100" workbookViewId="0"/>
  </sheetViews>
  <sheetFormatPr defaultRowHeight="12.75"/>
  <cols>
    <col min="1" max="1" width="4.5" style="385" customWidth="1"/>
    <col min="2" max="2" width="42.1640625" style="385" customWidth="1"/>
    <col min="3" max="10" width="15.83203125" style="385" customWidth="1"/>
    <col min="11" max="11" width="4.83203125" style="385" customWidth="1"/>
    <col min="12" max="12" width="15.33203125" style="385" customWidth="1"/>
    <col min="13" max="13" width="21.1640625" style="385" customWidth="1"/>
    <col min="14" max="14" width="20.33203125" style="385" customWidth="1"/>
    <col min="15" max="15" width="20.83203125" style="385" bestFit="1" customWidth="1"/>
    <col min="16" max="16" width="23.33203125" style="385" customWidth="1"/>
    <col min="17" max="17" width="22.33203125" style="385" customWidth="1"/>
    <col min="18" max="18" width="23" style="385" customWidth="1"/>
    <col min="19" max="16384" width="9.33203125" style="385"/>
  </cols>
  <sheetData>
    <row r="1" spans="2:15" ht="13.5" thickBot="1"/>
    <row r="2" spans="2:15" ht="16.5" thickTop="1">
      <c r="B2" s="10" t="str">
        <f>'MASTER PubCo Inputs'!$C$5</f>
        <v>Pliant Therapeutics, Inc.</v>
      </c>
      <c r="C2" s="10"/>
      <c r="D2" s="10"/>
      <c r="E2" s="10"/>
      <c r="F2" s="10"/>
      <c r="G2" s="10"/>
      <c r="H2" s="10"/>
      <c r="I2" s="10"/>
      <c r="J2" s="10"/>
      <c r="L2" s="2125"/>
      <c r="M2" s="2128" t="s">
        <v>2840</v>
      </c>
      <c r="N2" s="2128" t="s">
        <v>2845</v>
      </c>
      <c r="O2" s="2129" t="s">
        <v>2846</v>
      </c>
    </row>
    <row r="3" spans="2:15" ht="15.75">
      <c r="B3" s="11" t="str">
        <f>VLOOKUP(B4,Outline!$E$8:$G$69,COLUMNS(Outline!$E$8:$G$8),FALSE)</f>
        <v>Exhibit B.2</v>
      </c>
      <c r="C3" s="11"/>
      <c r="D3" s="11"/>
      <c r="E3" s="11"/>
      <c r="F3" s="11"/>
      <c r="G3" s="11"/>
      <c r="H3" s="11"/>
      <c r="I3" s="11"/>
      <c r="J3" s="11"/>
      <c r="L3" s="2130" t="s">
        <v>2843</v>
      </c>
      <c r="M3" s="925" t="s">
        <v>2841</v>
      </c>
      <c r="N3" s="16" t="str">
        <f>CONCATENATE(M3," - ",C43)</f>
        <v>PLN-74809 - Phase Ib</v>
      </c>
      <c r="O3" s="197" t="str">
        <f>CONCATENATE(M3," - ",C44)</f>
        <v>PLN-74809 - Phase IIa</v>
      </c>
    </row>
    <row r="4" spans="2:15" ht="16.5" thickBot="1">
      <c r="B4" s="12" t="s">
        <v>437</v>
      </c>
      <c r="C4" s="12"/>
      <c r="D4" s="12"/>
      <c r="E4" s="12"/>
      <c r="F4" s="12"/>
      <c r="G4" s="12"/>
      <c r="H4" s="13"/>
      <c r="I4" s="13"/>
      <c r="J4" s="13" t="str">
        <f>+'MASTER PubCo Inputs'!$C$21</f>
        <v>(in thousands of USD)</v>
      </c>
      <c r="L4" s="1972" t="s">
        <v>2844</v>
      </c>
      <c r="M4" s="2126" t="s">
        <v>2842</v>
      </c>
      <c r="N4" s="1932" t="str">
        <f>CONCATENATE(M4," - ",D43)</f>
        <v>αvβ1 - IND</v>
      </c>
      <c r="O4" s="2127" t="str">
        <f>CONCATENATE(M4," - ",D44)</f>
        <v>αvβ1 - Phase Ib</v>
      </c>
    </row>
    <row r="5" spans="2:15" s="74" customFormat="1" ht="16.5" thickTop="1">
      <c r="B5" s="244"/>
      <c r="C5" s="244"/>
      <c r="D5" s="244"/>
      <c r="E5" s="244"/>
      <c r="F5" s="244"/>
      <c r="G5" s="244"/>
      <c r="H5" s="984"/>
      <c r="I5" s="984"/>
    </row>
    <row r="6" spans="2:15" ht="42" customHeight="1">
      <c r="B6" s="716"/>
      <c r="C6" s="716"/>
      <c r="D6" s="876" t="str">
        <f>"Success Probability of PLN-74809 "&amp;TEXT(A51,"(0)")</f>
        <v>Success Probability of PLN-74809 (1)</v>
      </c>
      <c r="E6" s="877" t="str">
        <f>"Success Probability of αvβ1 "&amp;TEXT(A51,"(0)")</f>
        <v>Success Probability of αvβ1 (1)</v>
      </c>
      <c r="F6" s="877" t="s">
        <v>2874</v>
      </c>
      <c r="G6" s="2090" t="s">
        <v>2839</v>
      </c>
      <c r="H6" s="877" t="s">
        <v>407</v>
      </c>
      <c r="I6" s="2090" t="s">
        <v>2836</v>
      </c>
      <c r="J6" s="1598" t="s">
        <v>2837</v>
      </c>
    </row>
    <row r="7" spans="2:15">
      <c r="B7" s="716"/>
      <c r="C7" s="716"/>
      <c r="D7" s="716"/>
      <c r="E7" s="716"/>
      <c r="F7" s="716"/>
      <c r="G7" s="716"/>
      <c r="H7" s="716"/>
      <c r="I7" s="716"/>
      <c r="J7" s="716"/>
    </row>
    <row r="8" spans="2:15">
      <c r="B8" s="2086" t="str">
        <f>CONCATENATE(B35," (as of ",TEXT(I35,"MM/DD/YY"),")")</f>
        <v>PLN-74809 - Phase Ib / αvβ1 - IND (as of 12/31/19)</v>
      </c>
      <c r="C8" s="2092"/>
      <c r="D8" s="2087">
        <f>PoTS!B52</f>
        <v>0.65</v>
      </c>
      <c r="E8" s="2088">
        <f>PoTS!B56</f>
        <v>0.7</v>
      </c>
      <c r="F8" s="716"/>
      <c r="G8" s="716"/>
      <c r="H8" s="716"/>
      <c r="I8" s="716"/>
      <c r="J8" s="716"/>
    </row>
    <row r="9" spans="2:15">
      <c r="B9" s="2096" t="str">
        <f>CONCATENATE(B35," are both Successful")</f>
        <v>PLN-74809 - Phase Ib / αvβ1 - IND are both Successful</v>
      </c>
      <c r="C9" s="879"/>
      <c r="D9" s="1638">
        <f>D8</f>
        <v>0.65</v>
      </c>
      <c r="E9" s="1638">
        <f>E8</f>
        <v>0.7</v>
      </c>
      <c r="F9" s="881" t="s">
        <v>1</v>
      </c>
      <c r="G9" s="880">
        <f>PRODUCT(D9:E9)</f>
        <v>0.45499999999999996</v>
      </c>
      <c r="H9" s="1985">
        <v>0.1</v>
      </c>
      <c r="I9" s="882">
        <f>PRODUCT(G9,H9)</f>
        <v>4.5499999999999999E-2</v>
      </c>
      <c r="J9" s="882">
        <f>G9*IFERROR((1-H9),1)</f>
        <v>0.40949999999999998</v>
      </c>
      <c r="L9" s="1948">
        <f>PWERM_2!L20</f>
        <v>1.3742914032097344</v>
      </c>
      <c r="N9" s="385" t="s">
        <v>2531</v>
      </c>
    </row>
    <row r="10" spans="2:15">
      <c r="B10" s="2096" t="str">
        <f>CONCATENATE("Only ",N3," is Successful")</f>
        <v>Only PLN-74809 - Phase Ib is Successful</v>
      </c>
      <c r="C10" s="879"/>
      <c r="D10" s="1638">
        <f>D8</f>
        <v>0.65</v>
      </c>
      <c r="E10" s="2089">
        <f>1-E8</f>
        <v>0.30000000000000004</v>
      </c>
      <c r="F10" s="883" t="str">
        <f>F9</f>
        <v>n/a</v>
      </c>
      <c r="G10" s="880">
        <f>PRODUCT(D10:E10)</f>
        <v>0.19500000000000003</v>
      </c>
      <c r="H10" s="1985">
        <f>H9</f>
        <v>0.1</v>
      </c>
      <c r="I10" s="882">
        <f t="shared" ref="I10:I12" si="0">PRODUCT(G10,H10)</f>
        <v>1.9500000000000003E-2</v>
      </c>
      <c r="J10" s="882">
        <f t="shared" ref="J10:J12" si="1">G10*IFERROR((1-H10),1)</f>
        <v>0.17550000000000004</v>
      </c>
      <c r="L10" s="1949">
        <f ca="1">PWERM_2!L21</f>
        <v>0.29182253688483567</v>
      </c>
      <c r="N10" s="385" t="s">
        <v>2532</v>
      </c>
    </row>
    <row r="11" spans="2:15">
      <c r="B11" s="2096" t="str">
        <f>CONCATENATE("Only ",N4," is Successful")</f>
        <v>Only αvβ1 - IND is Successful</v>
      </c>
      <c r="C11" s="879"/>
      <c r="D11" s="2089">
        <f>1-D8</f>
        <v>0.35</v>
      </c>
      <c r="E11" s="1638">
        <f>E8</f>
        <v>0.7</v>
      </c>
      <c r="F11" s="883" t="str">
        <f t="shared" ref="F11:F12" si="2">F10</f>
        <v>n/a</v>
      </c>
      <c r="G11" s="880">
        <f>PRODUCT(D11:E11)</f>
        <v>0.24499999999999997</v>
      </c>
      <c r="H11" s="1985">
        <v>0</v>
      </c>
      <c r="I11" s="882">
        <f t="shared" si="0"/>
        <v>0</v>
      </c>
      <c r="J11" s="882">
        <f t="shared" si="1"/>
        <v>0.24499999999999997</v>
      </c>
    </row>
    <row r="12" spans="2:15">
      <c r="B12" s="2096" t="str">
        <f>CONCATENATE("Both ",B35," Fail")</f>
        <v>Both PLN-74809 - Phase Ib / αvβ1 - IND Fail</v>
      </c>
      <c r="C12" s="879"/>
      <c r="D12" s="2089">
        <f>1-D8</f>
        <v>0.35</v>
      </c>
      <c r="E12" s="2089">
        <f>1-E8</f>
        <v>0.30000000000000004</v>
      </c>
      <c r="F12" s="883" t="str">
        <f t="shared" si="2"/>
        <v>n/a</v>
      </c>
      <c r="G12" s="880">
        <f>PRODUCT(D12:E12)</f>
        <v>0.10500000000000001</v>
      </c>
      <c r="H12" s="1985">
        <v>1</v>
      </c>
      <c r="I12" s="882">
        <f t="shared" si="0"/>
        <v>0.10500000000000001</v>
      </c>
      <c r="J12" s="882">
        <f t="shared" si="1"/>
        <v>0</v>
      </c>
    </row>
    <row r="13" spans="2:15">
      <c r="B13" s="884"/>
      <c r="C13" s="884"/>
      <c r="D13" s="875"/>
      <c r="E13" s="875"/>
      <c r="F13" s="721"/>
      <c r="G13" s="721"/>
      <c r="H13" s="716"/>
      <c r="I13" s="716"/>
      <c r="J13" s="716"/>
    </row>
    <row r="14" spans="2:15" ht="13.5">
      <c r="B14" s="2095" t="str">
        <f>CONCATENATE("Both ",B35," are Successful")</f>
        <v>Both PLN-74809 - Phase Ib / αvβ1 - IND are Successful</v>
      </c>
      <c r="C14" s="884"/>
      <c r="D14" s="875"/>
      <c r="E14" s="875"/>
      <c r="F14" s="721"/>
      <c r="G14" s="721"/>
      <c r="H14" s="716"/>
      <c r="I14" s="716"/>
      <c r="J14" s="716"/>
    </row>
    <row r="15" spans="2:15">
      <c r="B15" s="2086" t="str">
        <f>CONCATENATE(B37," (as of ",TEXT(I37,"MM/DD/YY"),")")</f>
        <v>PLN-74809 - Phase IIa / αvβ1 - Phase Ib (as of 06/30/21)</v>
      </c>
      <c r="C15" s="2092"/>
      <c r="D15" s="2087">
        <f>PoTS!C52</f>
        <v>0.65</v>
      </c>
      <c r="E15" s="2093">
        <f>PoTS!C56</f>
        <v>0.65</v>
      </c>
      <c r="F15" s="2088">
        <f>J9</f>
        <v>0.40949999999999998</v>
      </c>
      <c r="G15" s="2094"/>
      <c r="H15" s="716"/>
      <c r="I15" s="716"/>
      <c r="J15" s="716"/>
    </row>
    <row r="16" spans="2:15">
      <c r="B16" s="2096" t="str">
        <f>CONCATENATE(B37," are both Successful")</f>
        <v>PLN-74809 - Phase IIa / αvβ1 - Phase Ib are both Successful</v>
      </c>
      <c r="C16" s="879"/>
      <c r="D16" s="1638">
        <f>D15</f>
        <v>0.65</v>
      </c>
      <c r="E16" s="1638">
        <f>E15</f>
        <v>0.65</v>
      </c>
      <c r="F16" s="1638">
        <f>F15</f>
        <v>0.40949999999999998</v>
      </c>
      <c r="G16" s="880">
        <f>PRODUCT(D16,E16,F16)</f>
        <v>0.17301374999999999</v>
      </c>
      <c r="H16" s="878">
        <v>1</v>
      </c>
      <c r="I16" s="882">
        <f>PRODUCT(G16,H16)</f>
        <v>0.17301374999999999</v>
      </c>
      <c r="J16" s="882">
        <f>G16*IFERROR((1-H16),1)</f>
        <v>0</v>
      </c>
    </row>
    <row r="17" spans="2:10">
      <c r="B17" s="2096" t="str">
        <f>CONCATENATE("Only ",O3," is Successful")</f>
        <v>Only PLN-74809 - Phase IIa is Successful</v>
      </c>
      <c r="C17" s="879"/>
      <c r="D17" s="1638">
        <f>D15</f>
        <v>0.65</v>
      </c>
      <c r="E17" s="2089">
        <f>1-E15</f>
        <v>0.35</v>
      </c>
      <c r="F17" s="1638">
        <f>F15</f>
        <v>0.40949999999999998</v>
      </c>
      <c r="G17" s="880">
        <f>PRODUCT(D17,E17,F17)</f>
        <v>9.3161249999999987E-2</v>
      </c>
      <c r="H17" s="878">
        <v>1</v>
      </c>
      <c r="I17" s="882">
        <f t="shared" ref="I17:I19" si="3">PRODUCT(G17,H17)</f>
        <v>9.3161249999999987E-2</v>
      </c>
      <c r="J17" s="882">
        <f t="shared" ref="J17:J19" si="4">G17*IFERROR((1-H17),1)</f>
        <v>0</v>
      </c>
    </row>
    <row r="18" spans="2:10">
      <c r="B18" s="2096" t="str">
        <f>CONCATENATE("Only ",O4," is Successful")</f>
        <v>Only αvβ1 - Phase Ib is Successful</v>
      </c>
      <c r="C18" s="879"/>
      <c r="D18" s="2089">
        <f>1-D15</f>
        <v>0.35</v>
      </c>
      <c r="E18" s="1638">
        <f>E15</f>
        <v>0.65</v>
      </c>
      <c r="F18" s="1637">
        <f>F15</f>
        <v>0.40949999999999998</v>
      </c>
      <c r="G18" s="880">
        <f>PRODUCT(D18,E18,F18)</f>
        <v>9.3161249999999987E-2</v>
      </c>
      <c r="H18" s="885">
        <f>H17</f>
        <v>1</v>
      </c>
      <c r="I18" s="882">
        <f t="shared" si="3"/>
        <v>9.3161249999999987E-2</v>
      </c>
      <c r="J18" s="882">
        <f t="shared" si="4"/>
        <v>0</v>
      </c>
    </row>
    <row r="19" spans="2:10">
      <c r="B19" s="2096" t="str">
        <f>CONCATENATE("Both ",B37," Fail")</f>
        <v>Both PLN-74809 - Phase IIa / αvβ1 - Phase Ib Fail</v>
      </c>
      <c r="C19" s="879"/>
      <c r="D19" s="2089">
        <f>1-D15</f>
        <v>0.35</v>
      </c>
      <c r="E19" s="2089">
        <f>1-E15</f>
        <v>0.35</v>
      </c>
      <c r="F19" s="880">
        <f>F15</f>
        <v>0.40949999999999998</v>
      </c>
      <c r="G19" s="885">
        <f>PRODUCT(D19,E19,F19)</f>
        <v>5.0163749999999993E-2</v>
      </c>
      <c r="H19" s="885">
        <f>H12</f>
        <v>1</v>
      </c>
      <c r="I19" s="882">
        <f t="shared" si="3"/>
        <v>5.0163749999999993E-2</v>
      </c>
      <c r="J19" s="882">
        <f t="shared" si="4"/>
        <v>0</v>
      </c>
    </row>
    <row r="20" spans="2:10">
      <c r="B20" s="879"/>
      <c r="C20" s="879"/>
      <c r="D20" s="875"/>
      <c r="E20" s="875"/>
      <c r="F20" s="880"/>
      <c r="G20" s="880"/>
      <c r="H20" s="878"/>
      <c r="I20" s="878"/>
      <c r="J20" s="885"/>
    </row>
    <row r="21" spans="2:10" ht="13.5">
      <c r="B21" s="2095" t="str">
        <f>CONCATENATE("Only ",N3," is Successful")</f>
        <v>Only PLN-74809 - Phase Ib is Successful</v>
      </c>
      <c r="C21" s="884"/>
      <c r="D21" s="875"/>
      <c r="E21" s="875"/>
      <c r="F21" s="721"/>
      <c r="G21" s="721"/>
      <c r="H21" s="716"/>
      <c r="I21" s="716"/>
      <c r="J21" s="716"/>
    </row>
    <row r="22" spans="2:10">
      <c r="B22" s="2086" t="str">
        <f>CONCATENATE(O3," (as of ",TEXT(I37,"MM/DD/YY"),")")</f>
        <v>PLN-74809 - Phase IIa (as of 06/30/21)</v>
      </c>
      <c r="C22" s="2092"/>
      <c r="D22" s="2087">
        <f>D15</f>
        <v>0.65</v>
      </c>
      <c r="E22" s="2097" t="s">
        <v>1</v>
      </c>
      <c r="F22" s="2088">
        <f>J10</f>
        <v>0.17550000000000004</v>
      </c>
      <c r="G22" s="2094"/>
      <c r="H22" s="716"/>
      <c r="I22" s="716"/>
      <c r="J22" s="716"/>
    </row>
    <row r="23" spans="2:10">
      <c r="B23" s="2096" t="str">
        <f>CONCATENATE(O3," is Successful")</f>
        <v>PLN-74809 - Phase IIa is Successful</v>
      </c>
      <c r="C23" s="879"/>
      <c r="D23" s="1638">
        <f>D22</f>
        <v>0.65</v>
      </c>
      <c r="E23" s="2098" t="str">
        <f>E22</f>
        <v>n/a</v>
      </c>
      <c r="F23" s="1638">
        <f>F22</f>
        <v>0.17550000000000004</v>
      </c>
      <c r="G23" s="883">
        <f>PRODUCT(D23,E23,F23)</f>
        <v>0.11407500000000004</v>
      </c>
      <c r="H23" s="885">
        <f>H17</f>
        <v>1</v>
      </c>
      <c r="I23" s="882">
        <f t="shared" ref="I23:I24" si="5">PRODUCT(G23,H23)</f>
        <v>0.11407500000000004</v>
      </c>
      <c r="J23" s="882">
        <f>G23*IFERROR((1-H23),1)</f>
        <v>0</v>
      </c>
    </row>
    <row r="24" spans="2:10">
      <c r="B24" s="2096" t="str">
        <f>CONCATENATE(O3," Fails")</f>
        <v>PLN-74809 - Phase IIa Fails</v>
      </c>
      <c r="C24" s="879"/>
      <c r="D24" s="2089">
        <f>1-D22</f>
        <v>0.35</v>
      </c>
      <c r="E24" s="2098" t="str">
        <f t="shared" ref="D24:E29" si="6">E23</f>
        <v>n/a</v>
      </c>
      <c r="F24" s="2179">
        <f>F22</f>
        <v>0.17550000000000004</v>
      </c>
      <c r="G24" s="880">
        <f>PRODUCT(D24,E24,F24)</f>
        <v>6.1425000000000014E-2</v>
      </c>
      <c r="H24" s="885">
        <f>H12</f>
        <v>1</v>
      </c>
      <c r="I24" s="882">
        <f t="shared" si="5"/>
        <v>6.1425000000000014E-2</v>
      </c>
      <c r="J24" s="882">
        <f>G24*IFERROR((1-H24),1)</f>
        <v>0</v>
      </c>
    </row>
    <row r="25" spans="2:10">
      <c r="B25" s="2096"/>
      <c r="C25" s="879"/>
      <c r="D25" s="2089"/>
      <c r="E25" s="2098"/>
      <c r="F25" s="1638"/>
      <c r="G25" s="880"/>
      <c r="H25" s="878"/>
      <c r="I25" s="882"/>
      <c r="J25" s="885"/>
    </row>
    <row r="26" spans="2:10" ht="13.5">
      <c r="B26" s="2095" t="str">
        <f>CONCATENATE("Only ",N4," is Successful")</f>
        <v>Only αvβ1 - IND is Successful</v>
      </c>
      <c r="C26" s="884"/>
      <c r="D26" s="875"/>
      <c r="E26" s="875"/>
      <c r="F26" s="721"/>
      <c r="G26" s="880"/>
      <c r="H26" s="878"/>
      <c r="I26" s="882"/>
      <c r="J26" s="885"/>
    </row>
    <row r="27" spans="2:10">
      <c r="B27" s="2086" t="str">
        <f>CONCATENATE(O4," (as of ",TEXT(H43,"MM/DD/YY"),")")</f>
        <v>αvβ1 - Phase Ib (as of 12/31/19)</v>
      </c>
      <c r="C27" s="2092"/>
      <c r="D27" s="2097" t="s">
        <v>1</v>
      </c>
      <c r="E27" s="2087">
        <f>E15</f>
        <v>0.65</v>
      </c>
      <c r="F27" s="2088">
        <f>J11</f>
        <v>0.24499999999999997</v>
      </c>
      <c r="G27" s="880"/>
      <c r="H27" s="878"/>
      <c r="I27" s="878"/>
      <c r="J27" s="885"/>
    </row>
    <row r="28" spans="2:10">
      <c r="B28" s="2096" t="str">
        <f>CONCATENATE(O4," is Successful")</f>
        <v>αvβ1 - Phase Ib is Successful</v>
      </c>
      <c r="C28" s="879"/>
      <c r="D28" s="2098" t="str">
        <f>D27</f>
        <v>n/a</v>
      </c>
      <c r="E28" s="1638">
        <f>E27</f>
        <v>0.65</v>
      </c>
      <c r="F28" s="1637">
        <f>F27</f>
        <v>0.24499999999999997</v>
      </c>
      <c r="G28" s="880">
        <f>PRODUCT(D28,E28,F28)</f>
        <v>0.15924999999999997</v>
      </c>
      <c r="H28" s="885">
        <f>H18</f>
        <v>1</v>
      </c>
      <c r="I28" s="882">
        <f t="shared" ref="I28:I29" si="7">PRODUCT(G28,H28)</f>
        <v>0.15924999999999997</v>
      </c>
      <c r="J28" s="882">
        <f>G28*IFERROR((1-H28),1)</f>
        <v>0</v>
      </c>
    </row>
    <row r="29" spans="2:10">
      <c r="B29" s="2096" t="str">
        <f>CONCATENATE(O4," Fails")</f>
        <v>αvβ1 - Phase Ib Fails</v>
      </c>
      <c r="C29" s="879"/>
      <c r="D29" s="2098" t="str">
        <f t="shared" si="6"/>
        <v>n/a</v>
      </c>
      <c r="E29" s="2089">
        <f>1-E27</f>
        <v>0.35</v>
      </c>
      <c r="F29" s="1637">
        <f>F27</f>
        <v>0.24499999999999997</v>
      </c>
      <c r="G29" s="880">
        <f>PRODUCT(D29,E29,F29)</f>
        <v>8.5749999999999979E-2</v>
      </c>
      <c r="H29" s="885">
        <f>H12</f>
        <v>1</v>
      </c>
      <c r="I29" s="882">
        <f t="shared" si="7"/>
        <v>8.5749999999999979E-2</v>
      </c>
      <c r="J29" s="882">
        <f>G29*IFERROR((1-H29),1)</f>
        <v>0</v>
      </c>
    </row>
    <row r="30" spans="2:10">
      <c r="B30" s="879"/>
      <c r="C30" s="879"/>
      <c r="D30" s="875"/>
      <c r="E30" s="875"/>
      <c r="F30" s="880"/>
      <c r="G30" s="880"/>
      <c r="H30" s="878"/>
      <c r="I30" s="878"/>
      <c r="J30" s="885"/>
    </row>
    <row r="31" spans="2:10">
      <c r="B31" s="2102" t="str">
        <f>CONCATENATE("Sum of ",I6,"s")</f>
        <v>Sum of Cumulative Probability of Exits</v>
      </c>
      <c r="C31" s="2099"/>
      <c r="D31" s="2099"/>
      <c r="E31" s="2099"/>
      <c r="F31" s="2099"/>
      <c r="G31" s="2099"/>
      <c r="H31" s="2099"/>
      <c r="I31" s="2131">
        <f>SUM(I9:I29)</f>
        <v>1</v>
      </c>
    </row>
    <row r="32" spans="2:10" s="74" customFormat="1" ht="15.75">
      <c r="B32" s="244"/>
      <c r="C32" s="244"/>
      <c r="D32" s="244"/>
      <c r="E32" s="244"/>
      <c r="F32" s="244"/>
      <c r="G32" s="244"/>
      <c r="H32" s="984"/>
      <c r="I32" s="984"/>
    </row>
    <row r="33" spans="2:15" ht="42" customHeight="1">
      <c r="B33" s="313" t="s">
        <v>2858</v>
      </c>
      <c r="C33" s="2100" t="s">
        <v>2857</v>
      </c>
      <c r="D33" s="312" t="str">
        <f>E41</f>
        <v>Status - PLN-74809</v>
      </c>
      <c r="E33" s="312" t="str">
        <f>F41</f>
        <v>Status - αvβ1</v>
      </c>
      <c r="F33" s="560" t="s">
        <v>407</v>
      </c>
      <c r="G33" s="560" t="s">
        <v>626</v>
      </c>
      <c r="H33" s="560" t="s">
        <v>2860</v>
      </c>
      <c r="I33" s="563" t="s">
        <v>408</v>
      </c>
      <c r="L33" s="314" t="s">
        <v>409</v>
      </c>
      <c r="M33" s="314"/>
      <c r="N33" s="804" t="s">
        <v>410</v>
      </c>
      <c r="O33" s="805"/>
    </row>
    <row r="34" spans="2:15" ht="5.0999999999999996" customHeight="1">
      <c r="L34" s="315"/>
      <c r="M34" s="315"/>
      <c r="N34" s="391"/>
    </row>
    <row r="35" spans="2:15">
      <c r="B35" s="316" t="s">
        <v>2480</v>
      </c>
      <c r="C35" s="1386" t="s">
        <v>2855</v>
      </c>
      <c r="D35" s="2293" t="s">
        <v>2859</v>
      </c>
      <c r="E35" s="2293"/>
      <c r="F35" s="799">
        <f>H9</f>
        <v>0.1</v>
      </c>
      <c r="G35" s="800">
        <v>1</v>
      </c>
      <c r="H35" s="799">
        <f>1-G35</f>
        <v>0</v>
      </c>
      <c r="I35" s="886">
        <v>43830</v>
      </c>
      <c r="J35" s="317"/>
      <c r="K35" s="317"/>
      <c r="L35" s="318">
        <f>+G35+H35</f>
        <v>1</v>
      </c>
      <c r="M35" s="318"/>
      <c r="N35" s="1831" t="str">
        <f>C43</f>
        <v>Phase Ib</v>
      </c>
      <c r="O35" s="1890">
        <f>SUMIF($C$42:$C$47,N35,$I$42:$I$47)</f>
        <v>0.17</v>
      </c>
    </row>
    <row r="36" spans="2:15">
      <c r="B36" s="316" t="s">
        <v>2480</v>
      </c>
      <c r="C36" s="1386" t="s">
        <v>2855</v>
      </c>
      <c r="D36" s="391" t="s">
        <v>2854</v>
      </c>
      <c r="E36" s="391" t="s">
        <v>2854</v>
      </c>
      <c r="F36" s="799">
        <f>H12</f>
        <v>1</v>
      </c>
      <c r="G36" s="2103"/>
      <c r="H36" s="800">
        <v>1</v>
      </c>
      <c r="I36" s="886">
        <v>43830</v>
      </c>
      <c r="J36" s="317"/>
      <c r="K36" s="317"/>
      <c r="L36" s="318">
        <f>+G36+H36</f>
        <v>1</v>
      </c>
      <c r="M36" s="318"/>
      <c r="N36" s="335" t="str">
        <f>C44</f>
        <v>Phase IIa</v>
      </c>
      <c r="O36" s="807">
        <f>SUMIF($C$42:$C$47,N36,$I$42:$I$47)</f>
        <v>0.83</v>
      </c>
    </row>
    <row r="37" spans="2:15">
      <c r="B37" s="316" t="s">
        <v>2481</v>
      </c>
      <c r="C37" s="1386" t="s">
        <v>2856</v>
      </c>
      <c r="D37" s="391" t="s">
        <v>2852</v>
      </c>
      <c r="E37" s="391" t="s">
        <v>2852</v>
      </c>
      <c r="F37" s="799">
        <f>H16</f>
        <v>1</v>
      </c>
      <c r="G37" s="800">
        <v>0.5</v>
      </c>
      <c r="H37" s="799">
        <f>1-G37</f>
        <v>0.5</v>
      </c>
      <c r="I37" s="886">
        <v>44377</v>
      </c>
      <c r="J37" s="317"/>
      <c r="K37" s="317"/>
      <c r="L37" s="318">
        <f>+G37+H37</f>
        <v>1</v>
      </c>
      <c r="M37" s="318"/>
      <c r="N37" s="900"/>
      <c r="O37" s="1891">
        <f>SUM(O35:O36)</f>
        <v>1</v>
      </c>
    </row>
    <row r="38" spans="2:15">
      <c r="B38" s="316" t="s">
        <v>2481</v>
      </c>
      <c r="C38" s="1386" t="s">
        <v>2856</v>
      </c>
      <c r="D38" s="2293" t="s">
        <v>2861</v>
      </c>
      <c r="E38" s="2293"/>
      <c r="F38" s="799">
        <f>H17</f>
        <v>1</v>
      </c>
      <c r="G38" s="2103"/>
      <c r="H38" s="800">
        <v>1</v>
      </c>
      <c r="I38" s="886">
        <v>44377</v>
      </c>
      <c r="J38" s="317"/>
      <c r="K38" s="317"/>
      <c r="L38" s="318">
        <f>+G38+H38</f>
        <v>1</v>
      </c>
      <c r="M38" s="318"/>
      <c r="N38" s="2091"/>
      <c r="O38" s="2101"/>
    </row>
    <row r="39" spans="2:15">
      <c r="B39" s="316"/>
      <c r="J39" s="196"/>
      <c r="K39" s="196"/>
      <c r="M39" s="318"/>
    </row>
    <row r="40" spans="2:15" s="74" customFormat="1" ht="13.5">
      <c r="B40" s="798" t="s">
        <v>414</v>
      </c>
      <c r="C40" s="798"/>
      <c r="D40" s="801"/>
      <c r="E40" s="801"/>
      <c r="F40" s="801"/>
      <c r="G40" s="801"/>
      <c r="H40" s="801"/>
      <c r="I40" s="889"/>
    </row>
    <row r="41" spans="2:15" s="74" customFormat="1" ht="25.5">
      <c r="B41" s="313" t="s">
        <v>415</v>
      </c>
      <c r="C41" s="312" t="str">
        <f>CONCATENATE("Phase - ",M3)</f>
        <v>Phase - PLN-74809</v>
      </c>
      <c r="D41" s="312" t="str">
        <f>CONCATENATE("Phase - ",M4)</f>
        <v>Phase - αvβ1</v>
      </c>
      <c r="E41" s="312" t="str">
        <f>CONCATENATE("Status - ",M3)</f>
        <v>Status - PLN-74809</v>
      </c>
      <c r="F41" s="312" t="str">
        <f>CONCATENATE("Status - ",M4)</f>
        <v>Status - αvβ1</v>
      </c>
      <c r="G41" s="1606" t="s">
        <v>418</v>
      </c>
      <c r="H41" s="312" t="s">
        <v>417</v>
      </c>
      <c r="I41" s="312" t="s">
        <v>2853</v>
      </c>
      <c r="J41" s="564" t="s">
        <v>247</v>
      </c>
      <c r="L41" s="810" t="s">
        <v>1084</v>
      </c>
      <c r="M41" s="810"/>
      <c r="N41" s="804" t="s">
        <v>1083</v>
      </c>
      <c r="O41" s="805"/>
    </row>
    <row r="42" spans="2:15" ht="5.0999999999999996" customHeight="1">
      <c r="B42" s="1567"/>
      <c r="C42" s="1541"/>
      <c r="E42" s="1541"/>
      <c r="H42" s="1541"/>
      <c r="I42" s="1541"/>
      <c r="J42" s="1568"/>
      <c r="L42" s="315"/>
      <c r="M42" s="315"/>
      <c r="N42" s="391"/>
    </row>
    <row r="43" spans="2:15" s="74" customFormat="1">
      <c r="B43" s="824" t="s">
        <v>2847</v>
      </c>
      <c r="C43" s="315" t="s">
        <v>411</v>
      </c>
      <c r="D43" s="315" t="s">
        <v>1085</v>
      </c>
      <c r="E43" s="2293" t="s">
        <v>2859</v>
      </c>
      <c r="F43" s="2293"/>
      <c r="G43" s="1692" t="s">
        <v>1</v>
      </c>
      <c r="H43" s="1595">
        <f>I35</f>
        <v>43830</v>
      </c>
      <c r="I43" s="318">
        <f>SUM(I9:I11)*G35</f>
        <v>6.5000000000000002E-2</v>
      </c>
      <c r="J43" s="1642">
        <f>PWERM_2!D23</f>
        <v>225000</v>
      </c>
      <c r="L43" s="196" t="str">
        <f>IFERROR(LEFT(B43,SEARCH("-",B43)-2),B43)</f>
        <v>IPO</v>
      </c>
      <c r="M43" s="196"/>
      <c r="N43" s="791" t="s">
        <v>737</v>
      </c>
      <c r="O43" s="806">
        <f>SUMIF($L$42:$L$47,N43,$I$42:$I$47)</f>
        <v>0.15150687499999999</v>
      </c>
    </row>
    <row r="44" spans="2:15" s="74" customFormat="1">
      <c r="B44" s="824" t="s">
        <v>2848</v>
      </c>
      <c r="C44" s="315" t="s">
        <v>1006</v>
      </c>
      <c r="D44" s="315" t="s">
        <v>411</v>
      </c>
      <c r="E44" s="315" t="s">
        <v>2852</v>
      </c>
      <c r="F44" s="315" t="s">
        <v>2852</v>
      </c>
      <c r="G44" s="1692" t="s">
        <v>1</v>
      </c>
      <c r="H44" s="1595">
        <f>I37</f>
        <v>44377</v>
      </c>
      <c r="I44" s="318">
        <f>PRODUCT(I16,G37)</f>
        <v>8.6506874999999997E-2</v>
      </c>
      <c r="J44" s="1642">
        <f>PWERM_2!E23</f>
        <v>325000</v>
      </c>
      <c r="L44" s="196" t="str">
        <f>IFERROR(LEFT(B44,SEARCH("-",B44)-2),B44)</f>
        <v>IPO</v>
      </c>
      <c r="M44" s="196"/>
      <c r="N44" s="335" t="s">
        <v>638</v>
      </c>
      <c r="O44" s="807">
        <f>SUMIF($L$42:$L$47,N44,$I$42:$I$47)</f>
        <v>0.54615437499999997</v>
      </c>
    </row>
    <row r="45" spans="2:15" s="74" customFormat="1">
      <c r="B45" s="824" t="s">
        <v>2849</v>
      </c>
      <c r="C45" s="315" t="str">
        <f>C44</f>
        <v>Phase IIa</v>
      </c>
      <c r="D45" s="315" t="str">
        <f>D44</f>
        <v>Phase Ib</v>
      </c>
      <c r="E45" s="2293" t="s">
        <v>2859</v>
      </c>
      <c r="F45" s="2293"/>
      <c r="G45" s="1692" t="s">
        <v>46</v>
      </c>
      <c r="H45" s="1595">
        <f>I38</f>
        <v>44377</v>
      </c>
      <c r="I45" s="318">
        <f>SUM(I17:I18,I23,I28)*H38+PRODUCT(I16,H37)+SUM(I9:I11)*H35</f>
        <v>0.54615437499999997</v>
      </c>
      <c r="J45" s="1642">
        <f>PWERM_2!F23</f>
        <v>400000</v>
      </c>
      <c r="L45" s="196" t="str">
        <f>IFERROR(LEFT(B45,SEARCH("-",B45)-2),B45)</f>
        <v>M&amp;A</v>
      </c>
      <c r="M45" s="196"/>
      <c r="N45" s="335" t="s">
        <v>2285</v>
      </c>
      <c r="O45" s="808">
        <f>SUMIF($L$42:$L$47,N45,$I$42:$I$47)</f>
        <v>0.30233874999999999</v>
      </c>
    </row>
    <row r="46" spans="2:15" s="74" customFormat="1">
      <c r="B46" s="824" t="s">
        <v>2850</v>
      </c>
      <c r="C46" s="315" t="str">
        <f>C43</f>
        <v>Phase Ib</v>
      </c>
      <c r="D46" s="315" t="str">
        <f>D43</f>
        <v>IND</v>
      </c>
      <c r="E46" s="315" t="s">
        <v>2854</v>
      </c>
      <c r="F46" s="315" t="s">
        <v>2854</v>
      </c>
      <c r="G46" s="315" t="str">
        <f>G43</f>
        <v>n/a</v>
      </c>
      <c r="H46" s="1595">
        <f>I36</f>
        <v>43830</v>
      </c>
      <c r="I46" s="318">
        <f>SUM(I12)*H36</f>
        <v>0.10500000000000001</v>
      </c>
      <c r="J46" s="1642">
        <f>PWERM_2!G23</f>
        <v>94499.999509799993</v>
      </c>
      <c r="L46" s="196" t="str">
        <f>IFERROR(LEFT(B46,SEARCH("-",B46)-2),B46)</f>
        <v>Low Sale</v>
      </c>
      <c r="M46" s="196"/>
      <c r="N46" s="78"/>
      <c r="O46" s="809">
        <f>SUM(O43:O45)</f>
        <v>0.99999999999999989</v>
      </c>
    </row>
    <row r="47" spans="2:15" s="74" customFormat="1">
      <c r="B47" s="1596" t="s">
        <v>2851</v>
      </c>
      <c r="C47" s="699" t="str">
        <f>C45</f>
        <v>Phase IIa</v>
      </c>
      <c r="D47" s="699" t="str">
        <f>D44</f>
        <v>Phase Ib</v>
      </c>
      <c r="E47" s="699" t="s">
        <v>2854</v>
      </c>
      <c r="F47" s="699" t="s">
        <v>2854</v>
      </c>
      <c r="G47" s="699" t="str">
        <f>G43</f>
        <v>n/a</v>
      </c>
      <c r="H47" s="1597">
        <f>I38</f>
        <v>44377</v>
      </c>
      <c r="I47" s="328">
        <f>SUM(I29,I24,I19)</f>
        <v>0.19733875000000001</v>
      </c>
      <c r="J47" s="1643">
        <f>PWERM_2!H23</f>
        <v>146999.99950979999</v>
      </c>
      <c r="L47" s="196" t="str">
        <f>IFERROR(LEFT(B47,SEARCH("-",B47)-2),B47)</f>
        <v>Low Sale</v>
      </c>
      <c r="M47" s="196"/>
    </row>
    <row r="48" spans="2:15" s="74" customFormat="1">
      <c r="B48" s="1008" t="s">
        <v>86</v>
      </c>
      <c r="C48" s="1008"/>
      <c r="D48" s="323"/>
      <c r="E48" s="323"/>
      <c r="F48" s="323"/>
      <c r="G48" s="323"/>
      <c r="I48" s="1594">
        <f>SUM(I43:I47)</f>
        <v>0.99999999999999989</v>
      </c>
      <c r="J48" s="1594"/>
    </row>
    <row r="49" spans="1:21" s="74" customFormat="1">
      <c r="B49" s="325"/>
      <c r="C49" s="325"/>
      <c r="D49" s="323"/>
      <c r="E49" s="323"/>
      <c r="F49" s="323"/>
      <c r="G49" s="323"/>
      <c r="H49" s="323"/>
      <c r="I49" s="323"/>
    </row>
    <row r="50" spans="1:21" s="74" customFormat="1">
      <c r="B50" s="903" t="s">
        <v>21</v>
      </c>
      <c r="C50" s="903"/>
      <c r="D50" s="196"/>
      <c r="E50" s="315"/>
      <c r="F50" s="196"/>
      <c r="G50" s="196"/>
      <c r="H50" s="196"/>
      <c r="I50" s="196"/>
      <c r="U50" s="74" t="s">
        <v>2835</v>
      </c>
    </row>
    <row r="51" spans="1:21" s="74" customFormat="1">
      <c r="A51" s="2124">
        <v>1</v>
      </c>
      <c r="B51" s="965" t="str">
        <f>"The probabilities of technical success are based on published success rates and guidance from Management. Refer to "&amp;PoTS!B3&amp;" for futher details."</f>
        <v>The probabilities of technical success are based on published success rates and guidance from Management. Refer to Exhibit B.3 for futher details.</v>
      </c>
      <c r="C51" s="965"/>
      <c r="D51" s="196"/>
      <c r="E51" s="315"/>
      <c r="F51" s="196"/>
      <c r="G51" s="196"/>
      <c r="H51" s="196"/>
      <c r="I51" s="196"/>
    </row>
    <row r="52" spans="1:21" s="74" customFormat="1"/>
    <row r="53" spans="1:21" s="74" customFormat="1">
      <c r="B53" s="196"/>
      <c r="C53" s="196"/>
      <c r="D53" s="196"/>
      <c r="E53" s="196"/>
      <c r="F53" s="196"/>
      <c r="G53" s="196"/>
      <c r="H53" s="196"/>
      <c r="I53" s="196"/>
      <c r="J53" s="196"/>
      <c r="K53" s="196"/>
      <c r="L53" s="196"/>
    </row>
    <row r="54" spans="1:21" s="74" customFormat="1">
      <c r="B54" s="1644"/>
      <c r="C54" s="1644"/>
      <c r="D54" s="196"/>
      <c r="E54" s="196"/>
      <c r="F54" s="196"/>
      <c r="G54" s="196"/>
      <c r="H54" s="196"/>
      <c r="I54" s="196"/>
      <c r="J54" s="196"/>
      <c r="K54" s="196"/>
      <c r="L54" s="196"/>
    </row>
    <row r="55" spans="1:21" s="74" customFormat="1">
      <c r="B55" s="196" t="s">
        <v>2838</v>
      </c>
      <c r="C55" s="196"/>
      <c r="D55" s="196"/>
      <c r="E55" s="196"/>
      <c r="F55" s="196"/>
      <c r="G55" s="196"/>
      <c r="H55" s="196"/>
      <c r="I55" s="196"/>
      <c r="J55" s="196"/>
      <c r="K55" s="196"/>
      <c r="L55" s="196"/>
    </row>
    <row r="56" spans="1:21" s="74" customFormat="1" ht="13.5">
      <c r="B56" s="1645"/>
      <c r="C56" s="1645"/>
      <c r="D56" s="196"/>
      <c r="E56" s="196"/>
      <c r="F56" s="196"/>
      <c r="G56" s="196"/>
      <c r="H56" s="279"/>
      <c r="I56" s="279"/>
      <c r="J56" s="196"/>
      <c r="K56" s="196"/>
      <c r="L56" s="196"/>
    </row>
    <row r="57" spans="1:21" s="74" customFormat="1">
      <c r="B57" s="1619"/>
      <c r="C57" s="1619"/>
      <c r="D57" s="1646"/>
      <c r="E57" s="1646"/>
      <c r="F57" s="1646"/>
      <c r="G57" s="1646"/>
      <c r="H57" s="1646"/>
      <c r="I57" s="1646"/>
      <c r="J57" s="196"/>
      <c r="K57" s="196"/>
      <c r="L57" s="196"/>
    </row>
    <row r="58" spans="1:21" s="74" customFormat="1">
      <c r="B58" s="1619"/>
      <c r="C58" s="1619"/>
      <c r="D58" s="1619"/>
      <c r="E58" s="1619"/>
      <c r="F58" s="1619"/>
      <c r="G58" s="1619"/>
      <c r="H58" s="1619"/>
      <c r="I58" s="1619"/>
      <c r="J58" s="196"/>
      <c r="K58" s="196"/>
      <c r="L58" s="196"/>
    </row>
    <row r="59" spans="1:21" s="74" customFormat="1">
      <c r="B59" s="1647"/>
      <c r="C59" s="1647"/>
      <c r="D59" s="1648"/>
      <c r="E59" s="1619"/>
      <c r="F59" s="1619"/>
      <c r="G59" s="1619"/>
      <c r="H59" s="1619"/>
      <c r="I59" s="1619"/>
      <c r="J59" s="196"/>
      <c r="K59" s="196"/>
      <c r="L59" s="196"/>
    </row>
    <row r="60" spans="1:21" s="74" customFormat="1">
      <c r="B60" s="1649"/>
      <c r="C60" s="1649"/>
      <c r="D60" s="1648"/>
      <c r="E60" s="1650"/>
      <c r="F60" s="1651"/>
      <c r="G60" s="1651"/>
      <c r="H60" s="1650"/>
      <c r="I60" s="1650"/>
      <c r="J60" s="196"/>
      <c r="K60" s="196"/>
      <c r="L60" s="196"/>
    </row>
    <row r="61" spans="1:21" s="74" customFormat="1">
      <c r="B61" s="1649"/>
      <c r="C61" s="1649"/>
      <c r="D61" s="1648"/>
      <c r="E61" s="1650"/>
      <c r="F61" s="1652"/>
      <c r="G61" s="1652"/>
      <c r="H61" s="1650"/>
      <c r="I61" s="1650"/>
      <c r="J61" s="196"/>
      <c r="K61" s="196"/>
      <c r="L61" s="196"/>
    </row>
    <row r="62" spans="1:21" s="74" customFormat="1">
      <c r="B62" s="1649"/>
      <c r="C62" s="1649"/>
      <c r="D62" s="1648"/>
      <c r="E62" s="1650"/>
      <c r="F62" s="1652"/>
      <c r="G62" s="1652"/>
      <c r="H62" s="1648"/>
      <c r="I62" s="1648"/>
      <c r="J62" s="196"/>
      <c r="K62" s="196"/>
      <c r="L62" s="196"/>
    </row>
    <row r="63" spans="1:21" s="74" customFormat="1">
      <c r="B63" s="1647"/>
      <c r="C63" s="1647"/>
      <c r="D63" s="1648"/>
      <c r="E63" s="1619"/>
      <c r="F63" s="1619"/>
      <c r="G63" s="1619"/>
      <c r="H63" s="1619"/>
      <c r="I63" s="1619"/>
      <c r="J63" s="196"/>
      <c r="K63" s="196"/>
      <c r="L63" s="196"/>
    </row>
    <row r="64" spans="1:21" s="74" customFormat="1">
      <c r="B64" s="1647"/>
      <c r="C64" s="1647"/>
      <c r="D64" s="1648"/>
      <c r="E64" s="1619"/>
      <c r="F64" s="1619"/>
      <c r="G64" s="1619"/>
      <c r="H64" s="1619"/>
      <c r="I64" s="1619"/>
      <c r="J64" s="196"/>
      <c r="K64" s="196"/>
      <c r="L64" s="196"/>
    </row>
    <row r="65" spans="2:12" s="74" customFormat="1">
      <c r="B65" s="1649"/>
      <c r="C65" s="1649"/>
      <c r="D65" s="1653"/>
      <c r="E65" s="1650"/>
      <c r="F65" s="1654"/>
      <c r="G65" s="1654"/>
      <c r="H65" s="1650"/>
      <c r="I65" s="1650"/>
      <c r="J65" s="196"/>
      <c r="K65" s="196"/>
      <c r="L65" s="196"/>
    </row>
    <row r="66" spans="2:12">
      <c r="B66" s="1649"/>
      <c r="C66" s="1649"/>
      <c r="D66" s="1655"/>
      <c r="E66" s="1650"/>
      <c r="F66" s="1650"/>
      <c r="G66" s="1650"/>
      <c r="H66" s="1650"/>
      <c r="I66" s="1650"/>
      <c r="J66" s="16"/>
      <c r="K66" s="16"/>
      <c r="L66" s="16"/>
    </row>
    <row r="67" spans="2:12">
      <c r="B67" s="1649"/>
      <c r="C67" s="1649"/>
      <c r="D67" s="1655"/>
      <c r="E67" s="1650"/>
      <c r="F67" s="1650"/>
      <c r="G67" s="1650"/>
      <c r="H67" s="1648"/>
      <c r="I67" s="1648"/>
      <c r="J67" s="16"/>
      <c r="K67" s="16"/>
      <c r="L67" s="16"/>
    </row>
    <row r="68" spans="2:12">
      <c r="B68" s="1656"/>
      <c r="C68" s="1656"/>
      <c r="D68" s="1655"/>
      <c r="E68" s="1619"/>
      <c r="F68" s="1619"/>
      <c r="G68" s="1619"/>
      <c r="H68" s="1619"/>
      <c r="I68" s="1619"/>
      <c r="J68" s="16"/>
      <c r="K68" s="16"/>
      <c r="L68" s="16"/>
    </row>
    <row r="69" spans="2:12">
      <c r="B69" s="1647"/>
      <c r="C69" s="1647"/>
      <c r="D69" s="1648"/>
      <c r="E69" s="1619"/>
      <c r="F69" s="1619"/>
      <c r="G69" s="1619"/>
      <c r="H69" s="1619"/>
      <c r="I69" s="1619"/>
      <c r="J69" s="16"/>
      <c r="K69" s="16"/>
      <c r="L69" s="16"/>
    </row>
    <row r="70" spans="2:12">
      <c r="B70" s="1649"/>
      <c r="C70" s="1649"/>
      <c r="D70" s="1657"/>
      <c r="E70" s="1650"/>
      <c r="F70" s="1652"/>
      <c r="G70" s="1652"/>
      <c r="H70" s="1650"/>
      <c r="I70" s="1650"/>
      <c r="J70" s="16"/>
      <c r="K70" s="16"/>
      <c r="L70" s="16"/>
    </row>
    <row r="71" spans="2:12">
      <c r="B71" s="1649"/>
      <c r="C71" s="1649"/>
      <c r="D71" s="1657"/>
      <c r="E71" s="1650"/>
      <c r="F71" s="1650"/>
      <c r="G71" s="1650"/>
      <c r="H71" s="1650"/>
      <c r="I71" s="1650"/>
      <c r="J71" s="16"/>
      <c r="K71" s="16"/>
      <c r="L71" s="16"/>
    </row>
    <row r="72" spans="2:12">
      <c r="B72" s="1649"/>
      <c r="C72" s="1649"/>
      <c r="D72" s="1657"/>
      <c r="E72" s="1650"/>
      <c r="F72" s="1650"/>
      <c r="G72" s="1650"/>
      <c r="H72" s="1658"/>
      <c r="I72" s="1658"/>
      <c r="J72" s="16"/>
      <c r="K72" s="16"/>
      <c r="L72" s="16"/>
    </row>
    <row r="73" spans="2:12">
      <c r="B73" s="16"/>
      <c r="C73" s="16"/>
      <c r="D73" s="16"/>
      <c r="E73" s="16"/>
      <c r="F73" s="16"/>
      <c r="G73" s="16"/>
      <c r="H73" s="16"/>
      <c r="I73" s="16"/>
      <c r="J73" s="16"/>
      <c r="K73" s="16"/>
      <c r="L73" s="16"/>
    </row>
    <row r="74" spans="2:12">
      <c r="B74" s="16"/>
      <c r="C74" s="16"/>
      <c r="D74" s="16"/>
      <c r="E74" s="16"/>
      <c r="F74" s="16"/>
      <c r="G74" s="16"/>
      <c r="H74" s="16"/>
      <c r="I74" s="16"/>
      <c r="J74" s="16"/>
      <c r="K74" s="16"/>
      <c r="L74" s="16"/>
    </row>
    <row r="75" spans="2:12">
      <c r="B75" s="16"/>
      <c r="C75" s="16"/>
      <c r="D75" s="16"/>
      <c r="E75" s="16"/>
      <c r="F75" s="16"/>
      <c r="G75" s="16"/>
      <c r="H75" s="16"/>
      <c r="I75" s="16"/>
      <c r="J75" s="16"/>
      <c r="K75" s="16"/>
      <c r="L75" s="16"/>
    </row>
    <row r="76" spans="2:12">
      <c r="B76" s="16"/>
      <c r="C76" s="16"/>
      <c r="D76" s="16"/>
      <c r="E76" s="16"/>
      <c r="F76" s="16"/>
      <c r="G76" s="16"/>
      <c r="H76" s="16"/>
      <c r="I76" s="16"/>
      <c r="J76" s="16"/>
      <c r="K76" s="16"/>
      <c r="L76" s="16"/>
    </row>
    <row r="77" spans="2:12" ht="13.5">
      <c r="B77" s="1645"/>
      <c r="C77" s="1645"/>
      <c r="D77" s="16"/>
      <c r="E77" s="16"/>
      <c r="F77" s="16"/>
      <c r="G77" s="16"/>
      <c r="H77" s="279"/>
      <c r="I77" s="279"/>
      <c r="J77" s="16"/>
      <c r="K77" s="16"/>
      <c r="L77" s="16"/>
    </row>
    <row r="78" spans="2:12">
      <c r="B78" s="1619"/>
      <c r="C78" s="1619"/>
      <c r="D78" s="1659"/>
      <c r="E78" s="1659"/>
      <c r="F78" s="1659"/>
      <c r="G78" s="1659"/>
      <c r="H78" s="1659"/>
      <c r="I78" s="1659"/>
      <c r="J78" s="1660"/>
      <c r="K78" s="16"/>
      <c r="L78" s="16"/>
    </row>
    <row r="79" spans="2:12">
      <c r="B79" s="1619"/>
      <c r="C79" s="1619"/>
      <c r="D79" s="1619"/>
      <c r="E79" s="1619"/>
      <c r="F79" s="1619"/>
      <c r="G79" s="1619"/>
      <c r="H79" s="1619"/>
      <c r="I79" s="1619"/>
      <c r="J79" s="1619"/>
      <c r="K79" s="16"/>
      <c r="L79" s="16"/>
    </row>
    <row r="80" spans="2:12">
      <c r="B80" s="1661"/>
      <c r="C80" s="1661"/>
      <c r="D80" s="1662"/>
      <c r="E80" s="1662"/>
      <c r="F80" s="1619"/>
      <c r="G80" s="1619"/>
      <c r="H80" s="1619"/>
      <c r="I80" s="1619"/>
      <c r="J80" s="1619"/>
      <c r="K80" s="16"/>
      <c r="L80" s="16"/>
    </row>
    <row r="81" spans="2:12">
      <c r="B81" s="1663"/>
      <c r="C81" s="1663"/>
      <c r="D81" s="1655"/>
      <c r="E81" s="1619"/>
      <c r="F81" s="1664"/>
      <c r="G81" s="1664"/>
      <c r="H81" s="1665"/>
      <c r="I81" s="1665"/>
      <c r="J81" s="1666"/>
      <c r="K81" s="16"/>
      <c r="L81" s="16"/>
    </row>
    <row r="82" spans="2:12">
      <c r="B82" s="1663"/>
      <c r="C82" s="1663"/>
      <c r="D82" s="1655"/>
      <c r="E82" s="1619"/>
      <c r="F82" s="1664"/>
      <c r="G82" s="1664"/>
      <c r="H82" s="1668"/>
      <c r="I82" s="1668"/>
      <c r="J82" s="1668"/>
      <c r="K82" s="16"/>
      <c r="L82" s="16"/>
    </row>
    <row r="83" spans="2:12">
      <c r="B83" s="1663"/>
      <c r="C83" s="1663"/>
      <c r="D83" s="1655"/>
      <c r="E83" s="1619"/>
      <c r="F83" s="1664"/>
      <c r="G83" s="1664"/>
      <c r="H83" s="1668"/>
      <c r="I83" s="1668"/>
      <c r="J83" s="1668"/>
      <c r="K83" s="16"/>
      <c r="L83" s="16"/>
    </row>
    <row r="84" spans="2:12">
      <c r="B84" s="1663"/>
      <c r="C84" s="1663"/>
      <c r="D84" s="1655"/>
      <c r="E84" s="1619"/>
      <c r="F84" s="1664"/>
      <c r="G84" s="1664"/>
      <c r="H84" s="1668"/>
      <c r="I84" s="1668"/>
      <c r="J84" s="1668"/>
      <c r="K84" s="16"/>
      <c r="L84" s="16"/>
    </row>
    <row r="85" spans="2:12">
      <c r="B85" s="1669"/>
      <c r="C85" s="1669"/>
      <c r="D85" s="1655"/>
      <c r="E85" s="1619"/>
      <c r="F85" s="1619"/>
      <c r="G85" s="1619"/>
      <c r="H85" s="1619"/>
      <c r="I85" s="1619"/>
      <c r="J85" s="1619"/>
      <c r="K85" s="16"/>
      <c r="L85" s="16"/>
    </row>
    <row r="86" spans="2:12">
      <c r="B86" s="1661"/>
      <c r="C86" s="1661"/>
      <c r="D86" s="1662"/>
      <c r="E86" s="1670"/>
      <c r="F86" s="1619"/>
      <c r="G86" s="1619"/>
      <c r="H86" s="1619"/>
      <c r="I86" s="1619"/>
      <c r="J86" s="1619"/>
      <c r="K86" s="16"/>
      <c r="L86" s="16"/>
    </row>
    <row r="87" spans="2:12">
      <c r="B87" s="1663"/>
      <c r="C87" s="1663"/>
      <c r="D87" s="1655"/>
      <c r="E87" s="1619"/>
      <c r="F87" s="1664"/>
      <c r="G87" s="1664"/>
      <c r="H87" s="1662"/>
      <c r="I87" s="1662"/>
      <c r="J87" s="1671"/>
      <c r="K87" s="16"/>
      <c r="L87" s="16"/>
    </row>
    <row r="88" spans="2:12">
      <c r="B88" s="1663"/>
      <c r="C88" s="1663"/>
      <c r="D88" s="1655"/>
      <c r="E88" s="1619"/>
      <c r="F88" s="1664"/>
      <c r="G88" s="1664"/>
      <c r="H88" s="1664"/>
      <c r="I88" s="1664"/>
      <c r="J88" s="1664"/>
      <c r="K88" s="16"/>
      <c r="L88" s="16"/>
    </row>
    <row r="89" spans="2:12">
      <c r="B89" s="1663"/>
      <c r="C89" s="1663"/>
      <c r="D89" s="1655"/>
      <c r="E89" s="1619"/>
      <c r="F89" s="1664"/>
      <c r="G89" s="1664"/>
      <c r="H89" s="1664"/>
      <c r="I89" s="1664"/>
      <c r="J89" s="1664"/>
      <c r="K89" s="16"/>
      <c r="L89" s="16"/>
    </row>
    <row r="90" spans="2:12">
      <c r="B90" s="1663"/>
      <c r="C90" s="1663"/>
      <c r="D90" s="1655"/>
      <c r="E90" s="1619"/>
      <c r="F90" s="1664"/>
      <c r="G90" s="1664"/>
      <c r="H90" s="1667"/>
      <c r="I90" s="1667"/>
      <c r="J90" s="1667"/>
      <c r="K90" s="16"/>
      <c r="L90" s="16"/>
    </row>
    <row r="91" spans="2:12">
      <c r="B91" s="1669"/>
      <c r="C91" s="1669"/>
      <c r="D91" s="1655"/>
      <c r="E91" s="1619"/>
      <c r="F91" s="1619"/>
      <c r="G91" s="1619"/>
      <c r="H91" s="1619"/>
      <c r="I91" s="1619"/>
      <c r="J91" s="1619"/>
      <c r="K91" s="16"/>
      <c r="L91" s="16"/>
    </row>
    <row r="92" spans="2:12">
      <c r="B92" s="1661"/>
      <c r="C92" s="1661"/>
      <c r="D92" s="1662"/>
      <c r="E92" s="1670"/>
      <c r="F92" s="1619"/>
      <c r="G92" s="1619"/>
      <c r="H92" s="1619"/>
      <c r="I92" s="1619"/>
      <c r="J92" s="1619"/>
      <c r="K92" s="16"/>
      <c r="L92" s="16"/>
    </row>
    <row r="93" spans="2:12">
      <c r="B93" s="1663"/>
      <c r="C93" s="1663"/>
      <c r="D93" s="1655"/>
      <c r="E93" s="1619"/>
      <c r="F93" s="1664"/>
      <c r="G93" s="1664"/>
      <c r="H93" s="1662"/>
      <c r="I93" s="1662"/>
      <c r="J93" s="1664"/>
      <c r="K93" s="16"/>
      <c r="L93" s="16"/>
    </row>
    <row r="94" spans="2:12">
      <c r="B94" s="1663"/>
      <c r="C94" s="1663"/>
      <c r="D94" s="1655"/>
      <c r="E94" s="1619"/>
      <c r="F94" s="1664"/>
      <c r="G94" s="1664"/>
      <c r="H94" s="1671"/>
      <c r="I94" s="1671"/>
      <c r="J94" s="1664"/>
      <c r="K94" s="16"/>
      <c r="L94" s="16"/>
    </row>
    <row r="95" spans="2:12">
      <c r="B95" s="1663"/>
      <c r="C95" s="1663"/>
      <c r="D95" s="1655"/>
      <c r="E95" s="1619"/>
      <c r="F95" s="1664"/>
      <c r="G95" s="1664"/>
      <c r="H95" s="1664"/>
      <c r="I95" s="1664"/>
      <c r="J95" s="1664"/>
      <c r="K95" s="16"/>
      <c r="L95" s="16"/>
    </row>
    <row r="96" spans="2:12">
      <c r="B96" s="1663"/>
      <c r="C96" s="1663"/>
      <c r="D96" s="1655"/>
      <c r="E96" s="16"/>
      <c r="F96" s="1664"/>
      <c r="G96" s="1664"/>
      <c r="H96" s="1667"/>
      <c r="I96" s="1667"/>
      <c r="J96" s="1664"/>
      <c r="K96" s="16"/>
      <c r="L96" s="16"/>
    </row>
    <row r="97" spans="2:12">
      <c r="B97" s="16"/>
      <c r="C97" s="16"/>
      <c r="D97" s="16"/>
      <c r="E97" s="16"/>
      <c r="F97" s="16"/>
      <c r="G97" s="16"/>
      <c r="H97" s="16"/>
      <c r="I97" s="16"/>
      <c r="J97" s="16"/>
      <c r="K97" s="16"/>
      <c r="L97" s="16"/>
    </row>
    <row r="98" spans="2:12">
      <c r="B98" s="16"/>
      <c r="C98" s="16"/>
      <c r="D98" s="16"/>
      <c r="E98" s="16"/>
      <c r="F98" s="16"/>
      <c r="G98" s="16"/>
      <c r="H98" s="16"/>
      <c r="I98" s="16"/>
      <c r="J98" s="16"/>
      <c r="K98" s="16"/>
      <c r="L98" s="16"/>
    </row>
    <row r="99" spans="2:12">
      <c r="B99" s="16"/>
      <c r="C99" s="16"/>
      <c r="D99" s="16"/>
      <c r="E99" s="16"/>
      <c r="F99" s="16"/>
      <c r="G99" s="16"/>
      <c r="H99" s="16"/>
      <c r="I99" s="16"/>
      <c r="J99" s="16"/>
      <c r="K99" s="16"/>
      <c r="L99" s="16"/>
    </row>
    <row r="100" spans="2:12">
      <c r="B100" s="16"/>
      <c r="C100" s="16"/>
      <c r="D100" s="16"/>
      <c r="E100" s="16"/>
      <c r="F100" s="16"/>
      <c r="G100" s="16"/>
      <c r="H100" s="16"/>
      <c r="I100" s="16"/>
      <c r="J100" s="16"/>
      <c r="K100" s="16"/>
      <c r="L100" s="16"/>
    </row>
    <row r="101" spans="2:12" ht="13.5">
      <c r="B101" s="899"/>
      <c r="C101" s="899"/>
      <c r="D101" s="16"/>
      <c r="E101" s="16"/>
      <c r="F101" s="16"/>
      <c r="G101" s="16"/>
      <c r="H101" s="279"/>
      <c r="I101" s="279"/>
      <c r="J101" s="16"/>
      <c r="K101" s="16"/>
      <c r="L101" s="16"/>
    </row>
    <row r="102" spans="2:12">
      <c r="B102" s="1672"/>
      <c r="C102" s="1672"/>
      <c r="D102" s="1673"/>
      <c r="E102" s="1673"/>
      <c r="F102" s="1673"/>
      <c r="G102" s="1673"/>
      <c r="H102" s="1673"/>
      <c r="I102" s="1673"/>
      <c r="J102" s="16"/>
      <c r="K102" s="16"/>
      <c r="L102" s="16"/>
    </row>
    <row r="103" spans="2:12">
      <c r="B103" s="16"/>
      <c r="C103" s="16"/>
      <c r="D103" s="16"/>
      <c r="E103" s="16"/>
      <c r="F103" s="16"/>
      <c r="G103" s="16"/>
      <c r="H103" s="16"/>
      <c r="I103" s="16"/>
      <c r="J103" s="16"/>
      <c r="K103" s="16"/>
      <c r="L103" s="16"/>
    </row>
    <row r="104" spans="2:12">
      <c r="B104" s="16"/>
      <c r="C104" s="16"/>
      <c r="D104" s="1674"/>
      <c r="E104" s="1675"/>
      <c r="F104" s="1675"/>
      <c r="G104" s="1675"/>
      <c r="H104" s="1676"/>
      <c r="I104" s="1676"/>
      <c r="J104" s="16"/>
      <c r="K104" s="16"/>
      <c r="L104" s="16"/>
    </row>
    <row r="105" spans="2:12">
      <c r="B105" s="450"/>
      <c r="C105" s="450"/>
      <c r="D105" s="1674"/>
      <c r="E105" s="1677"/>
      <c r="F105" s="1677"/>
      <c r="G105" s="1677"/>
      <c r="H105" s="1676"/>
      <c r="I105" s="1676"/>
      <c r="J105" s="1678"/>
      <c r="K105" s="16"/>
      <c r="L105" s="16"/>
    </row>
    <row r="106" spans="2:12">
      <c r="B106" s="279"/>
      <c r="C106" s="279"/>
      <c r="D106" s="279"/>
      <c r="E106" s="279"/>
      <c r="F106" s="279"/>
      <c r="G106" s="279"/>
      <c r="H106" s="279"/>
      <c r="I106" s="279"/>
      <c r="J106" s="319"/>
      <c r="K106" s="16"/>
      <c r="L106" s="16"/>
    </row>
    <row r="107" spans="2:12">
      <c r="B107" s="1672"/>
      <c r="C107" s="1672"/>
      <c r="D107" s="1673"/>
      <c r="E107" s="1673"/>
      <c r="F107" s="1679"/>
      <c r="G107" s="1679"/>
      <c r="H107" s="279"/>
      <c r="I107" s="279"/>
      <c r="J107" s="319"/>
      <c r="K107" s="16"/>
      <c r="L107" s="16"/>
    </row>
    <row r="108" spans="2:12">
      <c r="B108" s="887"/>
      <c r="C108" s="887"/>
      <c r="D108" s="888"/>
      <c r="E108" s="888"/>
      <c r="F108" s="319"/>
      <c r="G108" s="319"/>
      <c r="H108" s="279"/>
      <c r="I108" s="279"/>
      <c r="J108" s="319"/>
      <c r="K108" s="16"/>
      <c r="L108" s="16"/>
    </row>
    <row r="109" spans="2:12">
      <c r="B109" s="1680"/>
      <c r="C109" s="1680"/>
      <c r="D109" s="1681"/>
      <c r="E109" s="1681"/>
      <c r="F109" s="16"/>
      <c r="G109" s="16"/>
      <c r="H109" s="279"/>
      <c r="I109" s="279"/>
      <c r="J109" s="319"/>
      <c r="K109" s="16"/>
      <c r="L109" s="16"/>
    </row>
    <row r="110" spans="2:12">
      <c r="B110" s="16"/>
      <c r="C110" s="16"/>
      <c r="D110" s="1674"/>
      <c r="E110" s="321"/>
      <c r="F110" s="16"/>
      <c r="G110" s="16"/>
      <c r="H110" s="279"/>
      <c r="I110" s="279"/>
      <c r="J110" s="319"/>
      <c r="K110" s="16"/>
      <c r="L110" s="16"/>
    </row>
    <row r="111" spans="2:12">
      <c r="B111" s="450"/>
      <c r="C111" s="450"/>
      <c r="D111" s="1674"/>
      <c r="E111" s="321"/>
      <c r="F111" s="16"/>
      <c r="G111" s="16"/>
      <c r="H111" s="279"/>
      <c r="I111" s="279"/>
      <c r="J111" s="319"/>
      <c r="K111" s="16"/>
      <c r="L111" s="16"/>
    </row>
    <row r="112" spans="2:12">
      <c r="B112" s="450"/>
      <c r="C112" s="450"/>
      <c r="D112" s="321"/>
      <c r="E112" s="1675"/>
      <c r="F112" s="16"/>
      <c r="G112" s="16"/>
      <c r="H112" s="279"/>
      <c r="I112" s="279"/>
      <c r="J112" s="319"/>
      <c r="K112" s="16"/>
      <c r="L112" s="16"/>
    </row>
    <row r="113" spans="2:12">
      <c r="B113" s="279"/>
      <c r="C113" s="279"/>
      <c r="D113" s="279"/>
      <c r="E113" s="279"/>
      <c r="F113" s="279"/>
      <c r="G113" s="279"/>
      <c r="H113" s="279"/>
      <c r="I113" s="279"/>
      <c r="J113" s="319"/>
      <c r="K113" s="16"/>
      <c r="L113" s="16"/>
    </row>
    <row r="114" spans="2:12" ht="13.5">
      <c r="B114" s="895"/>
      <c r="C114" s="895"/>
      <c r="D114" s="889"/>
      <c r="E114" s="889"/>
      <c r="F114" s="889"/>
      <c r="G114" s="889"/>
      <c r="H114" s="889"/>
      <c r="I114" s="889"/>
      <c r="J114" s="889"/>
      <c r="K114" s="16"/>
      <c r="L114" s="16"/>
    </row>
    <row r="115" spans="2:12">
      <c r="B115" s="1672"/>
      <c r="C115" s="1672"/>
      <c r="D115" s="1673"/>
      <c r="E115" s="1673"/>
      <c r="F115" s="1673"/>
      <c r="G115" s="1673"/>
      <c r="H115" s="1673"/>
      <c r="I115" s="1673"/>
      <c r="J115" s="196"/>
      <c r="K115" s="16"/>
      <c r="L115" s="16"/>
    </row>
    <row r="116" spans="2:12">
      <c r="B116" s="16"/>
      <c r="C116" s="16"/>
      <c r="D116" s="16"/>
      <c r="E116" s="16"/>
      <c r="F116" s="16"/>
      <c r="G116" s="16"/>
      <c r="H116" s="16"/>
      <c r="I116" s="16"/>
      <c r="J116" s="16"/>
      <c r="K116" s="16"/>
      <c r="L116" s="16"/>
    </row>
    <row r="117" spans="2:12">
      <c r="B117" s="891"/>
      <c r="C117" s="891"/>
      <c r="D117" s="321"/>
      <c r="E117" s="321"/>
      <c r="F117" s="322"/>
      <c r="G117" s="322"/>
      <c r="H117" s="890"/>
      <c r="I117" s="890"/>
      <c r="J117" s="196"/>
      <c r="K117" s="16"/>
      <c r="L117" s="16"/>
    </row>
    <row r="118" spans="2:12">
      <c r="B118" s="891"/>
      <c r="C118" s="891"/>
      <c r="D118" s="321"/>
      <c r="E118" s="321"/>
      <c r="F118" s="322"/>
      <c r="G118" s="322"/>
      <c r="H118" s="890"/>
      <c r="I118" s="890"/>
      <c r="J118" s="196"/>
      <c r="K118" s="16"/>
      <c r="L118" s="16"/>
    </row>
    <row r="119" spans="2:12">
      <c r="B119" s="279"/>
      <c r="C119" s="279"/>
      <c r="D119" s="323"/>
      <c r="E119" s="323"/>
      <c r="F119" s="324"/>
      <c r="G119" s="324"/>
      <c r="H119" s="323"/>
      <c r="I119" s="323"/>
      <c r="J119" s="196"/>
      <c r="K119" s="16"/>
      <c r="L119" s="16"/>
    </row>
    <row r="120" spans="2:12">
      <c r="B120" s="279"/>
      <c r="C120" s="279"/>
      <c r="D120" s="279"/>
      <c r="E120" s="319"/>
      <c r="F120" s="279"/>
      <c r="G120" s="279"/>
      <c r="H120" s="279"/>
      <c r="I120" s="279"/>
      <c r="J120" s="196"/>
      <c r="K120" s="16"/>
      <c r="L120" s="16"/>
    </row>
    <row r="121" spans="2:12" ht="13.5">
      <c r="B121" s="895"/>
      <c r="C121" s="895"/>
      <c r="D121" s="889"/>
      <c r="E121" s="889"/>
      <c r="F121" s="889"/>
      <c r="G121" s="889"/>
      <c r="H121" s="889"/>
      <c r="I121" s="889"/>
      <c r="J121" s="889"/>
      <c r="K121" s="16"/>
      <c r="L121" s="16"/>
    </row>
    <row r="122" spans="2:12">
      <c r="B122" s="1672"/>
      <c r="C122" s="1672"/>
      <c r="D122" s="1673"/>
      <c r="E122" s="1673"/>
      <c r="F122" s="1673"/>
      <c r="G122" s="1673"/>
      <c r="H122" s="1673"/>
      <c r="I122" s="1673"/>
      <c r="J122" s="196"/>
      <c r="K122" s="16"/>
      <c r="L122" s="16"/>
    </row>
    <row r="123" spans="2:12">
      <c r="B123" s="16"/>
      <c r="C123" s="16"/>
      <c r="D123" s="16"/>
      <c r="E123" s="16"/>
      <c r="F123" s="16"/>
      <c r="G123" s="16"/>
      <c r="H123" s="16"/>
      <c r="I123" s="16"/>
      <c r="J123" s="16"/>
      <c r="K123" s="16"/>
      <c r="L123" s="16"/>
    </row>
    <row r="124" spans="2:12">
      <c r="B124" s="891"/>
      <c r="C124" s="891"/>
      <c r="D124" s="321"/>
      <c r="E124" s="321"/>
      <c r="F124" s="321"/>
      <c r="G124" s="321"/>
      <c r="H124" s="890"/>
      <c r="I124" s="890"/>
      <c r="J124" s="196"/>
      <c r="K124" s="16"/>
      <c r="L124" s="16"/>
    </row>
    <row r="125" spans="2:12">
      <c r="B125" s="891"/>
      <c r="C125" s="891"/>
      <c r="D125" s="321"/>
      <c r="E125" s="321"/>
      <c r="F125" s="322"/>
      <c r="G125" s="322"/>
      <c r="H125" s="890"/>
      <c r="I125" s="890"/>
      <c r="J125" s="196"/>
      <c r="K125" s="16"/>
      <c r="L125" s="16"/>
    </row>
    <row r="126" spans="2:12">
      <c r="B126" s="279"/>
      <c r="C126" s="279"/>
      <c r="D126" s="323"/>
      <c r="E126" s="323"/>
      <c r="F126" s="324"/>
      <c r="G126" s="324"/>
      <c r="H126" s="323"/>
      <c r="I126" s="323"/>
      <c r="J126" s="196"/>
      <c r="K126" s="16"/>
      <c r="L126" s="16"/>
    </row>
    <row r="127" spans="2:12">
      <c r="B127" s="279"/>
      <c r="C127" s="279"/>
      <c r="D127" s="279"/>
      <c r="E127" s="319"/>
      <c r="F127" s="279"/>
      <c r="G127" s="279"/>
      <c r="H127" s="279"/>
      <c r="I127" s="279"/>
      <c r="J127" s="196"/>
      <c r="K127" s="16"/>
      <c r="L127" s="16"/>
    </row>
    <row r="128" spans="2:12" ht="13.5">
      <c r="B128" s="1682"/>
      <c r="C128" s="1682"/>
      <c r="D128" s="1683"/>
      <c r="E128" s="889"/>
      <c r="F128" s="1682"/>
      <c r="G128" s="1682"/>
      <c r="H128" s="1683"/>
      <c r="I128" s="1683"/>
      <c r="J128" s="889"/>
      <c r="K128" s="16"/>
      <c r="L128" s="16"/>
    </row>
    <row r="129" spans="2:14">
      <c r="B129" s="1684"/>
      <c r="C129" s="1684"/>
      <c r="D129" s="1685"/>
      <c r="E129" s="196"/>
      <c r="F129" s="1684"/>
      <c r="G129" s="1684"/>
      <c r="H129" s="1685"/>
      <c r="I129" s="1685"/>
      <c r="J129" s="196"/>
      <c r="K129" s="16"/>
      <c r="L129" s="16"/>
    </row>
    <row r="130" spans="2:14">
      <c r="B130" s="16"/>
      <c r="C130" s="16"/>
      <c r="D130" s="16"/>
      <c r="E130" s="16"/>
      <c r="F130" s="16"/>
      <c r="G130" s="16"/>
      <c r="H130" s="16"/>
      <c r="I130" s="16"/>
      <c r="J130" s="16"/>
      <c r="K130" s="16"/>
      <c r="L130" s="16"/>
    </row>
    <row r="131" spans="2:14">
      <c r="B131" s="1594"/>
      <c r="C131" s="1594"/>
      <c r="D131" s="1594"/>
      <c r="E131" s="196"/>
      <c r="F131" s="1594"/>
      <c r="G131" s="1594"/>
      <c r="H131" s="1594"/>
      <c r="I131" s="1594"/>
      <c r="J131" s="196"/>
      <c r="K131" s="16"/>
      <c r="L131" s="16"/>
    </row>
    <row r="132" spans="2:14">
      <c r="B132" s="329"/>
      <c r="C132" s="329"/>
      <c r="D132" s="318"/>
      <c r="E132" s="196"/>
      <c r="F132" s="1594"/>
      <c r="G132" s="1594"/>
      <c r="H132" s="1594"/>
      <c r="I132" s="1594"/>
      <c r="J132" s="810"/>
      <c r="K132" s="16"/>
      <c r="L132" s="16"/>
    </row>
    <row r="133" spans="2:14">
      <c r="B133" s="329"/>
      <c r="C133" s="329"/>
      <c r="D133" s="318"/>
      <c r="E133" s="196"/>
      <c r="F133" s="1686"/>
      <c r="G133" s="1686"/>
      <c r="H133" s="1686"/>
      <c r="I133" s="1686"/>
      <c r="J133" s="891"/>
      <c r="K133" s="16"/>
      <c r="L133" s="16"/>
    </row>
    <row r="134" spans="2:14">
      <c r="B134" s="329"/>
      <c r="C134" s="329"/>
      <c r="D134" s="318"/>
      <c r="E134" s="196"/>
      <c r="F134" s="825"/>
      <c r="G134" s="825"/>
      <c r="H134" s="825"/>
      <c r="I134" s="825"/>
      <c r="J134" s="891"/>
      <c r="K134" s="16"/>
      <c r="L134" s="16"/>
      <c r="N134" s="177">
        <f>SUM(F134:H134)</f>
        <v>0</v>
      </c>
    </row>
    <row r="135" spans="2:14">
      <c r="B135" s="196"/>
      <c r="C135" s="196"/>
      <c r="D135" s="318"/>
      <c r="E135" s="196"/>
      <c r="F135" s="892"/>
      <c r="G135" s="892"/>
      <c r="H135" s="892"/>
      <c r="I135" s="892"/>
      <c r="J135" s="450"/>
      <c r="K135" s="16"/>
      <c r="L135" s="16"/>
    </row>
    <row r="136" spans="2:14">
      <c r="B136" s="196"/>
      <c r="C136" s="196"/>
      <c r="D136" s="318"/>
      <c r="E136" s="196"/>
      <c r="F136" s="196"/>
      <c r="G136" s="196"/>
      <c r="H136" s="196"/>
      <c r="I136" s="196"/>
      <c r="J136" s="450"/>
      <c r="K136" s="16"/>
      <c r="L136" s="16"/>
    </row>
    <row r="137" spans="2:14">
      <c r="B137" s="329"/>
      <c r="C137" s="329"/>
      <c r="D137" s="318"/>
      <c r="E137" s="196"/>
      <c r="F137" s="892"/>
      <c r="G137" s="892"/>
      <c r="H137" s="892"/>
      <c r="I137" s="892"/>
      <c r="J137" s="810"/>
      <c r="K137" s="16"/>
      <c r="L137" s="16"/>
    </row>
    <row r="138" spans="2:14">
      <c r="B138" s="1687"/>
      <c r="C138" s="1687"/>
      <c r="D138" s="1688"/>
      <c r="E138" s="196"/>
      <c r="F138" s="1688"/>
      <c r="G138" s="1688"/>
      <c r="H138" s="1688"/>
      <c r="I138" s="1688"/>
      <c r="J138" s="196"/>
      <c r="K138" s="16"/>
      <c r="L138" s="16"/>
    </row>
    <row r="139" spans="2:14">
      <c r="B139" s="891"/>
      <c r="C139" s="891"/>
      <c r="D139" s="893"/>
      <c r="E139" s="196"/>
      <c r="F139" s="893"/>
      <c r="G139" s="893"/>
      <c r="H139" s="893"/>
      <c r="I139" s="893"/>
      <c r="J139" s="196"/>
      <c r="K139" s="16"/>
      <c r="L139" s="16"/>
    </row>
    <row r="140" spans="2:14">
      <c r="B140" s="891"/>
      <c r="C140" s="891"/>
      <c r="D140" s="1689"/>
      <c r="E140" s="196"/>
      <c r="F140" s="893"/>
      <c r="G140" s="893"/>
      <c r="H140" s="893"/>
      <c r="I140" s="893"/>
      <c r="J140" s="196"/>
      <c r="K140" s="16"/>
      <c r="L140" s="16"/>
    </row>
    <row r="141" spans="2:14">
      <c r="B141" s="891"/>
      <c r="C141" s="891"/>
      <c r="D141" s="1690"/>
      <c r="E141" s="196"/>
      <c r="F141" s="893"/>
      <c r="G141" s="893"/>
      <c r="H141" s="893"/>
      <c r="I141" s="893"/>
      <c r="J141" s="196"/>
      <c r="K141" s="16"/>
      <c r="L141" s="16"/>
    </row>
    <row r="142" spans="2:14">
      <c r="B142" s="945"/>
      <c r="C142" s="945"/>
      <c r="D142" s="945"/>
      <c r="E142" s="945"/>
      <c r="F142" s="945"/>
      <c r="G142" s="945"/>
      <c r="H142" s="945"/>
      <c r="I142" s="945"/>
      <c r="J142" s="945"/>
      <c r="K142" s="16"/>
      <c r="L142" s="16"/>
    </row>
    <row r="143" spans="2:14" ht="13.5">
      <c r="B143" s="895"/>
      <c r="C143" s="895"/>
      <c r="D143" s="196"/>
      <c r="E143" s="196"/>
      <c r="F143" s="196"/>
      <c r="G143" s="196"/>
      <c r="H143" s="196"/>
      <c r="I143" s="196"/>
      <c r="J143" s="196"/>
      <c r="K143" s="16"/>
      <c r="L143" s="16"/>
    </row>
    <row r="144" spans="2:14">
      <c r="B144" s="196"/>
      <c r="C144" s="196"/>
      <c r="D144" s="896"/>
      <c r="E144" s="324"/>
      <c r="F144" s="896"/>
      <c r="G144" s="896"/>
      <c r="H144" s="896"/>
      <c r="I144" s="896"/>
      <c r="J144" s="196"/>
      <c r="K144" s="16"/>
      <c r="L144" s="16"/>
    </row>
    <row r="145" spans="2:12">
      <c r="B145" s="1687"/>
      <c r="C145" s="1687"/>
      <c r="D145" s="1688"/>
      <c r="E145" s="196"/>
      <c r="F145" s="1688"/>
      <c r="G145" s="1688"/>
      <c r="H145" s="1688"/>
      <c r="I145" s="1688"/>
      <c r="J145" s="196"/>
      <c r="K145" s="16"/>
      <c r="L145" s="16"/>
    </row>
    <row r="146" spans="2:12">
      <c r="B146" s="450"/>
      <c r="C146" s="450"/>
      <c r="D146" s="196"/>
      <c r="E146" s="196"/>
      <c r="F146" s="896"/>
      <c r="G146" s="896"/>
      <c r="H146" s="896"/>
      <c r="I146" s="896"/>
      <c r="J146" s="196"/>
      <c r="K146" s="16"/>
      <c r="L146" s="16"/>
    </row>
    <row r="147" spans="2:12">
      <c r="B147" s="450"/>
      <c r="C147" s="450"/>
      <c r="D147" s="196"/>
      <c r="E147" s="196"/>
      <c r="F147" s="896"/>
      <c r="G147" s="896"/>
      <c r="H147" s="896"/>
      <c r="I147" s="896"/>
      <c r="J147" s="196"/>
      <c r="K147" s="16"/>
      <c r="L147" s="16"/>
    </row>
    <row r="148" spans="2:12" ht="13.5">
      <c r="B148" s="810"/>
      <c r="C148" s="810"/>
      <c r="D148" s="196"/>
      <c r="E148" s="1645"/>
      <c r="F148" s="1691"/>
      <c r="G148" s="1691"/>
      <c r="H148" s="1691"/>
      <c r="I148" s="1691"/>
      <c r="J148" s="196"/>
      <c r="K148" s="16"/>
      <c r="L148" s="16"/>
    </row>
    <row r="149" spans="2:12">
      <c r="B149" s="450"/>
      <c r="C149" s="450"/>
      <c r="D149" s="196"/>
      <c r="E149" s="897"/>
      <c r="F149" s="893"/>
      <c r="G149" s="893"/>
      <c r="H149" s="893"/>
      <c r="I149" s="893"/>
      <c r="J149" s="196"/>
      <c r="K149" s="16"/>
      <c r="L149" s="16"/>
    </row>
    <row r="150" spans="2:12">
      <c r="B150" s="196"/>
      <c r="C150" s="196"/>
      <c r="D150" s="196"/>
      <c r="E150" s="897"/>
      <c r="F150" s="893"/>
      <c r="G150" s="893"/>
      <c r="H150" s="898"/>
      <c r="I150" s="898"/>
      <c r="J150" s="196"/>
      <c r="K150" s="16"/>
      <c r="L150" s="16"/>
    </row>
    <row r="151" spans="2:12">
      <c r="B151" s="16"/>
      <c r="C151" s="16"/>
      <c r="D151" s="16"/>
      <c r="E151" s="16"/>
      <c r="F151" s="898"/>
      <c r="G151" s="898"/>
      <c r="H151" s="898"/>
      <c r="I151" s="898"/>
      <c r="J151" s="196"/>
      <c r="K151" s="16"/>
      <c r="L151" s="16"/>
    </row>
    <row r="152" spans="2:12">
      <c r="B152" s="16"/>
      <c r="C152" s="16"/>
      <c r="D152" s="16"/>
      <c r="E152" s="16"/>
      <c r="F152" s="898"/>
      <c r="G152" s="898"/>
      <c r="H152" s="898"/>
      <c r="I152" s="898"/>
      <c r="J152" s="196"/>
      <c r="K152" s="16"/>
      <c r="L152" s="16"/>
    </row>
    <row r="153" spans="2:12">
      <c r="B153" s="16"/>
      <c r="C153" s="16"/>
      <c r="D153" s="16"/>
      <c r="E153" s="16"/>
      <c r="F153" s="896"/>
      <c r="G153" s="896"/>
      <c r="H153" s="896"/>
      <c r="I153" s="896"/>
      <c r="J153" s="196"/>
      <c r="K153" s="16"/>
      <c r="L153" s="16"/>
    </row>
    <row r="154" spans="2:12" ht="13.5">
      <c r="B154" s="16"/>
      <c r="C154" s="16"/>
      <c r="D154" s="16"/>
      <c r="E154" s="1645"/>
      <c r="F154" s="1691"/>
      <c r="G154" s="1691"/>
      <c r="H154" s="1691"/>
      <c r="I154" s="1691"/>
      <c r="J154" s="196"/>
      <c r="K154" s="16"/>
      <c r="L154" s="16"/>
    </row>
    <row r="155" spans="2:12">
      <c r="B155" s="16"/>
      <c r="C155" s="16"/>
      <c r="D155" s="16"/>
      <c r="E155" s="897"/>
      <c r="F155" s="893"/>
      <c r="G155" s="893"/>
      <c r="H155" s="893"/>
      <c r="I155" s="893"/>
      <c r="J155" s="196"/>
      <c r="K155" s="16"/>
      <c r="L155" s="16"/>
    </row>
    <row r="156" spans="2:12">
      <c r="B156" s="16"/>
      <c r="C156" s="16"/>
      <c r="D156" s="16"/>
      <c r="E156" s="897"/>
      <c r="F156" s="893"/>
      <c r="G156" s="893"/>
      <c r="H156" s="893"/>
      <c r="I156" s="893"/>
      <c r="J156" s="196"/>
      <c r="K156" s="16"/>
      <c r="L156" s="16"/>
    </row>
    <row r="157" spans="2:12">
      <c r="B157" s="16"/>
      <c r="C157" s="16"/>
      <c r="D157" s="16"/>
      <c r="E157" s="16"/>
      <c r="F157" s="898"/>
      <c r="G157" s="898"/>
      <c r="H157" s="898"/>
      <c r="I157" s="898"/>
      <c r="J157" s="196"/>
      <c r="K157" s="16"/>
      <c r="L157" s="16"/>
    </row>
    <row r="158" spans="2:12">
      <c r="B158" s="16"/>
      <c r="C158" s="16"/>
      <c r="D158" s="16"/>
      <c r="E158" s="16"/>
      <c r="F158" s="898"/>
      <c r="G158" s="898"/>
      <c r="H158" s="898"/>
      <c r="I158" s="898"/>
      <c r="J158" s="196"/>
      <c r="K158" s="16"/>
      <c r="L158" s="16"/>
    </row>
    <row r="159" spans="2:12">
      <c r="B159" s="24"/>
      <c r="C159" s="24"/>
      <c r="D159" s="24"/>
      <c r="E159" s="24"/>
      <c r="F159" s="896"/>
      <c r="G159" s="896"/>
      <c r="H159" s="896"/>
      <c r="I159" s="896"/>
      <c r="J159" s="279"/>
      <c r="K159" s="16"/>
      <c r="L159" s="16"/>
    </row>
    <row r="160" spans="2:12" ht="13.5">
      <c r="B160" s="16"/>
      <c r="C160" s="16"/>
      <c r="D160" s="16"/>
      <c r="E160" s="1645"/>
      <c r="F160" s="1691"/>
      <c r="G160" s="1691"/>
      <c r="H160" s="1691"/>
      <c r="I160" s="1691"/>
      <c r="J160" s="196"/>
      <c r="K160" s="16"/>
      <c r="L160" s="16"/>
    </row>
    <row r="161" spans="2:12">
      <c r="B161" s="16"/>
      <c r="C161" s="16"/>
      <c r="D161" s="16"/>
      <c r="E161" s="897"/>
      <c r="F161" s="893"/>
      <c r="G161" s="893"/>
      <c r="H161" s="893"/>
      <c r="I161" s="893"/>
      <c r="J161" s="196"/>
      <c r="K161" s="16"/>
      <c r="L161" s="16"/>
    </row>
    <row r="162" spans="2:12">
      <c r="B162" s="16"/>
      <c r="C162" s="16"/>
      <c r="D162" s="16"/>
      <c r="E162" s="897"/>
      <c r="F162" s="893"/>
      <c r="G162" s="893"/>
      <c r="H162" s="893"/>
      <c r="I162" s="893"/>
      <c r="J162" s="196"/>
      <c r="K162" s="16"/>
      <c r="L162" s="16"/>
    </row>
    <row r="163" spans="2:12">
      <c r="B163" s="16"/>
      <c r="C163" s="16"/>
      <c r="D163" s="16"/>
      <c r="E163" s="16"/>
      <c r="F163" s="893"/>
      <c r="G163" s="893"/>
      <c r="H163" s="893"/>
      <c r="I163" s="893"/>
      <c r="J163" s="196"/>
      <c r="K163" s="16"/>
      <c r="L163" s="16"/>
    </row>
    <row r="164" spans="2:12">
      <c r="B164" s="16"/>
      <c r="C164" s="16"/>
      <c r="D164" s="16"/>
      <c r="E164" s="16"/>
      <c r="F164" s="16"/>
      <c r="G164" s="16"/>
      <c r="H164" s="16"/>
      <c r="I164" s="16"/>
      <c r="J164" s="16"/>
      <c r="K164" s="16"/>
      <c r="L164" s="16"/>
    </row>
    <row r="165" spans="2:12">
      <c r="B165" s="16"/>
      <c r="C165" s="16"/>
      <c r="D165" s="16"/>
      <c r="E165" s="16"/>
      <c r="F165" s="16"/>
      <c r="G165" s="16"/>
      <c r="H165" s="16"/>
      <c r="I165" s="16"/>
      <c r="J165" s="16"/>
      <c r="K165" s="16"/>
      <c r="L165" s="16"/>
    </row>
    <row r="166" spans="2:12">
      <c r="B166" s="16"/>
      <c r="C166" s="16"/>
      <c r="D166" s="16"/>
      <c r="E166" s="16"/>
      <c r="F166" s="16"/>
      <c r="G166" s="16"/>
      <c r="H166" s="16"/>
      <c r="I166" s="16"/>
      <c r="J166" s="16"/>
      <c r="K166" s="16"/>
      <c r="L166" s="16"/>
    </row>
    <row r="167" spans="2:12">
      <c r="B167" s="16"/>
      <c r="C167" s="16"/>
      <c r="D167" s="16"/>
      <c r="E167" s="16"/>
      <c r="F167" s="16"/>
      <c r="G167" s="16"/>
      <c r="H167" s="16"/>
      <c r="I167" s="16"/>
      <c r="J167" s="16"/>
      <c r="K167" s="16"/>
      <c r="L167" s="16"/>
    </row>
    <row r="168" spans="2:12">
      <c r="B168" s="16"/>
      <c r="C168" s="16"/>
      <c r="D168" s="16"/>
      <c r="E168" s="16"/>
      <c r="F168" s="16"/>
      <c r="G168" s="16"/>
      <c r="H168" s="16"/>
      <c r="I168" s="16"/>
      <c r="J168" s="16"/>
      <c r="K168" s="16"/>
      <c r="L168" s="16"/>
    </row>
    <row r="169" spans="2:12">
      <c r="B169" s="16"/>
      <c r="C169" s="16"/>
      <c r="D169" s="16"/>
      <c r="E169" s="16"/>
      <c r="F169" s="16"/>
      <c r="G169" s="16"/>
      <c r="H169" s="16"/>
      <c r="I169" s="16"/>
      <c r="J169" s="16"/>
      <c r="K169" s="16"/>
      <c r="L169" s="16"/>
    </row>
    <row r="170" spans="2:12">
      <c r="B170" s="16"/>
      <c r="C170" s="16"/>
      <c r="D170" s="16"/>
      <c r="E170" s="16"/>
      <c r="F170" s="16"/>
      <c r="G170" s="16"/>
      <c r="H170" s="16"/>
      <c r="I170" s="16"/>
      <c r="J170" s="16"/>
      <c r="K170" s="16"/>
      <c r="L170" s="16"/>
    </row>
    <row r="171" spans="2:12">
      <c r="B171" s="16"/>
      <c r="C171" s="16"/>
      <c r="D171" s="16"/>
      <c r="E171" s="16"/>
      <c r="F171" s="16"/>
      <c r="G171" s="16"/>
      <c r="H171" s="16"/>
      <c r="I171" s="16"/>
      <c r="J171" s="16"/>
      <c r="K171" s="16"/>
      <c r="L171" s="16"/>
    </row>
    <row r="172" spans="2:12">
      <c r="B172" s="16"/>
      <c r="C172" s="16"/>
      <c r="D172" s="16"/>
      <c r="E172" s="16"/>
      <c r="F172" s="16"/>
      <c r="G172" s="16"/>
      <c r="H172" s="16"/>
      <c r="I172" s="16"/>
      <c r="J172" s="16"/>
      <c r="K172" s="16"/>
      <c r="L172" s="16"/>
    </row>
    <row r="173" spans="2:12">
      <c r="B173" s="16"/>
      <c r="C173" s="16"/>
      <c r="D173" s="16"/>
      <c r="E173" s="16"/>
      <c r="F173" s="16"/>
      <c r="G173" s="16"/>
      <c r="H173" s="16"/>
      <c r="I173" s="16"/>
      <c r="J173" s="16"/>
      <c r="K173" s="16"/>
      <c r="L173" s="16"/>
    </row>
    <row r="174" spans="2:12">
      <c r="B174" s="16"/>
      <c r="C174" s="16"/>
      <c r="D174" s="16"/>
      <c r="E174" s="16"/>
      <c r="F174" s="16"/>
      <c r="G174" s="16"/>
      <c r="H174" s="16"/>
      <c r="I174" s="16"/>
      <c r="J174" s="16"/>
      <c r="K174" s="16"/>
      <c r="L174" s="16"/>
    </row>
    <row r="175" spans="2:12">
      <c r="B175" s="16"/>
      <c r="C175" s="16"/>
      <c r="D175" s="16"/>
      <c r="E175" s="16"/>
      <c r="F175" s="16"/>
      <c r="G175" s="16"/>
      <c r="H175" s="16"/>
      <c r="I175" s="16"/>
      <c r="J175" s="16"/>
      <c r="K175" s="16"/>
      <c r="L175" s="16"/>
    </row>
    <row r="176" spans="2:12">
      <c r="B176" s="16"/>
      <c r="C176" s="16"/>
      <c r="D176" s="16"/>
      <c r="E176" s="16"/>
      <c r="F176" s="16"/>
      <c r="G176" s="16"/>
      <c r="H176" s="16"/>
      <c r="I176" s="16"/>
      <c r="J176" s="16"/>
      <c r="K176" s="16"/>
      <c r="L176" s="16"/>
    </row>
    <row r="177" spans="2:12">
      <c r="B177" s="16"/>
      <c r="C177" s="16"/>
      <c r="D177" s="16"/>
      <c r="E177" s="16"/>
      <c r="F177" s="16"/>
      <c r="G177" s="16"/>
      <c r="H177" s="16"/>
      <c r="I177" s="16"/>
      <c r="J177" s="16"/>
      <c r="K177" s="16"/>
      <c r="L177" s="16"/>
    </row>
    <row r="178" spans="2:12">
      <c r="B178" s="16"/>
      <c r="C178" s="16"/>
      <c r="D178" s="16"/>
      <c r="E178" s="16"/>
      <c r="F178" s="16"/>
      <c r="G178" s="16"/>
      <c r="H178" s="16"/>
      <c r="I178" s="16"/>
      <c r="J178" s="16"/>
      <c r="K178" s="16"/>
      <c r="L178" s="16"/>
    </row>
    <row r="179" spans="2:12">
      <c r="B179" s="16"/>
      <c r="C179" s="16"/>
      <c r="D179" s="16"/>
      <c r="E179" s="16"/>
      <c r="F179" s="16"/>
      <c r="G179" s="16"/>
      <c r="H179" s="16"/>
      <c r="I179" s="16"/>
      <c r="J179" s="16"/>
      <c r="K179" s="16"/>
      <c r="L179" s="16"/>
    </row>
    <row r="180" spans="2:12">
      <c r="B180" s="16"/>
      <c r="C180" s="16"/>
      <c r="D180" s="16"/>
      <c r="E180" s="16"/>
      <c r="F180" s="16"/>
      <c r="G180" s="16"/>
      <c r="H180" s="16"/>
      <c r="I180" s="16"/>
      <c r="J180" s="16"/>
      <c r="K180" s="16"/>
      <c r="L180" s="16"/>
    </row>
    <row r="181" spans="2:12">
      <c r="B181" s="16"/>
      <c r="C181" s="16"/>
      <c r="D181" s="16"/>
      <c r="E181" s="16"/>
      <c r="F181" s="16"/>
      <c r="G181" s="16"/>
      <c r="H181" s="16"/>
      <c r="I181" s="16"/>
      <c r="J181" s="16"/>
      <c r="K181" s="16"/>
      <c r="L181" s="16"/>
    </row>
    <row r="182" spans="2:12">
      <c r="B182" s="16"/>
      <c r="C182" s="16"/>
      <c r="D182" s="16"/>
      <c r="E182" s="16"/>
      <c r="F182" s="16"/>
      <c r="G182" s="16"/>
      <c r="H182" s="16"/>
      <c r="I182" s="16"/>
      <c r="J182" s="16"/>
      <c r="K182" s="16"/>
      <c r="L182" s="16"/>
    </row>
    <row r="183" spans="2:12">
      <c r="B183" s="16"/>
      <c r="C183" s="16"/>
      <c r="D183" s="16"/>
      <c r="E183" s="16"/>
      <c r="F183" s="16"/>
      <c r="G183" s="16"/>
      <c r="H183" s="16"/>
      <c r="I183" s="16"/>
      <c r="J183" s="16"/>
      <c r="K183" s="16"/>
      <c r="L183" s="16"/>
    </row>
    <row r="184" spans="2:12">
      <c r="B184" s="16"/>
      <c r="C184" s="16"/>
      <c r="D184" s="16"/>
      <c r="E184" s="16"/>
      <c r="F184" s="16"/>
      <c r="G184" s="16"/>
      <c r="H184" s="16"/>
      <c r="I184" s="16"/>
      <c r="J184" s="16"/>
      <c r="K184" s="16"/>
      <c r="L184" s="16"/>
    </row>
    <row r="185" spans="2:12">
      <c r="B185" s="16"/>
      <c r="C185" s="16"/>
      <c r="D185" s="16"/>
      <c r="E185" s="16"/>
      <c r="F185" s="16"/>
      <c r="G185" s="16"/>
      <c r="H185" s="16"/>
      <c r="I185" s="16"/>
      <c r="J185" s="16"/>
      <c r="K185" s="16"/>
      <c r="L185" s="16"/>
    </row>
    <row r="186" spans="2:12">
      <c r="B186" s="16"/>
      <c r="C186" s="16"/>
      <c r="D186" s="16"/>
      <c r="E186" s="16"/>
      <c r="F186" s="16"/>
      <c r="G186" s="16"/>
      <c r="H186" s="16"/>
      <c r="I186" s="16"/>
      <c r="J186" s="16"/>
      <c r="K186" s="16"/>
      <c r="L186" s="16"/>
    </row>
    <row r="187" spans="2:12">
      <c r="B187" s="16"/>
      <c r="C187" s="16"/>
      <c r="D187" s="16"/>
      <c r="E187" s="16"/>
      <c r="F187" s="16"/>
      <c r="G187" s="16"/>
      <c r="H187" s="16"/>
      <c r="I187" s="16"/>
      <c r="J187" s="16"/>
      <c r="K187" s="16"/>
      <c r="L187" s="16"/>
    </row>
    <row r="188" spans="2:12">
      <c r="B188" s="16"/>
      <c r="C188" s="16"/>
      <c r="D188" s="16"/>
      <c r="E188" s="16"/>
      <c r="F188" s="16"/>
      <c r="G188" s="16"/>
      <c r="H188" s="16"/>
      <c r="I188" s="16"/>
      <c r="J188" s="16"/>
      <c r="K188" s="16"/>
      <c r="L188" s="16"/>
    </row>
    <row r="189" spans="2:12">
      <c r="B189" s="16"/>
      <c r="C189" s="16"/>
      <c r="D189" s="16"/>
      <c r="E189" s="16"/>
      <c r="F189" s="16"/>
      <c r="G189" s="16"/>
      <c r="H189" s="16"/>
      <c r="I189" s="16"/>
      <c r="J189" s="16"/>
      <c r="K189" s="16"/>
      <c r="L189" s="16"/>
    </row>
    <row r="190" spans="2:12">
      <c r="B190" s="16"/>
      <c r="C190" s="16"/>
      <c r="D190" s="16"/>
      <c r="E190" s="16"/>
      <c r="F190" s="16"/>
      <c r="G190" s="16"/>
      <c r="H190" s="16"/>
      <c r="I190" s="16"/>
      <c r="J190" s="16"/>
      <c r="K190" s="16"/>
      <c r="L190" s="16"/>
    </row>
    <row r="191" spans="2:12">
      <c r="B191" s="16"/>
      <c r="C191" s="16"/>
      <c r="D191" s="16"/>
      <c r="E191" s="16"/>
      <c r="F191" s="16"/>
      <c r="G191" s="16"/>
      <c r="H191" s="16"/>
      <c r="I191" s="16"/>
      <c r="J191" s="16"/>
      <c r="K191" s="16"/>
      <c r="L191" s="16"/>
    </row>
    <row r="192" spans="2:12">
      <c r="B192" s="16"/>
      <c r="C192" s="16"/>
      <c r="D192" s="16"/>
      <c r="E192" s="16"/>
      <c r="F192" s="16"/>
      <c r="G192" s="16"/>
      <c r="H192" s="16"/>
      <c r="I192" s="16"/>
      <c r="J192" s="16"/>
      <c r="K192" s="16"/>
      <c r="L192" s="16"/>
    </row>
    <row r="193" spans="2:12">
      <c r="B193" s="16"/>
      <c r="C193" s="16"/>
      <c r="D193" s="16"/>
      <c r="E193" s="16"/>
      <c r="F193" s="16"/>
      <c r="G193" s="16"/>
      <c r="H193" s="16"/>
      <c r="I193" s="16"/>
      <c r="J193" s="16"/>
      <c r="K193" s="16"/>
      <c r="L193" s="16"/>
    </row>
    <row r="194" spans="2:12">
      <c r="B194" s="16"/>
      <c r="C194" s="16"/>
      <c r="D194" s="16"/>
      <c r="E194" s="16"/>
      <c r="F194" s="16"/>
      <c r="G194" s="16"/>
      <c r="H194" s="16"/>
      <c r="I194" s="16"/>
      <c r="J194" s="16"/>
      <c r="K194" s="16"/>
      <c r="L194" s="16"/>
    </row>
    <row r="195" spans="2:12">
      <c r="B195" s="16"/>
      <c r="C195" s="16"/>
      <c r="D195" s="16"/>
      <c r="E195" s="16"/>
      <c r="F195" s="16"/>
      <c r="G195" s="16"/>
      <c r="H195" s="16"/>
      <c r="I195" s="16"/>
      <c r="J195" s="16"/>
      <c r="K195" s="16"/>
      <c r="L195" s="16"/>
    </row>
    <row r="196" spans="2:12">
      <c r="B196" s="16"/>
      <c r="C196" s="16"/>
      <c r="D196" s="16"/>
      <c r="E196" s="16"/>
      <c r="F196" s="16"/>
      <c r="G196" s="16"/>
      <c r="H196" s="16"/>
      <c r="I196" s="16"/>
      <c r="J196" s="16"/>
      <c r="K196" s="16"/>
      <c r="L196" s="16"/>
    </row>
    <row r="197" spans="2:12">
      <c r="B197" s="16"/>
      <c r="C197" s="16"/>
      <c r="D197" s="16"/>
      <c r="E197" s="16"/>
      <c r="F197" s="16"/>
      <c r="G197" s="16"/>
      <c r="H197" s="16"/>
      <c r="I197" s="16"/>
      <c r="J197" s="16"/>
      <c r="K197" s="16"/>
      <c r="L197" s="16"/>
    </row>
    <row r="198" spans="2:12">
      <c r="B198" s="16"/>
      <c r="C198" s="16"/>
      <c r="D198" s="16"/>
      <c r="E198" s="16"/>
      <c r="F198" s="16"/>
      <c r="G198" s="16"/>
      <c r="H198" s="16"/>
      <c r="I198" s="16"/>
      <c r="J198" s="16"/>
      <c r="K198" s="16"/>
      <c r="L198" s="16"/>
    </row>
    <row r="199" spans="2:12">
      <c r="B199" s="16"/>
      <c r="C199" s="16"/>
      <c r="D199" s="16"/>
      <c r="E199" s="16"/>
      <c r="F199" s="16"/>
      <c r="G199" s="16"/>
      <c r="H199" s="16"/>
      <c r="I199" s="16"/>
      <c r="J199" s="16"/>
      <c r="K199" s="16"/>
      <c r="L199" s="16"/>
    </row>
    <row r="200" spans="2:12">
      <c r="B200" s="16"/>
      <c r="C200" s="16"/>
      <c r="D200" s="16"/>
      <c r="E200" s="16"/>
      <c r="F200" s="16"/>
      <c r="G200" s="16"/>
      <c r="H200" s="16"/>
      <c r="I200" s="16"/>
      <c r="J200" s="16"/>
      <c r="K200" s="16"/>
      <c r="L200" s="16"/>
    </row>
    <row r="201" spans="2:12">
      <c r="B201" s="16"/>
      <c r="C201" s="16"/>
      <c r="D201" s="16"/>
      <c r="E201" s="16"/>
      <c r="F201" s="16"/>
      <c r="G201" s="16"/>
      <c r="H201" s="16"/>
      <c r="I201" s="16"/>
      <c r="J201" s="16"/>
      <c r="K201" s="16"/>
      <c r="L201" s="16"/>
    </row>
    <row r="202" spans="2:12">
      <c r="B202" s="16"/>
      <c r="C202" s="16"/>
      <c r="D202" s="16"/>
      <c r="E202" s="16"/>
      <c r="F202" s="16"/>
      <c r="G202" s="16"/>
      <c r="H202" s="16"/>
      <c r="I202" s="16"/>
      <c r="J202" s="16"/>
      <c r="K202" s="16"/>
      <c r="L202" s="16"/>
    </row>
    <row r="203" spans="2:12">
      <c r="B203" s="16"/>
      <c r="C203" s="16"/>
      <c r="D203" s="16"/>
      <c r="E203" s="16"/>
      <c r="F203" s="16"/>
      <c r="G203" s="16"/>
      <c r="H203" s="16"/>
      <c r="I203" s="16"/>
      <c r="J203" s="16"/>
      <c r="K203" s="16"/>
      <c r="L203" s="16"/>
    </row>
    <row r="204" spans="2:12">
      <c r="B204" s="16"/>
      <c r="C204" s="16"/>
      <c r="D204" s="16"/>
      <c r="E204" s="16"/>
      <c r="F204" s="16"/>
      <c r="G204" s="16"/>
      <c r="H204" s="16"/>
      <c r="I204" s="16"/>
      <c r="J204" s="16"/>
      <c r="K204" s="16"/>
      <c r="L204" s="16"/>
    </row>
    <row r="205" spans="2:12">
      <c r="B205" s="16"/>
      <c r="C205" s="16"/>
      <c r="D205" s="16"/>
      <c r="E205" s="16"/>
      <c r="F205" s="16"/>
      <c r="G205" s="16"/>
      <c r="H205" s="16"/>
      <c r="I205" s="16"/>
      <c r="J205" s="16"/>
      <c r="K205" s="16"/>
      <c r="L205" s="16"/>
    </row>
    <row r="206" spans="2:12">
      <c r="B206" s="16"/>
      <c r="C206" s="16"/>
      <c r="D206" s="16"/>
      <c r="E206" s="16"/>
      <c r="F206" s="16"/>
      <c r="G206" s="16"/>
      <c r="H206" s="16"/>
      <c r="I206" s="16"/>
      <c r="J206" s="16"/>
      <c r="K206" s="16"/>
      <c r="L206" s="16"/>
    </row>
    <row r="207" spans="2:12">
      <c r="B207" s="16"/>
      <c r="C207" s="16"/>
      <c r="D207" s="16"/>
      <c r="E207" s="16"/>
      <c r="F207" s="16"/>
      <c r="G207" s="16"/>
      <c r="H207" s="16"/>
      <c r="I207" s="16"/>
      <c r="J207" s="16"/>
      <c r="K207" s="16"/>
      <c r="L207" s="16"/>
    </row>
    <row r="208" spans="2:12">
      <c r="B208" s="16"/>
      <c r="C208" s="16"/>
      <c r="D208" s="16"/>
      <c r="E208" s="16"/>
      <c r="F208" s="16"/>
      <c r="G208" s="16"/>
      <c r="H208" s="16"/>
      <c r="I208" s="16"/>
      <c r="J208" s="16"/>
      <c r="K208" s="16"/>
      <c r="L208" s="16"/>
    </row>
    <row r="209" spans="2:12">
      <c r="B209" s="16"/>
      <c r="C209" s="16"/>
      <c r="D209" s="16"/>
      <c r="E209" s="16"/>
      <c r="F209" s="16"/>
      <c r="G209" s="16"/>
      <c r="H209" s="16"/>
      <c r="I209" s="16"/>
      <c r="J209" s="16"/>
      <c r="K209" s="16"/>
      <c r="L209" s="16"/>
    </row>
  </sheetData>
  <mergeCells count="4">
    <mergeCell ref="E45:F45"/>
    <mergeCell ref="E43:F43"/>
    <mergeCell ref="D35:E35"/>
    <mergeCell ref="D38:E38"/>
  </mergeCells>
  <conditionalFormatting sqref="B4:G5 B32:I32">
    <cfRule type="cellIs" dxfId="276" priority="11" stopIfTrue="1" operator="equal">
      <formula>"input"</formula>
    </cfRule>
  </conditionalFormatting>
  <conditionalFormatting sqref="H4:I5">
    <cfRule type="cellIs" dxfId="275" priority="3" stopIfTrue="1" operator="equal">
      <formula>"input"</formula>
    </cfRule>
  </conditionalFormatting>
  <conditionalFormatting sqref="H4:I5">
    <cfRule type="cellIs" dxfId="274" priority="4" stopIfTrue="1" operator="equal">
      <formula>"input"</formula>
    </cfRule>
  </conditionalFormatting>
  <conditionalFormatting sqref="J4">
    <cfRule type="cellIs" dxfId="273" priority="1" stopIfTrue="1" operator="equal">
      <formula>"input"</formula>
    </cfRule>
  </conditionalFormatting>
  <conditionalFormatting sqref="J4">
    <cfRule type="cellIs" dxfId="272" priority="2" stopIfTrue="1" operator="equal">
      <formula>"input"</formula>
    </cfRule>
  </conditionalFormatting>
  <pageMargins left="0.5" right="0.5" top="0.5" bottom="0.5" header="0.5" footer="0.5"/>
  <pageSetup scale="86" fitToHeight="0" orientation="landscape" r:id="rId1"/>
  <rowBreaks count="1" manualBreakCount="1">
    <brk id="39" max="10" man="1"/>
  </rowBreaks>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64"/>
  <sheetViews>
    <sheetView showGridLines="0" view="pageBreakPreview" zoomScaleNormal="100" zoomScaleSheetLayoutView="100" workbookViewId="0"/>
  </sheetViews>
  <sheetFormatPr defaultRowHeight="12.75" outlineLevelRow="1"/>
  <cols>
    <col min="1" max="1" width="4.5" style="385" customWidth="1"/>
    <col min="2" max="6" width="28" style="385" customWidth="1"/>
    <col min="7" max="7" width="4.5" style="385" customWidth="1"/>
    <col min="8" max="16384" width="9.33203125" style="385"/>
  </cols>
  <sheetData>
    <row r="1" spans="2:6" ht="13.5" thickBot="1"/>
    <row r="2" spans="2:6" ht="16.5" thickTop="1">
      <c r="B2" s="10" t="str">
        <f>'MASTER PubCo Inputs'!$C$5</f>
        <v>Pliant Therapeutics, Inc.</v>
      </c>
      <c r="C2" s="10"/>
      <c r="D2" s="10"/>
      <c r="E2" s="10"/>
      <c r="F2" s="10"/>
    </row>
    <row r="3" spans="2:6" ht="15.75">
      <c r="B3" s="11" t="str">
        <f>VLOOKUP(B4,Outline!$E$8:$G$69,COLUMNS(Outline!$E$8:$G$8),FALSE)</f>
        <v>Exhibit B.3</v>
      </c>
      <c r="C3" s="11"/>
      <c r="D3" s="11"/>
      <c r="E3" s="11"/>
      <c r="F3" s="11"/>
    </row>
    <row r="4" spans="2:6" ht="16.5" thickBot="1">
      <c r="B4" s="12" t="s">
        <v>438</v>
      </c>
      <c r="C4" s="12"/>
      <c r="D4" s="12"/>
      <c r="E4" s="12"/>
      <c r="F4" s="12"/>
    </row>
    <row r="5" spans="2:6" ht="13.5" thickTop="1"/>
    <row r="6" spans="2:6">
      <c r="B6" s="1599" t="s">
        <v>2286</v>
      </c>
      <c r="C6" s="1600"/>
      <c r="D6" s="1600"/>
      <c r="E6" s="1600"/>
      <c r="F6" s="1601"/>
    </row>
    <row r="7" spans="2:6" ht="6" customHeight="1">
      <c r="B7" s="1602"/>
      <c r="C7" s="1602"/>
      <c r="D7" s="1602"/>
      <c r="E7" s="1602"/>
      <c r="F7" s="1602"/>
    </row>
    <row r="8" spans="2:6" ht="13.5">
      <c r="B8" s="1603" t="str">
        <f>"Probability of Technical Success - Overall Success Rates "&amp;TEXT(A59,"(0)")</f>
        <v>Probability of Technical Success - Overall Success Rates (1)</v>
      </c>
      <c r="C8" s="1604"/>
      <c r="D8" s="1604"/>
      <c r="E8" s="1604"/>
      <c r="F8" s="1604"/>
    </row>
    <row r="9" spans="2:6">
      <c r="B9" s="1605" t="s">
        <v>421</v>
      </c>
      <c r="C9" s="1606" t="s">
        <v>412</v>
      </c>
      <c r="D9" s="1606" t="s">
        <v>422</v>
      </c>
      <c r="E9" s="1606" t="s">
        <v>423</v>
      </c>
      <c r="F9" s="1607" t="s">
        <v>424</v>
      </c>
    </row>
    <row r="10" spans="2:6">
      <c r="B10" s="718">
        <v>0.63</v>
      </c>
      <c r="C10" s="718">
        <v>0.33</v>
      </c>
      <c r="D10" s="718">
        <v>0.55000000000000004</v>
      </c>
      <c r="E10" s="718">
        <v>0.8</v>
      </c>
      <c r="F10" s="1608">
        <f>PRODUCT(B10:E10)</f>
        <v>9.1476000000000016E-2</v>
      </c>
    </row>
    <row r="11" spans="2:6" ht="6" customHeight="1">
      <c r="B11" s="473"/>
      <c r="C11" s="473"/>
      <c r="D11" s="473"/>
      <c r="E11" s="473"/>
      <c r="F11" s="473"/>
    </row>
    <row r="12" spans="2:6" s="716" customFormat="1" ht="15" customHeight="1">
      <c r="B12" s="1603" t="str">
        <f>"Probability of Technical Success - Lead Indications "&amp;TEXT(A59,"(0)")</f>
        <v>Probability of Technical Success - Lead Indications (1)</v>
      </c>
      <c r="C12" s="1604"/>
      <c r="D12" s="1604"/>
      <c r="E12" s="1604"/>
      <c r="F12" s="1609"/>
    </row>
    <row r="13" spans="2:6" s="716" customFormat="1" ht="12.75" customHeight="1">
      <c r="B13" s="1605" t="s">
        <v>421</v>
      </c>
      <c r="C13" s="1606" t="s">
        <v>412</v>
      </c>
      <c r="D13" s="1606" t="s">
        <v>422</v>
      </c>
      <c r="E13" s="1606" t="s">
        <v>423</v>
      </c>
      <c r="F13" s="1607" t="s">
        <v>424</v>
      </c>
    </row>
    <row r="14" spans="2:6" s="716" customFormat="1" ht="12.75" customHeight="1">
      <c r="B14" s="718">
        <v>0.67</v>
      </c>
      <c r="C14" s="718">
        <v>0.41</v>
      </c>
      <c r="D14" s="718">
        <v>0.65</v>
      </c>
      <c r="E14" s="718">
        <v>0.83</v>
      </c>
      <c r="F14" s="1608">
        <f>PRODUCT(B14:E14)</f>
        <v>0.14820065000000002</v>
      </c>
    </row>
    <row r="15" spans="2:6" s="716" customFormat="1" ht="6" customHeight="1">
      <c r="B15" s="1610"/>
      <c r="C15" s="1610"/>
      <c r="D15" s="1611"/>
      <c r="E15" s="1610"/>
      <c r="F15" s="1611"/>
    </row>
    <row r="16" spans="2:6" s="716" customFormat="1" ht="12.75" customHeight="1">
      <c r="B16" s="1603" t="str">
        <f>"Probability of Technical Success - Secondary  Indications "&amp;TEXT(A59,"(0)")</f>
        <v>Probability of Technical Success - Secondary  Indications (1)</v>
      </c>
      <c r="C16" s="1604"/>
      <c r="D16" s="1604"/>
      <c r="E16" s="1604"/>
      <c r="F16" s="1604"/>
    </row>
    <row r="17" spans="2:17" s="716" customFormat="1" ht="12.75" customHeight="1">
      <c r="B17" s="1605" t="s">
        <v>421</v>
      </c>
      <c r="C17" s="1606" t="s">
        <v>412</v>
      </c>
      <c r="D17" s="1606" t="s">
        <v>422</v>
      </c>
      <c r="E17" s="1606" t="s">
        <v>423</v>
      </c>
      <c r="F17" s="1607" t="s">
        <v>424</v>
      </c>
    </row>
    <row r="18" spans="2:17" s="716" customFormat="1" ht="12.75" customHeight="1">
      <c r="B18" s="718">
        <v>0.54</v>
      </c>
      <c r="C18" s="718">
        <v>0.23</v>
      </c>
      <c r="D18" s="718">
        <v>0.37</v>
      </c>
      <c r="E18" s="718">
        <v>0.72</v>
      </c>
      <c r="F18" s="1608">
        <f>PRODUCT(B18:E18)</f>
        <v>3.3086880000000006E-2</v>
      </c>
    </row>
    <row r="19" spans="2:17" s="716" customFormat="1" ht="6" customHeight="1">
      <c r="B19" s="1610"/>
      <c r="C19" s="1610"/>
      <c r="D19" s="1611"/>
      <c r="E19" s="1610"/>
      <c r="F19" s="1611"/>
    </row>
    <row r="20" spans="2:17" s="716" customFormat="1" ht="12.75" customHeight="1">
      <c r="B20" s="1612" t="str">
        <f>"Lead Optimization and Preclinical Success Rates "&amp;TEXT(A60,"(0)")</f>
        <v>Lead Optimization and Preclinical Success Rates (2)</v>
      </c>
      <c r="C20" s="1613"/>
      <c r="D20" s="1611"/>
      <c r="E20" s="1610"/>
      <c r="F20" s="1611"/>
    </row>
    <row r="21" spans="2:17" s="716" customFormat="1" ht="12.75" customHeight="1">
      <c r="B21" s="1605" t="s">
        <v>649</v>
      </c>
      <c r="C21" s="1607" t="s">
        <v>650</v>
      </c>
      <c r="D21" s="1611"/>
      <c r="E21" s="1610"/>
      <c r="F21" s="1611"/>
    </row>
    <row r="22" spans="2:17" s="716" customFormat="1" ht="12.75" customHeight="1">
      <c r="B22" s="718">
        <v>0.7</v>
      </c>
      <c r="C22" s="718">
        <v>0.65</v>
      </c>
      <c r="D22" s="1611"/>
      <c r="E22" s="1610"/>
      <c r="F22" s="1611"/>
    </row>
    <row r="23" spans="2:17" s="716" customFormat="1" ht="6" customHeight="1">
      <c r="B23" s="1610"/>
      <c r="C23" s="1610"/>
      <c r="D23" s="1611"/>
      <c r="E23" s="1610"/>
      <c r="F23" s="1611"/>
    </row>
    <row r="24" spans="2:17" s="716" customFormat="1" ht="15" customHeight="1">
      <c r="B24" s="1612" t="str">
        <f>"Probability of Technical Success - All Drugs "&amp;TEXT(A61,"(0)")</f>
        <v>Probability of Technical Success - All Drugs (3)</v>
      </c>
      <c r="C24" s="1604"/>
      <c r="D24" s="1604"/>
      <c r="E24" s="1604"/>
      <c r="F24" s="1609"/>
    </row>
    <row r="25" spans="2:17" s="716" customFormat="1" ht="12.75" customHeight="1">
      <c r="B25" s="1605" t="s">
        <v>421</v>
      </c>
      <c r="C25" s="1606" t="s">
        <v>412</v>
      </c>
      <c r="D25" s="1607" t="s">
        <v>422</v>
      </c>
      <c r="E25" s="1604"/>
      <c r="F25" s="1609"/>
    </row>
    <row r="26" spans="2:17" s="716" customFormat="1" ht="12.75" customHeight="1">
      <c r="B26" s="722">
        <v>0.80700000000000005</v>
      </c>
      <c r="C26" s="722">
        <v>0.57699999999999996</v>
      </c>
      <c r="D26" s="722">
        <v>0.56699999999999995</v>
      </c>
      <c r="E26" s="1604"/>
      <c r="F26" s="1609"/>
    </row>
    <row r="27" spans="2:17" s="716" customFormat="1" ht="12.75" customHeight="1">
      <c r="B27" s="1608"/>
      <c r="C27" s="1608"/>
      <c r="D27" s="1613"/>
      <c r="E27" s="1604"/>
      <c r="F27" s="1609"/>
    </row>
    <row r="28" spans="2:17" ht="15" customHeight="1">
      <c r="B28" s="1599" t="s">
        <v>2287</v>
      </c>
      <c r="C28" s="1615"/>
      <c r="D28" s="1615"/>
      <c r="E28" s="1616"/>
      <c r="F28" s="1617"/>
      <c r="I28" s="1618"/>
      <c r="J28" s="1619"/>
      <c r="K28" s="1619"/>
      <c r="L28" s="1619"/>
      <c r="M28" s="1619"/>
      <c r="N28" s="16"/>
      <c r="O28" s="16"/>
      <c r="P28" s="16"/>
      <c r="Q28" s="16"/>
    </row>
    <row r="29" spans="2:17" ht="6" customHeight="1">
      <c r="B29" s="1620"/>
      <c r="C29" s="1620"/>
      <c r="D29" s="1620"/>
      <c r="E29" s="1621"/>
      <c r="F29" s="1622"/>
      <c r="I29" s="1623"/>
      <c r="J29" s="1624"/>
      <c r="K29" s="1624"/>
      <c r="L29" s="1624"/>
      <c r="M29" s="1624"/>
      <c r="N29" s="16"/>
      <c r="O29" s="16"/>
      <c r="P29" s="16"/>
      <c r="Q29" s="16"/>
    </row>
    <row r="30" spans="2:17" ht="13.5">
      <c r="B30" s="1625" t="str">
        <f>"Probability of Technical Success "&amp;TEXT(A60,"(0)")</f>
        <v>Probability of Technical Success (2)</v>
      </c>
      <c r="C30" s="1625"/>
      <c r="D30" s="1625"/>
      <c r="E30" s="1625"/>
      <c r="F30" s="1625"/>
      <c r="I30" s="722"/>
      <c r="J30" s="722"/>
      <c r="K30" s="722"/>
      <c r="L30" s="722"/>
      <c r="M30" s="1626"/>
      <c r="N30" s="16"/>
      <c r="O30" s="16"/>
      <c r="P30" s="16"/>
      <c r="Q30" s="16"/>
    </row>
    <row r="31" spans="2:17" ht="12.75" customHeight="1">
      <c r="B31" s="1605" t="s">
        <v>421</v>
      </c>
      <c r="C31" s="1606" t="s">
        <v>412</v>
      </c>
      <c r="D31" s="1606" t="s">
        <v>422</v>
      </c>
      <c r="E31" s="1606" t="s">
        <v>423</v>
      </c>
      <c r="F31" s="1607" t="s">
        <v>425</v>
      </c>
      <c r="I31" s="1627"/>
      <c r="J31" s="1627"/>
      <c r="K31" s="1628"/>
      <c r="L31" s="1629"/>
      <c r="M31" s="716"/>
    </row>
    <row r="32" spans="2:17">
      <c r="B32" s="329">
        <v>0.63400000000000001</v>
      </c>
      <c r="C32" s="329">
        <v>0.41099999999999998</v>
      </c>
      <c r="D32" s="329">
        <v>0.59899999999999998</v>
      </c>
      <c r="E32" s="334">
        <v>0.76900000000000002</v>
      </c>
      <c r="F32" s="1630">
        <f>PRODUCT(B32:E32)</f>
        <v>0.12002846219399999</v>
      </c>
      <c r="L32" s="716"/>
      <c r="M32" s="717"/>
    </row>
    <row r="33" spans="2:13" ht="6" customHeight="1">
      <c r="B33" s="1620"/>
      <c r="C33" s="1620"/>
      <c r="D33" s="1620"/>
      <c r="E33" s="1621"/>
      <c r="F33" s="1622"/>
      <c r="L33" s="716"/>
      <c r="M33" s="717"/>
    </row>
    <row r="34" spans="2:13" ht="13.5">
      <c r="B34" s="1625" t="str">
        <f>"Probability of Technical Success "&amp;TEXT(A61,"(0)")</f>
        <v>Probability of Technical Success (3)</v>
      </c>
      <c r="C34" s="473"/>
      <c r="D34" s="473"/>
      <c r="E34" s="473"/>
      <c r="F34" s="473"/>
      <c r="L34" s="716"/>
      <c r="M34" s="717"/>
    </row>
    <row r="35" spans="2:13">
      <c r="B35" s="1605" t="s">
        <v>421</v>
      </c>
      <c r="C35" s="1606" t="s">
        <v>412</v>
      </c>
      <c r="D35" s="1606" t="s">
        <v>422</v>
      </c>
      <c r="E35" s="1607" t="s">
        <v>2288</v>
      </c>
      <c r="F35" s="473"/>
    </row>
    <row r="36" spans="2:13" s="716" customFormat="1" ht="15" customHeight="1">
      <c r="B36" s="333">
        <v>0.71</v>
      </c>
      <c r="C36" s="333">
        <v>0.43</v>
      </c>
      <c r="D36" s="333">
        <v>0.83</v>
      </c>
      <c r="E36" s="1632">
        <f>PRODUCT(B36:D36)</f>
        <v>0.25339899999999993</v>
      </c>
      <c r="F36" s="473"/>
    </row>
    <row r="37" spans="2:13" s="716" customFormat="1" ht="6" customHeight="1">
      <c r="B37" s="473"/>
      <c r="C37" s="473"/>
      <c r="D37" s="473"/>
      <c r="E37" s="473"/>
      <c r="F37" s="473"/>
    </row>
    <row r="38" spans="2:13" s="716" customFormat="1" ht="12.75" hidden="1" customHeight="1" outlineLevel="1">
      <c r="B38" s="1625" t="s">
        <v>2289</v>
      </c>
      <c r="C38" s="473"/>
      <c r="D38" s="473"/>
      <c r="E38" s="473"/>
      <c r="F38" s="473"/>
    </row>
    <row r="39" spans="2:13" s="716" customFormat="1" ht="12.75" hidden="1" customHeight="1" outlineLevel="1">
      <c r="B39" s="1633" t="s">
        <v>421</v>
      </c>
      <c r="C39" s="1634" t="s">
        <v>412</v>
      </c>
      <c r="D39" s="1634" t="s">
        <v>422</v>
      </c>
      <c r="E39" s="1634" t="s">
        <v>423</v>
      </c>
      <c r="F39" s="1635" t="s">
        <v>424</v>
      </c>
    </row>
    <row r="40" spans="2:13" s="716" customFormat="1" ht="12.75" hidden="1" customHeight="1" outlineLevel="1">
      <c r="B40" s="1631">
        <v>0.66700000000000004</v>
      </c>
      <c r="C40" s="1631">
        <v>0.27500000000000002</v>
      </c>
      <c r="D40" s="1631">
        <v>0.63300000000000001</v>
      </c>
      <c r="E40" s="1631">
        <v>0.96</v>
      </c>
      <c r="F40" s="1631">
        <f>PRODUCT(B40:E40)</f>
        <v>0.11146370400000001</v>
      </c>
    </row>
    <row r="41" spans="2:13" s="716" customFormat="1" ht="6" customHeight="1" collapsed="1">
      <c r="B41" s="473"/>
      <c r="C41" s="473"/>
      <c r="D41" s="473"/>
      <c r="E41" s="473"/>
      <c r="F41" s="473"/>
    </row>
    <row r="42" spans="2:13" s="716" customFormat="1" ht="12.75" customHeight="1">
      <c r="B42" s="1625" t="str">
        <f>"Probability of Technical Success (Respiratory Lead Indications) "&amp;TEXT(A62,"(0)")</f>
        <v>Probability of Technical Success (Respiratory Lead Indications) (4)</v>
      </c>
      <c r="C42" s="473"/>
      <c r="D42" s="473"/>
      <c r="E42" s="473"/>
      <c r="F42" s="473"/>
    </row>
    <row r="43" spans="2:13" s="716" customFormat="1" ht="12.75" customHeight="1">
      <c r="B43" s="1605" t="s">
        <v>421</v>
      </c>
      <c r="C43" s="1606" t="s">
        <v>412</v>
      </c>
      <c r="D43" s="1606" t="s">
        <v>422</v>
      </c>
      <c r="E43" s="1606" t="s">
        <v>423</v>
      </c>
      <c r="F43" s="1607" t="s">
        <v>424</v>
      </c>
      <c r="I43" s="1623"/>
      <c r="J43" s="1624"/>
      <c r="K43" s="1624"/>
      <c r="L43" s="1624"/>
      <c r="M43" s="1624"/>
    </row>
    <row r="44" spans="2:13" s="716" customFormat="1" ht="12.75" customHeight="1">
      <c r="B44" s="333">
        <v>0.63600000000000001</v>
      </c>
      <c r="C44" s="333">
        <v>0.316</v>
      </c>
      <c r="D44" s="333">
        <v>0.85</v>
      </c>
      <c r="E44" s="333">
        <v>0.95199999999999996</v>
      </c>
      <c r="F44" s="1631">
        <f>PRODUCT(B44:E44)</f>
        <v>0.16262977919999999</v>
      </c>
      <c r="I44" s="1623"/>
      <c r="J44" s="1624"/>
      <c r="K44" s="1624"/>
      <c r="L44" s="1624"/>
      <c r="M44" s="1624"/>
    </row>
    <row r="45" spans="2:13" s="716" customFormat="1" ht="6" customHeight="1">
      <c r="B45" s="473"/>
      <c r="C45" s="473"/>
      <c r="D45" s="473"/>
      <c r="E45" s="473"/>
      <c r="F45" s="473"/>
      <c r="I45" s="1623"/>
      <c r="J45" s="1624"/>
      <c r="K45" s="1624"/>
      <c r="L45" s="1624"/>
      <c r="M45" s="1624"/>
    </row>
    <row r="46" spans="2:13" s="716" customFormat="1" ht="12.75" customHeight="1">
      <c r="B46" s="1625" t="str">
        <f>"Probability of Technical Success - Respiratory "&amp;TEXT(A63,"(0)")</f>
        <v>Probability of Technical Success - Respiratory (5)</v>
      </c>
      <c r="C46" s="1625"/>
      <c r="D46" s="1625"/>
      <c r="E46" s="1625"/>
      <c r="F46" s="1625"/>
    </row>
    <row r="47" spans="2:13" s="716" customFormat="1" ht="12.75" customHeight="1">
      <c r="B47" s="1605" t="s">
        <v>421</v>
      </c>
      <c r="C47" s="1606" t="s">
        <v>412</v>
      </c>
      <c r="D47" s="1606" t="s">
        <v>422</v>
      </c>
      <c r="E47" s="1606" t="s">
        <v>423</v>
      </c>
      <c r="F47" s="1607" t="s">
        <v>425</v>
      </c>
      <c r="I47" s="719"/>
      <c r="J47" s="719"/>
      <c r="K47" s="719"/>
      <c r="M47" s="717"/>
    </row>
    <row r="48" spans="2:13" s="716" customFormat="1" ht="16.5" customHeight="1">
      <c r="B48" s="329">
        <v>0.65300000000000002</v>
      </c>
      <c r="C48" s="329">
        <v>0.29099999999999998</v>
      </c>
      <c r="D48" s="329">
        <v>0.71099999999999997</v>
      </c>
      <c r="E48" s="334">
        <v>0.94599999999999995</v>
      </c>
      <c r="F48" s="1630">
        <f>PRODUCT(B48:E48)</f>
        <v>0.12781060993799997</v>
      </c>
      <c r="M48" s="717"/>
    </row>
    <row r="49" spans="1:8">
      <c r="B49" s="329"/>
      <c r="C49" s="329"/>
      <c r="D49" s="329"/>
      <c r="E49" s="334"/>
      <c r="F49" s="332"/>
    </row>
    <row r="50" spans="1:8" ht="13.5">
      <c r="B50" s="720" t="s">
        <v>2478</v>
      </c>
      <c r="C50" s="721"/>
      <c r="D50" s="721"/>
      <c r="E50" s="329"/>
      <c r="F50" s="332"/>
    </row>
    <row r="51" spans="1:8">
      <c r="B51" s="1693" t="s">
        <v>411</v>
      </c>
      <c r="C51" s="1636" t="s">
        <v>1006</v>
      </c>
      <c r="D51" s="1640"/>
      <c r="E51" s="332"/>
    </row>
    <row r="52" spans="1:8" ht="12.75" customHeight="1">
      <c r="B52" s="722">
        <v>0.65</v>
      </c>
      <c r="C52" s="722">
        <v>0.65</v>
      </c>
      <c r="D52" s="2155">
        <f>A64</f>
        <v>6</v>
      </c>
      <c r="E52" s="332"/>
      <c r="F52" s="18"/>
      <c r="H52" s="1947" t="s">
        <v>2537</v>
      </c>
    </row>
    <row r="53" spans="1:8">
      <c r="B53" s="722"/>
      <c r="C53" s="2008"/>
      <c r="D53" s="722"/>
      <c r="E53" s="329"/>
      <c r="F53" s="332"/>
    </row>
    <row r="54" spans="1:8" ht="13.5">
      <c r="B54" s="720" t="s">
        <v>2479</v>
      </c>
      <c r="C54" s="721"/>
      <c r="D54" s="721"/>
      <c r="E54" s="329"/>
      <c r="F54" s="332"/>
    </row>
    <row r="55" spans="1:8">
      <c r="B55" s="1693" t="s">
        <v>1085</v>
      </c>
      <c r="C55" s="1636" t="s">
        <v>411</v>
      </c>
      <c r="D55" s="1640"/>
      <c r="E55" s="332"/>
      <c r="H55" s="1947" t="s">
        <v>2538</v>
      </c>
    </row>
    <row r="56" spans="1:8">
      <c r="B56" s="722">
        <v>0.7</v>
      </c>
      <c r="C56" s="722">
        <v>0.65</v>
      </c>
      <c r="D56" s="1614"/>
      <c r="E56" s="332"/>
    </row>
    <row r="57" spans="1:8">
      <c r="B57" s="1614"/>
      <c r="C57" s="1614"/>
      <c r="D57" s="1614"/>
      <c r="E57" s="334"/>
      <c r="F57" s="332"/>
    </row>
    <row r="58" spans="1:8" s="716" customFormat="1" ht="12.75" customHeight="1">
      <c r="B58" s="723" t="s">
        <v>21</v>
      </c>
      <c r="F58" s="717"/>
    </row>
    <row r="59" spans="1:8" s="716" customFormat="1" ht="12.75" customHeight="1">
      <c r="A59" s="2124">
        <v>1</v>
      </c>
      <c r="B59" s="2294" t="s">
        <v>651</v>
      </c>
      <c r="C59" s="2294"/>
      <c r="D59" s="2294"/>
      <c r="E59" s="2294"/>
      <c r="F59" s="2294"/>
      <c r="G59" s="2294"/>
    </row>
    <row r="60" spans="1:8" s="716" customFormat="1" ht="12.75" customHeight="1">
      <c r="A60" s="2154">
        <f>A59+1</f>
        <v>2</v>
      </c>
      <c r="B60" s="2294" t="s">
        <v>648</v>
      </c>
      <c r="C60" s="2294"/>
      <c r="D60" s="2294"/>
      <c r="E60" s="2294"/>
      <c r="F60" s="2294"/>
      <c r="G60" s="2294"/>
    </row>
    <row r="61" spans="1:8" s="716" customFormat="1" ht="12.75" customHeight="1">
      <c r="A61" s="2154">
        <f t="shared" ref="A61:A64" si="0">A60+1</f>
        <v>3</v>
      </c>
      <c r="B61" s="2294" t="s">
        <v>653</v>
      </c>
      <c r="C61" s="2294"/>
      <c r="D61" s="2294"/>
      <c r="E61" s="2294"/>
      <c r="F61" s="2294"/>
      <c r="G61" s="2294"/>
    </row>
    <row r="62" spans="1:8" s="716" customFormat="1" ht="12.75" customHeight="1">
      <c r="A62" s="2154">
        <f t="shared" si="0"/>
        <v>4</v>
      </c>
      <c r="B62" s="2294" t="s">
        <v>654</v>
      </c>
      <c r="C62" s="2294"/>
      <c r="D62" s="2294"/>
      <c r="E62" s="2294"/>
      <c r="F62" s="2294"/>
      <c r="G62" s="2294"/>
    </row>
    <row r="63" spans="1:8" s="716" customFormat="1" ht="12.75" customHeight="1">
      <c r="A63" s="2154">
        <f t="shared" si="0"/>
        <v>5</v>
      </c>
      <c r="B63" s="2294" t="s">
        <v>652</v>
      </c>
      <c r="C63" s="2294"/>
      <c r="D63" s="2294"/>
      <c r="E63" s="2294"/>
      <c r="F63" s="2294"/>
      <c r="G63" s="2294"/>
    </row>
    <row r="64" spans="1:8" s="74" customFormat="1">
      <c r="A64" s="2154">
        <f t="shared" si="0"/>
        <v>6</v>
      </c>
      <c r="B64" s="74" t="str">
        <f>"Cumulative Phase II probability was considered approximately "&amp;TEXT(C52*C52,"0.0%")&amp;", based on which the probability of "&amp;C51&amp;" was calculated at "&amp;TEXT(C52,"0.0%")&amp;"."</f>
        <v>Cumulative Phase II probability was considered approximately 42.3%, based on which the probability of Phase IIa was calculated at 65.0%.</v>
      </c>
    </row>
  </sheetData>
  <mergeCells count="5">
    <mergeCell ref="B59:G59"/>
    <mergeCell ref="B60:G60"/>
    <mergeCell ref="B61:G61"/>
    <mergeCell ref="B62:G62"/>
    <mergeCell ref="B63:G63"/>
  </mergeCells>
  <conditionalFormatting sqref="C4:F4">
    <cfRule type="cellIs" dxfId="271" priority="3" stopIfTrue="1" operator="equal">
      <formula>"input"</formula>
    </cfRule>
  </conditionalFormatting>
  <conditionalFormatting sqref="B7:F7 C6:F6">
    <cfRule type="cellIs" dxfId="270" priority="2" stopIfTrue="1" operator="equal">
      <formula>"input"</formula>
    </cfRule>
  </conditionalFormatting>
  <conditionalFormatting sqref="B4">
    <cfRule type="cellIs" dxfId="269" priority="1" stopIfTrue="1" operator="equal">
      <formula>"input"</formula>
    </cfRule>
  </conditionalFormatting>
  <pageMargins left="0.5" right="0.5" top="0.5" bottom="0.5" header="0.5" footer="0.5"/>
  <pageSetup fitToWidth="0" fitToHeight="0" orientation="landscape" r:id="rId1"/>
  <rowBreaks count="1" manualBreakCount="1">
    <brk id="45" max="6"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3" tint="-0.499984740745262"/>
    <pageSetUpPr fitToPage="1"/>
  </sheetPr>
  <dimension ref="B6:G30"/>
  <sheetViews>
    <sheetView showGridLines="0" view="pageBreakPreview" zoomScaleNormal="100" zoomScaleSheetLayoutView="100" workbookViewId="0"/>
  </sheetViews>
  <sheetFormatPr defaultColWidth="9.33203125" defaultRowHeight="15"/>
  <cols>
    <col min="1" max="1" width="4.5" style="258" customWidth="1"/>
    <col min="2" max="2" width="2.83203125" style="258" customWidth="1"/>
    <col min="3" max="3" width="13.83203125" style="258" customWidth="1"/>
    <col min="4" max="4" width="110.83203125" style="259" customWidth="1"/>
    <col min="5" max="5" width="13.83203125" style="258" customWidth="1"/>
    <col min="6" max="6" width="2.83203125" style="258" customWidth="1"/>
    <col min="7" max="7" width="4.5" style="258" customWidth="1"/>
    <col min="8" max="8" width="2.83203125" style="258" customWidth="1"/>
    <col min="9" max="9" width="9.33203125" style="258"/>
    <col min="10" max="10" width="16.33203125" style="258" bestFit="1" customWidth="1"/>
    <col min="11" max="11" width="19" style="258" bestFit="1" customWidth="1"/>
    <col min="12" max="16384" width="9.33203125" style="258"/>
  </cols>
  <sheetData>
    <row r="6" spans="2:7">
      <c r="C6" s="249"/>
      <c r="D6" s="250"/>
      <c r="E6" s="249"/>
      <c r="F6" s="249"/>
      <c r="G6" s="249"/>
    </row>
    <row r="7" spans="2:7" ht="15.75" thickBot="1">
      <c r="C7" s="249"/>
      <c r="D7" s="250"/>
      <c r="E7" s="249"/>
      <c r="F7" s="249"/>
      <c r="G7" s="249"/>
    </row>
    <row r="8" spans="2:7" ht="15.75" thickTop="1">
      <c r="B8" s="261"/>
      <c r="C8" s="261"/>
      <c r="D8" s="262"/>
      <c r="E8" s="261"/>
      <c r="F8" s="261"/>
      <c r="G8" s="249"/>
    </row>
    <row r="9" spans="2:7" s="263" customFormat="1" ht="40.5">
      <c r="B9" s="265"/>
      <c r="C9" s="265"/>
      <c r="D9" s="266" t="s">
        <v>2078</v>
      </c>
      <c r="E9" s="265"/>
      <c r="F9" s="265"/>
      <c r="G9" s="249"/>
    </row>
    <row r="10" spans="2:7" ht="15.75" thickBot="1">
      <c r="B10" s="268"/>
      <c r="C10" s="268"/>
      <c r="D10" s="269"/>
      <c r="E10" s="268"/>
      <c r="F10" s="268"/>
      <c r="G10" s="249"/>
    </row>
    <row r="11" spans="2:7" ht="15.75" thickTop="1">
      <c r="G11" s="249"/>
    </row>
    <row r="12" spans="2:7">
      <c r="G12" s="249"/>
    </row>
    <row r="13" spans="2:7" ht="18.75">
      <c r="D13" s="254"/>
      <c r="G13" s="249"/>
    </row>
    <row r="14" spans="2:7" ht="18.75">
      <c r="D14" s="255"/>
    </row>
    <row r="27" spans="4:4" ht="23.25">
      <c r="D27" s="856" t="s">
        <v>646</v>
      </c>
    </row>
    <row r="29" spans="4:4" ht="18.75">
      <c r="D29" s="256" t="s">
        <v>470</v>
      </c>
    </row>
    <row r="30" spans="4:4" ht="37.5">
      <c r="D30" s="257" t="s">
        <v>295</v>
      </c>
    </row>
  </sheetData>
  <pageMargins left="0.5" right="0.5" top="0.5" bottom="0.5" header="0.5" footer="0.5"/>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I29"/>
  <sheetViews>
    <sheetView showGridLines="0" view="pageBreakPreview" zoomScaleNormal="100" zoomScaleSheetLayoutView="100" workbookViewId="0"/>
  </sheetViews>
  <sheetFormatPr defaultRowHeight="12.75"/>
  <cols>
    <col min="1" max="1" width="4.5" style="385" customWidth="1"/>
    <col min="2" max="2" width="66.1640625" style="385" customWidth="1"/>
    <col min="3" max="3" width="1.83203125" style="385" customWidth="1"/>
    <col min="4" max="7" width="18.83203125" style="385" customWidth="1"/>
    <col min="8" max="8" width="4.5" style="385" customWidth="1"/>
    <col min="9" max="16384" width="9.33203125" style="385"/>
  </cols>
  <sheetData>
    <row r="1" spans="1:8" s="32" customFormat="1" ht="10.7" customHeight="1" thickBot="1">
      <c r="H1" s="385"/>
    </row>
    <row r="2" spans="1:8" ht="16.5" customHeight="1" thickTop="1">
      <c r="A2" s="32"/>
      <c r="B2" s="10" t="str">
        <f>'MASTER PubCo Inputs'!$C$5</f>
        <v>Pliant Therapeutics, Inc.</v>
      </c>
      <c r="C2" s="10"/>
      <c r="D2" s="10"/>
      <c r="E2" s="10"/>
      <c r="F2" s="10"/>
      <c r="G2" s="10"/>
    </row>
    <row r="3" spans="1:8" ht="15.75" customHeight="1">
      <c r="A3" s="32"/>
      <c r="B3" s="11" t="str">
        <f>VLOOKUP(B4,Outline!$E$8:$G$69,COLUMNS(Outline!$E$8:$G$8),FALSE)</f>
        <v>Exhibit C.1</v>
      </c>
      <c r="C3" s="11"/>
      <c r="D3" s="11"/>
      <c r="E3" s="11"/>
      <c r="F3" s="11"/>
      <c r="G3" s="11"/>
    </row>
    <row r="4" spans="1:8" ht="16.5" customHeight="1" thickBot="1">
      <c r="A4" s="32"/>
      <c r="B4" s="12" t="s">
        <v>1841</v>
      </c>
      <c r="C4" s="12"/>
      <c r="D4" s="12"/>
      <c r="E4" s="12"/>
      <c r="F4" s="12"/>
      <c r="G4" s="13" t="str">
        <f>+'MASTER PubCo Inputs'!$C$21</f>
        <v>(in thousands of USD)</v>
      </c>
    </row>
    <row r="5" spans="1:8" ht="12.75" customHeight="1" thickTop="1"/>
    <row r="6" spans="1:8" ht="12.75" customHeight="1">
      <c r="C6" s="1020"/>
      <c r="D6" s="746" t="s">
        <v>84</v>
      </c>
      <c r="E6" s="389"/>
      <c r="F6" s="389"/>
      <c r="G6" s="1307"/>
    </row>
    <row r="7" spans="1:8" ht="12.75" customHeight="1">
      <c r="B7" s="48"/>
      <c r="C7" s="16"/>
      <c r="D7" s="1021">
        <f>'Hist IS'!F7+1</f>
        <v>2018</v>
      </c>
      <c r="E7" s="565">
        <f>D7+1</f>
        <v>2019</v>
      </c>
      <c r="F7" s="565">
        <f t="shared" ref="F7:G7" si="0">E7+1</f>
        <v>2020</v>
      </c>
      <c r="G7" s="1308">
        <f t="shared" si="0"/>
        <v>2021</v>
      </c>
    </row>
    <row r="8" spans="1:8" ht="12.75" customHeight="1">
      <c r="D8" s="169"/>
      <c r="E8" s="169"/>
      <c r="F8" s="169"/>
      <c r="G8" s="169"/>
    </row>
    <row r="9" spans="1:8" ht="12.75" customHeight="1">
      <c r="B9" s="385" t="s">
        <v>97</v>
      </c>
      <c r="D9" s="474" t="s">
        <v>98</v>
      </c>
      <c r="E9" s="474" t="s">
        <v>98</v>
      </c>
      <c r="F9" s="474" t="s">
        <v>98</v>
      </c>
      <c r="G9" s="474" t="s">
        <v>98</v>
      </c>
    </row>
    <row r="10" spans="1:8" ht="12.75" customHeight="1">
      <c r="D10" s="473"/>
      <c r="E10" s="473"/>
      <c r="F10" s="473"/>
      <c r="G10" s="473"/>
    </row>
    <row r="11" spans="1:8" ht="12.75" customHeight="1">
      <c r="B11" s="385" t="s">
        <v>88</v>
      </c>
      <c r="D11" s="473"/>
      <c r="E11" s="473"/>
      <c r="F11" s="473"/>
      <c r="G11" s="473"/>
    </row>
    <row r="12" spans="1:8" ht="12.75" customHeight="1">
      <c r="B12" s="2" t="s">
        <v>89</v>
      </c>
      <c r="D12" s="40">
        <f>-'Annual (000s)'!L9</f>
        <v>-14276.834598416666</v>
      </c>
      <c r="E12" s="40">
        <f>-'Annual (000s)'!M9</f>
        <v>-21924.491162061458</v>
      </c>
      <c r="F12" s="40">
        <f>-'Annual (000s)'!N9</f>
        <v>-21443.488677456196</v>
      </c>
      <c r="G12" s="40">
        <f>-'Annual (000s)'!O9</f>
        <v>-24415.03863982901</v>
      </c>
    </row>
    <row r="13" spans="1:8" ht="12.75" customHeight="1">
      <c r="B13" s="2" t="s">
        <v>91</v>
      </c>
      <c r="D13" s="40">
        <f>-'Annual (000s)'!L11</f>
        <v>-20889.745003564076</v>
      </c>
      <c r="E13" s="40">
        <f>-'Annual (000s)'!M11</f>
        <v>-25986.858546398049</v>
      </c>
      <c r="F13" s="40">
        <f>-'Annual (000s)'!N11</f>
        <v>-28228.534315789471</v>
      </c>
      <c r="G13" s="40">
        <f>-'Annual (000s)'!O11</f>
        <v>-26597.94035087719</v>
      </c>
    </row>
    <row r="14" spans="1:8" ht="12.75" customHeight="1">
      <c r="B14" s="5"/>
      <c r="C14" s="5"/>
      <c r="D14" s="826"/>
      <c r="E14" s="826"/>
      <c r="F14" s="826"/>
      <c r="G14" s="826"/>
    </row>
    <row r="15" spans="1:8" ht="12.75" customHeight="1">
      <c r="B15" s="24" t="s">
        <v>1859</v>
      </c>
      <c r="C15" s="24"/>
      <c r="D15" s="827">
        <f>SUM(D12:D13)</f>
        <v>-35166.579601980746</v>
      </c>
      <c r="E15" s="827">
        <f t="shared" ref="E15:G15" si="1">SUM(E12:E13)</f>
        <v>-47911.349708459507</v>
      </c>
      <c r="F15" s="827">
        <f t="shared" si="1"/>
        <v>-49672.022993245671</v>
      </c>
      <c r="G15" s="827">
        <f t="shared" si="1"/>
        <v>-51012.9789907062</v>
      </c>
      <c r="H15" s="16"/>
    </row>
    <row r="16" spans="1:8" ht="12.75" customHeight="1">
      <c r="D16" s="473"/>
      <c r="E16" s="473"/>
      <c r="F16" s="829"/>
      <c r="G16" s="473"/>
    </row>
    <row r="17" spans="2:9" ht="12.75" customHeight="1">
      <c r="B17" s="1" t="s">
        <v>104</v>
      </c>
      <c r="D17" s="473"/>
      <c r="E17" s="473"/>
      <c r="F17" s="473"/>
      <c r="G17" s="473"/>
    </row>
    <row r="18" spans="2:9" ht="12.75" customHeight="1">
      <c r="B18" s="2" t="s">
        <v>105</v>
      </c>
      <c r="D18" s="40">
        <f>-'Annual (000s)'!E18</f>
        <v>-3935.04</v>
      </c>
      <c r="E18" s="40">
        <f>-'Annual (000s)'!F18</f>
        <v>-400</v>
      </c>
      <c r="F18" s="40">
        <f>-'Annual (000s)'!G18</f>
        <v>-400</v>
      </c>
      <c r="G18" s="40">
        <f>-'Annual (000s)'!H18</f>
        <v>-400</v>
      </c>
    </row>
    <row r="19" spans="2:9" ht="12.75" customHeight="1">
      <c r="D19" s="473"/>
      <c r="E19" s="473"/>
      <c r="F19" s="473"/>
      <c r="G19" s="473"/>
    </row>
    <row r="20" spans="2:9" ht="12.75" customHeight="1">
      <c r="B20" s="1533" t="s">
        <v>2267</v>
      </c>
      <c r="C20" s="1534"/>
      <c r="D20" s="1535" t="str">
        <f>IF(-'Annual (000s)'!E20&lt;&gt;(D15+D18),"Check","")</f>
        <v/>
      </c>
      <c r="E20" s="1535" t="str">
        <f>IF(-'Annual (000s)'!F20&lt;&gt;(E15+E18),"Check","")</f>
        <v/>
      </c>
      <c r="F20" s="1535" t="str">
        <f>IF(-'Annual (000s)'!G20&lt;&gt;(F15+F18),"Check","")</f>
        <v/>
      </c>
      <c r="G20" s="1536" t="str">
        <f>IF(-'Annual (000s)'!H20&lt;&gt;(G15+G18),"Check","")</f>
        <v/>
      </c>
      <c r="I20" s="1901" t="str">
        <f>IF(COUNT(D20:G20)&gt;0,"Check","")</f>
        <v/>
      </c>
    </row>
    <row r="21" spans="2:9" ht="12.75" customHeight="1">
      <c r="D21" s="385" t="s">
        <v>2534</v>
      </c>
    </row>
    <row r="22" spans="2:9" ht="12.75" customHeight="1">
      <c r="B22" s="385" t="s">
        <v>2483</v>
      </c>
      <c r="D22" s="2027">
        <v>69000</v>
      </c>
      <c r="E22" s="387">
        <f>D25</f>
        <v>60461.144386849162</v>
      </c>
      <c r="F22" s="387">
        <f t="shared" ref="F22:G22" si="2">E25</f>
        <v>82149.794678389648</v>
      </c>
      <c r="G22" s="387">
        <f t="shared" si="2"/>
        <v>32077.771685143976</v>
      </c>
    </row>
    <row r="23" spans="2:9" ht="12.75" customHeight="1">
      <c r="B23" s="9" t="s">
        <v>2484</v>
      </c>
      <c r="D23" s="387">
        <f>SUM(D15,D18)*YEARFRAC('MASTER PubCo Inputs'!C6,DATE(D7,12,31),3)</f>
        <v>-16390.541915350834</v>
      </c>
      <c r="E23" s="387">
        <f>SUM(E15,E18)</f>
        <v>-48311.349708459507</v>
      </c>
      <c r="F23" s="387">
        <f t="shared" ref="F23:G23" si="3">SUM(F15,F18)</f>
        <v>-50072.022993245671</v>
      </c>
      <c r="G23" s="387">
        <f t="shared" si="3"/>
        <v>-51412.9789907062</v>
      </c>
    </row>
    <row r="24" spans="2:9" ht="12.75" customHeight="1">
      <c r="B24" s="9" t="s">
        <v>2485</v>
      </c>
      <c r="D24" s="433">
        <f>'Econ Rights'!F12</f>
        <v>7851.6863021999998</v>
      </c>
      <c r="E24" s="433">
        <f>PWERM_2!L34</f>
        <v>70000</v>
      </c>
      <c r="F24" s="387">
        <v>0</v>
      </c>
      <c r="G24" s="387">
        <v>0</v>
      </c>
    </row>
    <row r="25" spans="2:9" ht="12.75" customHeight="1">
      <c r="B25" s="385" t="s">
        <v>2486</v>
      </c>
      <c r="D25" s="387">
        <f>SUM(D22:D24)</f>
        <v>60461.144386849162</v>
      </c>
      <c r="E25" s="387">
        <f t="shared" ref="E25:G25" si="4">SUM(E22:E24)</f>
        <v>82149.794678389648</v>
      </c>
      <c r="F25" s="387">
        <f t="shared" si="4"/>
        <v>32077.771685143976</v>
      </c>
      <c r="G25" s="387">
        <f t="shared" si="4"/>
        <v>-19335.207305562224</v>
      </c>
    </row>
    <row r="26" spans="2:9" ht="12.75" customHeight="1"/>
    <row r="27" spans="2:9" ht="12.75" customHeight="1"/>
    <row r="28" spans="2:9" ht="12.75" customHeight="1"/>
    <row r="29" spans="2:9" ht="12.75" customHeight="1"/>
  </sheetData>
  <conditionalFormatting sqref="B4:G4">
    <cfRule type="cellIs" dxfId="268" priority="9" stopIfTrue="1" operator="equal">
      <formula>"input"</formula>
    </cfRule>
  </conditionalFormatting>
  <pageMargins left="0.5" right="0.5" top="0.5" bottom="0.5" header="0.5" footer="0.5"/>
  <pageSetup fitToWidth="0" fitToHeight="0" orientation="landscape" r:id="rId1"/>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2"/>
  <sheetViews>
    <sheetView showGridLines="0" view="pageBreakPreview" zoomScaleNormal="100" zoomScaleSheetLayoutView="100" workbookViewId="0"/>
  </sheetViews>
  <sheetFormatPr defaultRowHeight="12.75"/>
  <cols>
    <col min="1" max="1" width="4.5" style="385" customWidth="1"/>
    <col min="2" max="2" width="60.83203125" style="385" customWidth="1"/>
    <col min="3" max="3" width="1.83203125" style="385" customWidth="1"/>
    <col min="4" max="6" width="18.83203125" style="385" customWidth="1"/>
    <col min="7" max="7" width="1.83203125" style="385" customWidth="1"/>
    <col min="8" max="8" width="23.1640625" style="385" customWidth="1"/>
    <col min="9" max="9" width="4.5" style="385" customWidth="1"/>
    <col min="10" max="16384" width="9.33203125" style="385"/>
  </cols>
  <sheetData>
    <row r="1" spans="1:9" s="32" customFormat="1" ht="10.7" customHeight="1" thickBot="1">
      <c r="I1" s="385"/>
    </row>
    <row r="2" spans="1:9" ht="16.5" customHeight="1" thickTop="1">
      <c r="A2" s="32"/>
      <c r="B2" s="10" t="str">
        <f>'MASTER PubCo Inputs'!$C$5</f>
        <v>Pliant Therapeutics, Inc.</v>
      </c>
      <c r="C2" s="10"/>
      <c r="D2" s="10"/>
      <c r="E2" s="10"/>
      <c r="F2" s="10"/>
      <c r="G2" s="10"/>
      <c r="H2" s="10"/>
    </row>
    <row r="3" spans="1:9" ht="15.75" customHeight="1">
      <c r="A3" s="32"/>
      <c r="B3" s="11" t="str">
        <f>VLOOKUP(B4,Outline!$E$8:$G$69,COLUMNS(Outline!$E$8:$G$8),FALSE)</f>
        <v>Exhibit C.2</v>
      </c>
      <c r="C3" s="11"/>
      <c r="D3" s="11"/>
      <c r="E3" s="11"/>
      <c r="F3" s="11"/>
      <c r="G3" s="11"/>
      <c r="H3" s="11"/>
    </row>
    <row r="4" spans="1:9" ht="16.5" customHeight="1" thickBot="1">
      <c r="A4" s="32"/>
      <c r="B4" s="12" t="s">
        <v>82</v>
      </c>
      <c r="C4" s="12"/>
      <c r="D4" s="12"/>
      <c r="E4" s="12"/>
      <c r="F4" s="12"/>
      <c r="G4" s="12"/>
      <c r="H4" s="13" t="str">
        <f>+'MASTER PubCo Inputs'!$C$21</f>
        <v>(in thousands of USD)</v>
      </c>
    </row>
    <row r="5" spans="1:9" s="16" customFormat="1" ht="12.75" customHeight="1" thickTop="1">
      <c r="B5" s="385"/>
      <c r="C5" s="385"/>
      <c r="D5" s="385"/>
      <c r="E5" s="385"/>
      <c r="F5" s="385"/>
      <c r="G5" s="385"/>
      <c r="H5" s="385"/>
      <c r="I5" s="385"/>
    </row>
    <row r="6" spans="1:9" ht="12.75" customHeight="1">
      <c r="C6" s="1020"/>
      <c r="D6" s="746" t="s">
        <v>513</v>
      </c>
      <c r="E6" s="389"/>
      <c r="F6" s="394"/>
      <c r="G6" s="424"/>
      <c r="H6" s="567" t="s">
        <v>2541</v>
      </c>
    </row>
    <row r="7" spans="1:9" ht="12.75" customHeight="1">
      <c r="B7" s="48"/>
      <c r="C7" s="16"/>
      <c r="D7" s="1240">
        <f>E7-1</f>
        <v>2015</v>
      </c>
      <c r="E7" s="1241">
        <f>F7-1</f>
        <v>2016</v>
      </c>
      <c r="F7" s="1242">
        <f>YEAR('MASTER PubCo Inputs'!C7)</f>
        <v>2017</v>
      </c>
      <c r="G7" s="566"/>
      <c r="H7" s="568">
        <v>43251</v>
      </c>
    </row>
    <row r="8" spans="1:9" ht="12.75" customHeight="1">
      <c r="D8" s="169"/>
      <c r="E8" s="169"/>
      <c r="F8" s="169"/>
      <c r="G8" s="326"/>
      <c r="H8" s="2151">
        <f>A28</f>
        <v>1</v>
      </c>
    </row>
    <row r="9" spans="1:9" ht="12.75" customHeight="1">
      <c r="B9" s="385" t="s">
        <v>97</v>
      </c>
      <c r="D9" s="474" t="s">
        <v>1834</v>
      </c>
      <c r="E9" s="474" t="s">
        <v>98</v>
      </c>
      <c r="F9" s="474" t="s">
        <v>98</v>
      </c>
      <c r="G9" s="474"/>
      <c r="H9" s="474" t="s">
        <v>1835</v>
      </c>
    </row>
    <row r="10" spans="1:9" ht="12.75" customHeight="1">
      <c r="D10" s="473"/>
      <c r="E10" s="473"/>
      <c r="F10" s="473"/>
      <c r="G10" s="473"/>
      <c r="H10" s="473"/>
    </row>
    <row r="11" spans="1:9" ht="12.75" customHeight="1">
      <c r="B11" s="385" t="s">
        <v>88</v>
      </c>
      <c r="D11" s="473"/>
      <c r="E11" s="473"/>
      <c r="F11" s="473"/>
      <c r="G11" s="473"/>
      <c r="H11" s="473"/>
    </row>
    <row r="12" spans="1:9" ht="12.75" customHeight="1">
      <c r="B12" s="2" t="s">
        <v>89</v>
      </c>
      <c r="D12" s="40">
        <f ca="1">-BOD.IS!L30</f>
        <v>-1408.16329</v>
      </c>
      <c r="E12" s="40">
        <f ca="1">-BOD.IS!J30</f>
        <v>-5423.4580800000003</v>
      </c>
      <c r="F12" s="40">
        <f ca="1">-BOD.IS!H30</f>
        <v>-8281.7036900000003</v>
      </c>
      <c r="G12" s="473"/>
      <c r="H12" s="40">
        <f>-BOD.IS!C30</f>
        <v>-5128.6664900000005</v>
      </c>
    </row>
    <row r="13" spans="1:9" ht="12.75" customHeight="1">
      <c r="B13" s="2" t="s">
        <v>91</v>
      </c>
      <c r="D13" s="40">
        <f ca="1">-BOD.IS!L31</f>
        <v>-2069.0477699999997</v>
      </c>
      <c r="E13" s="40">
        <f ca="1">-BOD.IS!J31</f>
        <v>-5431.37363</v>
      </c>
      <c r="F13" s="40">
        <f ca="1">-BOD.IS!H31</f>
        <v>-9042.1541799999995</v>
      </c>
      <c r="G13" s="473"/>
      <c r="H13" s="40">
        <f>-BOD.IS!C31</f>
        <v>-5724.7369699999999</v>
      </c>
    </row>
    <row r="14" spans="1:9" ht="12.75" customHeight="1">
      <c r="B14" s="5"/>
      <c r="C14" s="5"/>
      <c r="D14" s="826"/>
      <c r="E14" s="826"/>
      <c r="F14" s="826"/>
      <c r="G14" s="473"/>
      <c r="H14" s="826"/>
    </row>
    <row r="15" spans="1:9" ht="12.75" customHeight="1">
      <c r="B15" s="17" t="s">
        <v>86</v>
      </c>
      <c r="D15" s="371">
        <f ca="1">SUM(D12:D13)</f>
        <v>-3477.2110599999996</v>
      </c>
      <c r="E15" s="371">
        <f ca="1">SUM(E12:E13)</f>
        <v>-10854.83171</v>
      </c>
      <c r="F15" s="371">
        <f ca="1">SUM(F12:F13)</f>
        <v>-17323.85787</v>
      </c>
      <c r="G15" s="473"/>
      <c r="H15" s="371">
        <f>SUM(H12:H13)</f>
        <v>-10853.403460000001</v>
      </c>
    </row>
    <row r="16" spans="1:9" ht="12.75" customHeight="1">
      <c r="D16" s="473"/>
      <c r="E16" s="473"/>
      <c r="F16" s="473"/>
      <c r="G16" s="473"/>
      <c r="H16" s="473"/>
    </row>
    <row r="17" spans="1:9" ht="12.75" customHeight="1">
      <c r="B17" s="385" t="s">
        <v>99</v>
      </c>
      <c r="D17" s="371">
        <f ca="1">D15</f>
        <v>-3477.2110599999996</v>
      </c>
      <c r="E17" s="371">
        <f ca="1">E15</f>
        <v>-10854.83171</v>
      </c>
      <c r="F17" s="371">
        <f ca="1">F15</f>
        <v>-17323.85787</v>
      </c>
      <c r="G17" s="473"/>
      <c r="H17" s="371">
        <f>H15</f>
        <v>-10853.403460000001</v>
      </c>
    </row>
    <row r="18" spans="1:9" ht="12.75" customHeight="1">
      <c r="D18" s="473"/>
      <c r="E18" s="473"/>
      <c r="F18" s="473"/>
      <c r="G18" s="473"/>
      <c r="H18" s="473"/>
    </row>
    <row r="19" spans="1:9" ht="12.75" customHeight="1">
      <c r="B19" s="2" t="s">
        <v>100</v>
      </c>
      <c r="D19" s="40">
        <f>BOD.IS!L24-BOD.IS!L25</f>
        <v>-1.9077200000000001</v>
      </c>
      <c r="E19" s="40">
        <f>BOD.IS!J24-BOD.IS!J25</f>
        <v>0</v>
      </c>
      <c r="F19" s="40">
        <f>BOD.IS!H24-BOD.IS!H25</f>
        <v>15.51315</v>
      </c>
      <c r="G19" s="473"/>
      <c r="H19" s="40">
        <f>BOD.IS!C24-BOD.IS!C25</f>
        <v>40.218830000000004</v>
      </c>
    </row>
    <row r="20" spans="1:9" ht="12.75" customHeight="1">
      <c r="B20" s="5"/>
      <c r="C20" s="5"/>
      <c r="D20" s="826"/>
      <c r="E20" s="826"/>
      <c r="F20" s="826"/>
      <c r="G20" s="473"/>
      <c r="H20" s="826"/>
    </row>
    <row r="21" spans="1:9" ht="12.75" customHeight="1">
      <c r="B21" s="17" t="s">
        <v>101</v>
      </c>
      <c r="D21" s="371">
        <f ca="1">SUM(D17:D19)</f>
        <v>-3479.1187799999998</v>
      </c>
      <c r="E21" s="371">
        <f ca="1">SUM(E17:E19)</f>
        <v>-10854.83171</v>
      </c>
      <c r="F21" s="371">
        <f ca="1">SUM(F17:F19)</f>
        <v>-17308.344720000001</v>
      </c>
      <c r="G21" s="473"/>
      <c r="H21" s="371">
        <f>SUM(H17:H19)</f>
        <v>-10813.184630000002</v>
      </c>
    </row>
    <row r="22" spans="1:9" ht="12.75" customHeight="1">
      <c r="D22" s="473"/>
      <c r="E22" s="473"/>
      <c r="F22" s="473"/>
      <c r="G22" s="473"/>
      <c r="H22" s="473"/>
    </row>
    <row r="23" spans="1:9" ht="12.75" customHeight="1">
      <c r="B23" s="2" t="s">
        <v>102</v>
      </c>
      <c r="D23" s="40">
        <v>0</v>
      </c>
      <c r="E23" s="40">
        <v>0</v>
      </c>
      <c r="F23" s="40">
        <v>0</v>
      </c>
      <c r="G23" s="473"/>
      <c r="H23" s="40">
        <v>0</v>
      </c>
    </row>
    <row r="24" spans="1:9" ht="12.75" customHeight="1">
      <c r="B24" s="5"/>
      <c r="C24" s="5"/>
      <c r="D24" s="826"/>
      <c r="E24" s="826"/>
      <c r="F24" s="826"/>
      <c r="G24" s="473"/>
      <c r="H24" s="826"/>
    </row>
    <row r="25" spans="1:9" ht="12.75" customHeight="1">
      <c r="B25" s="24" t="s">
        <v>103</v>
      </c>
      <c r="C25" s="24"/>
      <c r="D25" s="827">
        <f ca="1">D21+D23</f>
        <v>-3479.1187799999998</v>
      </c>
      <c r="E25" s="827">
        <f ca="1">E21+E23</f>
        <v>-10854.83171</v>
      </c>
      <c r="F25" s="827">
        <f ca="1">F21+F23</f>
        <v>-17308.344720000001</v>
      </c>
      <c r="G25" s="828"/>
      <c r="H25" s="827">
        <f>H21+H23</f>
        <v>-10813.184630000002</v>
      </c>
      <c r="I25" s="16"/>
    </row>
    <row r="26" spans="1:9" ht="12.75" customHeight="1">
      <c r="D26" s="829"/>
      <c r="E26" s="473"/>
      <c r="F26" s="473"/>
      <c r="G26" s="473"/>
      <c r="H26" s="473"/>
    </row>
    <row r="27" spans="1:9" ht="12.75" customHeight="1">
      <c r="B27" s="8" t="s">
        <v>21</v>
      </c>
    </row>
    <row r="28" spans="1:9" ht="12.75" customHeight="1">
      <c r="A28" s="2124">
        <v>1</v>
      </c>
      <c r="B28" s="2178" t="str">
        <f>"Reflects financial information as of "&amp;TEXT(H7,"MMMM D, YYYY")&amp;", which Management indicated was the latest available as of the Valuation Date."</f>
        <v>Reflects financial information as of May 31, 2018, which Management indicated was the latest available as of the Valuation Date.</v>
      </c>
    </row>
    <row r="29" spans="1:9" ht="12.75" customHeight="1">
      <c r="B29" s="9"/>
    </row>
    <row r="30" spans="1:9" ht="12.75" customHeight="1">
      <c r="B30" s="1530" t="s">
        <v>2268</v>
      </c>
      <c r="C30" s="1534"/>
      <c r="D30" s="1537" t="b">
        <f ca="1">BOD.IS!L26=D25</f>
        <v>1</v>
      </c>
      <c r="E30" s="1537" t="b">
        <f ca="1">BOD.IS!J26=E25</f>
        <v>1</v>
      </c>
      <c r="F30" s="1537" t="b">
        <f ca="1">BOD.IS!H26=F25</f>
        <v>1</v>
      </c>
      <c r="G30" s="1538"/>
      <c r="H30" s="1539" t="b">
        <f>BOD.IS!C26=H25</f>
        <v>1</v>
      </c>
    </row>
    <row r="31" spans="1:9" ht="12.75" customHeight="1">
      <c r="B31" s="1" t="s">
        <v>104</v>
      </c>
      <c r="D31" s="473"/>
      <c r="E31" s="473"/>
      <c r="F31" s="473"/>
      <c r="G31" s="473"/>
      <c r="H31" s="473"/>
    </row>
    <row r="32" spans="1:9" ht="12.75" customHeight="1">
      <c r="B32" s="2" t="s">
        <v>105</v>
      </c>
      <c r="D32" s="40"/>
      <c r="E32" s="40"/>
      <c r="F32" s="40"/>
      <c r="G32" s="473"/>
      <c r="H32" s="40">
        <f>-BvA!C40</f>
        <v>-1081.4075500000004</v>
      </c>
    </row>
    <row r="33" spans="2:8" ht="12.75" customHeight="1">
      <c r="D33" s="473"/>
      <c r="E33" s="473"/>
      <c r="F33" s="473"/>
      <c r="G33" s="473"/>
      <c r="H33" s="473"/>
    </row>
    <row r="34" spans="2:8" ht="12.75" customHeight="1"/>
    <row r="35" spans="2:8" ht="12.75" customHeight="1">
      <c r="B35" s="8"/>
    </row>
    <row r="36" spans="2:8" ht="12.75" customHeight="1">
      <c r="B36" s="9"/>
    </row>
    <row r="37" spans="2:8" ht="12.75" customHeight="1">
      <c r="B37" s="9"/>
    </row>
    <row r="38" spans="2:8" ht="12.75" customHeight="1"/>
    <row r="39" spans="2:8" ht="12.75" customHeight="1"/>
    <row r="40" spans="2:8" ht="12.75" customHeight="1"/>
    <row r="41" spans="2:8" ht="12.75" customHeight="1"/>
    <row r="42" spans="2:8" ht="12.75" customHeight="1"/>
  </sheetData>
  <conditionalFormatting sqref="B4:G4">
    <cfRule type="cellIs" dxfId="267" priority="4" stopIfTrue="1" operator="equal">
      <formula>"input"</formula>
    </cfRule>
  </conditionalFormatting>
  <conditionalFormatting sqref="H4">
    <cfRule type="cellIs" dxfId="266" priority="2" stopIfTrue="1" operator="equal">
      <formula>"input"</formula>
    </cfRule>
  </conditionalFormatting>
  <conditionalFormatting sqref="H4">
    <cfRule type="cellIs" dxfId="265" priority="1" stopIfTrue="1" operator="equal">
      <formula>"input"</formula>
    </cfRule>
  </conditionalFormatting>
  <pageMargins left="0.5" right="0.5" top="0.5" bottom="0.5" header="0.5" footer="0.5"/>
  <pageSetup fitToWidth="0" fitToHeight="0" orientation="landscape" r:id="rId1"/>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N55"/>
  <sheetViews>
    <sheetView showGridLines="0" view="pageBreakPreview" zoomScaleNormal="100" zoomScaleSheetLayoutView="100" workbookViewId="0"/>
  </sheetViews>
  <sheetFormatPr defaultRowHeight="12.75"/>
  <cols>
    <col min="1" max="1" width="4.5" style="385" customWidth="1"/>
    <col min="2" max="2" width="39" style="385" bestFit="1" customWidth="1"/>
    <col min="3" max="3" width="2.83203125" style="385" customWidth="1"/>
    <col min="4" max="6" width="12.83203125" style="385" customWidth="1"/>
    <col min="7" max="7" width="2.83203125" style="385" customWidth="1"/>
    <col min="8" max="8" width="12.83203125" style="385" customWidth="1"/>
    <col min="9" max="9" width="3.33203125" style="385" customWidth="1"/>
    <col min="10" max="10" width="11.33203125" style="385" customWidth="1"/>
    <col min="11" max="11" width="10.5" style="385" customWidth="1"/>
    <col min="12" max="12" width="9.6640625" style="385" customWidth="1"/>
    <col min="13" max="13" width="2.83203125" style="385" customWidth="1"/>
    <col min="14" max="14" width="10.6640625" style="385" customWidth="1"/>
    <col min="15" max="15" width="4.5" style="385" customWidth="1"/>
    <col min="16" max="16384" width="9.33203125" style="385"/>
  </cols>
  <sheetData>
    <row r="1" spans="1:14" s="32" customFormat="1" ht="10.7" customHeight="1" thickBot="1">
      <c r="I1" s="385"/>
      <c r="J1" s="385"/>
      <c r="K1" s="385"/>
      <c r="L1" s="385"/>
      <c r="M1" s="385"/>
      <c r="N1" s="385"/>
    </row>
    <row r="2" spans="1:14" ht="16.5" customHeight="1" thickTop="1">
      <c r="A2" s="32"/>
      <c r="B2" s="10" t="str">
        <f>'MASTER PubCo Inputs'!$C$5</f>
        <v>Pliant Therapeutics, Inc.</v>
      </c>
      <c r="C2" s="10"/>
      <c r="D2" s="10"/>
      <c r="E2" s="10"/>
      <c r="F2" s="10"/>
      <c r="G2" s="10"/>
      <c r="H2" s="10"/>
      <c r="I2" s="10"/>
      <c r="J2" s="10"/>
      <c r="K2" s="10"/>
      <c r="L2" s="10"/>
      <c r="M2" s="10"/>
      <c r="N2" s="10"/>
    </row>
    <row r="3" spans="1:14" ht="15.75" customHeight="1">
      <c r="A3" s="32"/>
      <c r="B3" s="11" t="str">
        <f>VLOOKUP(B4,Outline!$E$8:$G$69,COLUMNS(Outline!$E$8:$G$8),FALSE)</f>
        <v>Exhibit C.3</v>
      </c>
      <c r="C3" s="11"/>
      <c r="D3" s="11"/>
      <c r="E3" s="11"/>
      <c r="F3" s="11"/>
      <c r="G3" s="11"/>
      <c r="H3" s="11"/>
      <c r="I3" s="11"/>
      <c r="J3" s="11"/>
      <c r="K3" s="11"/>
      <c r="L3" s="11"/>
      <c r="M3" s="11"/>
      <c r="N3" s="11"/>
    </row>
    <row r="4" spans="1:14" ht="16.5" customHeight="1" thickBot="1">
      <c r="A4" s="32"/>
      <c r="B4" s="12" t="s">
        <v>83</v>
      </c>
      <c r="C4" s="12"/>
      <c r="D4" s="12"/>
      <c r="E4" s="12"/>
      <c r="F4" s="12"/>
      <c r="G4" s="12"/>
      <c r="H4" s="12"/>
      <c r="I4" s="12"/>
      <c r="J4" s="12"/>
      <c r="K4" s="12"/>
      <c r="L4" s="12"/>
      <c r="M4" s="12"/>
      <c r="N4" s="13" t="str">
        <f>+'MASTER PubCo Inputs'!$C$21</f>
        <v>(in thousands of USD)</v>
      </c>
    </row>
    <row r="5" spans="1:14" s="16" customFormat="1" ht="12.75" customHeight="1" thickTop="1">
      <c r="B5" s="385"/>
      <c r="C5" s="385"/>
      <c r="D5" s="385"/>
      <c r="E5" s="385"/>
      <c r="F5" s="385"/>
      <c r="G5" s="385"/>
      <c r="H5" s="385"/>
      <c r="I5" s="385"/>
    </row>
    <row r="6" spans="1:14" ht="12.75" customHeight="1">
      <c r="D6" s="112" t="s">
        <v>514</v>
      </c>
      <c r="E6" s="113"/>
      <c r="F6" s="407"/>
      <c r="G6" s="425"/>
      <c r="H6" s="116" t="s">
        <v>106</v>
      </c>
      <c r="J6" s="1243" t="s">
        <v>1840</v>
      </c>
      <c r="K6" s="113"/>
      <c r="L6" s="407"/>
      <c r="M6" s="425"/>
      <c r="N6" s="116" t="s">
        <v>106</v>
      </c>
    </row>
    <row r="7" spans="1:14" ht="12.75" customHeight="1">
      <c r="B7" s="48"/>
      <c r="D7" s="569">
        <f>'Hist IS'!D7</f>
        <v>2015</v>
      </c>
      <c r="E7" s="570">
        <f>D7+1</f>
        <v>2016</v>
      </c>
      <c r="F7" s="571">
        <f>E7+1</f>
        <v>2017</v>
      </c>
      <c r="G7" s="566"/>
      <c r="H7" s="568">
        <f>'Hist IS'!H7</f>
        <v>43251</v>
      </c>
      <c r="J7" s="569">
        <f>+D7</f>
        <v>2015</v>
      </c>
      <c r="K7" s="570">
        <f>+E7</f>
        <v>2016</v>
      </c>
      <c r="L7" s="571">
        <f>+F7</f>
        <v>2017</v>
      </c>
      <c r="M7" s="566"/>
      <c r="N7" s="568">
        <f>+H7</f>
        <v>43251</v>
      </c>
    </row>
    <row r="8" spans="1:14" ht="12.75" customHeight="1">
      <c r="H8" s="2151">
        <f>A41</f>
        <v>1</v>
      </c>
      <c r="J8" s="169"/>
      <c r="K8" s="169"/>
      <c r="L8" s="169"/>
      <c r="M8" s="169"/>
      <c r="N8" s="169"/>
    </row>
    <row r="9" spans="1:14" ht="12.75" customHeight="1">
      <c r="B9" s="1953" t="s">
        <v>107</v>
      </c>
      <c r="C9" s="1954"/>
      <c r="D9" s="1954"/>
      <c r="E9" s="1954"/>
      <c r="F9" s="1954"/>
      <c r="G9" s="1954"/>
      <c r="H9" s="1954"/>
      <c r="I9" s="1955"/>
      <c r="J9" s="1956"/>
      <c r="K9" s="1956"/>
      <c r="L9" s="1956"/>
      <c r="M9" s="1956"/>
      <c r="N9" s="1957"/>
    </row>
    <row r="10" spans="1:14" ht="12.75" customHeight="1"/>
    <row r="11" spans="1:14" ht="12.75" customHeight="1">
      <c r="B11" s="385" t="s">
        <v>108</v>
      </c>
    </row>
    <row r="12" spans="1:14" ht="12.75" customHeight="1">
      <c r="B12" s="2" t="s">
        <v>109</v>
      </c>
      <c r="D12" s="371">
        <f>BOD.BS!J10</f>
        <v>3357.2073100000002</v>
      </c>
      <c r="E12" s="371">
        <f>BOD.BS!H10</f>
        <v>2573.7890499999999</v>
      </c>
      <c r="F12" s="371">
        <f>BOD.BS!F10</f>
        <v>4247.2690700000003</v>
      </c>
      <c r="G12" s="371"/>
      <c r="H12" s="371">
        <f>BOD.BS!D10</f>
        <v>11015.63299</v>
      </c>
      <c r="J12" s="54">
        <f>IF(ISERROR(D12/D$20), "n/a", D12/D$20)</f>
        <v>0.91554657809893658</v>
      </c>
      <c r="K12" s="54">
        <f t="shared" ref="K12:L12" si="0">IF(ISERROR(E12/E$20), "n/a", E12/E$20)</f>
        <v>0.74129579436319937</v>
      </c>
      <c r="L12" s="54">
        <f t="shared" si="0"/>
        <v>0.63717411162099269</v>
      </c>
      <c r="N12" s="54">
        <f>IF(ISERROR(H12/H$20), "n/a", H12/H$20)</f>
        <v>0.72499012372071181</v>
      </c>
    </row>
    <row r="13" spans="1:14" ht="12.75" customHeight="1">
      <c r="B13" s="2" t="s">
        <v>110</v>
      </c>
      <c r="D13" s="371">
        <f>BOD.BS!J11</f>
        <v>99.891249999999999</v>
      </c>
      <c r="E13" s="371">
        <f>BOD.BS!H11</f>
        <v>2.3085</v>
      </c>
      <c r="F13" s="371">
        <f>BOD.BS!F11</f>
        <v>0</v>
      </c>
      <c r="G13" s="371"/>
      <c r="H13" s="371">
        <f>BOD.BS!D11</f>
        <v>297.60708</v>
      </c>
      <c r="J13" s="54">
        <f>IF(ISERROR(D13/D$20), "n/a", D13/D$20)</f>
        <v>2.7241419333000734E-2</v>
      </c>
      <c r="K13" s="54">
        <f>IF(ISERROR(E13/E$20), "n/a", E13/E$20)</f>
        <v>6.6488795625556244E-4</v>
      </c>
      <c r="L13" s="54">
        <f>IF(ISERROR(F13/F$20), "n/a", F13/F$20)</f>
        <v>0</v>
      </c>
      <c r="N13" s="54">
        <f>IF(ISERROR(H13/H$20), "n/a", H13/H$20)</f>
        <v>1.958690834609585E-2</v>
      </c>
    </row>
    <row r="14" spans="1:14" ht="12.75" customHeight="1">
      <c r="B14" s="55"/>
      <c r="C14" s="5"/>
      <c r="D14" s="826"/>
      <c r="E14" s="826"/>
      <c r="F14" s="826"/>
      <c r="G14" s="828"/>
      <c r="H14" s="826"/>
      <c r="J14" s="5"/>
      <c r="K14" s="5"/>
      <c r="L14" s="5"/>
      <c r="N14" s="5"/>
    </row>
    <row r="15" spans="1:14" ht="12.75" customHeight="1">
      <c r="B15" s="17" t="s">
        <v>113</v>
      </c>
      <c r="D15" s="371">
        <f>SUM(D12:D13)</f>
        <v>3457.0985600000004</v>
      </c>
      <c r="E15" s="371">
        <f>SUM(E12:E13)</f>
        <v>2576.09755</v>
      </c>
      <c r="F15" s="371">
        <f>SUM(F12:F13)</f>
        <v>4247.2690700000003</v>
      </c>
      <c r="G15" s="473"/>
      <c r="H15" s="371">
        <f>SUM(H12:H13)</f>
        <v>11313.24007</v>
      </c>
      <c r="J15" s="54">
        <f>IF(ISERROR(D15/D$20), "n/a", D15/D$20)</f>
        <v>0.94278799743193731</v>
      </c>
      <c r="K15" s="54">
        <f>IF(ISERROR(E15/E$20), "n/a", E15/E$20)</f>
        <v>0.74196068231945489</v>
      </c>
      <c r="L15" s="54">
        <f>IF(ISERROR(F15/F$20), "n/a", F15/F$20)</f>
        <v>0.63717411162099269</v>
      </c>
      <c r="N15" s="54">
        <f>IF(ISERROR(H15/H$20), "n/a", H15/H$20)</f>
        <v>0.7445770320668077</v>
      </c>
    </row>
    <row r="16" spans="1:14" ht="12.75" customHeight="1">
      <c r="D16" s="473"/>
      <c r="E16" s="473"/>
      <c r="F16" s="473"/>
      <c r="G16" s="473"/>
      <c r="H16" s="473"/>
    </row>
    <row r="17" spans="2:14" ht="12.75" customHeight="1">
      <c r="B17" s="51" t="s">
        <v>111</v>
      </c>
      <c r="D17" s="371">
        <f>BOD.BS!J14</f>
        <v>148.57804000000002</v>
      </c>
      <c r="E17" s="371">
        <f>BOD.BS!H14</f>
        <v>753.85301000000004</v>
      </c>
      <c r="F17" s="371">
        <f>BOD.BS!F14</f>
        <v>2276.4583199999997</v>
      </c>
      <c r="G17" s="371"/>
      <c r="H17" s="371">
        <f>BOD.BS!D14</f>
        <v>3357.8658700000001</v>
      </c>
      <c r="J17" s="54">
        <f>IF(ISERROR(D17/D$20), "n/a", D17/D$20)</f>
        <v>4.0518831142020512E-2</v>
      </c>
      <c r="K17" s="54">
        <f t="shared" ref="K17:N18" si="1">IF(ISERROR(E17/E$20), "n/a", E17/E$20)</f>
        <v>0.21712271480875206</v>
      </c>
      <c r="L17" s="54">
        <f t="shared" si="1"/>
        <v>0.34151363706472621</v>
      </c>
      <c r="N17" s="54">
        <f t="shared" si="1"/>
        <v>0.22099679562117072</v>
      </c>
    </row>
    <row r="18" spans="2:14" ht="12.75" customHeight="1">
      <c r="B18" s="51" t="s">
        <v>112</v>
      </c>
      <c r="D18" s="371">
        <f>BOD.BS!J15</f>
        <v>61.212000000000003</v>
      </c>
      <c r="E18" s="371">
        <f>BOD.BS!H15</f>
        <v>142.06299999999999</v>
      </c>
      <c r="F18" s="371">
        <f>BOD.BS!F15</f>
        <v>142.06299999999999</v>
      </c>
      <c r="G18" s="371"/>
      <c r="H18" s="371">
        <f>BOD.BS!D15</f>
        <v>523.07758000000001</v>
      </c>
      <c r="J18" s="54">
        <f>IF(ISERROR(D18/D$20), "n/a", D18/D$20)</f>
        <v>1.6693171426042232E-2</v>
      </c>
      <c r="K18" s="54">
        <f t="shared" si="1"/>
        <v>4.0916602871792926E-2</v>
      </c>
      <c r="L18" s="54">
        <f t="shared" si="1"/>
        <v>2.1312251314281123E-2</v>
      </c>
      <c r="N18" s="54">
        <f t="shared" si="1"/>
        <v>3.4426172312021677E-2</v>
      </c>
    </row>
    <row r="19" spans="2:14" ht="12.75" customHeight="1">
      <c r="B19" s="5"/>
      <c r="C19" s="5"/>
      <c r="D19" s="826"/>
      <c r="E19" s="826"/>
      <c r="F19" s="826"/>
      <c r="G19" s="828"/>
      <c r="H19" s="826"/>
      <c r="J19" s="5"/>
      <c r="K19" s="5"/>
      <c r="L19" s="5"/>
      <c r="N19" s="5"/>
    </row>
    <row r="20" spans="2:14" ht="12.75" customHeight="1">
      <c r="B20" s="39" t="s">
        <v>114</v>
      </c>
      <c r="C20" s="1"/>
      <c r="D20" s="830">
        <f>SUM(D15:D18)</f>
        <v>3666.8886000000002</v>
      </c>
      <c r="E20" s="830">
        <f>SUM(E15:E18)</f>
        <v>3472.0135600000003</v>
      </c>
      <c r="F20" s="830">
        <f>SUM(F15:F18)</f>
        <v>6665.7903900000001</v>
      </c>
      <c r="G20" s="831"/>
      <c r="H20" s="830">
        <f>SUM(H15:H18)</f>
        <v>15194.183519999999</v>
      </c>
      <c r="J20" s="422">
        <f>IF(ISERROR(D20/D$20), "n/a", D20/D$20)</f>
        <v>1</v>
      </c>
      <c r="K20" s="422">
        <f>IF(ISERROR(E20/E$20), "n/a", E20/E$20)</f>
        <v>1</v>
      </c>
      <c r="L20" s="422">
        <f>IF(ISERROR(F20/F$20), "n/a", F20/F$20)</f>
        <v>1</v>
      </c>
      <c r="M20" s="1"/>
      <c r="N20" s="422">
        <f>IF(ISERROR(H20/H$20), "n/a", H20/H$20)</f>
        <v>1</v>
      </c>
    </row>
    <row r="21" spans="2:14" ht="12.75" customHeight="1">
      <c r="D21" s="473"/>
      <c r="E21" s="473"/>
      <c r="F21" s="473"/>
      <c r="G21" s="473"/>
      <c r="H21" s="473"/>
    </row>
    <row r="22" spans="2:14" ht="12.75" customHeight="1">
      <c r="B22" s="1953" t="s">
        <v>115</v>
      </c>
      <c r="C22" s="1954"/>
      <c r="D22" s="1958"/>
      <c r="E22" s="1958"/>
      <c r="F22" s="1958"/>
      <c r="G22" s="1958"/>
      <c r="H22" s="1958"/>
      <c r="I22" s="1955"/>
      <c r="J22" s="1956"/>
      <c r="K22" s="1956"/>
      <c r="L22" s="1956"/>
      <c r="M22" s="1956"/>
      <c r="N22" s="1957"/>
    </row>
    <row r="23" spans="2:14" ht="12.75" customHeight="1">
      <c r="D23" s="473"/>
      <c r="E23" s="473"/>
      <c r="F23" s="473"/>
      <c r="G23" s="473"/>
      <c r="H23" s="473"/>
    </row>
    <row r="24" spans="2:14" ht="12.75" customHeight="1">
      <c r="B24" s="385" t="s">
        <v>116</v>
      </c>
      <c r="D24" s="473"/>
      <c r="E24" s="473"/>
      <c r="F24" s="473"/>
      <c r="G24" s="473"/>
      <c r="H24" s="473"/>
    </row>
    <row r="25" spans="2:14" ht="12.75" customHeight="1">
      <c r="B25" s="2" t="s">
        <v>117</v>
      </c>
      <c r="D25" s="371">
        <f>BOD.BS!J23</f>
        <v>654.85697000000005</v>
      </c>
      <c r="E25" s="371">
        <f>BOD.BS!H23</f>
        <v>1249.28584</v>
      </c>
      <c r="F25" s="371">
        <f>BOD.BS!F23</f>
        <v>1745.4219800000001</v>
      </c>
      <c r="G25" s="371"/>
      <c r="H25" s="371">
        <f>BOD.BS!D23</f>
        <v>1558.4293700000003</v>
      </c>
      <c r="J25" s="54">
        <f>IF(ISERROR(D25/D$20), "n/a", D25/D$20)</f>
        <v>0.17858654609796437</v>
      </c>
      <c r="K25" s="54">
        <f>IF(ISERROR(E25/E$20), "n/a", E25/E$20)</f>
        <v>0.35981594495846381</v>
      </c>
      <c r="L25" s="54">
        <f>IF(ISERROR(F25/F$20), "n/a", F25/F$20)</f>
        <v>0.26184771465638601</v>
      </c>
      <c r="N25" s="54">
        <f>IF(ISERROR(H25/H$20), "n/a", H25/H$20)</f>
        <v>0.10256749682854958</v>
      </c>
    </row>
    <row r="26" spans="2:14" ht="12.75" customHeight="1">
      <c r="B26" s="5"/>
      <c r="C26" s="5"/>
      <c r="D26" s="826"/>
      <c r="E26" s="826"/>
      <c r="F26" s="826"/>
      <c r="G26" s="828"/>
      <c r="H26" s="826"/>
      <c r="J26" s="5"/>
      <c r="K26" s="5"/>
      <c r="L26" s="5"/>
      <c r="N26" s="5"/>
    </row>
    <row r="27" spans="2:14" ht="12.75" customHeight="1">
      <c r="B27" s="17" t="s">
        <v>118</v>
      </c>
      <c r="D27" s="371">
        <f>SUM(D25:D25)</f>
        <v>654.85697000000005</v>
      </c>
      <c r="E27" s="371">
        <f>SUM(E25:E25)</f>
        <v>1249.28584</v>
      </c>
      <c r="F27" s="371">
        <f>SUM(F25:F25)</f>
        <v>1745.4219800000001</v>
      </c>
      <c r="G27" s="473"/>
      <c r="H27" s="371">
        <f>SUM(H25:H25)</f>
        <v>1558.4293700000003</v>
      </c>
      <c r="J27" s="54">
        <f>IF(ISERROR(D27/D$20), "n/a", D27/D$20)</f>
        <v>0.17858654609796437</v>
      </c>
      <c r="K27" s="54">
        <f t="shared" ref="K27:N27" si="2">IF(ISERROR(E27/E$20), "n/a", E27/E$20)</f>
        <v>0.35981594495846381</v>
      </c>
      <c r="L27" s="54">
        <f t="shared" si="2"/>
        <v>0.26184771465638601</v>
      </c>
      <c r="N27" s="54">
        <f t="shared" si="2"/>
        <v>0.10256749682854958</v>
      </c>
    </row>
    <row r="28" spans="2:14" ht="12.75" customHeight="1">
      <c r="D28" s="473"/>
      <c r="E28" s="473"/>
      <c r="F28" s="473"/>
      <c r="G28" s="473"/>
      <c r="H28" s="473"/>
    </row>
    <row r="29" spans="2:14" ht="12.75" customHeight="1">
      <c r="B29" s="385" t="s">
        <v>123</v>
      </c>
      <c r="D29" s="473"/>
      <c r="E29" s="473"/>
      <c r="F29" s="473"/>
      <c r="G29" s="473"/>
      <c r="H29" s="473"/>
    </row>
    <row r="30" spans="2:14" ht="12.75" customHeight="1">
      <c r="B30" s="2" t="s">
        <v>119</v>
      </c>
      <c r="D30" s="1903">
        <f>BOD.BS!J31</f>
        <v>3.8280000000000002E-2</v>
      </c>
      <c r="E30" s="371">
        <f>BOD.BS!H31</f>
        <v>3.1654299999999997</v>
      </c>
      <c r="F30" s="371">
        <f>BOD.BS!F31</f>
        <v>4.6991800000000001</v>
      </c>
      <c r="G30" s="371"/>
      <c r="H30" s="371">
        <f>BOD.BS!D31</f>
        <v>4.6991800000000001</v>
      </c>
      <c r="J30" s="54">
        <f t="shared" ref="J30:J38" si="3">IF(ISERROR(D30/D$20), "n/a", D30/D$20)</f>
        <v>1.0439368133517883E-5</v>
      </c>
      <c r="K30" s="54">
        <f t="shared" ref="K30:K34" si="4">IF(ISERROR(E30/E$20), "n/a", E30/E$20)</f>
        <v>9.1169862827379037E-4</v>
      </c>
      <c r="L30" s="54">
        <f t="shared" ref="L30:L34" si="5">IF(ISERROR(F30/F$20), "n/a", F30/F$20)</f>
        <v>7.0496966226986325E-4</v>
      </c>
      <c r="N30" s="54">
        <f t="shared" ref="N30:N34" si="6">IF(ISERROR(H30/H$20), "n/a", H30/H$20)</f>
        <v>3.0927492706761783E-4</v>
      </c>
    </row>
    <row r="31" spans="2:14" ht="12.75" customHeight="1">
      <c r="B31" s="2" t="s">
        <v>120</v>
      </c>
      <c r="D31" s="371">
        <f>BOD.BS!J32</f>
        <v>8.5</v>
      </c>
      <c r="E31" s="371">
        <f>BOD.BS!H32</f>
        <v>13.5</v>
      </c>
      <c r="F31" s="371">
        <f>BOD.BS!F32</f>
        <v>22.06</v>
      </c>
      <c r="G31" s="371"/>
      <c r="H31" s="371">
        <f>BOD.BS!D32</f>
        <v>22.06</v>
      </c>
      <c r="J31" s="54">
        <f t="shared" si="3"/>
        <v>2.3180415134509405E-3</v>
      </c>
      <c r="K31" s="54">
        <f t="shared" si="4"/>
        <v>3.8882336623132308E-3</v>
      </c>
      <c r="L31" s="54">
        <f t="shared" si="5"/>
        <v>3.3094349971001711E-3</v>
      </c>
      <c r="N31" s="54">
        <f t="shared" si="6"/>
        <v>1.451871367155897E-3</v>
      </c>
    </row>
    <row r="32" spans="2:14" ht="12.75" customHeight="1">
      <c r="B32" s="2" t="s">
        <v>121</v>
      </c>
      <c r="D32" s="371">
        <f>BOD.BS!J33</f>
        <v>6482.6121299999995</v>
      </c>
      <c r="E32" s="371">
        <f>BOD.BS!H33</f>
        <v>16540.012780000001</v>
      </c>
      <c r="F32" s="371">
        <f>BOD.BS!F33</f>
        <v>36535.904439999998</v>
      </c>
      <c r="G32" s="371"/>
      <c r="H32" s="371">
        <f>BOD.BS!D33</f>
        <v>56064.4568</v>
      </c>
      <c r="J32" s="54">
        <f t="shared" si="3"/>
        <v>1.7678781215224262</v>
      </c>
      <c r="K32" s="54">
        <f t="shared" si="4"/>
        <v>4.7638099604657071</v>
      </c>
      <c r="L32" s="54">
        <f t="shared" si="5"/>
        <v>5.4811061108088639</v>
      </c>
      <c r="N32" s="54">
        <f t="shared" si="6"/>
        <v>3.68986307992152</v>
      </c>
    </row>
    <row r="33" spans="1:14" ht="12.75" customHeight="1">
      <c r="B33" s="2" t="s">
        <v>1839</v>
      </c>
      <c r="D33" s="371">
        <v>0</v>
      </c>
      <c r="E33" s="371">
        <v>0</v>
      </c>
      <c r="F33" s="371">
        <v>0</v>
      </c>
      <c r="G33" s="371"/>
      <c r="H33" s="1903">
        <f>BOD.BS!D34</f>
        <v>1.8010000000000002E-2</v>
      </c>
      <c r="J33" s="54">
        <f t="shared" si="3"/>
        <v>0</v>
      </c>
      <c r="K33" s="54">
        <f t="shared" si="4"/>
        <v>0</v>
      </c>
      <c r="L33" s="54">
        <f t="shared" si="5"/>
        <v>0</v>
      </c>
      <c r="N33" s="54">
        <f t="shared" si="6"/>
        <v>1.1853220001123169E-6</v>
      </c>
    </row>
    <row r="34" spans="1:14" ht="12.75" customHeight="1">
      <c r="B34" s="2" t="s">
        <v>122</v>
      </c>
      <c r="D34" s="371">
        <f>SUM(BOD.BS!J35:J36)</f>
        <v>-3479.1187799999998</v>
      </c>
      <c r="E34" s="371">
        <f>SUM(BOD.BS!H35:H36)</f>
        <v>-14333.950489999999</v>
      </c>
      <c r="F34" s="371">
        <f>SUM(BOD.BS!F35:F36)</f>
        <v>-31642.295209999997</v>
      </c>
      <c r="G34" s="371"/>
      <c r="H34" s="371">
        <f>SUM(BOD.BS!D35:D36)</f>
        <v>-42455.47984</v>
      </c>
      <c r="J34" s="54">
        <f t="shared" si="3"/>
        <v>-0.94879314850197505</v>
      </c>
      <c r="K34" s="54">
        <f t="shared" si="4"/>
        <v>-4.128425837714758</v>
      </c>
      <c r="L34" s="54">
        <f t="shared" si="5"/>
        <v>-4.7469682301246197</v>
      </c>
      <c r="N34" s="54">
        <f t="shared" si="6"/>
        <v>-2.7941929083662931</v>
      </c>
    </row>
    <row r="35" spans="1:14" ht="12.75" customHeight="1">
      <c r="B35" s="5"/>
      <c r="C35" s="5"/>
      <c r="D35" s="826"/>
      <c r="E35" s="826"/>
      <c r="F35" s="826"/>
      <c r="G35" s="828"/>
      <c r="H35" s="826"/>
      <c r="J35" s="5"/>
      <c r="K35" s="5"/>
      <c r="L35" s="5"/>
      <c r="N35" s="5"/>
    </row>
    <row r="36" spans="1:14" ht="12.75" customHeight="1">
      <c r="B36" s="17" t="s">
        <v>125</v>
      </c>
      <c r="D36" s="371">
        <f>SUM(D30:D34)</f>
        <v>3012.0316299999995</v>
      </c>
      <c r="E36" s="371">
        <f>SUM(E30:E34)</f>
        <v>2222.7277200000026</v>
      </c>
      <c r="F36" s="371">
        <f>SUM(F30:F34)</f>
        <v>4920.3684100000028</v>
      </c>
      <c r="G36" s="473"/>
      <c r="H36" s="371">
        <f>SUM(H30:H34)</f>
        <v>13635.754150000001</v>
      </c>
      <c r="J36" s="54">
        <f t="shared" si="3"/>
        <v>0.82141345390203546</v>
      </c>
      <c r="K36" s="54">
        <f t="shared" ref="K36" si="7">IF(ISERROR(E36/E$20), "n/a", E36/E$20)</f>
        <v>0.64018405504153686</v>
      </c>
      <c r="L36" s="54">
        <f t="shared" ref="L36:N36" si="8">IF(ISERROR(F36/F$20), "n/a", F36/F$20)</f>
        <v>0.73815228534361443</v>
      </c>
      <c r="N36" s="54">
        <f t="shared" si="8"/>
        <v>0.89743250317145051</v>
      </c>
    </row>
    <row r="37" spans="1:14" ht="12.75" customHeight="1">
      <c r="D37" s="473"/>
      <c r="E37" s="473"/>
      <c r="F37" s="473"/>
      <c r="G37" s="828"/>
      <c r="H37" s="473"/>
      <c r="J37" s="5"/>
      <c r="K37" s="5"/>
      <c r="L37" s="5"/>
      <c r="N37" s="5"/>
    </row>
    <row r="38" spans="1:14" ht="12.75" customHeight="1">
      <c r="B38" s="999" t="s">
        <v>124</v>
      </c>
      <c r="C38" s="999"/>
      <c r="D38" s="1000">
        <f>D36+D27</f>
        <v>3666.8885999999993</v>
      </c>
      <c r="E38" s="1000">
        <f>E36+E27</f>
        <v>3472.0135600000026</v>
      </c>
      <c r="F38" s="1000">
        <f>F36+F27</f>
        <v>6665.7903900000028</v>
      </c>
      <c r="G38" s="1022"/>
      <c r="H38" s="1000">
        <f>H36+H27</f>
        <v>15194.18352</v>
      </c>
      <c r="J38" s="422">
        <f t="shared" si="3"/>
        <v>0.99999999999999978</v>
      </c>
      <c r="K38" s="422">
        <f t="shared" ref="K38" si="9">IF(ISERROR(E38/E$20), "n/a", E38/E$20)</f>
        <v>1.0000000000000007</v>
      </c>
      <c r="L38" s="422">
        <f t="shared" ref="L38:N38" si="10">IF(ISERROR(F38/F$20), "n/a", F38/F$20)</f>
        <v>1.0000000000000004</v>
      </c>
      <c r="M38" s="1"/>
      <c r="N38" s="422">
        <f t="shared" si="10"/>
        <v>1.0000000000000002</v>
      </c>
    </row>
    <row r="39" spans="1:14" ht="12.75" customHeight="1"/>
    <row r="40" spans="1:14" ht="12.75" customHeight="1">
      <c r="B40" s="8" t="s">
        <v>21</v>
      </c>
    </row>
    <row r="41" spans="1:14" ht="12.75" customHeight="1">
      <c r="A41" s="2124">
        <v>1</v>
      </c>
      <c r="B41" s="2178" t="str">
        <f>"Reflects financial information as of "&amp;TEXT(H7,"MMMM D, YYYY")&amp;", which Management indicated was the latest available as of the Valuation Date."</f>
        <v>Reflects financial information as of May 31, 2018, which Management indicated was the latest available as of the Valuation Date.</v>
      </c>
    </row>
    <row r="42" spans="1:14" ht="12.75" customHeight="1">
      <c r="B42" s="9"/>
    </row>
    <row r="43" spans="1:14" ht="12.75" customHeight="1">
      <c r="B43" s="1530" t="s">
        <v>2268</v>
      </c>
      <c r="C43" s="1534"/>
      <c r="D43" s="1534" t="b">
        <f>BOD.BS!J39=D38</f>
        <v>1</v>
      </c>
      <c r="E43" s="1534" t="b">
        <f>BOD.BS!H39=E38</f>
        <v>1</v>
      </c>
      <c r="F43" s="1534" t="b">
        <f>BOD.BS!F39=F38</f>
        <v>1</v>
      </c>
      <c r="G43" s="1534"/>
      <c r="H43" s="1531" t="b">
        <f>BOD.BS!D39=H38</f>
        <v>1</v>
      </c>
    </row>
    <row r="44" spans="1:14" ht="12.75" customHeight="1"/>
    <row r="45" spans="1:14" ht="12.75" customHeight="1">
      <c r="B45" s="26" t="s">
        <v>127</v>
      </c>
      <c r="C45" s="27"/>
      <c r="D45" s="27"/>
      <c r="E45" s="27"/>
      <c r="F45" s="27"/>
      <c r="G45" s="27"/>
      <c r="H45" s="28"/>
    </row>
    <row r="46" spans="1:14" ht="12.75" customHeight="1"/>
    <row r="47" spans="1:14" ht="12.75" customHeight="1">
      <c r="B47" s="385" t="s">
        <v>130</v>
      </c>
      <c r="D47" s="245">
        <f>D12</f>
        <v>3357.2073100000002</v>
      </c>
      <c r="E47" s="245">
        <f>E12</f>
        <v>2573.7890499999999</v>
      </c>
      <c r="F47" s="245">
        <f>F12</f>
        <v>4247.2690700000003</v>
      </c>
      <c r="G47" s="245"/>
      <c r="H47" s="245">
        <f>H12</f>
        <v>11015.63299</v>
      </c>
    </row>
    <row r="48" spans="1:14" ht="12.75" customHeight="1">
      <c r="B48" s="57" t="s">
        <v>129</v>
      </c>
      <c r="C48" s="420" t="s">
        <v>133</v>
      </c>
      <c r="D48" s="832">
        <f>-D47</f>
        <v>-3357.2073100000002</v>
      </c>
      <c r="E48" s="832">
        <f t="shared" ref="E48:F48" si="11">-E47</f>
        <v>-2573.7890499999999</v>
      </c>
      <c r="F48" s="832">
        <f t="shared" si="11"/>
        <v>-4247.2690700000003</v>
      </c>
      <c r="G48" s="832"/>
      <c r="H48" s="832">
        <f>-H47</f>
        <v>-11015.63299</v>
      </c>
    </row>
    <row r="49" spans="1:14" s="20" customFormat="1" ht="12.75" customHeight="1">
      <c r="B49" s="58"/>
      <c r="C49" s="59"/>
      <c r="D49" s="60"/>
      <c r="E49" s="60"/>
      <c r="F49" s="60"/>
      <c r="G49" s="1023"/>
      <c r="H49" s="60"/>
      <c r="J49" s="385"/>
      <c r="K49" s="385"/>
      <c r="L49" s="385"/>
      <c r="M49" s="385"/>
      <c r="N49" s="385"/>
    </row>
    <row r="50" spans="1:14" ht="12.75" customHeight="1">
      <c r="B50" s="1" t="s">
        <v>128</v>
      </c>
      <c r="C50" s="1"/>
      <c r="D50" s="36">
        <f>SUM(D47:D48)</f>
        <v>0</v>
      </c>
      <c r="E50" s="36">
        <f>SUM(E47:E48)</f>
        <v>0</v>
      </c>
      <c r="F50" s="36">
        <f>SUM(F47:F48)</f>
        <v>0</v>
      </c>
      <c r="G50" s="1"/>
      <c r="H50" s="36">
        <f>SUM(H47:H48)</f>
        <v>0</v>
      </c>
    </row>
    <row r="51" spans="1:14" ht="12.75" customHeight="1"/>
    <row r="52" spans="1:14" ht="12.75" customHeight="1">
      <c r="B52" s="1" t="s">
        <v>131</v>
      </c>
      <c r="C52" s="1"/>
      <c r="D52" s="36">
        <v>0</v>
      </c>
      <c r="E52" s="36">
        <v>0</v>
      </c>
      <c r="F52" s="36">
        <v>0</v>
      </c>
      <c r="G52" s="1"/>
      <c r="H52" s="36">
        <v>0</v>
      </c>
    </row>
    <row r="53" spans="1:14" ht="12.75" customHeight="1"/>
    <row r="54" spans="1:14">
      <c r="A54" s="385">
        <v>0</v>
      </c>
      <c r="B54" s="867" t="s">
        <v>126</v>
      </c>
      <c r="C54" s="19"/>
      <c r="D54" s="868">
        <f>D38-D20</f>
        <v>0</v>
      </c>
      <c r="E54" s="868">
        <f>E38-E20</f>
        <v>0</v>
      </c>
      <c r="F54" s="868">
        <f>F38-F20</f>
        <v>0</v>
      </c>
      <c r="G54" s="19"/>
      <c r="H54" s="869">
        <f>H38-H20</f>
        <v>0</v>
      </c>
    </row>
    <row r="55" spans="1:14">
      <c r="B55" s="962" t="s">
        <v>1240</v>
      </c>
      <c r="D55" s="1902">
        <f>IF(SUM(D54:H54)=0,0,"Check")</f>
        <v>0</v>
      </c>
    </row>
  </sheetData>
  <conditionalFormatting sqref="B4:G4 J4:N4">
    <cfRule type="cellIs" dxfId="264" priority="5" stopIfTrue="1" operator="equal">
      <formula>"input"</formula>
    </cfRule>
  </conditionalFormatting>
  <conditionalFormatting sqref="N4">
    <cfRule type="cellIs" dxfId="263" priority="4" stopIfTrue="1" operator="equal">
      <formula>"input"</formula>
    </cfRule>
  </conditionalFormatting>
  <conditionalFormatting sqref="N4">
    <cfRule type="cellIs" dxfId="262" priority="3" stopIfTrue="1" operator="equal">
      <formula>"input"</formula>
    </cfRule>
  </conditionalFormatting>
  <conditionalFormatting sqref="H4">
    <cfRule type="cellIs" dxfId="261" priority="2" stopIfTrue="1" operator="equal">
      <formula>"input"</formula>
    </cfRule>
  </conditionalFormatting>
  <conditionalFormatting sqref="I4">
    <cfRule type="cellIs" dxfId="260" priority="1" stopIfTrue="1" operator="equal">
      <formula>"input"</formula>
    </cfRule>
  </conditionalFormatting>
  <pageMargins left="0.5" right="0.5" top="0.5" bottom="0.5" header="0.5" footer="0.5"/>
  <pageSetup fitToWidth="0" fitToHeight="0" orientation="landscape" r:id="rId1"/>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05.33203125" style="259" customWidth="1"/>
    <col min="5" max="5" width="15.83203125" style="258" customWidth="1"/>
    <col min="6" max="6" width="3.83203125" style="258" customWidth="1"/>
    <col min="7" max="7" width="4.5" style="258" customWidth="1"/>
    <col min="8" max="8" width="9.33203125" style="258"/>
    <col min="9" max="9" width="16.33203125" style="258" bestFit="1" customWidth="1"/>
    <col min="10" max="10" width="19" style="258" bestFit="1" customWidth="1"/>
    <col min="11" max="16384" width="9.33203125" style="258"/>
  </cols>
  <sheetData>
    <row r="6" spans="2:6">
      <c r="B6" s="260"/>
      <c r="C6" s="249"/>
      <c r="D6" s="250"/>
      <c r="E6" s="249"/>
      <c r="F6" s="249"/>
    </row>
    <row r="7" spans="2:6" ht="15.75" thickBot="1">
      <c r="B7" s="260"/>
      <c r="C7" s="249"/>
      <c r="D7" s="250"/>
      <c r="E7" s="249"/>
      <c r="F7" s="249"/>
    </row>
    <row r="8" spans="2:6" ht="15.75" thickTop="1">
      <c r="B8" s="14"/>
      <c r="C8" s="261"/>
      <c r="D8" s="262"/>
      <c r="E8" s="261"/>
      <c r="F8" s="261"/>
    </row>
    <row r="9" spans="2:6" s="263" customFormat="1" ht="40.5">
      <c r="B9" s="264"/>
      <c r="C9" s="265"/>
      <c r="D9" s="266" t="s">
        <v>304</v>
      </c>
      <c r="E9" s="265"/>
      <c r="F9" s="265"/>
    </row>
    <row r="10" spans="2:6" ht="15.75" thickBot="1">
      <c r="B10" s="253"/>
      <c r="C10" s="268"/>
      <c r="D10" s="269"/>
      <c r="E10" s="268"/>
      <c r="F10" s="268"/>
    </row>
    <row r="11" spans="2:6" ht="15.75" thickTop="1"/>
    <row r="13" spans="2:6" ht="18.75">
      <c r="D13" s="254"/>
    </row>
    <row r="14" spans="2:6" ht="18.75">
      <c r="D14" s="255"/>
    </row>
    <row r="27" spans="4:4" ht="23.25">
      <c r="D27" s="856" t="s">
        <v>646</v>
      </c>
    </row>
    <row r="29" spans="4:4" ht="18.75">
      <c r="D29" s="256" t="s">
        <v>470</v>
      </c>
    </row>
    <row r="30" spans="4:4" ht="37.5">
      <c r="D30" s="257" t="s">
        <v>295</v>
      </c>
    </row>
  </sheetData>
  <pageMargins left="0.5" right="0.5" top="0.5" bottom="0.5" header="0.5" footer="0.5"/>
  <pageSetup scale="99"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38"/>
  <sheetViews>
    <sheetView showGridLines="0" view="pageBreakPreview" zoomScaleNormal="130" zoomScaleSheetLayoutView="100" workbookViewId="0"/>
  </sheetViews>
  <sheetFormatPr defaultRowHeight="12.75" outlineLevelRow="1"/>
  <cols>
    <col min="1" max="1" width="4.5" style="169" customWidth="1"/>
    <col min="2" max="2" width="63" style="385" customWidth="1"/>
    <col min="3" max="3" width="4" style="385" customWidth="1"/>
    <col min="4" max="4" width="11" style="391" customWidth="1"/>
    <col min="5" max="5" width="2.83203125" style="385" customWidth="1"/>
    <col min="6" max="6" width="11.6640625" style="391" customWidth="1"/>
    <col min="7" max="7" width="2.83203125" style="385" customWidth="1"/>
    <col min="8" max="8" width="13.1640625" style="391" customWidth="1"/>
    <col min="9" max="9" width="2.83203125" style="385" customWidth="1"/>
    <col min="10" max="10" width="9.33203125" style="391" customWidth="1"/>
    <col min="11" max="11" width="2.83203125" style="385" customWidth="1"/>
    <col min="12" max="12" width="11.83203125" style="385" bestFit="1" customWidth="1"/>
    <col min="13" max="13" width="3.5" style="385" bestFit="1" customWidth="1"/>
    <col min="14" max="14" width="5" style="385" customWidth="1"/>
    <col min="15" max="15" width="4.5" style="385" customWidth="1"/>
    <col min="16" max="16384" width="9.33203125" style="385"/>
  </cols>
  <sheetData>
    <row r="1" spans="1:19" ht="10.7" customHeight="1" thickBot="1">
      <c r="D1" s="385"/>
      <c r="F1" s="385"/>
      <c r="H1" s="385"/>
      <c r="J1" s="385"/>
    </row>
    <row r="2" spans="1:19" ht="16.5" customHeight="1" thickTop="1">
      <c r="B2" s="10" t="str">
        <f>'MASTER PubCo Inputs'!$C$5</f>
        <v>Pliant Therapeutics, Inc.</v>
      </c>
      <c r="C2" s="10"/>
      <c r="D2" s="10"/>
      <c r="E2" s="10"/>
      <c r="F2" s="10"/>
      <c r="G2" s="10"/>
      <c r="H2" s="10"/>
      <c r="I2" s="10"/>
      <c r="J2" s="10"/>
      <c r="K2" s="10"/>
      <c r="L2" s="10"/>
      <c r="M2" s="10"/>
      <c r="N2" s="10"/>
    </row>
    <row r="3" spans="1:19" ht="15.75" customHeight="1">
      <c r="B3" s="11" t="str">
        <f>VLOOKUP(B4,Outline!$E$8:$G$69,COLUMNS(Outline!$E$8:$G$8),FALSE)</f>
        <v>Exhibit D.1</v>
      </c>
      <c r="C3" s="11"/>
      <c r="D3" s="11"/>
      <c r="E3" s="11"/>
      <c r="F3" s="11"/>
      <c r="G3" s="11"/>
      <c r="H3" s="11"/>
      <c r="I3" s="11"/>
      <c r="J3" s="11"/>
      <c r="K3" s="11"/>
      <c r="L3" s="11"/>
      <c r="M3" s="11"/>
      <c r="N3" s="11"/>
    </row>
    <row r="4" spans="1:19" ht="16.5" customHeight="1" thickBot="1">
      <c r="B4" s="12" t="s">
        <v>500</v>
      </c>
      <c r="C4" s="2150">
        <v>1</v>
      </c>
      <c r="D4" s="12"/>
      <c r="E4" s="12"/>
      <c r="F4" s="12"/>
      <c r="G4" s="12"/>
      <c r="H4" s="12"/>
      <c r="I4" s="12"/>
      <c r="J4" s="13"/>
      <c r="K4" s="13"/>
      <c r="L4" s="13"/>
      <c r="M4" s="13"/>
      <c r="N4" s="13" t="str">
        <f>+'MASTER PubCo Inputs'!$C$20</f>
        <v>(in thousands of USD and shares, except price per share)</v>
      </c>
    </row>
    <row r="5" spans="1:19" s="16" customFormat="1" ht="12.75" customHeight="1" thickTop="1">
      <c r="A5" s="292"/>
      <c r="B5" s="385"/>
      <c r="C5" s="169"/>
      <c r="D5" s="385"/>
      <c r="E5" s="385"/>
      <c r="F5" s="385"/>
      <c r="G5" s="385"/>
      <c r="H5" s="385"/>
      <c r="I5" s="385"/>
      <c r="J5" s="385"/>
      <c r="K5" s="385"/>
      <c r="L5" s="385"/>
      <c r="M5" s="385"/>
      <c r="N5" s="385"/>
      <c r="O5" s="385"/>
      <c r="P5" s="385"/>
      <c r="Q5" s="385"/>
      <c r="R5" s="385"/>
      <c r="S5" s="385"/>
    </row>
    <row r="6" spans="1:19" s="16" customFormat="1" ht="12.75" customHeight="1">
      <c r="A6" s="292"/>
      <c r="B6" s="385"/>
      <c r="D6" s="385"/>
      <c r="E6" s="385"/>
      <c r="F6" s="385"/>
      <c r="G6" s="385"/>
      <c r="H6" s="385"/>
      <c r="I6" s="385"/>
      <c r="J6" s="385"/>
      <c r="L6" s="385"/>
      <c r="M6" s="385"/>
      <c r="N6" s="385"/>
      <c r="O6" s="385"/>
    </row>
    <row r="7" spans="1:19" ht="12.75" customHeight="1">
      <c r="B7" s="434" t="s">
        <v>168</v>
      </c>
      <c r="C7" s="436"/>
      <c r="D7" s="845" t="s">
        <v>164</v>
      </c>
      <c r="E7" s="833"/>
      <c r="F7" s="833" t="s">
        <v>165</v>
      </c>
      <c r="G7" s="833"/>
      <c r="H7" s="1391" t="s">
        <v>166</v>
      </c>
      <c r="I7" s="1390"/>
      <c r="J7" s="1392" t="s">
        <v>167</v>
      </c>
      <c r="K7" s="438"/>
      <c r="L7" s="437" t="s">
        <v>5</v>
      </c>
      <c r="M7" s="437"/>
      <c r="N7" s="435"/>
    </row>
    <row r="8" spans="1:19" ht="12.75" customHeight="1">
      <c r="D8" s="169"/>
      <c r="E8" s="169"/>
      <c r="F8" s="169"/>
      <c r="G8" s="169"/>
      <c r="H8" s="169"/>
      <c r="I8" s="169"/>
      <c r="J8" s="169"/>
    </row>
    <row r="9" spans="1:19" ht="12.75" hidden="1" customHeight="1" outlineLevel="1">
      <c r="B9" s="385" t="s">
        <v>30</v>
      </c>
      <c r="D9" s="834"/>
      <c r="E9" s="835"/>
      <c r="F9" s="834"/>
      <c r="G9" s="169"/>
      <c r="H9" s="431"/>
      <c r="I9" s="169"/>
      <c r="J9" s="836">
        <v>0.05</v>
      </c>
      <c r="L9" s="375" t="str">
        <f>'Hist BS'!B3</f>
        <v>Exhibit C.3</v>
      </c>
      <c r="M9" s="3" t="s">
        <v>133</v>
      </c>
      <c r="N9" s="3" t="s">
        <v>132</v>
      </c>
    </row>
    <row r="10" spans="1:19" ht="12.75" hidden="1" customHeight="1" outlineLevel="1">
      <c r="D10" s="835"/>
      <c r="E10" s="835"/>
      <c r="F10" s="835"/>
      <c r="G10" s="169"/>
      <c r="H10" s="837"/>
      <c r="I10" s="169"/>
      <c r="J10" s="169"/>
      <c r="L10" s="74"/>
    </row>
    <row r="11" spans="1:19" ht="12.75" customHeight="1" collapsed="1">
      <c r="B11" s="385" t="s">
        <v>169</v>
      </c>
      <c r="D11" s="834"/>
      <c r="E11" s="835"/>
      <c r="F11" s="834"/>
      <c r="G11" s="169"/>
      <c r="H11" s="431">
        <f>PWERM_2!B120</f>
        <v>98138.979441863048</v>
      </c>
      <c r="I11" s="169"/>
      <c r="J11" s="836">
        <v>0.12</v>
      </c>
      <c r="L11" s="375" t="str">
        <f>PWERM_2!B3</f>
        <v>Workpaper 3</v>
      </c>
      <c r="M11" s="2124">
        <v>2</v>
      </c>
      <c r="N11" s="2149">
        <f>+M11+1</f>
        <v>3</v>
      </c>
      <c r="P11" s="104"/>
    </row>
    <row r="12" spans="1:19" ht="12.75" customHeight="1">
      <c r="D12" s="835"/>
      <c r="E12" s="835"/>
      <c r="F12" s="835"/>
      <c r="G12" s="169"/>
      <c r="H12" s="837"/>
      <c r="I12" s="169"/>
      <c r="J12" s="169"/>
      <c r="L12" s="1386"/>
    </row>
    <row r="13" spans="1:19" ht="12.75" customHeight="1">
      <c r="B13" s="385" t="s">
        <v>170</v>
      </c>
      <c r="D13" s="834"/>
      <c r="E13" s="835"/>
      <c r="F13" s="834"/>
      <c r="G13" s="169"/>
      <c r="H13" s="431">
        <f>PWERM_2!B131</f>
        <v>30265.293828376918</v>
      </c>
      <c r="I13" s="169"/>
      <c r="J13" s="836">
        <v>0.25</v>
      </c>
      <c r="L13" s="375" t="str">
        <f>L11</f>
        <v>Workpaper 3</v>
      </c>
      <c r="M13" s="2149">
        <f>+N11+1</f>
        <v>4</v>
      </c>
      <c r="N13" s="2149">
        <f>+M13+1</f>
        <v>5</v>
      </c>
      <c r="P13" s="104"/>
    </row>
    <row r="14" spans="1:19" ht="12.75" customHeight="1">
      <c r="D14" s="835"/>
      <c r="E14" s="835"/>
      <c r="F14" s="835"/>
      <c r="G14" s="169"/>
      <c r="H14" s="169"/>
      <c r="I14" s="169"/>
      <c r="J14" s="169"/>
      <c r="L14" s="1386"/>
    </row>
    <row r="15" spans="1:19" ht="12.75" customHeight="1">
      <c r="B15" s="385" t="s">
        <v>1114</v>
      </c>
      <c r="D15" s="431">
        <f>+'Cap Table'!G10</f>
        <v>15422.682000000001</v>
      </c>
      <c r="E15" s="169"/>
      <c r="F15" s="1002">
        <f>+'Val Summ'!J11</f>
        <v>0.28999999999999998</v>
      </c>
      <c r="G15" s="169"/>
      <c r="H15" s="91">
        <f>+D15*F15</f>
        <v>4472.5777799999996</v>
      </c>
      <c r="I15" s="169"/>
      <c r="J15" s="836">
        <v>0.35</v>
      </c>
      <c r="L15" s="375" t="str">
        <f>'Cap Table'!B3</f>
        <v>Exhibit G.1</v>
      </c>
      <c r="M15" s="2149">
        <f>+N13+1</f>
        <v>6</v>
      </c>
      <c r="N15" s="2149">
        <f>+M15+1</f>
        <v>7</v>
      </c>
      <c r="P15" s="2123"/>
    </row>
    <row r="16" spans="1:19" ht="12.75" customHeight="1">
      <c r="D16" s="431"/>
      <c r="E16" s="169"/>
      <c r="F16" s="838"/>
      <c r="G16" s="169"/>
      <c r="H16" s="91"/>
      <c r="I16" s="169"/>
      <c r="J16" s="836"/>
      <c r="L16" s="413"/>
      <c r="M16" s="3"/>
      <c r="N16" s="3"/>
      <c r="P16" s="49"/>
    </row>
    <row r="17" spans="1:17" ht="12.75" customHeight="1">
      <c r="B17" s="385" t="s">
        <v>639</v>
      </c>
      <c r="D17" s="431">
        <f ca="1">PWERM_2!D226</f>
        <v>8004.0696576083337</v>
      </c>
      <c r="E17" s="169"/>
      <c r="F17" s="1003">
        <f>+F15</f>
        <v>0.28999999999999998</v>
      </c>
      <c r="G17" s="169"/>
      <c r="H17" s="91">
        <f ca="1">+D17*F17</f>
        <v>2321.1802007064166</v>
      </c>
      <c r="I17" s="169"/>
      <c r="J17" s="54">
        <f>+J15</f>
        <v>0.35</v>
      </c>
      <c r="L17" s="413"/>
      <c r="M17" s="3"/>
      <c r="N17" s="3"/>
      <c r="P17" s="49"/>
    </row>
    <row r="18" spans="1:17" ht="12.75" customHeight="1">
      <c r="D18" s="169"/>
      <c r="E18" s="169"/>
      <c r="F18" s="169"/>
      <c r="G18" s="169"/>
      <c r="H18" s="169"/>
      <c r="I18" s="169"/>
      <c r="J18" s="169"/>
    </row>
    <row r="19" spans="1:17" ht="12.75" customHeight="1">
      <c r="B19" s="108" t="s">
        <v>171</v>
      </c>
      <c r="C19" s="29"/>
      <c r="D19" s="839"/>
      <c r="E19" s="839"/>
      <c r="F19" s="839"/>
      <c r="G19" s="839"/>
      <c r="H19" s="840">
        <f ca="1">SUM(H9:H17)</f>
        <v>135198.03125094637</v>
      </c>
      <c r="I19" s="841"/>
      <c r="J19" s="842">
        <f ca="1">IF(ISERROR(SUMPRODUCT(J9:J17,H9:H17)/H19), "n/a", SUMPRODUCT(J9:J17,H9:H17)/H19)</f>
        <v>0.16065926465340447</v>
      </c>
      <c r="L19" s="2153">
        <f>+N15+1</f>
        <v>8</v>
      </c>
    </row>
    <row r="20" spans="1:17" ht="12.75" customHeight="1">
      <c r="D20" s="169"/>
      <c r="E20" s="169"/>
      <c r="F20" s="169"/>
      <c r="G20" s="169"/>
      <c r="H20" s="169"/>
      <c r="I20" s="169"/>
      <c r="J20" s="169"/>
    </row>
    <row r="21" spans="1:17" ht="12.75" customHeight="1">
      <c r="B21" s="8" t="s">
        <v>172</v>
      </c>
      <c r="D21" s="169"/>
      <c r="E21" s="169"/>
      <c r="F21" s="169"/>
      <c r="G21" s="169"/>
      <c r="H21" s="169"/>
      <c r="I21" s="169"/>
      <c r="J21" s="38">
        <f>IF(ISERROR(SUMPRODUCT(H11:H13,J11:J13/SUM(H11:H13))), "n/a", SUMPRODUCT(H11:H13,J11:J13/SUM(H11:H13)))</f>
        <v>0.15064141167177875</v>
      </c>
      <c r="M21" s="3"/>
      <c r="P21" s="370">
        <v>0.16</v>
      </c>
      <c r="Q21" s="385" t="s">
        <v>480</v>
      </c>
    </row>
    <row r="22" spans="1:17" ht="12.75" customHeight="1">
      <c r="D22" s="169"/>
      <c r="E22" s="169"/>
      <c r="F22" s="169"/>
      <c r="G22" s="169"/>
      <c r="H22" s="169"/>
      <c r="I22" s="169"/>
      <c r="J22" s="169"/>
    </row>
    <row r="23" spans="1:17" ht="12.75" customHeight="1">
      <c r="B23" s="26" t="s">
        <v>173</v>
      </c>
      <c r="C23" s="27"/>
      <c r="D23" s="843"/>
      <c r="E23" s="843"/>
      <c r="F23" s="843"/>
      <c r="G23" s="843"/>
      <c r="H23" s="843"/>
      <c r="I23" s="843"/>
      <c r="J23" s="844">
        <v>0.17</v>
      </c>
      <c r="L23" s="2153">
        <f>L19</f>
        <v>8</v>
      </c>
    </row>
    <row r="24" spans="1:17" ht="12.75" customHeight="1"/>
    <row r="25" spans="1:17" ht="12.75" customHeight="1">
      <c r="B25" s="8" t="s">
        <v>21</v>
      </c>
    </row>
    <row r="26" spans="1:17" ht="27" customHeight="1">
      <c r="A26" s="2152">
        <f>C4</f>
        <v>1</v>
      </c>
      <c r="B26" s="2296" t="s">
        <v>647</v>
      </c>
      <c r="C26" s="2296"/>
      <c r="D26" s="2296"/>
      <c r="E26" s="2296"/>
      <c r="F26" s="2296"/>
      <c r="G26" s="2296"/>
      <c r="H26" s="2296"/>
      <c r="I26" s="2296"/>
      <c r="J26" s="2296"/>
      <c r="K26" s="2296"/>
      <c r="L26" s="2296"/>
      <c r="M26" s="2296"/>
      <c r="N26" s="2296"/>
      <c r="P26" s="373"/>
      <c r="Q26" s="23"/>
    </row>
    <row r="27" spans="1:17" ht="12.75" hidden="1" customHeight="1" outlineLevel="1">
      <c r="A27" s="736" t="str">
        <f>M9</f>
        <v>(1)</v>
      </c>
      <c r="B27" s="1574" t="s">
        <v>491</v>
      </c>
      <c r="C27" s="1575"/>
      <c r="D27" s="1575"/>
      <c r="E27" s="1575"/>
      <c r="F27" s="1575"/>
      <c r="G27" s="1575"/>
      <c r="H27" s="1575"/>
      <c r="I27" s="1575"/>
      <c r="J27" s="1575"/>
      <c r="K27" s="1575"/>
      <c r="L27" s="1575"/>
      <c r="M27" s="1575"/>
      <c r="N27" s="1575"/>
      <c r="P27" s="373"/>
      <c r="Q27" s="23"/>
    </row>
    <row r="28" spans="1:17" ht="12.75" hidden="1" customHeight="1" outlineLevel="1">
      <c r="A28" s="736" t="str">
        <f>N9</f>
        <v>(2)</v>
      </c>
      <c r="B28" s="1574" t="s">
        <v>492</v>
      </c>
      <c r="C28" s="1575"/>
      <c r="D28" s="1575"/>
      <c r="E28" s="1575"/>
      <c r="F28" s="1575"/>
      <c r="G28" s="1575"/>
      <c r="H28" s="1575"/>
      <c r="I28" s="1575"/>
      <c r="J28" s="1575"/>
      <c r="K28" s="1575"/>
      <c r="L28" s="1575"/>
      <c r="M28" s="1575"/>
      <c r="N28" s="1575"/>
    </row>
    <row r="29" spans="1:17" ht="26.1" customHeight="1" collapsed="1">
      <c r="A29" s="2152">
        <f>M11</f>
        <v>2</v>
      </c>
      <c r="B29" s="2296" t="s">
        <v>493</v>
      </c>
      <c r="C29" s="2296"/>
      <c r="D29" s="2296"/>
      <c r="E29" s="2296"/>
      <c r="F29" s="2296"/>
      <c r="G29" s="2296"/>
      <c r="H29" s="2296"/>
      <c r="I29" s="2296"/>
      <c r="J29" s="2296"/>
      <c r="K29" s="2296"/>
      <c r="L29" s="2296"/>
      <c r="M29" s="2296"/>
      <c r="N29" s="2296"/>
    </row>
    <row r="30" spans="1:17" ht="12.75" customHeight="1">
      <c r="A30" s="2152">
        <f>N11</f>
        <v>3</v>
      </c>
      <c r="B30" s="2296" t="s">
        <v>494</v>
      </c>
      <c r="C30" s="2296"/>
      <c r="D30" s="2296"/>
      <c r="E30" s="2296"/>
      <c r="F30" s="2296"/>
      <c r="G30" s="2296"/>
      <c r="H30" s="2296"/>
      <c r="I30" s="2296"/>
      <c r="J30" s="2296"/>
      <c r="K30" s="2296"/>
      <c r="L30" s="2296"/>
      <c r="M30" s="2296"/>
      <c r="N30" s="2296"/>
    </row>
    <row r="31" spans="1:17" ht="26.1" customHeight="1">
      <c r="A31" s="2152">
        <f>M13</f>
        <v>4</v>
      </c>
      <c r="B31" s="2296" t="s">
        <v>495</v>
      </c>
      <c r="C31" s="2296"/>
      <c r="D31" s="2296"/>
      <c r="E31" s="2296"/>
      <c r="F31" s="2296"/>
      <c r="G31" s="2296"/>
      <c r="H31" s="2296"/>
      <c r="I31" s="2296"/>
      <c r="J31" s="2296"/>
      <c r="K31" s="2296"/>
      <c r="L31" s="2296"/>
      <c r="M31" s="2296"/>
      <c r="N31" s="2296"/>
    </row>
    <row r="32" spans="1:17" s="74" customFormat="1" ht="24.75" customHeight="1">
      <c r="A32" s="2152">
        <f>N13</f>
        <v>5</v>
      </c>
      <c r="B32" s="2296" t="s">
        <v>2542</v>
      </c>
      <c r="C32" s="2296"/>
      <c r="D32" s="2296"/>
      <c r="E32" s="2296"/>
      <c r="F32" s="2296"/>
      <c r="G32" s="2296"/>
      <c r="H32" s="2296"/>
      <c r="I32" s="2296"/>
      <c r="J32" s="2296"/>
      <c r="K32" s="2296"/>
      <c r="L32" s="2296"/>
      <c r="M32" s="2296"/>
      <c r="N32" s="2296"/>
      <c r="P32" s="1540"/>
    </row>
    <row r="33" spans="1:14" s="74" customFormat="1" ht="12.75" customHeight="1">
      <c r="A33" s="2152">
        <f>M15</f>
        <v>6</v>
      </c>
      <c r="B33" s="2147" t="s">
        <v>496</v>
      </c>
      <c r="C33" s="1575"/>
      <c r="D33" s="1575"/>
      <c r="E33" s="1575"/>
      <c r="F33" s="1575"/>
      <c r="G33" s="1575"/>
      <c r="H33" s="1575"/>
      <c r="I33" s="1575"/>
      <c r="J33" s="1575"/>
      <c r="K33" s="1575"/>
      <c r="L33" s="1575"/>
      <c r="M33" s="1575"/>
      <c r="N33" s="1575"/>
    </row>
    <row r="34" spans="1:14" s="74" customFormat="1" ht="12.75" customHeight="1">
      <c r="A34" s="2152">
        <f>N15</f>
        <v>7</v>
      </c>
      <c r="B34" s="2297" t="s">
        <v>497</v>
      </c>
      <c r="C34" s="2297"/>
      <c r="D34" s="2297"/>
      <c r="E34" s="2297"/>
      <c r="F34" s="2297"/>
      <c r="G34" s="2297"/>
      <c r="H34" s="2297"/>
      <c r="I34" s="2297"/>
      <c r="J34" s="2297"/>
      <c r="K34" s="2297"/>
      <c r="L34" s="2297"/>
      <c r="M34" s="2297"/>
      <c r="N34" s="2297"/>
    </row>
    <row r="35" spans="1:14" s="74" customFormat="1" ht="12.75" customHeight="1">
      <c r="A35" s="2148"/>
      <c r="B35" s="2297"/>
      <c r="C35" s="2297"/>
      <c r="D35" s="2297"/>
      <c r="E35" s="2297"/>
      <c r="F35" s="2297"/>
      <c r="G35" s="2297"/>
      <c r="H35" s="2297"/>
      <c r="I35" s="2297"/>
      <c r="J35" s="2297"/>
      <c r="K35" s="2297"/>
      <c r="L35" s="2297"/>
      <c r="M35" s="2297"/>
      <c r="N35" s="2297"/>
    </row>
    <row r="36" spans="1:14" ht="12.75" customHeight="1">
      <c r="A36" s="2152">
        <f>L23</f>
        <v>8</v>
      </c>
      <c r="B36" s="2295" t="str">
        <f>"Relative to the Previous Valuation, the overall portfolio level risk has reduced given the additional financing of $11.0 million in Series A and Series B total raise of "&amp;TEXT(SUM('Econ Rights'!E12:F12)/1000,"$0.0")&amp;" million. As such, we reduced the selected enterprise level WACC."</f>
        <v>Relative to the Previous Valuation, the overall portfolio level risk has reduced given the additional financing of $11.0 million in Series A and Series B total raise of $70.0 million. As such, we reduced the selected enterprise level WACC.</v>
      </c>
      <c r="C36" s="2295"/>
      <c r="D36" s="2295"/>
      <c r="E36" s="2295"/>
      <c r="F36" s="2295"/>
      <c r="G36" s="2295"/>
      <c r="H36" s="2295"/>
      <c r="I36" s="2295"/>
      <c r="J36" s="2295"/>
      <c r="K36" s="2295"/>
      <c r="L36" s="2295"/>
      <c r="M36" s="2295"/>
      <c r="N36" s="2295"/>
    </row>
    <row r="37" spans="1:14" ht="12.75" customHeight="1">
      <c r="B37" s="2295"/>
      <c r="C37" s="2295"/>
      <c r="D37" s="2295"/>
      <c r="E37" s="2295"/>
      <c r="F37" s="2295"/>
      <c r="G37" s="2295"/>
      <c r="H37" s="2295"/>
      <c r="I37" s="2295"/>
      <c r="J37" s="2295"/>
      <c r="K37" s="2295"/>
      <c r="L37" s="2295"/>
      <c r="M37" s="2295"/>
      <c r="N37" s="2295"/>
    </row>
    <row r="38" spans="1:14" ht="12.75" customHeight="1"/>
  </sheetData>
  <mergeCells count="7">
    <mergeCell ref="B36:N37"/>
    <mergeCell ref="B26:N26"/>
    <mergeCell ref="B31:N31"/>
    <mergeCell ref="B34:N35"/>
    <mergeCell ref="B32:N32"/>
    <mergeCell ref="B29:N29"/>
    <mergeCell ref="B30:N30"/>
  </mergeCells>
  <conditionalFormatting sqref="B4:I4">
    <cfRule type="cellIs" dxfId="259" priority="11" stopIfTrue="1" operator="equal">
      <formula>"input"</formula>
    </cfRule>
  </conditionalFormatting>
  <conditionalFormatting sqref="J4">
    <cfRule type="cellIs" dxfId="258" priority="9" stopIfTrue="1" operator="equal">
      <formula>"input"</formula>
    </cfRule>
  </conditionalFormatting>
  <conditionalFormatting sqref="J4">
    <cfRule type="cellIs" dxfId="257" priority="10" stopIfTrue="1" operator="equal">
      <formula>"input"</formula>
    </cfRule>
  </conditionalFormatting>
  <conditionalFormatting sqref="K4:M4">
    <cfRule type="cellIs" dxfId="256" priority="7" stopIfTrue="1" operator="equal">
      <formula>"input"</formula>
    </cfRule>
  </conditionalFormatting>
  <conditionalFormatting sqref="K4:M4">
    <cfRule type="cellIs" dxfId="255" priority="8" stopIfTrue="1" operator="equal">
      <formula>"input"</formula>
    </cfRule>
  </conditionalFormatting>
  <conditionalFormatting sqref="N4">
    <cfRule type="cellIs" dxfId="254" priority="1" stopIfTrue="1" operator="equal">
      <formula>"input"</formula>
    </cfRule>
  </conditionalFormatting>
  <conditionalFormatting sqref="N4">
    <cfRule type="cellIs" dxfId="253" priority="2" stopIfTrue="1" operator="equal">
      <formula>"input"</formula>
    </cfRule>
  </conditionalFormatting>
  <pageMargins left="0.5" right="0.5" top="0.5" bottom="0.5" header="0.5" footer="0.5"/>
  <pageSetup fitToWidth="0" fitToHeight="0" orientation="landscape" r:id="rId1"/>
  <legacyDrawingHF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J32"/>
  <sheetViews>
    <sheetView showGridLines="0" view="pageBreakPreview" zoomScaleNormal="100" zoomScaleSheetLayoutView="100" workbookViewId="0"/>
  </sheetViews>
  <sheetFormatPr defaultRowHeight="12.75" outlineLevelRow="1"/>
  <cols>
    <col min="1" max="1" width="4.5" style="385" customWidth="1"/>
    <col min="2" max="2" width="46" style="385" customWidth="1"/>
    <col min="3" max="3" width="2.83203125" style="385" customWidth="1"/>
    <col min="4" max="4" width="30.83203125" style="385" customWidth="1"/>
    <col min="5" max="5" width="2.83203125" style="385" customWidth="1"/>
    <col min="6" max="6" width="30.83203125" style="385" customWidth="1"/>
    <col min="7" max="7" width="1.83203125" style="385" customWidth="1"/>
    <col min="8" max="8" width="28.6640625" style="385" customWidth="1"/>
    <col min="9" max="9" width="4.5" style="385" customWidth="1"/>
    <col min="10" max="16384" width="9.33203125" style="385"/>
  </cols>
  <sheetData>
    <row r="1" spans="1:10" ht="10.7" customHeight="1" thickBot="1"/>
    <row r="2" spans="1:10" ht="16.5" customHeight="1" thickTop="1">
      <c r="B2" s="10" t="str">
        <f>'MASTER PubCo Inputs'!$C$5</f>
        <v>Pliant Therapeutics, Inc.</v>
      </c>
      <c r="C2" s="10"/>
      <c r="D2" s="10"/>
      <c r="E2" s="10"/>
      <c r="F2" s="10"/>
      <c r="G2" s="10"/>
      <c r="H2" s="10"/>
    </row>
    <row r="3" spans="1:10" ht="15.75" customHeight="1">
      <c r="B3" s="11" t="str">
        <f>VLOOKUP(B4,Outline!$E$8:$G$69,COLUMNS(Outline!$E$8:$G$8),FALSE)</f>
        <v>Exhibit D.2</v>
      </c>
      <c r="C3" s="11"/>
      <c r="D3" s="11"/>
      <c r="E3" s="11"/>
      <c r="F3" s="11"/>
      <c r="G3" s="11"/>
      <c r="H3" s="11"/>
    </row>
    <row r="4" spans="1:10" ht="16.5" customHeight="1" thickBot="1">
      <c r="B4" s="12" t="s">
        <v>501</v>
      </c>
      <c r="C4" s="12"/>
      <c r="D4" s="2150">
        <f>A18</f>
        <v>1</v>
      </c>
      <c r="E4" s="440"/>
      <c r="F4" s="12"/>
      <c r="G4" s="12"/>
      <c r="H4" s="13"/>
    </row>
    <row r="5" spans="1:10" s="16" customFormat="1" ht="12.75" customHeight="1" thickTop="1">
      <c r="B5" s="15"/>
      <c r="C5" s="385"/>
      <c r="D5" s="385"/>
      <c r="E5" s="385"/>
      <c r="F5" s="385"/>
      <c r="G5" s="385"/>
      <c r="H5" s="385"/>
      <c r="I5" s="385"/>
      <c r="J5" s="385"/>
    </row>
    <row r="6" spans="1:10" s="16" customFormat="1" ht="12.75" customHeight="1">
      <c r="B6" s="385"/>
      <c r="C6" s="385"/>
      <c r="D6" s="385"/>
      <c r="E6" s="385"/>
      <c r="F6" s="385"/>
      <c r="G6" s="385"/>
      <c r="H6" s="385"/>
      <c r="I6" s="385"/>
    </row>
    <row r="7" spans="1:10" ht="12.75" customHeight="1">
      <c r="A7" s="16"/>
      <c r="B7" s="439" t="s">
        <v>143</v>
      </c>
      <c r="C7" s="389"/>
      <c r="D7" s="389" t="str">
        <f>"Plummer "&amp;TEXT(A19,"(0)")</f>
        <v>Plummer (2)</v>
      </c>
      <c r="E7" s="389"/>
      <c r="F7" s="389" t="str">
        <f>"Scherlis &amp; Sahlman "&amp;TEXT(A20,"(0)")</f>
        <v>Scherlis &amp; Sahlman (3)</v>
      </c>
      <c r="G7" s="389"/>
      <c r="H7" s="394" t="str">
        <f>"Sahlman &amp; Others "&amp;TEXT(A22,"(0)")</f>
        <v>Sahlman &amp; Others (4)</v>
      </c>
    </row>
    <row r="8" spans="1:10" ht="12.75" customHeight="1"/>
    <row r="9" spans="1:10" ht="12.75" customHeight="1">
      <c r="B9" s="385" t="str">
        <f>"Start Up "&amp;TEXT(A24,"(0)")</f>
        <v>Start Up (5)</v>
      </c>
      <c r="D9" s="391" t="s">
        <v>134</v>
      </c>
      <c r="E9" s="391"/>
      <c r="F9" s="391" t="s">
        <v>134</v>
      </c>
      <c r="G9" s="391"/>
      <c r="H9" s="391" t="s">
        <v>135</v>
      </c>
    </row>
    <row r="10" spans="1:10" ht="12.75" customHeight="1">
      <c r="B10" s="385" t="str">
        <f>"Early Development "&amp;TEXT(A26,"(0)")</f>
        <v>Early Development (6)</v>
      </c>
      <c r="D10" s="391" t="s">
        <v>136</v>
      </c>
      <c r="E10" s="391"/>
      <c r="F10" s="391" t="s">
        <v>136</v>
      </c>
      <c r="G10" s="391"/>
      <c r="H10" s="391" t="s">
        <v>136</v>
      </c>
    </row>
    <row r="11" spans="1:10" ht="12.75" customHeight="1">
      <c r="B11" s="385" t="str">
        <f>"Expansion "&amp;TEXT(A28,"(0)")</f>
        <v>Expansion (7)</v>
      </c>
      <c r="D11" s="391" t="s">
        <v>137</v>
      </c>
      <c r="E11" s="391"/>
      <c r="F11" s="391" t="s">
        <v>138</v>
      </c>
      <c r="G11" s="391"/>
      <c r="H11" s="391" t="s">
        <v>139</v>
      </c>
    </row>
    <row r="12" spans="1:10" ht="12.75" customHeight="1">
      <c r="B12" s="385" t="str">
        <f>"Bridge/IPO "&amp;TEXT(A29,"(0)")</f>
        <v>Bridge/IPO (8)</v>
      </c>
      <c r="D12" s="391" t="s">
        <v>140</v>
      </c>
      <c r="E12" s="391"/>
      <c r="F12" s="391" t="s">
        <v>141</v>
      </c>
      <c r="G12" s="391"/>
      <c r="H12" s="391" t="s">
        <v>142</v>
      </c>
    </row>
    <row r="13" spans="1:10" ht="13.5" hidden="1" customHeight="1" outlineLevel="1"/>
    <row r="14" spans="1:10" ht="12.75" hidden="1" customHeight="1" outlineLevel="1"/>
    <row r="15" spans="1:10" ht="12.75" hidden="1" customHeight="1" outlineLevel="1">
      <c r="B15" s="26" t="s">
        <v>147</v>
      </c>
      <c r="C15" s="27"/>
      <c r="D15" s="27"/>
      <c r="E15" s="27"/>
      <c r="F15" s="27"/>
      <c r="G15" s="27"/>
      <c r="H15" s="708">
        <v>0.21</v>
      </c>
    </row>
    <row r="16" spans="1:10" ht="12.75" customHeight="1" collapsed="1">
      <c r="B16" s="24"/>
      <c r="C16" s="24"/>
      <c r="D16" s="24"/>
      <c r="E16" s="24"/>
      <c r="F16" s="24"/>
      <c r="G16" s="24"/>
      <c r="H16" s="25"/>
    </row>
    <row r="17" spans="1:2" ht="12.75" customHeight="1">
      <c r="B17" s="8" t="s">
        <v>21</v>
      </c>
    </row>
    <row r="18" spans="1:2" ht="12.75" customHeight="1">
      <c r="A18" s="2124">
        <v>1</v>
      </c>
      <c r="B18" s="737" t="s">
        <v>698</v>
      </c>
    </row>
    <row r="19" spans="1:2" ht="12.75" customHeight="1">
      <c r="A19" s="2151">
        <f>+A18+1</f>
        <v>2</v>
      </c>
      <c r="B19" s="17" t="s">
        <v>699</v>
      </c>
    </row>
    <row r="20" spans="1:2" ht="12.75" customHeight="1">
      <c r="A20" s="2151">
        <f>+A19+1</f>
        <v>3</v>
      </c>
      <c r="B20" s="17" t="s">
        <v>700</v>
      </c>
    </row>
    <row r="21" spans="1:2" ht="12.75" customHeight="1">
      <c r="A21" s="169"/>
      <c r="B21" s="17" t="s">
        <v>605</v>
      </c>
    </row>
    <row r="22" spans="1:2" ht="12.75" customHeight="1">
      <c r="A22" s="2151">
        <f>+A20+1</f>
        <v>4</v>
      </c>
      <c r="B22" s="17" t="s">
        <v>701</v>
      </c>
    </row>
    <row r="23" spans="1:2" ht="12.75" customHeight="1">
      <c r="A23" s="169"/>
      <c r="B23" s="17" t="s">
        <v>606</v>
      </c>
    </row>
    <row r="24" spans="1:2" ht="12.75" customHeight="1">
      <c r="A24" s="2151">
        <f>+A22+1</f>
        <v>5</v>
      </c>
      <c r="B24" s="17" t="s">
        <v>702</v>
      </c>
    </row>
    <row r="25" spans="1:2" ht="12.75" customHeight="1">
      <c r="A25" s="169"/>
      <c r="B25" s="17" t="s">
        <v>607</v>
      </c>
    </row>
    <row r="26" spans="1:2" ht="12.75" customHeight="1">
      <c r="A26" s="2151">
        <f>+A24+1</f>
        <v>6</v>
      </c>
      <c r="B26" s="17" t="s">
        <v>703</v>
      </c>
    </row>
    <row r="27" spans="1:2" ht="12.75" customHeight="1">
      <c r="A27" s="169"/>
      <c r="B27" s="17" t="s">
        <v>608</v>
      </c>
    </row>
    <row r="28" spans="1:2" ht="12.75" customHeight="1">
      <c r="A28" s="2151">
        <f>+A26+1</f>
        <v>7</v>
      </c>
      <c r="B28" s="17" t="s">
        <v>704</v>
      </c>
    </row>
    <row r="29" spans="1:2" ht="12.75" customHeight="1">
      <c r="A29" s="2151">
        <f>+A28+1</f>
        <v>8</v>
      </c>
      <c r="B29" s="17" t="s">
        <v>705</v>
      </c>
    </row>
    <row r="30" spans="1:2" ht="12.75" customHeight="1">
      <c r="B30" s="17" t="s">
        <v>609</v>
      </c>
    </row>
    <row r="31" spans="1:2" ht="12.75" customHeight="1"/>
    <row r="32" spans="1:2" ht="12.75" customHeight="1"/>
  </sheetData>
  <conditionalFormatting sqref="B4:C4 E4:G4">
    <cfRule type="cellIs" dxfId="252" priority="6" stopIfTrue="1" operator="equal">
      <formula>"input"</formula>
    </cfRule>
  </conditionalFormatting>
  <conditionalFormatting sqref="H4">
    <cfRule type="cellIs" dxfId="251" priority="2" stopIfTrue="1" operator="equal">
      <formula>"input"</formula>
    </cfRule>
  </conditionalFormatting>
  <conditionalFormatting sqref="H4">
    <cfRule type="cellIs" dxfId="250" priority="3" stopIfTrue="1" operator="equal">
      <formula>"input"</formula>
    </cfRule>
  </conditionalFormatting>
  <conditionalFormatting sqref="D4">
    <cfRule type="cellIs" dxfId="249" priority="1" stopIfTrue="1" operator="equal">
      <formula>"input"</formula>
    </cfRule>
  </conditionalFormatting>
  <pageMargins left="0.5" right="0.5" top="0.5" bottom="0.5" header="0.5" footer="0.5"/>
  <pageSetup orientation="landscape" r:id="rId1"/>
  <legacy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07.1640625" style="259" customWidth="1"/>
    <col min="5" max="5" width="15.83203125" style="258" customWidth="1"/>
    <col min="6" max="6" width="3.83203125" style="258" customWidth="1"/>
    <col min="7" max="7" width="4.5" style="258" customWidth="1"/>
    <col min="8" max="8" width="9.33203125" style="258"/>
    <col min="9" max="9" width="16.33203125" style="258" bestFit="1" customWidth="1"/>
    <col min="10" max="10" width="19" style="258" bestFit="1" customWidth="1"/>
    <col min="11" max="16384" width="9.33203125" style="258"/>
  </cols>
  <sheetData>
    <row r="6" spans="2:6">
      <c r="B6" s="260"/>
      <c r="C6" s="249"/>
      <c r="D6" s="250"/>
      <c r="E6" s="249"/>
      <c r="F6" s="249"/>
    </row>
    <row r="7" spans="2:6" ht="15.75" thickBot="1">
      <c r="B7" s="260"/>
      <c r="C7" s="249"/>
      <c r="D7" s="250"/>
      <c r="E7" s="249"/>
      <c r="F7" s="249"/>
    </row>
    <row r="8" spans="2:6" ht="15.75" thickTop="1">
      <c r="B8" s="14"/>
      <c r="C8" s="261"/>
      <c r="D8" s="262"/>
      <c r="E8" s="261"/>
      <c r="F8" s="261"/>
    </row>
    <row r="9" spans="2:6" s="263" customFormat="1" ht="40.5">
      <c r="B9" s="264"/>
      <c r="C9" s="265"/>
      <c r="D9" s="266" t="s">
        <v>2271</v>
      </c>
      <c r="E9" s="265"/>
      <c r="F9" s="265"/>
    </row>
    <row r="10" spans="2:6" ht="15.75" thickBot="1">
      <c r="B10" s="253"/>
      <c r="C10" s="268"/>
      <c r="D10" s="269"/>
      <c r="E10" s="268"/>
      <c r="F10" s="268"/>
    </row>
    <row r="11" spans="2:6" ht="15.75" thickTop="1"/>
    <row r="13" spans="2:6" ht="18.75">
      <c r="D13" s="254"/>
    </row>
    <row r="14" spans="2:6" ht="18.75">
      <c r="D14" s="255"/>
    </row>
    <row r="27" spans="4:4" ht="23.25">
      <c r="D27" s="856" t="s">
        <v>646</v>
      </c>
    </row>
    <row r="29" spans="4:4" ht="18.75">
      <c r="D29" s="256" t="s">
        <v>470</v>
      </c>
    </row>
    <row r="30" spans="4:4" ht="37.5">
      <c r="D30" s="257" t="s">
        <v>295</v>
      </c>
    </row>
  </sheetData>
  <pageMargins left="0.5" right="0.5" top="0.5" bottom="0.5" header="0.5" footer="0.5"/>
  <pageSetup scale="98"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M49"/>
  <sheetViews>
    <sheetView showGridLines="0" view="pageBreakPreview" zoomScaleNormal="100" zoomScaleSheetLayoutView="100" workbookViewId="0"/>
  </sheetViews>
  <sheetFormatPr defaultRowHeight="12.75" outlineLevelRow="1" outlineLevelCol="1"/>
  <cols>
    <col min="1" max="1" width="4.5" style="385" customWidth="1"/>
    <col min="2" max="2" width="29.33203125" style="385" customWidth="1"/>
    <col min="3" max="3" width="13.1640625" style="385" bestFit="1" customWidth="1"/>
    <col min="4" max="4" width="2.83203125" style="385" customWidth="1"/>
    <col min="5" max="5" width="32.33203125" style="385" customWidth="1"/>
    <col min="6" max="6" width="13.83203125" style="385" customWidth="1"/>
    <col min="7" max="7" width="2.83203125" style="385" customWidth="1"/>
    <col min="8" max="9" width="15.1640625" style="385" hidden="1" customWidth="1" outlineLevel="1"/>
    <col min="10" max="10" width="9.33203125" style="385" bestFit="1" customWidth="1" collapsed="1"/>
    <col min="11" max="11" width="2.83203125" style="385" customWidth="1"/>
    <col min="12" max="13" width="18.83203125" style="385" hidden="1" customWidth="1" outlineLevel="1"/>
    <col min="14" max="14" width="10.83203125" style="385" customWidth="1" collapsed="1"/>
    <col min="15" max="16" width="10.83203125" style="385" customWidth="1"/>
    <col min="17" max="17" width="2.83203125" style="385" customWidth="1"/>
    <col min="18" max="19" width="12.83203125" style="385" hidden="1" customWidth="1" outlineLevel="1"/>
    <col min="20" max="20" width="9.83203125" style="385" customWidth="1" collapsed="1"/>
    <col min="21" max="21" width="2.83203125" style="385" customWidth="1"/>
    <col min="22" max="23" width="12.83203125" style="385" hidden="1" customWidth="1" outlineLevel="1"/>
    <col min="24" max="24" width="7.83203125" style="385" customWidth="1" collapsed="1"/>
    <col min="25" max="26" width="7.83203125" style="385" customWidth="1"/>
    <col min="27" max="27" width="4.5" style="385" customWidth="1"/>
    <col min="28" max="28" width="13.5" style="385" customWidth="1"/>
    <col min="29" max="33" width="13.6640625" style="385" customWidth="1"/>
    <col min="34" max="34" width="13.6640625" style="414" customWidth="1"/>
    <col min="35" max="36" width="13.6640625" style="385" customWidth="1"/>
    <col min="37" max="37" width="1.83203125" style="385" customWidth="1"/>
    <col min="38" max="38" width="15.33203125" style="385" bestFit="1" customWidth="1"/>
    <col min="39" max="39" width="12.5" style="385" customWidth="1"/>
    <col min="40" max="40" width="1.83203125" style="385" customWidth="1"/>
    <col min="41" max="16384" width="9.33203125" style="385"/>
  </cols>
  <sheetData>
    <row r="1" spans="2:39" ht="10.7" customHeight="1" thickBot="1">
      <c r="AC1" s="555"/>
      <c r="AD1" s="634" t="s">
        <v>635</v>
      </c>
      <c r="AE1" s="634" t="s">
        <v>636</v>
      </c>
      <c r="AF1" s="635" t="s">
        <v>45</v>
      </c>
    </row>
    <row r="2" spans="2:39"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Z2" s="10"/>
      <c r="AC2" s="636" t="str">
        <f>+C8</f>
        <v>Enterprise Value</v>
      </c>
      <c r="AD2" s="637" t="e">
        <f ca="1">SUM('GPC Linked'!H13:H42)</f>
        <v>#NAME?</v>
      </c>
      <c r="AE2" s="637">
        <f>+SUM('Capital IQ Sheet-GPC'!H13:H42)</f>
        <v>62352.300000000017</v>
      </c>
      <c r="AF2" s="197" t="e">
        <f ca="1">AD2=AE2</f>
        <v>#NAME?</v>
      </c>
      <c r="AL2" s="270" t="s">
        <v>22</v>
      </c>
      <c r="AM2" s="271">
        <f>'MASTER PubCo Inputs'!$C$6</f>
        <v>43312</v>
      </c>
    </row>
    <row r="3" spans="2:39" ht="15.75" customHeight="1">
      <c r="B3" s="11" t="str">
        <f>VLOOKUP(B4,Outline!$E$8:$G$69,COLUMNS(Outline!$E$8:$G$8),FALSE)</f>
        <v>Exhibit E.1</v>
      </c>
      <c r="C3" s="11"/>
      <c r="D3" s="11"/>
      <c r="E3" s="11"/>
      <c r="F3" s="11"/>
      <c r="G3" s="11"/>
      <c r="H3" s="11"/>
      <c r="I3" s="11"/>
      <c r="J3" s="11"/>
      <c r="K3" s="11"/>
      <c r="L3" s="11"/>
      <c r="M3" s="11"/>
      <c r="N3" s="11"/>
      <c r="O3" s="11"/>
      <c r="P3" s="11"/>
      <c r="Q3" s="11"/>
      <c r="R3" s="11"/>
      <c r="S3" s="11"/>
      <c r="T3" s="11"/>
      <c r="U3" s="11"/>
      <c r="V3" s="11"/>
      <c r="W3" s="11"/>
      <c r="X3" s="11"/>
      <c r="Y3" s="11"/>
      <c r="Z3" s="11"/>
      <c r="AC3" s="636" t="str">
        <f>+J8</f>
        <v>LTM</v>
      </c>
      <c r="AD3" s="637" t="e">
        <f ca="1">+SUM('GPC Linked'!Q13:Q42)</f>
        <v>#NAME?</v>
      </c>
      <c r="AE3" s="637">
        <f>+SUM('Capital IQ Sheet-GPC'!Q13:Q42)</f>
        <v>3164.1</v>
      </c>
      <c r="AF3" s="197" t="e">
        <f ca="1">AD3=AE3</f>
        <v>#NAME?</v>
      </c>
      <c r="AL3" s="194" t="s">
        <v>299</v>
      </c>
      <c r="AM3" s="272" t="s">
        <v>301</v>
      </c>
    </row>
    <row r="4" spans="2:39" ht="16.5" customHeight="1" thickBot="1">
      <c r="B4" s="12" t="s">
        <v>522</v>
      </c>
      <c r="C4" s="12"/>
      <c r="D4" s="12"/>
      <c r="E4" s="12"/>
      <c r="F4" s="12"/>
      <c r="G4" s="12"/>
      <c r="H4" s="12"/>
      <c r="I4" s="12"/>
      <c r="J4" s="12"/>
      <c r="K4" s="12"/>
      <c r="L4" s="12"/>
      <c r="M4" s="13"/>
      <c r="N4" s="13"/>
      <c r="O4" s="13"/>
      <c r="P4" s="13"/>
      <c r="Q4" s="13"/>
      <c r="R4" s="13"/>
      <c r="S4" s="13"/>
      <c r="T4" s="13"/>
      <c r="U4" s="13"/>
      <c r="V4" s="13"/>
      <c r="W4" s="13"/>
      <c r="X4" s="13"/>
      <c r="Y4" s="13"/>
      <c r="Z4" s="13" t="str">
        <f>+'MASTER PubCo Inputs'!$C$24</f>
        <v>(in millions of USD)</v>
      </c>
      <c r="AC4" s="638">
        <f>+N8</f>
        <v>2018</v>
      </c>
      <c r="AD4" s="639" t="e">
        <f ca="1">+SUM('GPC Linked'!T13:T42)</f>
        <v>#NAME?</v>
      </c>
      <c r="AE4" s="639">
        <f>+SUM('Capital IQ Sheet-GPC'!T13:T42)</f>
        <v>3636.5</v>
      </c>
      <c r="AF4" s="427" t="e">
        <f ca="1">AD4=AE4</f>
        <v>#NAME?</v>
      </c>
      <c r="AL4" s="194" t="s">
        <v>300</v>
      </c>
      <c r="AM4" s="272" t="s">
        <v>302</v>
      </c>
    </row>
    <row r="5" spans="2:39" ht="13.5" thickTop="1">
      <c r="B5" s="15"/>
      <c r="C5" s="15"/>
      <c r="AL5" s="78" t="s">
        <v>24</v>
      </c>
      <c r="AM5" s="273" t="s">
        <v>25</v>
      </c>
    </row>
    <row r="6" spans="2:39">
      <c r="H6" s="444" t="s">
        <v>176</v>
      </c>
      <c r="I6" s="445"/>
      <c r="J6" s="45"/>
      <c r="L6" s="444" t="s">
        <v>176</v>
      </c>
      <c r="M6" s="446"/>
      <c r="N6" s="444" t="s">
        <v>176</v>
      </c>
      <c r="O6" s="446"/>
      <c r="P6" s="447"/>
      <c r="R6" s="442" t="s">
        <v>176</v>
      </c>
      <c r="S6" s="451"/>
      <c r="T6" s="423"/>
      <c r="U6" s="450"/>
      <c r="V6" s="442" t="s">
        <v>176</v>
      </c>
      <c r="W6" s="443"/>
      <c r="X6" s="444" t="s">
        <v>176</v>
      </c>
      <c r="Y6" s="446"/>
      <c r="Z6" s="447"/>
      <c r="AC6" s="738" t="s">
        <v>706</v>
      </c>
      <c r="AD6" s="739">
        <v>100</v>
      </c>
      <c r="AE6" s="738" t="s">
        <v>707</v>
      </c>
      <c r="AF6" s="739">
        <v>0</v>
      </c>
    </row>
    <row r="7" spans="2:39" ht="12.75" customHeight="1">
      <c r="H7" s="393" t="s">
        <v>517</v>
      </c>
      <c r="I7" s="393"/>
      <c r="J7" s="388" t="s">
        <v>516</v>
      </c>
      <c r="K7" s="425"/>
      <c r="L7" s="393" t="s">
        <v>515</v>
      </c>
      <c r="M7" s="389"/>
      <c r="N7" s="452" t="s">
        <v>2685</v>
      </c>
      <c r="O7" s="1577"/>
      <c r="P7" s="419"/>
      <c r="R7" s="393" t="s">
        <v>177</v>
      </c>
      <c r="S7" s="389"/>
      <c r="T7" s="388" t="s">
        <v>177</v>
      </c>
      <c r="U7" s="425"/>
      <c r="V7" s="393" t="s">
        <v>177</v>
      </c>
      <c r="W7" s="389"/>
      <c r="X7" s="393" t="s">
        <v>177</v>
      </c>
      <c r="Y7" s="389"/>
      <c r="Z7" s="394"/>
      <c r="AC7" s="330" t="s">
        <v>26</v>
      </c>
      <c r="AD7" s="337"/>
      <c r="AE7" s="337"/>
      <c r="AF7" s="337"/>
      <c r="AG7" s="337"/>
      <c r="AH7" s="475"/>
      <c r="AI7" s="337"/>
      <c r="AJ7" s="338"/>
    </row>
    <row r="8" spans="2:39" s="6" customFormat="1" ht="38.25">
      <c r="B8" s="454" t="s">
        <v>519</v>
      </c>
      <c r="C8" s="575" t="s">
        <v>75</v>
      </c>
      <c r="D8" s="298"/>
      <c r="E8" s="1579" t="s">
        <v>1437</v>
      </c>
      <c r="F8" s="1580" t="s">
        <v>1438</v>
      </c>
      <c r="G8" s="298"/>
      <c r="H8" s="577" t="s">
        <v>188</v>
      </c>
      <c r="I8" s="578" t="s">
        <v>174</v>
      </c>
      <c r="J8" s="579" t="s">
        <v>175</v>
      </c>
      <c r="K8" s="580"/>
      <c r="L8" s="581">
        <f>M8-1</f>
        <v>2016</v>
      </c>
      <c r="M8" s="582">
        <f>N8-1</f>
        <v>2017</v>
      </c>
      <c r="N8" s="583">
        <f>YEAR($AM$2)</f>
        <v>2018</v>
      </c>
      <c r="O8" s="584">
        <f>N8+1</f>
        <v>2019</v>
      </c>
      <c r="P8" s="585">
        <f>O8+1</f>
        <v>2020</v>
      </c>
      <c r="Q8" s="298"/>
      <c r="R8" s="577" t="str">
        <f>H8</f>
        <v>LTM-2</v>
      </c>
      <c r="S8" s="578" t="str">
        <f>I8</f>
        <v>LTM-1</v>
      </c>
      <c r="T8" s="579" t="str">
        <f>J8</f>
        <v>LTM</v>
      </c>
      <c r="U8" s="580"/>
      <c r="V8" s="583">
        <f>L8</f>
        <v>2016</v>
      </c>
      <c r="W8" s="582">
        <f>M8</f>
        <v>2017</v>
      </c>
      <c r="X8" s="583">
        <f>N8</f>
        <v>2018</v>
      </c>
      <c r="Y8" s="584">
        <f>O8</f>
        <v>2019</v>
      </c>
      <c r="Z8" s="585">
        <f>P8</f>
        <v>2020</v>
      </c>
      <c r="AC8" s="349" t="s">
        <v>29</v>
      </c>
      <c r="AD8" s="350" t="s">
        <v>30</v>
      </c>
      <c r="AE8" s="350" t="s">
        <v>31</v>
      </c>
      <c r="AF8" s="350" t="s">
        <v>32</v>
      </c>
      <c r="AG8" s="350" t="s">
        <v>33</v>
      </c>
      <c r="AH8" s="476" t="s">
        <v>34</v>
      </c>
      <c r="AI8" s="350" t="s">
        <v>35</v>
      </c>
      <c r="AJ8" s="351" t="s">
        <v>36</v>
      </c>
      <c r="AL8" s="86" t="s">
        <v>43</v>
      </c>
    </row>
    <row r="9" spans="2:39" ht="12.75" customHeight="1">
      <c r="H9" s="16"/>
      <c r="I9" s="16"/>
      <c r="J9" s="16"/>
      <c r="K9" s="16"/>
      <c r="L9" s="16"/>
      <c r="M9" s="16"/>
      <c r="N9" s="16"/>
      <c r="O9" s="16"/>
      <c r="P9" s="16"/>
      <c r="U9" s="450"/>
    </row>
    <row r="10" spans="2:39" ht="25.5">
      <c r="B10" s="145" t="str">
        <f>'Capital IQ Sheet-GPC'!C13</f>
        <v>Vertex Pharmaceuticals Incorporated</v>
      </c>
      <c r="C10" s="148">
        <f>'Beta Calc'!R10</f>
        <v>42428.399999999994</v>
      </c>
      <c r="D10" s="1027"/>
      <c r="E10" s="147" t="s">
        <v>2645</v>
      </c>
      <c r="F10" s="1578" t="s">
        <v>732</v>
      </c>
      <c r="G10" s="1027"/>
      <c r="H10" s="148">
        <f>'Capital IQ Sheet-GPC'!O13</f>
        <v>1557.4</v>
      </c>
      <c r="I10" s="148">
        <f>'Capital IQ Sheet-GPC'!P13</f>
        <v>2131.3000000000002</v>
      </c>
      <c r="J10" s="148">
        <f>'Capital IQ Sheet-GPC'!Q13</f>
        <v>2622.8</v>
      </c>
      <c r="K10" s="1546"/>
      <c r="L10" s="148">
        <f>'Capital IQ Sheet-GPC'!R13</f>
        <v>1702.2</v>
      </c>
      <c r="M10" s="148">
        <f>'Capital IQ Sheet-GPC'!S13</f>
        <v>2488.6999999999998</v>
      </c>
      <c r="N10" s="148">
        <f>'Capital IQ Sheet-GPC'!T13</f>
        <v>2997.6</v>
      </c>
      <c r="O10" s="148">
        <f>'Capital IQ Sheet-GPC'!U13</f>
        <v>3569.8</v>
      </c>
      <c r="P10" s="148">
        <f>'Capital IQ Sheet-GPC'!V13</f>
        <v>4332.2</v>
      </c>
      <c r="Q10" s="1027"/>
      <c r="R10" s="150">
        <f>IF(ISERROR($C10/H10), "n/a", $C10/H10)</f>
        <v>27.243097470142541</v>
      </c>
      <c r="S10" s="150">
        <f>IF(ISERROR($C10/I10), "n/a", $C10/I10)</f>
        <v>19.907286632571665</v>
      </c>
      <c r="T10" s="150">
        <f t="shared" ref="T10:T29" si="0">IFERROR(IF(($C10/J10)&gt;$AD$6, "NM", IF(($C10/J10)&lt;$AF$6, "NM", $C10/J10)),"n/a")</f>
        <v>16.176757663565652</v>
      </c>
      <c r="U10" s="1027"/>
      <c r="V10" s="150">
        <f>IFERROR(IF(($C10/L10)&gt;$AD$6, "NM", IF(($C10/L10)&lt;$AF$6, "NM", $C10/L10)),"n/a")</f>
        <v>24.925625660909407</v>
      </c>
      <c r="W10" s="150">
        <f>IFERROR(IF(($C10/M10)&gt;$AD$6, "NM", IF(($C10/M10)&lt;$AF$6, "NM", $C10/M10)),"n/a")</f>
        <v>17.048418853216539</v>
      </c>
      <c r="X10" s="150">
        <f>IFERROR(IF(($C10/N10)&gt;$AD$6, "NM", IF(($C10/N10)&lt;$AF$6, "NM", $C10/N10)),"n/a")</f>
        <v>14.154123298638909</v>
      </c>
      <c r="Y10" s="150">
        <f>IFERROR(IF(($C10/O10)&gt;$AD$6, "NM", IF(($C10/O10)&lt;$AF$6, "NM", $C10/O10)),"n/a")</f>
        <v>11.885371729508654</v>
      </c>
      <c r="Z10" s="150">
        <f>IFERROR(IF(($C10/P10)&gt;$AD$6, "NM", IF(($C10/P10)&lt;$AF$6, "NM", $C10/P10)),"n/a")</f>
        <v>9.7937306680208653</v>
      </c>
      <c r="AB10" s="1027" t="s">
        <v>2665</v>
      </c>
      <c r="AC10" s="386">
        <f>'Beta Calc'!K10</f>
        <v>44574.8</v>
      </c>
      <c r="AD10" s="386">
        <f>'Beta Calc'!L10</f>
        <v>592.70000000000005</v>
      </c>
      <c r="AE10" s="386" t="str">
        <f>'Beta Calc'!M10</f>
        <v xml:space="preserve"> n/a </v>
      </c>
      <c r="AF10" s="386">
        <f>'Beta Calc'!N10</f>
        <v>28.7</v>
      </c>
      <c r="AG10" s="386">
        <f>SUM(AD10:AF10)</f>
        <v>621.40000000000009</v>
      </c>
      <c r="AH10" s="477">
        <f>SUM(AC10:AF10)</f>
        <v>45196.2</v>
      </c>
      <c r="AI10" s="386">
        <f>'Beta Calc'!Q10</f>
        <v>2767.8</v>
      </c>
      <c r="AJ10" s="91">
        <f>IF(ISERROR(AH10-AI10), "n/a", AH10-AI10)</f>
        <v>42428.399999999994</v>
      </c>
      <c r="AL10" s="92" t="str">
        <f>IF('MASTER PubCo Inputs'!C28="","",'MASTER PubCo Inputs'!C28)</f>
        <v>IQ36235</v>
      </c>
      <c r="AM10" s="385" t="str">
        <f>'Capital IQ Sheet-GPC'!AP13</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1" spans="2:39" ht="26.1" customHeight="1">
      <c r="B11" s="145" t="str">
        <f>'Capital IQ Sheet-GPC'!C14</f>
        <v>FibroGen, Inc.</v>
      </c>
      <c r="C11" s="148">
        <f>'Beta Calc'!R11</f>
        <v>4584.2</v>
      </c>
      <c r="D11" s="1027"/>
      <c r="E11" s="147" t="s">
        <v>2646</v>
      </c>
      <c r="F11" s="1578" t="s">
        <v>412</v>
      </c>
      <c r="G11" s="1027"/>
      <c r="H11" s="148">
        <f>'Capital IQ Sheet-GPC'!O14</f>
        <v>192.8</v>
      </c>
      <c r="I11" s="148">
        <f>'Capital IQ Sheet-GPC'!P14</f>
        <v>180.7</v>
      </c>
      <c r="J11" s="148">
        <f>'Capital IQ Sheet-GPC'!Q14</f>
        <v>128.19999999999999</v>
      </c>
      <c r="K11" s="1546"/>
      <c r="L11" s="148">
        <f>'Capital IQ Sheet-GPC'!R14</f>
        <v>179.6</v>
      </c>
      <c r="M11" s="148">
        <f>'Capital IQ Sheet-GPC'!S14</f>
        <v>125.7</v>
      </c>
      <c r="N11" s="148">
        <f>'Capital IQ Sheet-GPC'!T14</f>
        <v>181.6</v>
      </c>
      <c r="O11" s="148">
        <f>'Capital IQ Sheet-GPC'!U14</f>
        <v>334.2</v>
      </c>
      <c r="P11" s="148">
        <f>'Capital IQ Sheet-GPC'!V14</f>
        <v>360.7</v>
      </c>
      <c r="Q11" s="1027"/>
      <c r="R11" s="150">
        <f t="shared" ref="R11:R29" si="1">IF(ISERROR($C11/H11), "n/a", $C11/H11)</f>
        <v>23.776970954356845</v>
      </c>
      <c r="S11" s="150">
        <f t="shared" ref="S11:S29" si="2">IF(ISERROR($C11/I11), "n/a", $C11/I11)</f>
        <v>25.369120088544548</v>
      </c>
      <c r="T11" s="150">
        <f t="shared" si="0"/>
        <v>35.758190327613107</v>
      </c>
      <c r="U11" s="1027"/>
      <c r="V11" s="150">
        <f t="shared" ref="V11:V25" si="3">IFERROR(IF(($C11/L11)&gt;$AD$6, "NM", IF(($C11/L11)&lt;$AF$6, "NM", $C11/L11)),"n/a")</f>
        <v>25.524498886414253</v>
      </c>
      <c r="W11" s="150">
        <f t="shared" ref="W11:W25" si="4">IFERROR(IF(($C11/M11)&gt;$AD$6, "NM", IF(($C11/M11)&lt;$AF$6, "NM", $C11/M11)),"n/a")</f>
        <v>36.469371519490849</v>
      </c>
      <c r="X11" s="150">
        <f t="shared" ref="X11:X29" si="5">IFERROR(IF(($C11/N11)&gt;$AD$6, "NM", IF(($C11/N11)&lt;$AF$6, "NM", $C11/N11)),"n/a")</f>
        <v>25.243392070484582</v>
      </c>
      <c r="Y11" s="150">
        <f t="shared" ref="Y11:Y29" si="6">IFERROR(IF(($C11/O11)&gt;$AD$6, "NM", IF(($C11/O11)&lt;$AF$6, "NM", $C11/O11)),"n/a")</f>
        <v>13.716935966487133</v>
      </c>
      <c r="Z11" s="150">
        <f t="shared" ref="Z11:Z29" si="7">IFERROR(IF(($C11/P11)&gt;$AD$6, "NM", IF(($C11/P11)&lt;$AF$6, "NM", $C11/P11)),"n/a")</f>
        <v>12.709176601053507</v>
      </c>
      <c r="AB11" s="1027" t="s">
        <v>2666</v>
      </c>
      <c r="AC11" s="386">
        <f>'Beta Calc'!K11</f>
        <v>5153.3</v>
      </c>
      <c r="AD11" s="386">
        <f>'Beta Calc'!L11</f>
        <v>115.4</v>
      </c>
      <c r="AE11" s="386" t="str">
        <f>'Beta Calc'!M11</f>
        <v xml:space="preserve"> n/a </v>
      </c>
      <c r="AF11" s="386">
        <f>'Beta Calc'!N11</f>
        <v>19.3</v>
      </c>
      <c r="AG11" s="386">
        <f t="shared" ref="AG11:AG39" si="8">SUM(AD11:AF11)</f>
        <v>134.70000000000002</v>
      </c>
      <c r="AH11" s="477">
        <f t="shared" ref="AH11:AH39" si="9">SUM(AC11:AF11)</f>
        <v>5288</v>
      </c>
      <c r="AI11" s="386">
        <f>'Beta Calc'!Q11</f>
        <v>703.8</v>
      </c>
      <c r="AJ11" s="91">
        <f t="shared" ref="AJ11:AJ39" si="10">IF(ISERROR(AH11-AI11), "n/a", AH11-AI11)</f>
        <v>4584.2</v>
      </c>
      <c r="AL11" s="92" t="str">
        <f>IF('MASTER PubCo Inputs'!C29="","",'MASTER PubCo Inputs'!C29)</f>
        <v>IQ28484</v>
      </c>
      <c r="AM11" s="385" t="str">
        <f>'Capital IQ Sheet-GPC'!AP14</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2" spans="2:39">
      <c r="B12" s="145" t="str">
        <f>'Capital IQ Sheet-GPC'!C15</f>
        <v>Galapagos NV</v>
      </c>
      <c r="C12" s="148">
        <f>'Beta Calc'!R12</f>
        <v>4407.7</v>
      </c>
      <c r="D12" s="1027"/>
      <c r="E12" s="147" t="s">
        <v>2647</v>
      </c>
      <c r="F12" s="1578" t="s">
        <v>412</v>
      </c>
      <c r="G12" s="1027"/>
      <c r="H12" s="148">
        <f>'Capital IQ Sheet-GPC'!O15</f>
        <v>63.1</v>
      </c>
      <c r="I12" s="148">
        <f>'Capital IQ Sheet-GPC'!P15</f>
        <v>188.9</v>
      </c>
      <c r="J12" s="148">
        <f>'Capital IQ Sheet-GPC'!Q15</f>
        <v>198.2</v>
      </c>
      <c r="K12" s="1546"/>
      <c r="L12" s="148">
        <f>'Capital IQ Sheet-GPC'!R15</f>
        <v>160</v>
      </c>
      <c r="M12" s="148">
        <f>'Capital IQ Sheet-GPC'!S15</f>
        <v>187.2</v>
      </c>
      <c r="N12" s="148">
        <f>'Capital IQ Sheet-GPC'!T15</f>
        <v>209.4</v>
      </c>
      <c r="O12" s="148">
        <f>'Capital IQ Sheet-GPC'!U15</f>
        <v>254.5</v>
      </c>
      <c r="P12" s="148">
        <f>'Capital IQ Sheet-GPC'!V15</f>
        <v>295.3</v>
      </c>
      <c r="Q12" s="1027"/>
      <c r="R12" s="150">
        <f t="shared" si="1"/>
        <v>69.852614896988896</v>
      </c>
      <c r="S12" s="150">
        <f t="shared" si="2"/>
        <v>23.333509793541555</v>
      </c>
      <c r="T12" s="150">
        <f t="shared" si="0"/>
        <v>22.238647830474267</v>
      </c>
      <c r="U12" s="1027"/>
      <c r="V12" s="150">
        <f t="shared" si="3"/>
        <v>27.548124999999999</v>
      </c>
      <c r="W12" s="150">
        <f t="shared" si="4"/>
        <v>23.545405982905983</v>
      </c>
      <c r="X12" s="150">
        <f t="shared" si="5"/>
        <v>21.049188156638014</v>
      </c>
      <c r="Y12" s="150">
        <f t="shared" si="6"/>
        <v>17.319056974459723</v>
      </c>
      <c r="Z12" s="150">
        <f t="shared" si="7"/>
        <v>14.926176769387062</v>
      </c>
      <c r="AB12" s="1027" t="s">
        <v>2667</v>
      </c>
      <c r="AC12" s="386">
        <f>'Beta Calc'!K12</f>
        <v>5773</v>
      </c>
      <c r="AD12" s="386" t="str">
        <f>'Beta Calc'!L12</f>
        <v xml:space="preserve"> -   </v>
      </c>
      <c r="AE12" s="386" t="str">
        <f>'Beta Calc'!M12</f>
        <v xml:space="preserve"> n/a </v>
      </c>
      <c r="AF12" s="386" t="str">
        <f>'Beta Calc'!N12</f>
        <v xml:space="preserve"> n/a </v>
      </c>
      <c r="AG12" s="386">
        <f t="shared" si="8"/>
        <v>0</v>
      </c>
      <c r="AH12" s="477">
        <f t="shared" si="9"/>
        <v>5773</v>
      </c>
      <c r="AI12" s="386">
        <f>'Beta Calc'!Q12</f>
        <v>1365.3</v>
      </c>
      <c r="AJ12" s="91">
        <f t="shared" si="10"/>
        <v>4407.7</v>
      </c>
      <c r="AL12" s="92" t="str">
        <f>IF('MASTER PubCo Inputs'!C30="","",'MASTER PubCo Inputs'!C30)</f>
        <v>IQ1716658</v>
      </c>
      <c r="AM12" s="385" t="str">
        <f>'Capital IQ Sheet-GPC'!AP15</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3" spans="2:39" ht="25.5">
      <c r="B13" s="145" t="str">
        <f>'Capital IQ Sheet-GPC'!C16</f>
        <v>Madrigal Pharmaceuticals, Inc.</v>
      </c>
      <c r="C13" s="148">
        <f>'Beta Calc'!R13</f>
        <v>3781.6</v>
      </c>
      <c r="D13" s="1027"/>
      <c r="E13" s="147" t="s">
        <v>2648</v>
      </c>
      <c r="F13" s="1578" t="s">
        <v>412</v>
      </c>
      <c r="G13" s="1027"/>
      <c r="H13" s="148" t="str">
        <f>'Capital IQ Sheet-GPC'!O16</f>
        <v xml:space="preserve"> n/a </v>
      </c>
      <c r="I13" s="148" t="str">
        <f>'Capital IQ Sheet-GPC'!P16</f>
        <v xml:space="preserve"> n/a </v>
      </c>
      <c r="J13" s="148" t="str">
        <f>'Capital IQ Sheet-GPC'!Q16</f>
        <v xml:space="preserve"> n/a </v>
      </c>
      <c r="K13" s="1546"/>
      <c r="L13" s="148" t="str">
        <f>'Capital IQ Sheet-GPC'!R16</f>
        <v xml:space="preserve"> n/a </v>
      </c>
      <c r="M13" s="148" t="str">
        <f>'Capital IQ Sheet-GPC'!S16</f>
        <v xml:space="preserve"> n/a </v>
      </c>
      <c r="N13" s="148" t="str">
        <f>'Capital IQ Sheet-GPC'!T16</f>
        <v xml:space="preserve"> n/a </v>
      </c>
      <c r="O13" s="148" t="str">
        <f>'Capital IQ Sheet-GPC'!U16</f>
        <v xml:space="preserve"> n/a </v>
      </c>
      <c r="P13" s="148" t="str">
        <f>'Capital IQ Sheet-GPC'!V16</f>
        <v xml:space="preserve"> n/a </v>
      </c>
      <c r="Q13" s="1027"/>
      <c r="R13" s="150" t="str">
        <f t="shared" si="1"/>
        <v>n/a</v>
      </c>
      <c r="S13" s="150" t="str">
        <f t="shared" si="2"/>
        <v>n/a</v>
      </c>
      <c r="T13" s="150" t="str">
        <f t="shared" si="0"/>
        <v>n/a</v>
      </c>
      <c r="U13" s="1027"/>
      <c r="V13" s="150" t="str">
        <f t="shared" si="3"/>
        <v>n/a</v>
      </c>
      <c r="W13" s="150" t="str">
        <f t="shared" si="4"/>
        <v>n/a</v>
      </c>
      <c r="X13" s="150" t="str">
        <f t="shared" si="5"/>
        <v>n/a</v>
      </c>
      <c r="Y13" s="150" t="str">
        <f t="shared" si="6"/>
        <v>n/a</v>
      </c>
      <c r="Z13" s="150" t="str">
        <f t="shared" si="7"/>
        <v>n/a</v>
      </c>
      <c r="AB13" s="1027" t="s">
        <v>2668</v>
      </c>
      <c r="AC13" s="386">
        <f>'Beta Calc'!K13</f>
        <v>3964.4</v>
      </c>
      <c r="AD13" s="386" t="str">
        <f>'Beta Calc'!L13</f>
        <v xml:space="preserve"> -   </v>
      </c>
      <c r="AE13" s="386" t="str">
        <f>'Beta Calc'!M13</f>
        <v xml:space="preserve"> n/a </v>
      </c>
      <c r="AF13" s="386" t="str">
        <f>'Beta Calc'!N13</f>
        <v xml:space="preserve"> n/a </v>
      </c>
      <c r="AG13" s="386">
        <f t="shared" si="8"/>
        <v>0</v>
      </c>
      <c r="AH13" s="477">
        <f t="shared" si="9"/>
        <v>3964.4</v>
      </c>
      <c r="AI13" s="386">
        <f>'Beta Calc'!Q13</f>
        <v>182.8</v>
      </c>
      <c r="AJ13" s="91">
        <f t="shared" si="10"/>
        <v>3781.6</v>
      </c>
      <c r="AL13" s="92" t="str">
        <f>IF('MASTER PubCo Inputs'!C31="","",'MASTER PubCo Inputs'!C31)</f>
        <v>IQ144939852</v>
      </c>
      <c r="AM13" s="385" t="str">
        <f>'Capital IQ Sheet-GPC'!AP16</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4" spans="2:39">
      <c r="B14" s="145" t="str">
        <f>'Capital IQ Sheet-GPC'!C17</f>
        <v>Intercept Pharmaceuticals, Inc.</v>
      </c>
      <c r="C14" s="148">
        <f>'Beta Calc'!R14</f>
        <v>2663.8</v>
      </c>
      <c r="D14" s="1027"/>
      <c r="E14" s="147" t="s">
        <v>2649</v>
      </c>
      <c r="F14" s="1578" t="s">
        <v>422</v>
      </c>
      <c r="G14" s="1027"/>
      <c r="H14" s="148">
        <f>'Capital IQ Sheet-GPC'!O17</f>
        <v>1.8</v>
      </c>
      <c r="I14" s="148">
        <f>'Capital IQ Sheet-GPC'!P17</f>
        <v>45.6</v>
      </c>
      <c r="J14" s="148">
        <f>'Capital IQ Sheet-GPC'!Q17</f>
        <v>145.9</v>
      </c>
      <c r="K14" s="1546"/>
      <c r="L14" s="148">
        <f>'Capital IQ Sheet-GPC'!R17</f>
        <v>25</v>
      </c>
      <c r="M14" s="148">
        <f>'Capital IQ Sheet-GPC'!S17</f>
        <v>131</v>
      </c>
      <c r="N14" s="148">
        <f>'Capital IQ Sheet-GPC'!T17</f>
        <v>179.4</v>
      </c>
      <c r="O14" s="148">
        <f>'Capital IQ Sheet-GPC'!U17</f>
        <v>277.8</v>
      </c>
      <c r="P14" s="148">
        <f>'Capital IQ Sheet-GPC'!V17</f>
        <v>326.89999999999998</v>
      </c>
      <c r="Q14" s="1027"/>
      <c r="R14" s="150">
        <f t="shared" si="1"/>
        <v>1479.8888888888889</v>
      </c>
      <c r="S14" s="150">
        <f t="shared" si="2"/>
        <v>58.416666666666671</v>
      </c>
      <c r="T14" s="150">
        <f t="shared" si="0"/>
        <v>18.257710760795067</v>
      </c>
      <c r="U14" s="1027"/>
      <c r="V14" s="150" t="str">
        <f t="shared" si="3"/>
        <v>NM</v>
      </c>
      <c r="W14" s="150">
        <f t="shared" si="4"/>
        <v>20.33435114503817</v>
      </c>
      <c r="X14" s="150">
        <f t="shared" si="5"/>
        <v>14.848383500557414</v>
      </c>
      <c r="Y14" s="150">
        <f t="shared" si="6"/>
        <v>9.5889128869690428</v>
      </c>
      <c r="Z14" s="150">
        <f t="shared" si="7"/>
        <v>8.1486693178342016</v>
      </c>
      <c r="AB14" s="1027" t="s">
        <v>2669</v>
      </c>
      <c r="AC14" s="386">
        <f>'Beta Calc'!K14</f>
        <v>2630.5</v>
      </c>
      <c r="AD14" s="386">
        <f>'Beta Calc'!L14</f>
        <v>359.4</v>
      </c>
      <c r="AE14" s="386" t="str">
        <f>'Beta Calc'!M14</f>
        <v xml:space="preserve"> n/a </v>
      </c>
      <c r="AF14" s="386" t="str">
        <f>'Beta Calc'!N14</f>
        <v xml:space="preserve"> n/a </v>
      </c>
      <c r="AG14" s="386">
        <f t="shared" si="8"/>
        <v>359.4</v>
      </c>
      <c r="AH14" s="477">
        <f t="shared" si="9"/>
        <v>2989.9</v>
      </c>
      <c r="AI14" s="386">
        <f>'Beta Calc'!Q14</f>
        <v>326.10000000000002</v>
      </c>
      <c r="AJ14" s="91">
        <f t="shared" si="10"/>
        <v>2663.8</v>
      </c>
      <c r="AL14" s="92" t="str">
        <f>IF('MASTER PubCo Inputs'!C32="","",'MASTER PubCo Inputs'!C32)</f>
        <v>IQ11382658</v>
      </c>
      <c r="AM14" s="385"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5" spans="2:39" ht="25.5">
      <c r="B15" s="145" t="str">
        <f>'Capital IQ Sheet-GPC'!C18</f>
        <v>Insmed Incorporated</v>
      </c>
      <c r="C15" s="148">
        <f>'Beta Calc'!R15</f>
        <v>1479.6</v>
      </c>
      <c r="D15" s="1027"/>
      <c r="E15" s="147" t="s">
        <v>2790</v>
      </c>
      <c r="F15" s="1578" t="s">
        <v>421</v>
      </c>
      <c r="G15" s="1027"/>
      <c r="H15" s="148" t="str">
        <f>'Capital IQ Sheet-GPC'!O18</f>
        <v xml:space="preserve"> n/a </v>
      </c>
      <c r="I15" s="148" t="str">
        <f>'Capital IQ Sheet-GPC'!P18</f>
        <v xml:space="preserve"> n/a </v>
      </c>
      <c r="J15" s="148" t="str">
        <f>'Capital IQ Sheet-GPC'!Q18</f>
        <v xml:space="preserve"> n/a </v>
      </c>
      <c r="K15" s="1546"/>
      <c r="L15" s="148" t="str">
        <f>'Capital IQ Sheet-GPC'!R18</f>
        <v xml:space="preserve"> n/a </v>
      </c>
      <c r="M15" s="148" t="str">
        <f>'Capital IQ Sheet-GPC'!S18</f>
        <v xml:space="preserve"> n/a </v>
      </c>
      <c r="N15" s="148">
        <f>'Capital IQ Sheet-GPC'!T18</f>
        <v>2</v>
      </c>
      <c r="O15" s="148">
        <f>'Capital IQ Sheet-GPC'!U18</f>
        <v>67.900000000000006</v>
      </c>
      <c r="P15" s="148">
        <f>'Capital IQ Sheet-GPC'!V18</f>
        <v>176.6</v>
      </c>
      <c r="Q15" s="1027"/>
      <c r="R15" s="150" t="str">
        <f t="shared" si="1"/>
        <v>n/a</v>
      </c>
      <c r="S15" s="150" t="str">
        <f t="shared" si="2"/>
        <v>n/a</v>
      </c>
      <c r="T15" s="150" t="str">
        <f t="shared" si="0"/>
        <v>n/a</v>
      </c>
      <c r="U15" s="1027"/>
      <c r="V15" s="150" t="str">
        <f t="shared" si="3"/>
        <v>n/a</v>
      </c>
      <c r="W15" s="150" t="str">
        <f t="shared" si="4"/>
        <v>n/a</v>
      </c>
      <c r="X15" s="150" t="str">
        <f t="shared" si="5"/>
        <v>NM</v>
      </c>
      <c r="Y15" s="150">
        <f t="shared" si="6"/>
        <v>21.790868924889541</v>
      </c>
      <c r="Z15" s="150">
        <f t="shared" si="7"/>
        <v>8.3782559456398644</v>
      </c>
      <c r="AB15" s="1027" t="s">
        <v>2670</v>
      </c>
      <c r="AC15" s="386">
        <f>'Beta Calc'!K15</f>
        <v>1863.5</v>
      </c>
      <c r="AD15" s="386">
        <f>'Beta Calc'!L15</f>
        <v>302.7</v>
      </c>
      <c r="AE15" s="386" t="str">
        <f>'Beta Calc'!M15</f>
        <v xml:space="preserve"> n/a </v>
      </c>
      <c r="AF15" s="386" t="str">
        <f>'Beta Calc'!N15</f>
        <v xml:space="preserve"> n/a </v>
      </c>
      <c r="AG15" s="386">
        <f t="shared" si="8"/>
        <v>302.7</v>
      </c>
      <c r="AH15" s="477">
        <f t="shared" si="9"/>
        <v>2166.1999999999998</v>
      </c>
      <c r="AI15" s="386">
        <f>'Beta Calc'!Q15</f>
        <v>686.6</v>
      </c>
      <c r="AJ15" s="91">
        <f t="shared" si="10"/>
        <v>1479.6</v>
      </c>
      <c r="AL15" s="92" t="str">
        <f>IF('MASTER PubCo Inputs'!C33="","",'MASTER PubCo Inputs'!C33)</f>
        <v>IQ29978</v>
      </c>
      <c r="AM15" s="385" t="str">
        <f>'Capital IQ Sheet-GPC'!AP18</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6" spans="2:39" ht="12.75" customHeight="1">
      <c r="B16" s="145" t="str">
        <f>'Capital IQ Sheet-GPC'!C19</f>
        <v>Genfit SA</v>
      </c>
      <c r="C16" s="148">
        <f>'Beta Calc'!R16</f>
        <v>750.3</v>
      </c>
      <c r="D16" s="1027"/>
      <c r="E16" s="147" t="s">
        <v>2650</v>
      </c>
      <c r="F16" s="1578" t="s">
        <v>422</v>
      </c>
      <c r="G16" s="1027"/>
      <c r="H16" s="148">
        <f>'Capital IQ Sheet-GPC'!O19</f>
        <v>4.5999999999999996</v>
      </c>
      <c r="I16" s="148">
        <f>'Capital IQ Sheet-GPC'!P19</f>
        <v>7</v>
      </c>
      <c r="J16" s="148">
        <f>'Capital IQ Sheet-GPC'!Q19</f>
        <v>8</v>
      </c>
      <c r="K16" s="1546"/>
      <c r="L16" s="148">
        <f>'Capital IQ Sheet-GPC'!R19</f>
        <v>7</v>
      </c>
      <c r="M16" s="148">
        <f>'Capital IQ Sheet-GPC'!S19</f>
        <v>8</v>
      </c>
      <c r="N16" s="148">
        <f>'Capital IQ Sheet-GPC'!T19</f>
        <v>7.9</v>
      </c>
      <c r="O16" s="148">
        <f>'Capital IQ Sheet-GPC'!U19</f>
        <v>5.6</v>
      </c>
      <c r="P16" s="148">
        <f>'Capital IQ Sheet-GPC'!V19</f>
        <v>63.3</v>
      </c>
      <c r="Q16" s="1027"/>
      <c r="R16" s="150">
        <f t="shared" si="1"/>
        <v>163.10869565217391</v>
      </c>
      <c r="S16" s="150">
        <f t="shared" si="2"/>
        <v>107.18571428571428</v>
      </c>
      <c r="T16" s="150">
        <f t="shared" si="0"/>
        <v>93.787499999999994</v>
      </c>
      <c r="U16" s="1027"/>
      <c r="V16" s="150" t="str">
        <f t="shared" si="3"/>
        <v>NM</v>
      </c>
      <c r="W16" s="150">
        <f t="shared" si="4"/>
        <v>93.787499999999994</v>
      </c>
      <c r="X16" s="150">
        <f t="shared" si="5"/>
        <v>94.974683544303787</v>
      </c>
      <c r="Y16" s="150" t="str">
        <f t="shared" si="6"/>
        <v>NM</v>
      </c>
      <c r="Z16" s="150">
        <f t="shared" si="7"/>
        <v>11.85308056872038</v>
      </c>
      <c r="AB16" s="1027" t="s">
        <v>2671</v>
      </c>
      <c r="AC16" s="386">
        <f>'Beta Calc'!K16</f>
        <v>882.5</v>
      </c>
      <c r="AD16" s="386">
        <f>'Beta Calc'!L16</f>
        <v>196.6</v>
      </c>
      <c r="AE16" s="386" t="str">
        <f>'Beta Calc'!M16</f>
        <v xml:space="preserve"> n/a </v>
      </c>
      <c r="AF16" s="386" t="str">
        <f>'Beta Calc'!N16</f>
        <v xml:space="preserve"> n/a </v>
      </c>
      <c r="AG16" s="386">
        <f t="shared" si="8"/>
        <v>196.6</v>
      </c>
      <c r="AH16" s="477">
        <f t="shared" si="9"/>
        <v>1079.0999999999999</v>
      </c>
      <c r="AI16" s="386">
        <f>'Beta Calc'!Q16</f>
        <v>328.8</v>
      </c>
      <c r="AJ16" s="91">
        <f t="shared" si="10"/>
        <v>750.3</v>
      </c>
      <c r="AL16" s="92" t="str">
        <f>IF('MASTER PubCo Inputs'!C34="","",'MASTER PubCo Inputs'!C34)</f>
        <v>IQ9683234</v>
      </c>
      <c r="AM16" s="385" t="str">
        <f>'Capital IQ Sheet-GPC'!AP19</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7" spans="2:39">
      <c r="B17" s="145" t="str">
        <f>'Capital IQ Sheet-GPC'!C20</f>
        <v>Kadmon Holdings, Inc.</v>
      </c>
      <c r="C17" s="148">
        <f>'Beta Calc'!R17</f>
        <v>390.1</v>
      </c>
      <c r="D17" s="1027"/>
      <c r="E17" s="147" t="s">
        <v>2651</v>
      </c>
      <c r="F17" s="1578" t="s">
        <v>412</v>
      </c>
      <c r="G17" s="1027"/>
      <c r="H17" s="148">
        <f>'Capital IQ Sheet-GPC'!O20</f>
        <v>37.700000000000003</v>
      </c>
      <c r="I17" s="148">
        <f>'Capital IQ Sheet-GPC'!P20</f>
        <v>22</v>
      </c>
      <c r="J17" s="148">
        <f>'Capital IQ Sheet-GPC'!Q20</f>
        <v>7.1</v>
      </c>
      <c r="K17" s="1546"/>
      <c r="L17" s="148">
        <f>'Capital IQ Sheet-GPC'!R20</f>
        <v>26.1</v>
      </c>
      <c r="M17" s="148">
        <f>'Capital IQ Sheet-GPC'!S20</f>
        <v>12.3</v>
      </c>
      <c r="N17" s="148">
        <f>'Capital IQ Sheet-GPC'!T20</f>
        <v>3.2</v>
      </c>
      <c r="O17" s="148">
        <f>'Capital IQ Sheet-GPC'!U20</f>
        <v>5</v>
      </c>
      <c r="P17" s="148">
        <f>'Capital IQ Sheet-GPC'!V20</f>
        <v>125.7</v>
      </c>
      <c r="Q17" s="1027"/>
      <c r="R17" s="150">
        <f t="shared" si="1"/>
        <v>10.347480106100795</v>
      </c>
      <c r="S17" s="150">
        <f t="shared" si="2"/>
        <v>17.731818181818184</v>
      </c>
      <c r="T17" s="150">
        <f t="shared" si="0"/>
        <v>54.943661971830991</v>
      </c>
      <c r="U17" s="1027"/>
      <c r="V17" s="150">
        <f t="shared" si="3"/>
        <v>14.946360153256705</v>
      </c>
      <c r="W17" s="150">
        <f t="shared" si="4"/>
        <v>31.715447154471544</v>
      </c>
      <c r="X17" s="150" t="str">
        <f t="shared" si="5"/>
        <v>NM</v>
      </c>
      <c r="Y17" s="150">
        <f t="shared" si="6"/>
        <v>78.02000000000001</v>
      </c>
      <c r="Z17" s="150">
        <f t="shared" si="7"/>
        <v>3.1034208432776453</v>
      </c>
      <c r="AB17" s="1027" t="s">
        <v>2672</v>
      </c>
      <c r="AC17" s="386">
        <f>'Beta Calc'!K17</f>
        <v>365.5</v>
      </c>
      <c r="AD17" s="386">
        <f>'Beta Calc'!L17</f>
        <v>33.1</v>
      </c>
      <c r="AE17" s="386">
        <f>'Beta Calc'!M17</f>
        <v>40.700000000000003</v>
      </c>
      <c r="AF17" s="386" t="str">
        <f>'Beta Calc'!N17</f>
        <v xml:space="preserve"> n/a </v>
      </c>
      <c r="AG17" s="386">
        <f t="shared" si="8"/>
        <v>73.800000000000011</v>
      </c>
      <c r="AH17" s="477">
        <f t="shared" si="9"/>
        <v>439.3</v>
      </c>
      <c r="AI17" s="386">
        <f>'Beta Calc'!Q17</f>
        <v>49.2</v>
      </c>
      <c r="AJ17" s="91">
        <f t="shared" si="10"/>
        <v>390.1</v>
      </c>
      <c r="AL17" s="92" t="str">
        <f>IF('MASTER PubCo Inputs'!C35="","",'MASTER PubCo Inputs'!C35)</f>
        <v>IQ114935891</v>
      </c>
      <c r="AM17" s="385" t="str">
        <f>'Capital IQ Sheet-GPC'!AP20</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8" spans="2:39">
      <c r="B18" s="145" t="str">
        <f>'Capital IQ Sheet-GPC'!C21</f>
        <v>MediciNova, Inc.</v>
      </c>
      <c r="C18" s="148">
        <f>'Beta Calc'!R18</f>
        <v>334.5</v>
      </c>
      <c r="D18" s="1027"/>
      <c r="E18" s="147" t="s">
        <v>2652</v>
      </c>
      <c r="F18" s="1578" t="s">
        <v>412</v>
      </c>
      <c r="G18" s="1027"/>
      <c r="H18" s="148" t="str">
        <f>'Capital IQ Sheet-GPC'!O21</f>
        <v xml:space="preserve"> n/a </v>
      </c>
      <c r="I18" s="148" t="str">
        <f>'Capital IQ Sheet-GPC'!P21</f>
        <v xml:space="preserve"> n/a </v>
      </c>
      <c r="J18" s="148" t="str">
        <f>'Capital IQ Sheet-GPC'!Q21</f>
        <v xml:space="preserve"> n/a </v>
      </c>
      <c r="K18" s="1546"/>
      <c r="L18" s="148" t="str">
        <f>'Capital IQ Sheet-GPC'!R21</f>
        <v xml:space="preserve"> n/a </v>
      </c>
      <c r="M18" s="148" t="str">
        <f>'Capital IQ Sheet-GPC'!S21</f>
        <v xml:space="preserve"> n/a </v>
      </c>
      <c r="N18" s="148" t="str">
        <f>'Capital IQ Sheet-GPC'!T21</f>
        <v xml:space="preserve"> n/a </v>
      </c>
      <c r="O18" s="148" t="str">
        <f>'Capital IQ Sheet-GPC'!U21</f>
        <v xml:space="preserve"> n/a </v>
      </c>
      <c r="P18" s="148" t="str">
        <f>'Capital IQ Sheet-GPC'!V21</f>
        <v xml:space="preserve"> n/a </v>
      </c>
      <c r="Q18" s="1027"/>
      <c r="R18" s="150" t="str">
        <f t="shared" si="1"/>
        <v>n/a</v>
      </c>
      <c r="S18" s="150" t="str">
        <f t="shared" si="2"/>
        <v>n/a</v>
      </c>
      <c r="T18" s="150" t="str">
        <f t="shared" si="0"/>
        <v>n/a</v>
      </c>
      <c r="U18" s="1027"/>
      <c r="V18" s="150" t="str">
        <f t="shared" si="3"/>
        <v>n/a</v>
      </c>
      <c r="W18" s="150" t="str">
        <f t="shared" si="4"/>
        <v>n/a</v>
      </c>
      <c r="X18" s="150" t="str">
        <f t="shared" si="5"/>
        <v>n/a</v>
      </c>
      <c r="Y18" s="150" t="str">
        <f t="shared" si="6"/>
        <v>n/a</v>
      </c>
      <c r="Z18" s="150" t="str">
        <f t="shared" si="7"/>
        <v>n/a</v>
      </c>
      <c r="AB18" s="1027" t="s">
        <v>2673</v>
      </c>
      <c r="AC18" s="386">
        <f>'Beta Calc'!K18</f>
        <v>398.7</v>
      </c>
      <c r="AD18" s="386" t="str">
        <f>'Beta Calc'!L18</f>
        <v xml:space="preserve"> -   </v>
      </c>
      <c r="AE18" s="386" t="str">
        <f>'Beta Calc'!M18</f>
        <v xml:space="preserve"> n/a </v>
      </c>
      <c r="AF18" s="386" t="str">
        <f>'Beta Calc'!N18</f>
        <v xml:space="preserve"> n/a </v>
      </c>
      <c r="AG18" s="386">
        <f t="shared" si="8"/>
        <v>0</v>
      </c>
      <c r="AH18" s="477">
        <f t="shared" si="9"/>
        <v>398.7</v>
      </c>
      <c r="AI18" s="386">
        <f>'Beta Calc'!Q18</f>
        <v>64.2</v>
      </c>
      <c r="AJ18" s="91">
        <f t="shared" si="10"/>
        <v>334.5</v>
      </c>
      <c r="AL18" s="92" t="str">
        <f>IF('MASTER PubCo Inputs'!C36="","",'MASTER PubCo Inputs'!C36)</f>
        <v>IQ9262264</v>
      </c>
      <c r="AM18" s="385" t="str">
        <f>'Capital IQ Sheet-GPC'!AP21</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9" spans="2:39" ht="25.5">
      <c r="B19" s="145" t="str">
        <f>'Capital IQ Sheet-GPC'!C22</f>
        <v>Savara Inc.</v>
      </c>
      <c r="C19" s="148">
        <f>'Beta Calc'!R19</f>
        <v>323.3</v>
      </c>
      <c r="D19" s="1027"/>
      <c r="E19" s="147" t="s">
        <v>2653</v>
      </c>
      <c r="F19" s="1578" t="s">
        <v>422</v>
      </c>
      <c r="G19" s="1027"/>
      <c r="H19" s="148" t="str">
        <f>'Capital IQ Sheet-GPC'!O22</f>
        <v xml:space="preserve"> n/a </v>
      </c>
      <c r="I19" s="148">
        <f>'Capital IQ Sheet-GPC'!P22</f>
        <v>0.4</v>
      </c>
      <c r="J19" s="148" t="str">
        <f>'Capital IQ Sheet-GPC'!Q22</f>
        <v xml:space="preserve"> n/a </v>
      </c>
      <c r="K19" s="1546"/>
      <c r="L19" s="148">
        <f>'Capital IQ Sheet-GPC'!R22</f>
        <v>0.4</v>
      </c>
      <c r="M19" s="148" t="str">
        <f>'Capital IQ Sheet-GPC'!S22</f>
        <v xml:space="preserve"> n/a </v>
      </c>
      <c r="N19" s="148" t="str">
        <f>'Capital IQ Sheet-GPC'!T22</f>
        <v xml:space="preserve"> n/a </v>
      </c>
      <c r="O19" s="148">
        <f>'Capital IQ Sheet-GPC'!U22</f>
        <v>0.2</v>
      </c>
      <c r="P19" s="148">
        <f>'Capital IQ Sheet-GPC'!V22</f>
        <v>28.9</v>
      </c>
      <c r="Q19" s="1027"/>
      <c r="R19" s="150" t="str">
        <f t="shared" si="1"/>
        <v>n/a</v>
      </c>
      <c r="S19" s="150">
        <f t="shared" si="2"/>
        <v>808.25</v>
      </c>
      <c r="T19" s="150" t="str">
        <f t="shared" si="0"/>
        <v>n/a</v>
      </c>
      <c r="U19" s="1027"/>
      <c r="V19" s="150" t="str">
        <f t="shared" si="3"/>
        <v>NM</v>
      </c>
      <c r="W19" s="150" t="str">
        <f t="shared" si="4"/>
        <v>n/a</v>
      </c>
      <c r="X19" s="150" t="str">
        <f t="shared" si="5"/>
        <v>n/a</v>
      </c>
      <c r="Y19" s="150" t="str">
        <f t="shared" si="6"/>
        <v>NM</v>
      </c>
      <c r="Z19" s="150">
        <f t="shared" si="7"/>
        <v>11.186851211072666</v>
      </c>
      <c r="AB19" s="1027" t="s">
        <v>2674</v>
      </c>
      <c r="AC19" s="386">
        <f>'Beta Calc'!K19</f>
        <v>393.3</v>
      </c>
      <c r="AD19" s="386">
        <f>'Beta Calc'!L19</f>
        <v>15.2</v>
      </c>
      <c r="AE19" s="386" t="str">
        <f>'Beta Calc'!M19</f>
        <v xml:space="preserve"> n/a </v>
      </c>
      <c r="AF19" s="386" t="str">
        <f>'Beta Calc'!N19</f>
        <v xml:space="preserve"> n/a </v>
      </c>
      <c r="AG19" s="386">
        <f t="shared" si="8"/>
        <v>15.2</v>
      </c>
      <c r="AH19" s="477">
        <f t="shared" si="9"/>
        <v>408.5</v>
      </c>
      <c r="AI19" s="386">
        <f>'Beta Calc'!Q19</f>
        <v>85.2</v>
      </c>
      <c r="AJ19" s="91">
        <f t="shared" si="10"/>
        <v>323.3</v>
      </c>
      <c r="AL19" s="92" t="str">
        <f>IF('MASTER PubCo Inputs'!C37="","",'MASTER PubCo Inputs'!C37)</f>
        <v>IQ59211637</v>
      </c>
      <c r="AM19" s="385" t="str">
        <f>'Capital IQ Sheet-GPC'!AP22</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0" spans="2:39">
      <c r="B20" s="145" t="str">
        <f>'Capital IQ Sheet-GPC'!C23</f>
        <v>Galmed Pharmaceuticals Ltd.</v>
      </c>
      <c r="C20" s="148">
        <f>'Beta Calc'!R20</f>
        <v>274.2</v>
      </c>
      <c r="D20" s="1027"/>
      <c r="E20" s="147" t="s">
        <v>2654</v>
      </c>
      <c r="F20" s="1578" t="s">
        <v>919</v>
      </c>
      <c r="G20" s="1027"/>
      <c r="H20" s="148" t="str">
        <f>'Capital IQ Sheet-GPC'!O23</f>
        <v xml:space="preserve"> n/a </v>
      </c>
      <c r="I20" s="148">
        <f>'Capital IQ Sheet-GPC'!P23</f>
        <v>0.7</v>
      </c>
      <c r="J20" s="148">
        <f>'Capital IQ Sheet-GPC'!Q23</f>
        <v>1.1000000000000001</v>
      </c>
      <c r="K20" s="1546"/>
      <c r="L20" s="148">
        <f>'Capital IQ Sheet-GPC'!R23</f>
        <v>0.5</v>
      </c>
      <c r="M20" s="148">
        <f>'Capital IQ Sheet-GPC'!S23</f>
        <v>1.1000000000000001</v>
      </c>
      <c r="N20" s="148">
        <f>'Capital IQ Sheet-GPC'!T23</f>
        <v>0.8</v>
      </c>
      <c r="O20" s="148">
        <f>'Capital IQ Sheet-GPC'!U23</f>
        <v>0.9</v>
      </c>
      <c r="P20" s="148">
        <f>'Capital IQ Sheet-GPC'!V23</f>
        <v>0.5</v>
      </c>
      <c r="Q20" s="1027"/>
      <c r="R20" s="150" t="str">
        <f t="shared" si="1"/>
        <v>n/a</v>
      </c>
      <c r="S20" s="150">
        <f t="shared" si="2"/>
        <v>391.71428571428572</v>
      </c>
      <c r="T20" s="150" t="str">
        <f t="shared" si="0"/>
        <v>NM</v>
      </c>
      <c r="U20" s="1027"/>
      <c r="V20" s="150" t="str">
        <f t="shared" si="3"/>
        <v>NM</v>
      </c>
      <c r="W20" s="150" t="str">
        <f t="shared" si="4"/>
        <v>NM</v>
      </c>
      <c r="X20" s="150" t="str">
        <f t="shared" si="5"/>
        <v>NM</v>
      </c>
      <c r="Y20" s="150" t="str">
        <f t="shared" si="6"/>
        <v>NM</v>
      </c>
      <c r="Z20" s="150" t="str">
        <f t="shared" si="7"/>
        <v>NM</v>
      </c>
      <c r="AB20" s="1027" t="s">
        <v>2675</v>
      </c>
      <c r="AC20" s="386">
        <f>'Beta Calc'!K20</f>
        <v>289.7</v>
      </c>
      <c r="AD20" s="386" t="str">
        <f>'Beta Calc'!L20</f>
        <v xml:space="preserve"> -   </v>
      </c>
      <c r="AE20" s="386" t="str">
        <f>'Beta Calc'!M20</f>
        <v xml:space="preserve"> n/a </v>
      </c>
      <c r="AF20" s="386" t="str">
        <f>'Beta Calc'!N20</f>
        <v xml:space="preserve"> n/a </v>
      </c>
      <c r="AG20" s="386">
        <f t="shared" si="8"/>
        <v>0</v>
      </c>
      <c r="AH20" s="477">
        <f t="shared" si="9"/>
        <v>289.7</v>
      </c>
      <c r="AI20" s="386">
        <f>'Beta Calc'!Q20</f>
        <v>15.5</v>
      </c>
      <c r="AJ20" s="91">
        <f t="shared" si="10"/>
        <v>274.2</v>
      </c>
      <c r="AL20" s="92" t="str">
        <f>IF('MASTER PubCo Inputs'!C38="","",'MASTER PubCo Inputs'!C38)</f>
        <v>IQ114779940</v>
      </c>
      <c r="AM20" s="385" t="str">
        <f>'Capital IQ Sheet-GPC'!AP23</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1" spans="2:39">
      <c r="B21" s="145" t="str">
        <f>'Capital IQ Sheet-GPC'!C24</f>
        <v>Galectin Therapeutics, Inc.</v>
      </c>
      <c r="C21" s="148">
        <f>'Beta Calc'!R21</f>
        <v>207.3</v>
      </c>
      <c r="D21" s="1027"/>
      <c r="E21" s="147" t="s">
        <v>2656</v>
      </c>
      <c r="F21" s="1578" t="s">
        <v>422</v>
      </c>
      <c r="G21" s="1027"/>
      <c r="H21" s="148" t="str">
        <f>'Capital IQ Sheet-GPC'!O24</f>
        <v xml:space="preserve"> n/a </v>
      </c>
      <c r="I21" s="148" t="str">
        <f>'Capital IQ Sheet-GPC'!P24</f>
        <v xml:space="preserve"> n/a </v>
      </c>
      <c r="J21" s="148" t="str">
        <f>'Capital IQ Sheet-GPC'!Q24</f>
        <v xml:space="preserve"> n/a </v>
      </c>
      <c r="K21" s="1546"/>
      <c r="L21" s="148" t="str">
        <f>'Capital IQ Sheet-GPC'!R24</f>
        <v xml:space="preserve"> n/a </v>
      </c>
      <c r="M21" s="148" t="str">
        <f>'Capital IQ Sheet-GPC'!S24</f>
        <v xml:space="preserve"> n/a </v>
      </c>
      <c r="N21" s="148" t="str">
        <f>'Capital IQ Sheet-GPC'!T24</f>
        <v xml:space="preserve"> n/a </v>
      </c>
      <c r="O21" s="148" t="str">
        <f>'Capital IQ Sheet-GPC'!U24</f>
        <v xml:space="preserve"> n/a </v>
      </c>
      <c r="P21" s="148" t="str">
        <f>'Capital IQ Sheet-GPC'!V24</f>
        <v xml:space="preserve"> n/a </v>
      </c>
      <c r="Q21" s="1027"/>
      <c r="R21" s="150" t="str">
        <f t="shared" si="1"/>
        <v>n/a</v>
      </c>
      <c r="S21" s="150" t="str">
        <f t="shared" si="2"/>
        <v>n/a</v>
      </c>
      <c r="T21" s="150" t="str">
        <f t="shared" si="0"/>
        <v>n/a</v>
      </c>
      <c r="U21" s="1027"/>
      <c r="V21" s="150" t="str">
        <f t="shared" si="3"/>
        <v>n/a</v>
      </c>
      <c r="W21" s="150" t="str">
        <f t="shared" si="4"/>
        <v>n/a</v>
      </c>
      <c r="X21" s="150" t="str">
        <f t="shared" si="5"/>
        <v>n/a</v>
      </c>
      <c r="Y21" s="150" t="str">
        <f t="shared" si="6"/>
        <v>n/a</v>
      </c>
      <c r="Z21" s="150" t="str">
        <f t="shared" si="7"/>
        <v>n/a</v>
      </c>
      <c r="AB21" s="1027" t="s">
        <v>2677</v>
      </c>
      <c r="AC21" s="386">
        <f>'Beta Calc'!K21</f>
        <v>202.3</v>
      </c>
      <c r="AD21" s="386" t="str">
        <f>'Beta Calc'!L21</f>
        <v xml:space="preserve"> -   </v>
      </c>
      <c r="AE21" s="386">
        <f>'Beta Calc'!M21</f>
        <v>9</v>
      </c>
      <c r="AF21" s="386" t="str">
        <f>'Beta Calc'!N21</f>
        <v xml:space="preserve"> n/a </v>
      </c>
      <c r="AG21" s="386">
        <f t="shared" si="8"/>
        <v>9</v>
      </c>
      <c r="AH21" s="477">
        <f t="shared" si="9"/>
        <v>211.3</v>
      </c>
      <c r="AI21" s="386">
        <f>'Beta Calc'!Q21</f>
        <v>4</v>
      </c>
      <c r="AJ21" s="91">
        <f t="shared" si="10"/>
        <v>207.3</v>
      </c>
      <c r="AL21" s="92" t="str">
        <f>IF('MASTER PubCo Inputs'!C39="","",'MASTER PubCo Inputs'!C39)</f>
        <v>IQ1065415</v>
      </c>
      <c r="AM21" s="385" t="str">
        <f>'Capital IQ Sheet-GPC'!AP24</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2" spans="2:39" ht="12.75" customHeight="1">
      <c r="B22" s="145" t="str">
        <f>'Capital IQ Sheet-GPC'!C25</f>
        <v>Corbus Pharmaceuticals Holdings, Inc.</v>
      </c>
      <c r="C22" s="148">
        <f>'Beta Calc'!R22</f>
        <v>203.5</v>
      </c>
      <c r="D22" s="1027"/>
      <c r="E22" s="147" t="s">
        <v>2655</v>
      </c>
      <c r="F22" s="1578" t="s">
        <v>919</v>
      </c>
      <c r="G22" s="1027"/>
      <c r="H22" s="148">
        <f>'Capital IQ Sheet-GPC'!O25</f>
        <v>1</v>
      </c>
      <c r="I22" s="148">
        <f>'Capital IQ Sheet-GPC'!P25</f>
        <v>2.8</v>
      </c>
      <c r="J22" s="148">
        <f>'Capital IQ Sheet-GPC'!Q25</f>
        <v>2.1</v>
      </c>
      <c r="K22" s="1546"/>
      <c r="L22" s="148">
        <f>'Capital IQ Sheet-GPC'!R25</f>
        <v>1.9</v>
      </c>
      <c r="M22" s="148">
        <f>'Capital IQ Sheet-GPC'!S25</f>
        <v>2.4</v>
      </c>
      <c r="N22" s="148">
        <f>'Capital IQ Sheet-GPC'!T25</f>
        <v>4.3</v>
      </c>
      <c r="O22" s="148">
        <f>'Capital IQ Sheet-GPC'!U25</f>
        <v>3.5</v>
      </c>
      <c r="P22" s="148">
        <f>'Capital IQ Sheet-GPC'!V25</f>
        <v>1.9</v>
      </c>
      <c r="Q22" s="1027"/>
      <c r="R22" s="150">
        <f t="shared" si="1"/>
        <v>203.5</v>
      </c>
      <c r="S22" s="150">
        <f t="shared" si="2"/>
        <v>72.678571428571431</v>
      </c>
      <c r="T22" s="150">
        <f t="shared" si="0"/>
        <v>96.904761904761898</v>
      </c>
      <c r="U22" s="1027"/>
      <c r="V22" s="150" t="str">
        <f t="shared" si="3"/>
        <v>NM</v>
      </c>
      <c r="W22" s="150">
        <f t="shared" si="4"/>
        <v>84.791666666666671</v>
      </c>
      <c r="X22" s="150">
        <f t="shared" si="5"/>
        <v>47.325581395348841</v>
      </c>
      <c r="Y22" s="150">
        <f t="shared" si="6"/>
        <v>58.142857142857146</v>
      </c>
      <c r="Z22" s="150" t="str">
        <f t="shared" si="7"/>
        <v>NM</v>
      </c>
      <c r="AB22" s="1027" t="s">
        <v>2676</v>
      </c>
      <c r="AC22" s="386">
        <f>'Beta Calc'!K22</f>
        <v>274.3</v>
      </c>
      <c r="AD22" s="386">
        <f>'Beta Calc'!L22</f>
        <v>0.2</v>
      </c>
      <c r="AE22" s="386" t="str">
        <f>'Beta Calc'!M22</f>
        <v xml:space="preserve"> n/a </v>
      </c>
      <c r="AF22" s="386" t="str">
        <f>'Beta Calc'!N22</f>
        <v xml:space="preserve"> n/a </v>
      </c>
      <c r="AG22" s="386">
        <f t="shared" si="8"/>
        <v>0.2</v>
      </c>
      <c r="AH22" s="477">
        <f t="shared" si="9"/>
        <v>274.5</v>
      </c>
      <c r="AI22" s="386">
        <f>'Beta Calc'!Q22</f>
        <v>71</v>
      </c>
      <c r="AJ22" s="91">
        <f t="shared" si="10"/>
        <v>203.5</v>
      </c>
      <c r="AL22" s="92" t="str">
        <f>IF('MASTER PubCo Inputs'!C40="","",'MASTER PubCo Inputs'!C40)</f>
        <v>IQ254045988</v>
      </c>
      <c r="AM22" s="385" t="str">
        <f>'Capital IQ Sheet-GPC'!AP25</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2:39">
      <c r="B23" s="145" t="str">
        <f>'Capital IQ Sheet-GPC'!C26</f>
        <v>ProQR Therapeutics N.V.</v>
      </c>
      <c r="C23" s="148">
        <f>'Beta Calc'!R23</f>
        <v>163.19999999999999</v>
      </c>
      <c r="D23" s="1027"/>
      <c r="E23" s="147" t="s">
        <v>2657</v>
      </c>
      <c r="F23" s="1578" t="s">
        <v>411</v>
      </c>
      <c r="G23" s="1027"/>
      <c r="H23" s="148">
        <f>'Capital IQ Sheet-GPC'!O26</f>
        <v>3.5</v>
      </c>
      <c r="I23" s="148">
        <f>'Capital IQ Sheet-GPC'!P26</f>
        <v>1.7</v>
      </c>
      <c r="J23" s="148">
        <f>'Capital IQ Sheet-GPC'!Q26</f>
        <v>1</v>
      </c>
      <c r="K23" s="1546"/>
      <c r="L23" s="148">
        <f>'Capital IQ Sheet-GPC'!R26</f>
        <v>1.7</v>
      </c>
      <c r="M23" s="148">
        <f>'Capital IQ Sheet-GPC'!S26</f>
        <v>1</v>
      </c>
      <c r="N23" s="148">
        <f>'Capital IQ Sheet-GPC'!T26</f>
        <v>2.7</v>
      </c>
      <c r="O23" s="148">
        <f>'Capital IQ Sheet-GPC'!U26</f>
        <v>4.7</v>
      </c>
      <c r="P23" s="148" t="str">
        <f>'Capital IQ Sheet-GPC'!V26</f>
        <v xml:space="preserve"> n/a </v>
      </c>
      <c r="Q23" s="1027"/>
      <c r="R23" s="150">
        <f t="shared" si="1"/>
        <v>46.628571428571426</v>
      </c>
      <c r="S23" s="150">
        <f t="shared" si="2"/>
        <v>96</v>
      </c>
      <c r="T23" s="150" t="str">
        <f t="shared" si="0"/>
        <v>NM</v>
      </c>
      <c r="U23" s="1027"/>
      <c r="V23" s="150">
        <f t="shared" si="3"/>
        <v>96</v>
      </c>
      <c r="W23" s="150" t="str">
        <f t="shared" si="4"/>
        <v>NM</v>
      </c>
      <c r="X23" s="150">
        <f t="shared" si="5"/>
        <v>60.444444444444436</v>
      </c>
      <c r="Y23" s="150">
        <f t="shared" si="6"/>
        <v>34.723404255319146</v>
      </c>
      <c r="Z23" s="150" t="str">
        <f t="shared" si="7"/>
        <v>n/a</v>
      </c>
      <c r="AB23" s="1027" t="s">
        <v>2678</v>
      </c>
      <c r="AC23" s="386">
        <f>'Beta Calc'!K23</f>
        <v>212.3</v>
      </c>
      <c r="AD23" s="386">
        <f>'Beta Calc'!L23</f>
        <v>8.6999999999999993</v>
      </c>
      <c r="AE23" s="386" t="str">
        <f>'Beta Calc'!M23</f>
        <v xml:space="preserve"> n/a </v>
      </c>
      <c r="AF23" s="386">
        <f>'Beta Calc'!N23</f>
        <v>0</v>
      </c>
      <c r="AG23" s="386">
        <f t="shared" si="8"/>
        <v>8.6999999999999993</v>
      </c>
      <c r="AH23" s="477">
        <f t="shared" si="9"/>
        <v>221</v>
      </c>
      <c r="AI23" s="386">
        <f>'Beta Calc'!Q23</f>
        <v>57.8</v>
      </c>
      <c r="AJ23" s="91">
        <f t="shared" si="10"/>
        <v>163.19999999999999</v>
      </c>
      <c r="AL23" s="92" t="str">
        <f>IF('MASTER PubCo Inputs'!C41="","",'MASTER PubCo Inputs'!C41)</f>
        <v>IQ224193775</v>
      </c>
      <c r="AM23" s="385" t="str">
        <f>'Capital IQ Sheet-GPC'!AP26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4" spans="2:39" ht="25.5">
      <c r="B24" s="145" t="str">
        <f>'Capital IQ Sheet-GPC'!C27</f>
        <v>Miragen Therapeutics, Inc.</v>
      </c>
      <c r="C24" s="148">
        <f>'Beta Calc'!R24</f>
        <v>126.6</v>
      </c>
      <c r="D24" s="1027"/>
      <c r="E24" s="147" t="s">
        <v>2658</v>
      </c>
      <c r="F24" s="1578" t="s">
        <v>412</v>
      </c>
      <c r="G24" s="1027"/>
      <c r="H24" s="148">
        <f>'Capital IQ Sheet-GPC'!O27</f>
        <v>5</v>
      </c>
      <c r="I24" s="148">
        <f>'Capital IQ Sheet-GPC'!P27</f>
        <v>3</v>
      </c>
      <c r="J24" s="148">
        <f>'Capital IQ Sheet-GPC'!Q27</f>
        <v>8.3000000000000007</v>
      </c>
      <c r="K24" s="1546"/>
      <c r="L24" s="148">
        <f>'Capital IQ Sheet-GPC'!R27</f>
        <v>3.5</v>
      </c>
      <c r="M24" s="148">
        <f>'Capital IQ Sheet-GPC'!S27</f>
        <v>4</v>
      </c>
      <c r="N24" s="148">
        <f>'Capital IQ Sheet-GPC'!T27</f>
        <v>5.9</v>
      </c>
      <c r="O24" s="148">
        <f>'Capital IQ Sheet-GPC'!U27</f>
        <v>2.2999999999999998</v>
      </c>
      <c r="P24" s="148">
        <f>'Capital IQ Sheet-GPC'!V27</f>
        <v>2.4</v>
      </c>
      <c r="Q24" s="1027"/>
      <c r="R24" s="150">
        <f t="shared" si="1"/>
        <v>25.32</v>
      </c>
      <c r="S24" s="150">
        <f t="shared" si="2"/>
        <v>42.199999999999996</v>
      </c>
      <c r="T24" s="150">
        <f t="shared" si="0"/>
        <v>15.253012048192769</v>
      </c>
      <c r="U24" s="1027"/>
      <c r="V24" s="150">
        <f t="shared" si="3"/>
        <v>36.171428571428571</v>
      </c>
      <c r="W24" s="150">
        <f t="shared" si="4"/>
        <v>31.65</v>
      </c>
      <c r="X24" s="150">
        <f t="shared" si="5"/>
        <v>21.457627118644066</v>
      </c>
      <c r="Y24" s="150">
        <f t="shared" si="6"/>
        <v>55.04347826086957</v>
      </c>
      <c r="Z24" s="150">
        <f t="shared" si="7"/>
        <v>52.75</v>
      </c>
      <c r="AB24" s="1027" t="s">
        <v>2679</v>
      </c>
      <c r="AC24" s="386">
        <f>'Beta Calc'!K24</f>
        <v>194.7</v>
      </c>
      <c r="AD24" s="386">
        <f>'Beta Calc'!L24</f>
        <v>10</v>
      </c>
      <c r="AE24" s="386" t="str">
        <f>'Beta Calc'!M24</f>
        <v xml:space="preserve"> n/a </v>
      </c>
      <c r="AF24" s="386" t="str">
        <f>'Beta Calc'!N24</f>
        <v xml:space="preserve"> n/a </v>
      </c>
      <c r="AG24" s="386">
        <f t="shared" si="8"/>
        <v>10</v>
      </c>
      <c r="AH24" s="477">
        <f t="shared" si="9"/>
        <v>204.7</v>
      </c>
      <c r="AI24" s="386">
        <f>'Beta Calc'!Q24</f>
        <v>78.099999999999994</v>
      </c>
      <c r="AJ24" s="91">
        <f t="shared" si="10"/>
        <v>126.6</v>
      </c>
      <c r="AL24" s="92" t="str">
        <f>IF('MASTER PubCo Inputs'!C42="","",'MASTER PubCo Inputs'!C42)</f>
        <v>IQ45015663</v>
      </c>
      <c r="AM24" s="385" t="str">
        <f>'Capital IQ Sheet-GPC'!AP27</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5" spans="2:39">
      <c r="B25" s="145" t="str">
        <f>'Capital IQ Sheet-GPC'!C28</f>
        <v>Conatus Pharmaceuticals Inc.</v>
      </c>
      <c r="C25" s="148">
        <f>'Beta Calc'!R25</f>
        <v>62.2</v>
      </c>
      <c r="D25" s="1027"/>
      <c r="E25" s="147" t="s">
        <v>2659</v>
      </c>
      <c r="F25" s="1578" t="s">
        <v>412</v>
      </c>
      <c r="G25" s="1027"/>
      <c r="H25" s="148" t="str">
        <f>'Capital IQ Sheet-GPC'!O28</f>
        <v xml:space="preserve"> n/a </v>
      </c>
      <c r="I25" s="148">
        <f>'Capital IQ Sheet-GPC'!P28</f>
        <v>7.8</v>
      </c>
      <c r="J25" s="148">
        <f>'Capital IQ Sheet-GPC'!Q28</f>
        <v>38.1</v>
      </c>
      <c r="K25" s="1546"/>
      <c r="L25" s="148">
        <f>'Capital IQ Sheet-GPC'!R28</f>
        <v>0.8</v>
      </c>
      <c r="M25" s="148">
        <f>'Capital IQ Sheet-GPC'!S28</f>
        <v>35.4</v>
      </c>
      <c r="N25" s="148">
        <f>'Capital IQ Sheet-GPC'!T28</f>
        <v>40.299999999999997</v>
      </c>
      <c r="O25" s="148">
        <f>'Capital IQ Sheet-GPC'!U28</f>
        <v>55.8</v>
      </c>
      <c r="P25" s="148">
        <f>'Capital IQ Sheet-GPC'!V28</f>
        <v>34.799999999999997</v>
      </c>
      <c r="Q25" s="1027"/>
      <c r="R25" s="150" t="str">
        <f t="shared" si="1"/>
        <v>n/a</v>
      </c>
      <c r="S25" s="150">
        <f t="shared" si="2"/>
        <v>7.9743589743589753</v>
      </c>
      <c r="T25" s="150">
        <f t="shared" si="0"/>
        <v>1.6325459317585302</v>
      </c>
      <c r="U25" s="1027"/>
      <c r="V25" s="150">
        <f t="shared" si="3"/>
        <v>77.75</v>
      </c>
      <c r="W25" s="150">
        <f t="shared" si="4"/>
        <v>1.7570621468926555</v>
      </c>
      <c r="X25" s="150">
        <f t="shared" si="5"/>
        <v>1.5434243176178661</v>
      </c>
      <c r="Y25" s="150">
        <f t="shared" si="6"/>
        <v>1.1146953405017923</v>
      </c>
      <c r="Z25" s="150">
        <f t="shared" si="7"/>
        <v>1.7873563218390807</v>
      </c>
      <c r="AB25" s="1027" t="s">
        <v>2680</v>
      </c>
      <c r="AC25" s="386">
        <f>'Beta Calc'!K25</f>
        <v>115.7</v>
      </c>
      <c r="AD25" s="386">
        <f>'Beta Calc'!L25</f>
        <v>13.3</v>
      </c>
      <c r="AE25" s="386" t="str">
        <f>'Beta Calc'!M25</f>
        <v xml:space="preserve"> n/a </v>
      </c>
      <c r="AF25" s="386" t="str">
        <f>'Beta Calc'!N25</f>
        <v xml:space="preserve"> n/a </v>
      </c>
      <c r="AG25" s="386">
        <f t="shared" si="8"/>
        <v>13.3</v>
      </c>
      <c r="AH25" s="477">
        <f t="shared" si="9"/>
        <v>129</v>
      </c>
      <c r="AI25" s="386">
        <f>'Beta Calc'!Q25</f>
        <v>66.8</v>
      </c>
      <c r="AJ25" s="91">
        <f t="shared" si="10"/>
        <v>62.2</v>
      </c>
      <c r="AL25" s="92" t="str">
        <f>IF('MASTER PubCo Inputs'!C43="","",'MASTER PubCo Inputs'!C43)</f>
        <v>IQ30828389</v>
      </c>
      <c r="AM25" s="385" t="str">
        <f>'Capital IQ Sheet-GPC'!AP28</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6" spans="2:39">
      <c r="B26" s="145" t="str">
        <f>'Capital IQ Sheet-GPC'!C29</f>
        <v>Immuron Limited</v>
      </c>
      <c r="C26" s="148">
        <f>'Beta Calc'!R26</f>
        <v>39.200000000000003</v>
      </c>
      <c r="D26" s="1027"/>
      <c r="E26" s="147" t="s">
        <v>2660</v>
      </c>
      <c r="F26" s="1578" t="s">
        <v>2661</v>
      </c>
      <c r="G26" s="1027"/>
      <c r="H26" s="148">
        <f>'Capital IQ Sheet-GPC'!O29</f>
        <v>0.7</v>
      </c>
      <c r="I26" s="148">
        <f>'Capital IQ Sheet-GPC'!P29</f>
        <v>0.9</v>
      </c>
      <c r="J26" s="148">
        <f>'Capital IQ Sheet-GPC'!Q29</f>
        <v>1.3</v>
      </c>
      <c r="K26" s="1546"/>
      <c r="L26" s="148">
        <f>'Capital IQ Sheet-GPC'!R29</f>
        <v>0.9</v>
      </c>
      <c r="M26" s="148">
        <f>'Capital IQ Sheet-GPC'!S29</f>
        <v>1.3</v>
      </c>
      <c r="N26" s="148" t="str">
        <f>'Capital IQ Sheet-GPC'!T29</f>
        <v xml:space="preserve"> n/a </v>
      </c>
      <c r="O26" s="148" t="str">
        <f>'Capital IQ Sheet-GPC'!U29</f>
        <v xml:space="preserve"> n/a </v>
      </c>
      <c r="P26" s="148" t="str">
        <f>'Capital IQ Sheet-GPC'!V29</f>
        <v xml:space="preserve"> n/a </v>
      </c>
      <c r="Q26" s="1027"/>
      <c r="R26" s="150">
        <f t="shared" si="1"/>
        <v>56.000000000000007</v>
      </c>
      <c r="S26" s="150">
        <f t="shared" si="2"/>
        <v>43.555555555555557</v>
      </c>
      <c r="T26" s="150">
        <f t="shared" si="0"/>
        <v>30.153846153846153</v>
      </c>
      <c r="U26" s="1027"/>
      <c r="V26" s="150">
        <f t="shared" ref="V26:W29" si="11">IFERROR(IF(($C26/L26)&gt;$AD$6, "NM", IF(($C26/L26)&lt;$AF$6, "NM", $C26/L26)),"n/a")</f>
        <v>43.555555555555557</v>
      </c>
      <c r="W26" s="150">
        <f t="shared" si="11"/>
        <v>30.153846153846153</v>
      </c>
      <c r="X26" s="150" t="str">
        <f t="shared" si="5"/>
        <v>n/a</v>
      </c>
      <c r="Y26" s="150" t="str">
        <f t="shared" si="6"/>
        <v>n/a</v>
      </c>
      <c r="Z26" s="150" t="str">
        <f t="shared" si="7"/>
        <v>n/a</v>
      </c>
      <c r="AB26" s="1027" t="s">
        <v>2681</v>
      </c>
      <c r="AC26" s="386">
        <f>'Beta Calc'!K26</f>
        <v>39.700000000000003</v>
      </c>
      <c r="AD26" s="386">
        <f>'Beta Calc'!L26</f>
        <v>0</v>
      </c>
      <c r="AE26" s="386" t="str">
        <f>'Beta Calc'!M26</f>
        <v xml:space="preserve"> n/a </v>
      </c>
      <c r="AF26" s="386" t="str">
        <f>'Beta Calc'!N26</f>
        <v xml:space="preserve"> n/a </v>
      </c>
      <c r="AG26" s="386">
        <f t="shared" si="8"/>
        <v>0</v>
      </c>
      <c r="AH26" s="477">
        <f t="shared" si="9"/>
        <v>39.700000000000003</v>
      </c>
      <c r="AI26" s="386">
        <f>'Beta Calc'!Q26</f>
        <v>0.5</v>
      </c>
      <c r="AJ26" s="91">
        <f t="shared" si="10"/>
        <v>39.200000000000003</v>
      </c>
      <c r="AL26" s="92" t="str">
        <f>IF('MASTER PubCo Inputs'!C44="","",'MASTER PubCo Inputs'!C44)</f>
        <v>IQ7687411</v>
      </c>
      <c r="AM26" s="385" t="str">
        <f>'Capital IQ Sheet-GPC'!AP29</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7" spans="2:39">
      <c r="B27" s="487" t="str">
        <f>'Capital IQ Sheet-GPC'!C30</f>
        <v>AdAlta Limited</v>
      </c>
      <c r="C27" s="148">
        <f>'Beta Calc'!R27</f>
        <v>21.1</v>
      </c>
      <c r="D27" s="1027"/>
      <c r="E27" s="147" t="s">
        <v>2662</v>
      </c>
      <c r="F27" s="1578" t="s">
        <v>1</v>
      </c>
      <c r="G27" s="1027"/>
      <c r="H27" s="148">
        <f>'Capital IQ Sheet-GPC'!O30</f>
        <v>0.7</v>
      </c>
      <c r="I27" s="148">
        <f>'Capital IQ Sheet-GPC'!P30</f>
        <v>0.6</v>
      </c>
      <c r="J27" s="148">
        <f>'Capital IQ Sheet-GPC'!Q30</f>
        <v>1.4</v>
      </c>
      <c r="K27" s="1546"/>
      <c r="L27" s="148">
        <f>'Capital IQ Sheet-GPC'!R30</f>
        <v>0.6</v>
      </c>
      <c r="M27" s="148">
        <f>'Capital IQ Sheet-GPC'!S30</f>
        <v>1.4</v>
      </c>
      <c r="N27" s="148" t="str">
        <f>'Capital IQ Sheet-GPC'!T30</f>
        <v xml:space="preserve"> n/a </v>
      </c>
      <c r="O27" s="148" t="str">
        <f>'Capital IQ Sheet-GPC'!U30</f>
        <v xml:space="preserve"> n/a </v>
      </c>
      <c r="P27" s="148" t="str">
        <f>'Capital IQ Sheet-GPC'!V30</f>
        <v xml:space="preserve"> n/a </v>
      </c>
      <c r="Q27" s="1027"/>
      <c r="R27" s="150">
        <f t="shared" si="1"/>
        <v>30.142857142857146</v>
      </c>
      <c r="S27" s="150">
        <f t="shared" si="2"/>
        <v>35.166666666666671</v>
      </c>
      <c r="T27" s="150">
        <f t="shared" si="0"/>
        <v>15.071428571428573</v>
      </c>
      <c r="U27" s="1027"/>
      <c r="V27" s="150">
        <f t="shared" si="11"/>
        <v>35.166666666666671</v>
      </c>
      <c r="W27" s="150">
        <f t="shared" si="11"/>
        <v>15.071428571428573</v>
      </c>
      <c r="X27" s="150" t="str">
        <f t="shared" si="5"/>
        <v>n/a</v>
      </c>
      <c r="Y27" s="150" t="str">
        <f t="shared" si="6"/>
        <v>n/a</v>
      </c>
      <c r="Z27" s="150" t="str">
        <f t="shared" si="7"/>
        <v>n/a</v>
      </c>
      <c r="AB27" s="1027" t="s">
        <v>2682</v>
      </c>
      <c r="AC27" s="386">
        <f>'Beta Calc'!K27</f>
        <v>25.2</v>
      </c>
      <c r="AD27" s="386" t="str">
        <f>'Beta Calc'!L27</f>
        <v xml:space="preserve"> -   </v>
      </c>
      <c r="AE27" s="386" t="str">
        <f>'Beta Calc'!M27</f>
        <v xml:space="preserve"> n/a </v>
      </c>
      <c r="AF27" s="386" t="str">
        <f>'Beta Calc'!N27</f>
        <v xml:space="preserve"> n/a </v>
      </c>
      <c r="AG27" s="386">
        <f t="shared" si="8"/>
        <v>0</v>
      </c>
      <c r="AH27" s="477">
        <f t="shared" si="9"/>
        <v>25.2</v>
      </c>
      <c r="AI27" s="386">
        <f>'Beta Calc'!Q27</f>
        <v>4.0999999999999996</v>
      </c>
      <c r="AJ27" s="91">
        <f t="shared" si="10"/>
        <v>21.1</v>
      </c>
      <c r="AL27" s="92" t="str">
        <f>IF('MASTER PubCo Inputs'!C45="","",'MASTER PubCo Inputs'!C45)</f>
        <v>IQ61120709</v>
      </c>
      <c r="AM27" s="385" t="str">
        <f>'Capital IQ Sheet-GPC'!AP30</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8" spans="2:39" ht="25.5">
      <c r="B28" s="487" t="str">
        <f>'Capital IQ Sheet-GPC'!C31</f>
        <v>Pulmatrix, Inc.</v>
      </c>
      <c r="C28" s="148">
        <f>'Beta Calc'!R28</f>
        <v>20.2</v>
      </c>
      <c r="D28" s="1027"/>
      <c r="E28" s="147" t="s">
        <v>2663</v>
      </c>
      <c r="F28" s="1578" t="s">
        <v>412</v>
      </c>
      <c r="G28" s="1027"/>
      <c r="H28" s="148">
        <f>'Capital IQ Sheet-GPC'!O31</f>
        <v>1.5</v>
      </c>
      <c r="I28" s="148">
        <f>'Capital IQ Sheet-GPC'!P31</f>
        <v>0.4</v>
      </c>
      <c r="J28" s="148">
        <f>'Capital IQ Sheet-GPC'!Q31</f>
        <v>0.5</v>
      </c>
      <c r="K28" s="1546"/>
      <c r="L28" s="148">
        <f>'Capital IQ Sheet-GPC'!R31</f>
        <v>0.8</v>
      </c>
      <c r="M28" s="148">
        <f>'Capital IQ Sheet-GPC'!S31</f>
        <v>0.3</v>
      </c>
      <c r="N28" s="148">
        <f>'Capital IQ Sheet-GPC'!T31</f>
        <v>1.2</v>
      </c>
      <c r="O28" s="148" t="str">
        <f>'Capital IQ Sheet-GPC'!U31</f>
        <v xml:space="preserve"> n/a </v>
      </c>
      <c r="P28" s="148">
        <f>'Capital IQ Sheet-GPC'!V31</f>
        <v>39.5</v>
      </c>
      <c r="Q28" s="1027"/>
      <c r="R28" s="150">
        <f t="shared" si="1"/>
        <v>13.466666666666667</v>
      </c>
      <c r="S28" s="150">
        <f t="shared" si="2"/>
        <v>50.499999999999993</v>
      </c>
      <c r="T28" s="150">
        <f t="shared" si="0"/>
        <v>40.4</v>
      </c>
      <c r="U28" s="1027"/>
      <c r="V28" s="150">
        <f t="shared" si="11"/>
        <v>25.249999999999996</v>
      </c>
      <c r="W28" s="150">
        <f t="shared" si="11"/>
        <v>67.333333333333329</v>
      </c>
      <c r="X28" s="150">
        <f t="shared" si="5"/>
        <v>16.833333333333332</v>
      </c>
      <c r="Y28" s="150" t="str">
        <f t="shared" si="6"/>
        <v>n/a</v>
      </c>
      <c r="Z28" s="150">
        <f t="shared" si="7"/>
        <v>0.51139240506329109</v>
      </c>
      <c r="AB28" s="1027" t="s">
        <v>2683</v>
      </c>
      <c r="AC28" s="386">
        <f>'Beta Calc'!K28</f>
        <v>19.3</v>
      </c>
      <c r="AD28" s="386">
        <f>'Beta Calc'!L28</f>
        <v>2.5</v>
      </c>
      <c r="AE28" s="386" t="str">
        <f>'Beta Calc'!M28</f>
        <v xml:space="preserve"> n/a </v>
      </c>
      <c r="AF28" s="386" t="str">
        <f>'Beta Calc'!N28</f>
        <v xml:space="preserve"> n/a </v>
      </c>
      <c r="AG28" s="386">
        <f t="shared" si="8"/>
        <v>2.5</v>
      </c>
      <c r="AH28" s="477">
        <f t="shared" si="9"/>
        <v>21.8</v>
      </c>
      <c r="AI28" s="386">
        <f>'Beta Calc'!Q28</f>
        <v>1.6</v>
      </c>
      <c r="AJ28" s="91">
        <f t="shared" si="10"/>
        <v>20.2</v>
      </c>
      <c r="AL28" s="92" t="str">
        <f>IF('MASTER PubCo Inputs'!C46="","",'MASTER PubCo Inputs'!C46)</f>
        <v>IQ26897567</v>
      </c>
      <c r="AM28" s="385" t="str">
        <f>'Capital IQ Sheet-GPC'!AP31</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9" spans="2:39" ht="25.5">
      <c r="B29" s="487" t="str">
        <f>'Capital IQ Sheet-GPC'!C32</f>
        <v>AmpliPhi Biosciences Corporation</v>
      </c>
      <c r="C29" s="148">
        <f>'Beta Calc'!R29</f>
        <v>8.3000000000000007</v>
      </c>
      <c r="D29" s="1027"/>
      <c r="E29" s="147" t="s">
        <v>2664</v>
      </c>
      <c r="F29" s="1578" t="s">
        <v>1</v>
      </c>
      <c r="G29" s="1027"/>
      <c r="H29" s="148">
        <f>'Capital IQ Sheet-GPC'!O32</f>
        <v>0.5</v>
      </c>
      <c r="I29" s="148">
        <f>'Capital IQ Sheet-GPC'!P32</f>
        <v>0.2</v>
      </c>
      <c r="J29" s="148">
        <f>'Capital IQ Sheet-GPC'!Q32</f>
        <v>0.1</v>
      </c>
      <c r="K29" s="1546"/>
      <c r="L29" s="148">
        <f>'Capital IQ Sheet-GPC'!R32</f>
        <v>0.3</v>
      </c>
      <c r="M29" s="148">
        <f>'Capital IQ Sheet-GPC'!S32</f>
        <v>0.1</v>
      </c>
      <c r="N29" s="148">
        <f>'Capital IQ Sheet-GPC'!T32</f>
        <v>0.2</v>
      </c>
      <c r="O29" s="148">
        <f>'Capital IQ Sheet-GPC'!U32</f>
        <v>0.2</v>
      </c>
      <c r="P29" s="148">
        <f>'Capital IQ Sheet-GPC'!V32</f>
        <v>8.9</v>
      </c>
      <c r="Q29" s="1027"/>
      <c r="R29" s="150">
        <f t="shared" si="1"/>
        <v>16.600000000000001</v>
      </c>
      <c r="S29" s="150">
        <f t="shared" si="2"/>
        <v>41.5</v>
      </c>
      <c r="T29" s="150">
        <f t="shared" si="0"/>
        <v>83</v>
      </c>
      <c r="U29" s="1027"/>
      <c r="V29" s="150">
        <f t="shared" si="11"/>
        <v>27.666666666666671</v>
      </c>
      <c r="W29" s="150">
        <f t="shared" si="11"/>
        <v>83</v>
      </c>
      <c r="X29" s="150">
        <f t="shared" si="5"/>
        <v>41.5</v>
      </c>
      <c r="Y29" s="150">
        <f t="shared" si="6"/>
        <v>41.5</v>
      </c>
      <c r="Z29" s="150">
        <f t="shared" si="7"/>
        <v>0.93258426966292141</v>
      </c>
      <c r="AB29" s="1027" t="s">
        <v>2684</v>
      </c>
      <c r="AC29" s="386">
        <f>'Beta Calc'!K29</f>
        <v>16.5</v>
      </c>
      <c r="AD29" s="386" t="str">
        <f>'Beta Calc'!L29</f>
        <v xml:space="preserve"> -   </v>
      </c>
      <c r="AE29" s="386" t="str">
        <f>'Beta Calc'!M29</f>
        <v xml:space="preserve"> n/a </v>
      </c>
      <c r="AF29" s="386" t="str">
        <f>'Beta Calc'!N29</f>
        <v xml:space="preserve"> n/a </v>
      </c>
      <c r="AG29" s="386">
        <f t="shared" si="8"/>
        <v>0</v>
      </c>
      <c r="AH29" s="477">
        <f t="shared" si="9"/>
        <v>16.5</v>
      </c>
      <c r="AI29" s="386">
        <f>'Beta Calc'!Q29</f>
        <v>8.1999999999999993</v>
      </c>
      <c r="AJ29" s="91">
        <f t="shared" si="10"/>
        <v>8.3000000000000007</v>
      </c>
      <c r="AL29" s="92" t="str">
        <f>IF('MASTER PubCo Inputs'!C47="","",'MASTER PubCo Inputs'!C47)</f>
        <v>IQ35106</v>
      </c>
      <c r="AM29" s="385" t="str">
        <f>'Capital IQ Sheet-GPC'!AP32</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0" spans="2:39" ht="12.75" hidden="1" customHeight="1" outlineLevel="1">
      <c r="B30" s="145"/>
      <c r="C30" s="148"/>
      <c r="D30" s="1027"/>
      <c r="E30" s="147"/>
      <c r="F30" s="1578"/>
      <c r="G30" s="1027"/>
      <c r="H30" s="148"/>
      <c r="I30" s="148"/>
      <c r="J30" s="148"/>
      <c r="K30" s="1546"/>
      <c r="L30" s="148"/>
      <c r="M30" s="148"/>
      <c r="N30" s="148"/>
      <c r="O30" s="148"/>
      <c r="P30" s="148"/>
      <c r="Q30" s="1027"/>
      <c r="R30" s="150"/>
      <c r="S30" s="150"/>
      <c r="T30" s="150"/>
      <c r="U30" s="1027"/>
      <c r="V30" s="150"/>
      <c r="W30" s="150"/>
      <c r="X30" s="150"/>
      <c r="Y30" s="150"/>
      <c r="Z30" s="150"/>
      <c r="AB30" s="1027"/>
      <c r="AC30" s="386"/>
      <c r="AD30" s="386"/>
      <c r="AE30" s="386"/>
      <c r="AF30" s="386"/>
      <c r="AG30" s="386"/>
      <c r="AH30" s="477"/>
      <c r="AI30" s="386"/>
      <c r="AJ30" s="91"/>
      <c r="AL30" s="92"/>
    </row>
    <row r="31" spans="2:39" hidden="1" outlineLevel="1">
      <c r="B31" s="145"/>
      <c r="C31" s="148"/>
      <c r="D31" s="1027"/>
      <c r="E31" s="147"/>
      <c r="F31" s="1578"/>
      <c r="G31" s="1027"/>
      <c r="H31" s="148"/>
      <c r="I31" s="148"/>
      <c r="J31" s="148"/>
      <c r="K31" s="1546"/>
      <c r="L31" s="148"/>
      <c r="M31" s="148"/>
      <c r="N31" s="148"/>
      <c r="O31" s="148"/>
      <c r="P31" s="148"/>
      <c r="Q31" s="1027"/>
      <c r="R31" s="150"/>
      <c r="S31" s="150"/>
      <c r="T31" s="150"/>
      <c r="U31" s="1027"/>
      <c r="V31" s="150"/>
      <c r="W31" s="150"/>
      <c r="X31" s="150"/>
      <c r="Y31" s="150"/>
      <c r="Z31" s="150"/>
      <c r="AB31" s="1027"/>
      <c r="AC31" s="386"/>
      <c r="AD31" s="386"/>
      <c r="AE31" s="386"/>
      <c r="AF31" s="386"/>
      <c r="AG31" s="386"/>
      <c r="AH31" s="477"/>
      <c r="AI31" s="386"/>
      <c r="AJ31" s="91"/>
      <c r="AL31" s="92"/>
    </row>
    <row r="32" spans="2:39" hidden="1" outlineLevel="1">
      <c r="B32" s="1027"/>
      <c r="C32" s="148"/>
      <c r="D32" s="1027"/>
      <c r="E32" s="147"/>
      <c r="F32" s="1578"/>
      <c r="G32" s="1027"/>
      <c r="H32" s="148"/>
      <c r="I32" s="148"/>
      <c r="J32" s="148"/>
      <c r="K32" s="1546"/>
      <c r="L32" s="148"/>
      <c r="M32" s="148"/>
      <c r="N32" s="148"/>
      <c r="O32" s="148"/>
      <c r="P32" s="148"/>
      <c r="Q32" s="1027"/>
      <c r="R32" s="150"/>
      <c r="S32" s="150"/>
      <c r="T32" s="150"/>
      <c r="U32" s="1027"/>
      <c r="V32" s="150"/>
      <c r="W32" s="150"/>
      <c r="X32" s="150"/>
      <c r="Y32" s="150"/>
      <c r="Z32" s="150"/>
      <c r="AC32" s="386"/>
      <c r="AD32" s="386"/>
      <c r="AE32" s="386"/>
      <c r="AF32" s="386"/>
      <c r="AG32" s="386"/>
      <c r="AH32" s="477"/>
      <c r="AI32" s="386"/>
      <c r="AJ32" s="91"/>
      <c r="AL32" s="92"/>
    </row>
    <row r="33" spans="2:39" hidden="1" outlineLevel="1">
      <c r="B33" s="1027"/>
      <c r="C33" s="148"/>
      <c r="D33" s="1027"/>
      <c r="E33" s="147"/>
      <c r="F33" s="1578"/>
      <c r="G33" s="1027"/>
      <c r="H33" s="148"/>
      <c r="I33" s="148"/>
      <c r="J33" s="148"/>
      <c r="K33" s="1546"/>
      <c r="L33" s="148"/>
      <c r="M33" s="148"/>
      <c r="N33" s="148"/>
      <c r="O33" s="148"/>
      <c r="P33" s="148"/>
      <c r="Q33" s="1027"/>
      <c r="R33" s="150"/>
      <c r="S33" s="150"/>
      <c r="T33" s="150"/>
      <c r="U33" s="1027"/>
      <c r="V33" s="150"/>
      <c r="W33" s="150"/>
      <c r="X33" s="150"/>
      <c r="Y33" s="150"/>
      <c r="Z33" s="150"/>
      <c r="AC33" s="386"/>
      <c r="AD33" s="386"/>
      <c r="AE33" s="386"/>
      <c r="AF33" s="386"/>
      <c r="AG33" s="386"/>
      <c r="AH33" s="477"/>
      <c r="AI33" s="386"/>
      <c r="AJ33" s="91"/>
      <c r="AL33" s="92"/>
    </row>
    <row r="34" spans="2:39" hidden="1" outlineLevel="1">
      <c r="B34" s="1027"/>
      <c r="C34" s="148"/>
      <c r="D34" s="1027"/>
      <c r="E34" s="147"/>
      <c r="F34" s="1578"/>
      <c r="G34" s="1027"/>
      <c r="H34" s="148"/>
      <c r="I34" s="148"/>
      <c r="J34" s="148"/>
      <c r="K34" s="1546"/>
      <c r="L34" s="148"/>
      <c r="M34" s="148"/>
      <c r="N34" s="148"/>
      <c r="O34" s="148"/>
      <c r="P34" s="148"/>
      <c r="Q34" s="1027"/>
      <c r="R34" s="150"/>
      <c r="S34" s="150"/>
      <c r="T34" s="150"/>
      <c r="U34" s="1027"/>
      <c r="V34" s="150"/>
      <c r="W34" s="150"/>
      <c r="X34" s="150"/>
      <c r="Y34" s="150"/>
      <c r="Z34" s="150"/>
      <c r="AC34" s="386"/>
      <c r="AD34" s="386"/>
      <c r="AE34" s="386"/>
      <c r="AF34" s="386"/>
      <c r="AG34" s="386"/>
      <c r="AH34" s="477"/>
      <c r="AI34" s="386"/>
      <c r="AJ34" s="91"/>
      <c r="AL34" s="92"/>
    </row>
    <row r="35" spans="2:39" hidden="1" outlineLevel="1">
      <c r="B35" s="1027"/>
      <c r="C35" s="148"/>
      <c r="D35" s="1027"/>
      <c r="E35" s="147"/>
      <c r="F35" s="1578"/>
      <c r="G35" s="1027"/>
      <c r="H35" s="148"/>
      <c r="I35" s="148"/>
      <c r="J35" s="148"/>
      <c r="K35" s="1546"/>
      <c r="L35" s="148"/>
      <c r="M35" s="148"/>
      <c r="N35" s="148"/>
      <c r="O35" s="148"/>
      <c r="P35" s="148"/>
      <c r="Q35" s="1027"/>
      <c r="R35" s="150"/>
      <c r="S35" s="150"/>
      <c r="T35" s="150"/>
      <c r="U35" s="1027"/>
      <c r="V35" s="150"/>
      <c r="W35" s="150"/>
      <c r="X35" s="150"/>
      <c r="Y35" s="150"/>
      <c r="Z35" s="150"/>
      <c r="AC35" s="386"/>
      <c r="AD35" s="386"/>
      <c r="AE35" s="386"/>
      <c r="AF35" s="386"/>
      <c r="AG35" s="386"/>
      <c r="AH35" s="477"/>
      <c r="AI35" s="386"/>
      <c r="AJ35" s="91"/>
      <c r="AL35" s="92"/>
    </row>
    <row r="36" spans="2:39" ht="12.75" hidden="1" customHeight="1" outlineLevel="1">
      <c r="C36" s="91"/>
      <c r="H36" s="91"/>
      <c r="I36" s="91"/>
      <c r="J36" s="91"/>
      <c r="K36" s="386"/>
      <c r="L36" s="91"/>
      <c r="M36" s="91"/>
      <c r="N36" s="91"/>
      <c r="O36" s="91"/>
      <c r="P36" s="91"/>
      <c r="R36" s="89"/>
      <c r="S36" s="89"/>
      <c r="T36" s="89"/>
      <c r="V36" s="89"/>
      <c r="W36" s="89"/>
      <c r="X36" s="89"/>
      <c r="Y36" s="89"/>
      <c r="Z36" s="89"/>
      <c r="AC36" s="386">
        <f>'Beta Calc'!K36</f>
        <v>0</v>
      </c>
      <c r="AD36" s="386">
        <f>'Beta Calc'!L36</f>
        <v>0</v>
      </c>
      <c r="AE36" s="386">
        <f>'Beta Calc'!M36</f>
        <v>0</v>
      </c>
      <c r="AF36" s="386">
        <f>'Beta Calc'!N36</f>
        <v>0</v>
      </c>
      <c r="AG36" s="386">
        <f t="shared" si="8"/>
        <v>0</v>
      </c>
      <c r="AH36" s="477">
        <f t="shared" si="9"/>
        <v>0</v>
      </c>
      <c r="AI36" s="386">
        <f>'Beta Calc'!Q36</f>
        <v>0</v>
      </c>
      <c r="AJ36" s="91">
        <f t="shared" si="10"/>
        <v>0</v>
      </c>
      <c r="AL36" s="92" t="str">
        <f>IF('MASTER PubCo Inputs'!C54="","",'MASTER PubCo Inputs'!C54)</f>
        <v/>
      </c>
      <c r="AM36" s="385" t="str">
        <f>'Capital IQ Sheet-GPC'!AP39</f>
        <v>(Invalid Identifier)</v>
      </c>
    </row>
    <row r="37" spans="2:39" ht="12.75" hidden="1" customHeight="1" outlineLevel="1">
      <c r="C37" s="91"/>
      <c r="H37" s="91"/>
      <c r="I37" s="91"/>
      <c r="J37" s="91"/>
      <c r="K37" s="386"/>
      <c r="L37" s="91"/>
      <c r="M37" s="91"/>
      <c r="N37" s="91"/>
      <c r="O37" s="91"/>
      <c r="P37" s="91"/>
      <c r="R37" s="89"/>
      <c r="S37" s="89"/>
      <c r="T37" s="89"/>
      <c r="V37" s="89"/>
      <c r="W37" s="89"/>
      <c r="X37" s="89"/>
      <c r="Y37" s="89"/>
      <c r="Z37" s="89"/>
      <c r="AC37" s="386">
        <f>'Beta Calc'!K37</f>
        <v>0</v>
      </c>
      <c r="AD37" s="386">
        <f>'Beta Calc'!L37</f>
        <v>0</v>
      </c>
      <c r="AE37" s="386">
        <f>'Beta Calc'!M37</f>
        <v>0</v>
      </c>
      <c r="AF37" s="386">
        <f>'Beta Calc'!N37</f>
        <v>0</v>
      </c>
      <c r="AG37" s="386">
        <f t="shared" si="8"/>
        <v>0</v>
      </c>
      <c r="AH37" s="477">
        <f t="shared" si="9"/>
        <v>0</v>
      </c>
      <c r="AI37" s="386">
        <f>'Beta Calc'!Q37</f>
        <v>0</v>
      </c>
      <c r="AJ37" s="91">
        <f t="shared" si="10"/>
        <v>0</v>
      </c>
      <c r="AL37" s="92" t="str">
        <f>IF('MASTER PubCo Inputs'!C55="","",'MASTER PubCo Inputs'!C55)</f>
        <v/>
      </c>
      <c r="AM37" s="385" t="str">
        <f>'Capital IQ Sheet-GPC'!AP40</f>
        <v>(Invalid Identifier)</v>
      </c>
    </row>
    <row r="38" spans="2:39" ht="12.75" hidden="1" customHeight="1" outlineLevel="1">
      <c r="C38" s="91"/>
      <c r="H38" s="91"/>
      <c r="I38" s="91"/>
      <c r="J38" s="91"/>
      <c r="K38" s="386"/>
      <c r="L38" s="91"/>
      <c r="M38" s="91"/>
      <c r="N38" s="91"/>
      <c r="O38" s="91"/>
      <c r="P38" s="91"/>
      <c r="R38" s="89"/>
      <c r="S38" s="89"/>
      <c r="T38" s="89"/>
      <c r="V38" s="89"/>
      <c r="W38" s="89"/>
      <c r="X38" s="89"/>
      <c r="Y38" s="89"/>
      <c r="Z38" s="89"/>
      <c r="AC38" s="386">
        <f>'Beta Calc'!K38</f>
        <v>0</v>
      </c>
      <c r="AD38" s="386">
        <f>'Beta Calc'!L38</f>
        <v>0</v>
      </c>
      <c r="AE38" s="386">
        <f>'Beta Calc'!M38</f>
        <v>0</v>
      </c>
      <c r="AF38" s="386">
        <f>'Beta Calc'!N38</f>
        <v>0</v>
      </c>
      <c r="AG38" s="386">
        <f t="shared" si="8"/>
        <v>0</v>
      </c>
      <c r="AH38" s="477">
        <f t="shared" si="9"/>
        <v>0</v>
      </c>
      <c r="AI38" s="386">
        <f>'Beta Calc'!Q38</f>
        <v>0</v>
      </c>
      <c r="AJ38" s="91">
        <f t="shared" si="10"/>
        <v>0</v>
      </c>
      <c r="AL38" s="92" t="str">
        <f>IF('MASTER PubCo Inputs'!C56="","",'MASTER PubCo Inputs'!C56)</f>
        <v/>
      </c>
      <c r="AM38" s="385" t="str">
        <f>'Capital IQ Sheet-GPC'!AP41</f>
        <v>(Invalid Identifier)</v>
      </c>
    </row>
    <row r="39" spans="2:39" ht="12.75" hidden="1" customHeight="1" outlineLevel="1">
      <c r="C39" s="91"/>
      <c r="H39" s="91"/>
      <c r="I39" s="91"/>
      <c r="J39" s="91"/>
      <c r="K39" s="386"/>
      <c r="L39" s="91"/>
      <c r="M39" s="91"/>
      <c r="N39" s="91"/>
      <c r="O39" s="91"/>
      <c r="P39" s="91"/>
      <c r="R39" s="89"/>
      <c r="S39" s="89"/>
      <c r="T39" s="89"/>
      <c r="V39" s="89"/>
      <c r="W39" s="89"/>
      <c r="X39" s="89"/>
      <c r="Y39" s="89"/>
      <c r="Z39" s="89"/>
      <c r="AC39" s="386">
        <f>'Beta Calc'!K39</f>
        <v>0</v>
      </c>
      <c r="AD39" s="386">
        <f>'Beta Calc'!L39</f>
        <v>0</v>
      </c>
      <c r="AE39" s="386">
        <f>'Beta Calc'!M39</f>
        <v>0</v>
      </c>
      <c r="AF39" s="386">
        <f>'Beta Calc'!N39</f>
        <v>0</v>
      </c>
      <c r="AG39" s="386">
        <f t="shared" si="8"/>
        <v>0</v>
      </c>
      <c r="AH39" s="477">
        <f t="shared" si="9"/>
        <v>0</v>
      </c>
      <c r="AI39" s="386">
        <f>'Beta Calc'!Q39</f>
        <v>0</v>
      </c>
      <c r="AJ39" s="91">
        <f t="shared" si="10"/>
        <v>0</v>
      </c>
      <c r="AL39" s="92" t="str">
        <f>IF('MASTER PubCo Inputs'!C57="","",'MASTER PubCo Inputs'!C57)</f>
        <v/>
      </c>
      <c r="AM39" s="385" t="str">
        <f>'Capital IQ Sheet-GPC'!AP42</f>
        <v>(Invalid Identifier)</v>
      </c>
    </row>
    <row r="40" spans="2:39" ht="12.75" customHeight="1" collapsed="1">
      <c r="C40" s="386"/>
      <c r="H40" s="386"/>
      <c r="I40" s="386"/>
      <c r="J40" s="386"/>
      <c r="K40" s="386"/>
      <c r="L40" s="386"/>
      <c r="M40" s="386"/>
      <c r="N40" s="386"/>
      <c r="O40" s="386"/>
      <c r="P40" s="386"/>
    </row>
    <row r="41" spans="2:39" ht="12.75" customHeight="1">
      <c r="B41" s="69" t="s">
        <v>46</v>
      </c>
      <c r="C41" s="125">
        <f>MAX(C10:C39)</f>
        <v>42428.399999999994</v>
      </c>
      <c r="D41" s="70"/>
      <c r="E41" s="998"/>
      <c r="F41" s="998"/>
      <c r="G41" s="998"/>
      <c r="H41" s="125">
        <f t="shared" ref="H41:I41" si="12">MAX(H10:H39)</f>
        <v>1557.4</v>
      </c>
      <c r="I41" s="125">
        <f t="shared" si="12"/>
        <v>2131.3000000000002</v>
      </c>
      <c r="J41" s="125">
        <f>MAX(J10:J39)</f>
        <v>2622.8</v>
      </c>
      <c r="K41" s="125"/>
      <c r="L41" s="125">
        <f t="shared" ref="L41:P41" si="13">MAX(L10:L39)</f>
        <v>1702.2</v>
      </c>
      <c r="M41" s="125">
        <f t="shared" si="13"/>
        <v>2488.6999999999998</v>
      </c>
      <c r="N41" s="125">
        <f t="shared" si="13"/>
        <v>2997.6</v>
      </c>
      <c r="O41" s="125">
        <f t="shared" si="13"/>
        <v>3569.8</v>
      </c>
      <c r="P41" s="125">
        <f t="shared" si="13"/>
        <v>4332.2</v>
      </c>
      <c r="Q41" s="126"/>
      <c r="R41" s="96">
        <f t="shared" ref="R41:S41" si="14">MAX(R10:R39)</f>
        <v>1479.8888888888889</v>
      </c>
      <c r="S41" s="96">
        <f t="shared" si="14"/>
        <v>808.25</v>
      </c>
      <c r="T41" s="96">
        <f>MAX(T10:T39)</f>
        <v>96.904761904761898</v>
      </c>
      <c r="U41" s="126"/>
      <c r="V41" s="96">
        <f t="shared" ref="V41:Z41" si="15">MAX(V10:V39)</f>
        <v>96</v>
      </c>
      <c r="W41" s="96">
        <f t="shared" si="15"/>
        <v>93.787499999999994</v>
      </c>
      <c r="X41" s="96">
        <f t="shared" si="15"/>
        <v>94.974683544303787</v>
      </c>
      <c r="Y41" s="96">
        <f t="shared" si="15"/>
        <v>78.02000000000001</v>
      </c>
      <c r="Z41" s="127">
        <f t="shared" si="15"/>
        <v>52.75</v>
      </c>
      <c r="AA41" s="48"/>
      <c r="AB41" s="1027"/>
      <c r="AC41" s="48"/>
    </row>
    <row r="42" spans="2:39" ht="12.75" customHeight="1">
      <c r="B42" s="97" t="s">
        <v>50</v>
      </c>
      <c r="C42" s="99">
        <f>QUARTILE(C10:C39,3)</f>
        <v>1775.65</v>
      </c>
      <c r="D42" s="75"/>
      <c r="E42" s="75"/>
      <c r="F42" s="75"/>
      <c r="G42" s="75"/>
      <c r="H42" s="99">
        <f t="shared" ref="H42:I42" si="16">QUARTILE(H10:H39,3)</f>
        <v>37.700000000000003</v>
      </c>
      <c r="I42" s="99">
        <f t="shared" si="16"/>
        <v>27.9</v>
      </c>
      <c r="J42" s="99">
        <f>QUARTILE(J10:J39,3)</f>
        <v>83.15</v>
      </c>
      <c r="K42" s="99"/>
      <c r="L42" s="99">
        <f t="shared" ref="L42:P42" si="17">QUARTILE(L10:L39,3)</f>
        <v>25.274999999999999</v>
      </c>
      <c r="M42" s="99">
        <f t="shared" si="17"/>
        <v>80.550000000000011</v>
      </c>
      <c r="N42" s="99">
        <f t="shared" si="17"/>
        <v>144.625</v>
      </c>
      <c r="O42" s="99">
        <f t="shared" si="17"/>
        <v>207.85</v>
      </c>
      <c r="P42" s="99">
        <f t="shared" si="17"/>
        <v>265.625</v>
      </c>
      <c r="Q42" s="128"/>
      <c r="R42" s="98">
        <f t="shared" ref="R42:S42" si="18">QUARTILE(R10:R39,3)</f>
        <v>69.852614896988896</v>
      </c>
      <c r="S42" s="98">
        <f t="shared" si="18"/>
        <v>78.508928571428569</v>
      </c>
      <c r="T42" s="98">
        <f>QUARTILE(T10:T39,3)</f>
        <v>54.943661971830991</v>
      </c>
      <c r="U42" s="128"/>
      <c r="V42" s="98">
        <f t="shared" ref="V42:Z42" si="19">QUARTILE(V10:V39,3)</f>
        <v>39.86349206349206</v>
      </c>
      <c r="W42" s="98">
        <f t="shared" si="19"/>
        <v>67.333333333333329</v>
      </c>
      <c r="X42" s="98">
        <f t="shared" si="19"/>
        <v>44.412790697674424</v>
      </c>
      <c r="Y42" s="98">
        <f t="shared" si="19"/>
        <v>48.271739130434781</v>
      </c>
      <c r="Z42" s="129">
        <f t="shared" si="19"/>
        <v>12.067104576803661</v>
      </c>
      <c r="AA42" s="48"/>
      <c r="AB42" s="48"/>
      <c r="AC42" s="48"/>
    </row>
    <row r="43" spans="2:39" ht="12.75" customHeight="1">
      <c r="B43" s="97" t="s">
        <v>48</v>
      </c>
      <c r="C43" s="99">
        <f>AVERAGE(C10:C39)</f>
        <v>3113.4649999999992</v>
      </c>
      <c r="D43" s="75"/>
      <c r="E43" s="75"/>
      <c r="F43" s="75"/>
      <c r="G43" s="75"/>
      <c r="H43" s="99">
        <f t="shared" ref="H43:I43" si="20">AVERAGE(H10:H39)</f>
        <v>143.86923076923077</v>
      </c>
      <c r="I43" s="99">
        <f t="shared" si="20"/>
        <v>162.125</v>
      </c>
      <c r="J43" s="99">
        <f>AVERAGE(J10:J39)</f>
        <v>210.94</v>
      </c>
      <c r="K43" s="99"/>
      <c r="L43" s="99">
        <f t="shared" ref="L43:P43" si="21">AVERAGE(L10:L39)</f>
        <v>131.95625000000004</v>
      </c>
      <c r="M43" s="99">
        <f t="shared" si="21"/>
        <v>199.99333333333334</v>
      </c>
      <c r="N43" s="99">
        <f t="shared" si="21"/>
        <v>259.75</v>
      </c>
      <c r="O43" s="99">
        <f t="shared" si="21"/>
        <v>327.31428571428569</v>
      </c>
      <c r="P43" s="99">
        <f t="shared" si="21"/>
        <v>414.11428571428559</v>
      </c>
      <c r="Q43" s="128"/>
      <c r="R43" s="98">
        <f t="shared" ref="R43:S43" si="22">AVERAGE(R10:R39)</f>
        <v>166.60583409282674</v>
      </c>
      <c r="S43" s="98">
        <f t="shared" si="22"/>
        <v>115.09272212426846</v>
      </c>
      <c r="T43" s="98">
        <f>AVERAGE(T10:T39)</f>
        <v>40.275235628020532</v>
      </c>
      <c r="U43" s="128"/>
      <c r="V43" s="98">
        <f t="shared" ref="V43:Z43" si="23">AVERAGE(V10:V39)</f>
        <v>39.500447923717985</v>
      </c>
      <c r="W43" s="98">
        <f t="shared" si="23"/>
        <v>41.281371655945421</v>
      </c>
      <c r="X43" s="98">
        <f t="shared" si="23"/>
        <v>32.670380107273743</v>
      </c>
      <c r="Y43" s="98">
        <f t="shared" si="23"/>
        <v>31.167780134714704</v>
      </c>
      <c r="Z43" s="129">
        <f t="shared" si="23"/>
        <v>11.340057910130957</v>
      </c>
      <c r="AA43" s="48"/>
      <c r="AB43" s="48"/>
      <c r="AC43" s="48"/>
    </row>
    <row r="44" spans="2:39" ht="12.75" customHeight="1">
      <c r="B44" s="97" t="s">
        <v>3</v>
      </c>
      <c r="C44" s="99">
        <f>MEDIAN(C10:C39)</f>
        <v>298.75</v>
      </c>
      <c r="D44" s="75"/>
      <c r="E44" s="75"/>
      <c r="F44" s="75"/>
      <c r="G44" s="75"/>
      <c r="H44" s="99">
        <f t="shared" ref="H44:I44" si="24">MEDIAN(H10:H39)</f>
        <v>3.5</v>
      </c>
      <c r="I44" s="99">
        <f t="shared" si="24"/>
        <v>2.9</v>
      </c>
      <c r="J44" s="99">
        <f>MEDIAN(J10:J39)</f>
        <v>7.1</v>
      </c>
      <c r="K44" s="99"/>
      <c r="L44" s="99">
        <f t="shared" ref="L44:P44" si="25">MEDIAN(L10:L39)</f>
        <v>1.7999999999999998</v>
      </c>
      <c r="M44" s="99">
        <f t="shared" si="25"/>
        <v>4</v>
      </c>
      <c r="N44" s="99">
        <f t="shared" si="25"/>
        <v>5.0999999999999996</v>
      </c>
      <c r="O44" s="99">
        <f t="shared" si="25"/>
        <v>5.3</v>
      </c>
      <c r="P44" s="99">
        <f t="shared" si="25"/>
        <v>51.4</v>
      </c>
      <c r="Q44" s="128"/>
      <c r="R44" s="98">
        <f t="shared" ref="R44:S44" si="26">MEDIAN(R10:R39)</f>
        <v>30.142857142857146</v>
      </c>
      <c r="S44" s="98">
        <f t="shared" si="26"/>
        <v>42.87777777777778</v>
      </c>
      <c r="T44" s="98">
        <f>MEDIAN(T10:T39)</f>
        <v>30.153846153846153</v>
      </c>
      <c r="U44" s="128"/>
      <c r="V44" s="98">
        <f t="shared" ref="V44:Z44" si="27">MEDIAN(V10:V39)</f>
        <v>27.666666666666671</v>
      </c>
      <c r="W44" s="98">
        <f t="shared" si="27"/>
        <v>31.65</v>
      </c>
      <c r="X44" s="98">
        <f t="shared" si="27"/>
        <v>21.457627118644066</v>
      </c>
      <c r="Y44" s="98">
        <f t="shared" si="27"/>
        <v>21.790868924889541</v>
      </c>
      <c r="Z44" s="129">
        <f t="shared" si="27"/>
        <v>9.085993306830364</v>
      </c>
      <c r="AA44" s="48"/>
      <c r="AB44" s="48"/>
      <c r="AC44" s="48"/>
    </row>
    <row r="45" spans="2:39" ht="12.75" customHeight="1">
      <c r="B45" s="97" t="s">
        <v>49</v>
      </c>
      <c r="C45" s="99">
        <f>QUARTILE(C10:C39,1)</f>
        <v>110.5</v>
      </c>
      <c r="D45" s="75"/>
      <c r="E45" s="75"/>
      <c r="F45" s="75"/>
      <c r="G45" s="75"/>
      <c r="H45" s="99">
        <f t="shared" ref="H45:I45" si="28">QUARTILE(H10:H39,1)</f>
        <v>1</v>
      </c>
      <c r="I45" s="99">
        <f t="shared" si="28"/>
        <v>0.67499999999999993</v>
      </c>
      <c r="J45" s="99">
        <f>QUARTILE(J10:J39,1)</f>
        <v>1.2000000000000002</v>
      </c>
      <c r="K45" s="99"/>
      <c r="L45" s="99">
        <f t="shared" ref="L45:P45" si="29">QUARTILE(L10:L39,1)</f>
        <v>0.75</v>
      </c>
      <c r="M45" s="99">
        <f t="shared" si="29"/>
        <v>1.2000000000000002</v>
      </c>
      <c r="N45" s="99">
        <f t="shared" si="29"/>
        <v>2.1749999999999998</v>
      </c>
      <c r="O45" s="99">
        <f t="shared" si="29"/>
        <v>2.5999999999999996</v>
      </c>
      <c r="P45" s="99">
        <f t="shared" si="29"/>
        <v>13.9</v>
      </c>
      <c r="Q45" s="128"/>
      <c r="R45" s="98">
        <f t="shared" ref="R45:S45" si="30">QUARTILE(R10:R39,1)</f>
        <v>23.776970954356845</v>
      </c>
      <c r="S45" s="98">
        <f t="shared" si="30"/>
        <v>24.860217514793799</v>
      </c>
      <c r="T45" s="98">
        <f>QUARTILE(T10:T39,1)</f>
        <v>16.176757663565652</v>
      </c>
      <c r="U45" s="128"/>
      <c r="V45" s="98">
        <f t="shared" ref="V45:Z45" si="31">QUARTILE(V10:V39,1)</f>
        <v>25.387249443207125</v>
      </c>
      <c r="W45" s="98">
        <f t="shared" si="31"/>
        <v>20.33435114503817</v>
      </c>
      <c r="X45" s="98">
        <f t="shared" si="31"/>
        <v>15.840858416945373</v>
      </c>
      <c r="Y45" s="98">
        <f t="shared" si="31"/>
        <v>12.801153847997893</v>
      </c>
      <c r="Z45" s="129">
        <f t="shared" si="31"/>
        <v>2.7744047129180043</v>
      </c>
      <c r="AA45" s="48"/>
      <c r="AB45" s="48"/>
      <c r="AC45" s="48"/>
    </row>
    <row r="46" spans="2:39" ht="12.75" customHeight="1">
      <c r="B46" s="101" t="s">
        <v>47</v>
      </c>
      <c r="C46" s="71">
        <f>MIN(C10:C39)</f>
        <v>8.3000000000000007</v>
      </c>
      <c r="D46" s="68"/>
      <c r="E46" s="68"/>
      <c r="F46" s="68"/>
      <c r="G46" s="68"/>
      <c r="H46" s="71">
        <f t="shared" ref="H46:I46" si="32">MIN(H10:H39)</f>
        <v>0.5</v>
      </c>
      <c r="I46" s="71">
        <f t="shared" si="32"/>
        <v>0.2</v>
      </c>
      <c r="J46" s="71">
        <f>MIN(J10:J39)</f>
        <v>0.1</v>
      </c>
      <c r="K46" s="71"/>
      <c r="L46" s="71">
        <f t="shared" ref="L46:P46" si="33">MIN(L10:L39)</f>
        <v>0.3</v>
      </c>
      <c r="M46" s="71">
        <f t="shared" si="33"/>
        <v>0.1</v>
      </c>
      <c r="N46" s="71">
        <f t="shared" si="33"/>
        <v>0.2</v>
      </c>
      <c r="O46" s="71">
        <f t="shared" si="33"/>
        <v>0.2</v>
      </c>
      <c r="P46" s="71">
        <f t="shared" si="33"/>
        <v>0.5</v>
      </c>
      <c r="Q46" s="130"/>
      <c r="R46" s="103">
        <f t="shared" ref="R46:S46" si="34">MIN(R10:R39)</f>
        <v>10.347480106100795</v>
      </c>
      <c r="S46" s="103">
        <f t="shared" si="34"/>
        <v>7.9743589743589753</v>
      </c>
      <c r="T46" s="103">
        <f>MIN(T10:T39)</f>
        <v>1.6325459317585302</v>
      </c>
      <c r="U46" s="130"/>
      <c r="V46" s="103">
        <f t="shared" ref="V46:Z46" si="35">MIN(V10:V39)</f>
        <v>14.946360153256705</v>
      </c>
      <c r="W46" s="103">
        <f t="shared" si="35"/>
        <v>1.7570621468926555</v>
      </c>
      <c r="X46" s="103">
        <f t="shared" si="35"/>
        <v>1.5434243176178661</v>
      </c>
      <c r="Y46" s="103">
        <f t="shared" si="35"/>
        <v>1.1146953405017923</v>
      </c>
      <c r="Z46" s="131">
        <f t="shared" si="35"/>
        <v>0.51139240506329109</v>
      </c>
      <c r="AA46" s="48"/>
      <c r="AB46" s="48"/>
      <c r="AC46" s="48"/>
    </row>
    <row r="47" spans="2:39" ht="12.75" customHeight="1">
      <c r="C47" s="386"/>
      <c r="H47" s="386"/>
      <c r="I47" s="386"/>
      <c r="J47" s="386"/>
      <c r="K47" s="386"/>
      <c r="L47" s="386"/>
      <c r="M47" s="386"/>
      <c r="N47" s="386"/>
      <c r="O47" s="386"/>
      <c r="P47" s="386"/>
    </row>
    <row r="48" spans="2:39" ht="12.75" customHeight="1">
      <c r="B48" s="8" t="s">
        <v>51</v>
      </c>
    </row>
    <row r="49" spans="2:2" ht="12.75" customHeight="1">
      <c r="B49" s="8"/>
    </row>
  </sheetData>
  <conditionalFormatting sqref="B10:C39">
    <cfRule type="cellIs" dxfId="248" priority="19" operator="equal">
      <formula>"(Invalid Identifier)"</formula>
    </cfRule>
  </conditionalFormatting>
  <conditionalFormatting sqref="B4:L4">
    <cfRule type="cellIs" dxfId="247" priority="16" stopIfTrue="1" operator="equal">
      <formula>"input"</formula>
    </cfRule>
  </conditionalFormatting>
  <conditionalFormatting sqref="M4">
    <cfRule type="cellIs" dxfId="246" priority="14" stopIfTrue="1" operator="equal">
      <formula>"input"</formula>
    </cfRule>
  </conditionalFormatting>
  <conditionalFormatting sqref="M4">
    <cfRule type="cellIs" dxfId="245" priority="15" stopIfTrue="1" operator="equal">
      <formula>"input"</formula>
    </cfRule>
  </conditionalFormatting>
  <conditionalFormatting sqref="N4:P4">
    <cfRule type="cellIs" dxfId="244" priority="12" stopIfTrue="1" operator="equal">
      <formula>"input"</formula>
    </cfRule>
  </conditionalFormatting>
  <conditionalFormatting sqref="N4:P4">
    <cfRule type="cellIs" dxfId="243" priority="13" stopIfTrue="1" operator="equal">
      <formula>"input"</formula>
    </cfRule>
  </conditionalFormatting>
  <conditionalFormatting sqref="Q4">
    <cfRule type="cellIs" dxfId="242" priority="10" stopIfTrue="1" operator="equal">
      <formula>"input"</formula>
    </cfRule>
  </conditionalFormatting>
  <conditionalFormatting sqref="Q4">
    <cfRule type="cellIs" dxfId="241" priority="11" stopIfTrue="1" operator="equal">
      <formula>"input"</formula>
    </cfRule>
  </conditionalFormatting>
  <conditionalFormatting sqref="R4:Y4">
    <cfRule type="cellIs" dxfId="240" priority="8" stopIfTrue="1" operator="equal">
      <formula>"input"</formula>
    </cfRule>
  </conditionalFormatting>
  <conditionalFormatting sqref="R4:Y4">
    <cfRule type="cellIs" dxfId="239" priority="9" stopIfTrue="1" operator="equal">
      <formula>"input"</formula>
    </cfRule>
  </conditionalFormatting>
  <conditionalFormatting sqref="Z4">
    <cfRule type="cellIs" dxfId="238" priority="1" stopIfTrue="1" operator="equal">
      <formula>"input"</formula>
    </cfRule>
  </conditionalFormatting>
  <conditionalFormatting sqref="Z4">
    <cfRule type="cellIs" dxfId="237" priority="2" stopIfTrue="1" operator="equal">
      <formula>"input"</formula>
    </cfRule>
  </conditionalFormatting>
  <pageMargins left="0.5" right="0.5" top="0.5" bottom="0.5" header="0.5" footer="0.5"/>
  <pageSetup scale="83" fitToWidth="0" fitToHeight="0" orientation="landscape" r:id="rId1"/>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1:T40"/>
  <sheetViews>
    <sheetView showGridLines="0" view="pageBreakPreview" zoomScaleNormal="100" zoomScaleSheetLayoutView="100" workbookViewId="0"/>
  </sheetViews>
  <sheetFormatPr defaultRowHeight="12.75" outlineLevelRow="1"/>
  <cols>
    <col min="1" max="1" width="4.5" style="385" customWidth="1"/>
    <col min="2" max="2" width="36.1640625" style="385" customWidth="1"/>
    <col min="3" max="3" width="2.83203125" style="385" customWidth="1"/>
    <col min="4" max="4" width="104.83203125" style="385" customWidth="1"/>
    <col min="5" max="5" width="4.5" style="385" customWidth="1"/>
    <col min="6" max="16384" width="9.33203125" style="385"/>
  </cols>
  <sheetData>
    <row r="1" spans="2:20" ht="10.7" customHeight="1" thickBot="1"/>
    <row r="2" spans="2:20" ht="16.5" customHeight="1" thickTop="1">
      <c r="B2" s="10" t="str">
        <f>'MASTER PubCo Inputs'!$C$5</f>
        <v>Pliant Therapeutics, Inc.</v>
      </c>
      <c r="C2" s="10"/>
      <c r="D2" s="10"/>
    </row>
    <row r="3" spans="2:20" ht="15.75" customHeight="1">
      <c r="B3" s="11" t="str">
        <f>VLOOKUP(B4,Outline!$E$8:$G$69,COLUMNS(Outline!$E$8:$G$8),FALSE)</f>
        <v>Exhibit E.2</v>
      </c>
      <c r="C3" s="11"/>
      <c r="D3" s="11"/>
    </row>
    <row r="4" spans="2:20" ht="16.5" customHeight="1" thickBot="1">
      <c r="B4" s="12" t="s">
        <v>526</v>
      </c>
      <c r="C4" s="12"/>
      <c r="D4" s="12"/>
    </row>
    <row r="5" spans="2:20" s="16" customFormat="1" ht="13.5" thickTop="1">
      <c r="D5" s="385"/>
      <c r="E5" s="385"/>
      <c r="F5" s="385"/>
      <c r="G5" s="385"/>
      <c r="H5" s="385"/>
      <c r="I5" s="385"/>
      <c r="J5" s="385"/>
      <c r="K5" s="385"/>
      <c r="L5" s="385"/>
      <c r="M5" s="385"/>
      <c r="N5" s="385"/>
      <c r="O5" s="385"/>
      <c r="P5" s="385"/>
      <c r="Q5" s="385"/>
      <c r="R5" s="385"/>
      <c r="S5" s="385"/>
      <c r="T5" s="385"/>
    </row>
    <row r="6" spans="2:20" ht="12.75" customHeight="1">
      <c r="B6" s="703" t="s">
        <v>298</v>
      </c>
      <c r="D6" s="704" t="s">
        <v>56</v>
      </c>
    </row>
    <row r="7" spans="2:20" ht="12.75" customHeight="1"/>
    <row r="8" spans="2:20" ht="215.1" customHeight="1">
      <c r="B8" s="401" t="str">
        <f>'Comp.1'!$B10</f>
        <v>Vertex Pharmaceuticals Incorporated</v>
      </c>
      <c r="C8" s="357"/>
      <c r="D8" s="401" t="str">
        <f>'Capital IQ Sheet-GPC'!AP13</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9" spans="2:20" ht="111.95" customHeight="1">
      <c r="B9" s="401" t="str">
        <f>'Comp.1'!$B11</f>
        <v>FibroGen, Inc.</v>
      </c>
      <c r="C9" s="357"/>
      <c r="D9" s="401" t="str">
        <f>'Capital IQ Sheet-GPC'!AP14</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0" spans="2:20" ht="126" customHeight="1">
      <c r="B10" s="401" t="str">
        <f>'Comp.1'!$B12</f>
        <v>Galapagos NV</v>
      </c>
      <c r="C10" s="357"/>
      <c r="D10" s="401" t="str">
        <f>'Capital IQ Sheet-GPC'!AP15</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1" spans="2:20" ht="114.75">
      <c r="B11" s="401" t="str">
        <f>'Comp.1'!$B13</f>
        <v>Madrigal Pharmaceuticals, Inc.</v>
      </c>
      <c r="C11" s="740"/>
      <c r="D11" s="401" t="str">
        <f>'Capital IQ Sheet-GPC'!AP16</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2" spans="2:20" ht="165.75">
      <c r="B12" s="401" t="str">
        <f>'Comp.1'!$B14</f>
        <v>Intercept Pharmaceuticals, Inc.</v>
      </c>
      <c r="C12" s="740"/>
      <c r="D12" s="401"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3" spans="2:20" ht="98.1" customHeight="1">
      <c r="B13" s="401" t="str">
        <f>'Comp.1'!$B15</f>
        <v>Insmed Incorporated</v>
      </c>
      <c r="C13" s="740"/>
      <c r="D13" s="401" t="str">
        <f>'Capital IQ Sheet-GPC'!AP18</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4" spans="2:20" ht="84" customHeight="1">
      <c r="B14" s="401" t="str">
        <f>'Comp.1'!$B16</f>
        <v>Genfit SA</v>
      </c>
      <c r="C14" s="740"/>
      <c r="D14" s="401" t="str">
        <f>'Capital IQ Sheet-GPC'!AP19</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5" spans="2:20" ht="178.5">
      <c r="B15" s="401" t="str">
        <f>'Comp.1'!$B17</f>
        <v>Kadmon Holdings, Inc.</v>
      </c>
      <c r="C15" s="740"/>
      <c r="D15" s="401" t="str">
        <f>'Capital IQ Sheet-GPC'!AP20</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6" spans="2:20" ht="127.5">
      <c r="B16" s="401" t="str">
        <f>'Comp.1'!$B18</f>
        <v>MediciNova, Inc.</v>
      </c>
      <c r="C16" s="740"/>
      <c r="D16" s="401" t="str">
        <f>'Capital IQ Sheet-GPC'!AP21</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7" spans="2:4" ht="84" customHeight="1">
      <c r="B17" s="401" t="str">
        <f>'Comp.1'!$B19</f>
        <v>Savara Inc.</v>
      </c>
      <c r="C17" s="740"/>
      <c r="D17" s="401" t="str">
        <f>'Capital IQ Sheet-GPC'!AP22</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18" spans="2:4" ht="89.25">
      <c r="B18" s="401" t="str">
        <f>'Comp.1'!$B20</f>
        <v>Galmed Pharmaceuticals Ltd.</v>
      </c>
      <c r="C18" s="740"/>
      <c r="D18" s="401" t="str">
        <f>'Capital IQ Sheet-GPC'!AP23</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19" spans="2:4" ht="140.25">
      <c r="B19" s="401" t="str">
        <f>'Comp.1'!$B21</f>
        <v>Galectin Therapeutics, Inc.</v>
      </c>
      <c r="C19" s="740"/>
      <c r="D19" s="401" t="str">
        <f>'Capital IQ Sheet-GPC'!AP24</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0" spans="2:4" ht="69.95" customHeight="1">
      <c r="B20" s="401" t="str">
        <f>'Comp.1'!$B22</f>
        <v>Corbus Pharmaceuticals Holdings, Inc.</v>
      </c>
      <c r="C20" s="740"/>
      <c r="D20" s="401" t="str">
        <f>'Capital IQ Sheet-GPC'!AP25</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1" spans="2:4" ht="153">
      <c r="B21" s="401" t="str">
        <f>'Comp.1'!$B23</f>
        <v>ProQR Therapeutics N.V.</v>
      </c>
      <c r="C21" s="357"/>
      <c r="D21" s="401" t="str">
        <f>'Capital IQ Sheet-GPC'!AP26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2" spans="2:4" ht="178.5">
      <c r="B22" s="401" t="str">
        <f>'Comp.1'!$B24</f>
        <v>Miragen Therapeutics, Inc.</v>
      </c>
      <c r="C22" s="357"/>
      <c r="D22" s="401" t="str">
        <f>'Capital IQ Sheet-GPC'!AP27</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3" spans="2:4" ht="84" customHeight="1">
      <c r="B23" s="401" t="str">
        <f>'Comp.1'!$B25</f>
        <v>Conatus Pharmaceuticals Inc.</v>
      </c>
      <c r="C23" s="357"/>
      <c r="D23" s="401" t="str">
        <f>'Capital IQ Sheet-GPC'!AP28</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4" spans="2:4" ht="110.1" customHeight="1">
      <c r="B24" s="401" t="str">
        <f>'Comp.1'!$B26</f>
        <v>Immuron Limited</v>
      </c>
      <c r="C24" s="357"/>
      <c r="D24" s="401" t="str">
        <f>'Capital IQ Sheet-GPC'!AP29</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5" spans="2:4" ht="42" customHeight="1">
      <c r="B25" s="401" t="str">
        <f>'Comp.1'!$B27</f>
        <v>AdAlta Limited</v>
      </c>
      <c r="C25" s="357"/>
      <c r="D25" s="401" t="str">
        <f>'Capital IQ Sheet-GPC'!AP30</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6" spans="2:4" ht="140.25">
      <c r="B26" s="401" t="str">
        <f>'Comp.1'!$B28</f>
        <v>Pulmatrix, Inc.</v>
      </c>
      <c r="C26" s="357"/>
      <c r="D26" s="401" t="str">
        <f>'Capital IQ Sheet-GPC'!AP31</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7" spans="2:4" ht="111.95" customHeight="1">
      <c r="B27" s="401" t="str">
        <f>'Comp.1'!$B29</f>
        <v>AmpliPhi Biosciences Corporation</v>
      </c>
      <c r="C27" s="357"/>
      <c r="D27" s="401" t="str">
        <f>'Capital IQ Sheet-GPC'!AP32</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28" spans="2:4" hidden="1" outlineLevel="1">
      <c r="B28" s="401"/>
      <c r="C28" s="357"/>
      <c r="D28" s="401"/>
    </row>
    <row r="29" spans="2:4" ht="111.95" hidden="1" customHeight="1" outlineLevel="1">
      <c r="B29" s="401"/>
      <c r="C29" s="357"/>
      <c r="D29" s="401"/>
    </row>
    <row r="30" spans="2:4" ht="80.25" hidden="1" customHeight="1" outlineLevel="1">
      <c r="B30" s="401"/>
      <c r="C30" s="357"/>
      <c r="D30" s="401"/>
    </row>
    <row r="31" spans="2:4" ht="106.5" hidden="1" customHeight="1" outlineLevel="1">
      <c r="B31" s="401"/>
      <c r="C31" s="357"/>
      <c r="D31" s="401"/>
    </row>
    <row r="32" spans="2:4" ht="134.25" hidden="1" customHeight="1" outlineLevel="1">
      <c r="B32" s="401"/>
      <c r="C32" s="357"/>
      <c r="D32" s="401"/>
    </row>
    <row r="33" spans="2:4" ht="108.75" hidden="1" customHeight="1" outlineLevel="1">
      <c r="B33" s="401"/>
      <c r="C33" s="357"/>
      <c r="D33" s="401"/>
    </row>
    <row r="34" spans="2:4" hidden="1" outlineLevel="1">
      <c r="B34" s="401">
        <f>'Comp.1'!$B36</f>
        <v>0</v>
      </c>
      <c r="C34" s="357"/>
      <c r="D34" s="401" t="str">
        <f>'Capital IQ Sheet-GPC'!AP39</f>
        <v>(Invalid Identifier)</v>
      </c>
    </row>
    <row r="35" spans="2:4" hidden="1" outlineLevel="1">
      <c r="B35" s="401">
        <f>'Comp.1'!$B37</f>
        <v>0</v>
      </c>
      <c r="C35" s="357"/>
      <c r="D35" s="401" t="str">
        <f>'Capital IQ Sheet-GPC'!AP40</f>
        <v>(Invalid Identifier)</v>
      </c>
    </row>
    <row r="36" spans="2:4" hidden="1" outlineLevel="1">
      <c r="B36" s="401">
        <f>'Comp.1'!$B38</f>
        <v>0</v>
      </c>
      <c r="C36" s="357"/>
      <c r="D36" s="401" t="str">
        <f>'Capital IQ Sheet-GPC'!AP41</f>
        <v>(Invalid Identifier)</v>
      </c>
    </row>
    <row r="37" spans="2:4" hidden="1" outlineLevel="1">
      <c r="B37" s="401">
        <f>'Comp.1'!$B39</f>
        <v>0</v>
      </c>
      <c r="C37" s="357"/>
      <c r="D37" s="401" t="str">
        <f>'Capital IQ Sheet-GPC'!AP42</f>
        <v>(Invalid Identifier)</v>
      </c>
    </row>
    <row r="38" spans="2:4" ht="12.75" customHeight="1" collapsed="1">
      <c r="D38" s="143"/>
    </row>
    <row r="39" spans="2:4">
      <c r="B39" s="8" t="s">
        <v>51</v>
      </c>
      <c r="D39" s="143"/>
    </row>
    <row r="40" spans="2:4">
      <c r="D40" s="143"/>
    </row>
  </sheetData>
  <conditionalFormatting sqref="C4:D4">
    <cfRule type="cellIs" dxfId="236" priority="2" stopIfTrue="1" operator="equal">
      <formula>"input"</formula>
    </cfRule>
  </conditionalFormatting>
  <conditionalFormatting sqref="B4">
    <cfRule type="cellIs" dxfId="235" priority="1" stopIfTrue="1" operator="equal">
      <formula>"input"</formula>
    </cfRule>
  </conditionalFormatting>
  <pageMargins left="0.5" right="0.5" top="0.5" bottom="0.5" header="0.5" footer="0.5"/>
  <pageSetup fitToWidth="0" fitToHeight="0" orientation="landscape" r:id="rId1"/>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06" style="259" customWidth="1"/>
    <col min="5" max="5" width="15.83203125" style="258" customWidth="1"/>
    <col min="6" max="6" width="3.83203125" style="258" customWidth="1"/>
    <col min="7" max="7" width="4.5" style="258" customWidth="1"/>
    <col min="8" max="8" width="9.33203125" style="258"/>
    <col min="9" max="9" width="16.33203125" style="258" bestFit="1" customWidth="1"/>
    <col min="10" max="10" width="19" style="258" bestFit="1" customWidth="1"/>
    <col min="11" max="16384" width="9.33203125" style="258"/>
  </cols>
  <sheetData>
    <row r="6" spans="2:6">
      <c r="B6" s="260"/>
      <c r="C6" s="249"/>
      <c r="D6" s="250"/>
      <c r="E6" s="249"/>
      <c r="F6" s="249"/>
    </row>
    <row r="7" spans="2:6" ht="15.75" thickBot="1">
      <c r="B7" s="260"/>
      <c r="C7" s="249"/>
      <c r="D7" s="250"/>
      <c r="E7" s="249"/>
      <c r="F7" s="249"/>
    </row>
    <row r="8" spans="2:6" ht="15.75" thickTop="1">
      <c r="B8" s="14"/>
      <c r="C8" s="261"/>
      <c r="D8" s="262"/>
      <c r="E8" s="261"/>
      <c r="F8" s="261"/>
    </row>
    <row r="9" spans="2:6" s="263" customFormat="1" ht="40.5">
      <c r="B9" s="264"/>
      <c r="C9" s="265"/>
      <c r="D9" s="266" t="s">
        <v>2272</v>
      </c>
      <c r="E9" s="265"/>
      <c r="F9" s="265"/>
    </row>
    <row r="10" spans="2:6" ht="15.75" thickBot="1">
      <c r="B10" s="253"/>
      <c r="C10" s="268"/>
      <c r="D10" s="269"/>
      <c r="E10" s="268"/>
      <c r="F10" s="268"/>
    </row>
    <row r="11" spans="2:6" ht="15.75" thickTop="1"/>
    <row r="13" spans="2:6" ht="18.75">
      <c r="D13" s="254"/>
    </row>
    <row r="14" spans="2:6" ht="18.75">
      <c r="D14" s="255"/>
    </row>
    <row r="27" spans="4:4" ht="23.25">
      <c r="D27" s="856" t="s">
        <v>646</v>
      </c>
    </row>
    <row r="29" spans="4:4" ht="18.75">
      <c r="D29" s="256" t="s">
        <v>470</v>
      </c>
    </row>
    <row r="30" spans="4:4" ht="37.5">
      <c r="D30" s="257" t="s">
        <v>295</v>
      </c>
    </row>
  </sheetData>
  <pageMargins left="0.5" right="0.5" top="0.5" bottom="0.5" header="0.5" footer="0.5"/>
  <pageSetup scale="99"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R54"/>
  <sheetViews>
    <sheetView showGridLines="0" view="pageBreakPreview" zoomScaleNormal="100" zoomScaleSheetLayoutView="100" workbookViewId="0"/>
  </sheetViews>
  <sheetFormatPr defaultRowHeight="12.75" outlineLevelRow="1" outlineLevelCol="1"/>
  <cols>
    <col min="1" max="1" width="4.5" style="385" customWidth="1"/>
    <col min="2" max="2" width="9.1640625" style="385" customWidth="1"/>
    <col min="3" max="3" width="26.5" style="385" customWidth="1"/>
    <col min="4" max="4" width="27.1640625" style="385" customWidth="1"/>
    <col min="5" max="5" width="26.33203125" style="385" hidden="1" customWidth="1" outlineLevel="1"/>
    <col min="6" max="6" width="8.6640625" style="385" bestFit="1" customWidth="1" collapsed="1"/>
    <col min="7" max="7" width="10" style="385" hidden="1" customWidth="1" outlineLevel="1"/>
    <col min="8" max="8" width="2.83203125" style="385" customWidth="1" collapsed="1"/>
    <col min="9" max="9" width="23.6640625" style="385" customWidth="1"/>
    <col min="10" max="10" width="14.1640625" style="385" bestFit="1" customWidth="1"/>
    <col min="11" max="11" width="2.83203125" style="385" customWidth="1"/>
    <col min="12" max="12" width="12" style="385" bestFit="1" customWidth="1"/>
    <col min="13" max="13" width="10.5" style="385" customWidth="1"/>
    <col min="14" max="14" width="13.33203125" style="385" bestFit="1" customWidth="1"/>
    <col min="15" max="15" width="10" style="385" bestFit="1" customWidth="1"/>
    <col min="16" max="16" width="2.83203125" style="385" customWidth="1"/>
    <col min="17" max="17" width="14.1640625" style="385" customWidth="1"/>
    <col min="18" max="18" width="11.33203125" style="385" hidden="1" customWidth="1" outlineLevel="1"/>
    <col min="19" max="19" width="8.83203125" style="385" hidden="1" customWidth="1" outlineLevel="1"/>
    <col min="20" max="20" width="2.83203125" style="385" customWidth="1" collapsed="1"/>
    <col min="21" max="21" width="9.83203125" style="385" customWidth="1"/>
    <col min="22" max="23" width="8.83203125" style="385" hidden="1" customWidth="1" outlineLevel="1"/>
    <col min="24" max="25" width="11.33203125" style="385" hidden="1" customWidth="1" outlineLevel="1"/>
    <col min="26" max="26" width="2.83203125" style="385" hidden="1" customWidth="1" outlineLevel="1"/>
    <col min="27" max="29" width="11.33203125" style="385" hidden="1" customWidth="1" outlineLevel="1"/>
    <col min="30" max="30" width="2.83203125" style="385" hidden="1" customWidth="1" outlineLevel="1"/>
    <col min="31" max="33" width="11.33203125" style="385" hidden="1" customWidth="1" outlineLevel="1"/>
    <col min="34" max="34" width="2.83203125" style="74" hidden="1" customWidth="1" outlineLevel="1"/>
    <col min="35" max="36" width="10.83203125" style="385" hidden="1" customWidth="1" outlineLevel="1"/>
    <col min="37" max="37" width="4.5" style="385" customWidth="1" collapsed="1"/>
    <col min="38" max="38" width="14.33203125" style="385" bestFit="1" customWidth="1"/>
    <col min="39" max="39" width="10.33203125" style="385" customWidth="1"/>
    <col min="40" max="40" width="9.33203125" style="385"/>
    <col min="41" max="41" width="9.5" style="385" bestFit="1" customWidth="1"/>
    <col min="42" max="42" width="9.6640625" style="385" bestFit="1" customWidth="1"/>
    <col min="43" max="43" width="9.5" style="385" bestFit="1" customWidth="1"/>
    <col min="44" max="44" width="9.6640625" style="385" bestFit="1" customWidth="1"/>
    <col min="45" max="16384" width="9.33203125" style="385"/>
  </cols>
  <sheetData>
    <row r="1" spans="2:44" ht="10.7" customHeight="1" thickBot="1"/>
    <row r="2" spans="2:44"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485"/>
      <c r="AI2" s="10"/>
      <c r="AJ2" s="10"/>
      <c r="AL2" s="270" t="s">
        <v>22</v>
      </c>
      <c r="AM2" s="271">
        <f>+'Comp.1'!$AM$2</f>
        <v>43312</v>
      </c>
      <c r="AO2" s="555"/>
      <c r="AP2" s="634" t="s">
        <v>635</v>
      </c>
      <c r="AQ2" s="634" t="s">
        <v>636</v>
      </c>
      <c r="AR2" s="635" t="s">
        <v>45</v>
      </c>
    </row>
    <row r="3" spans="2:44" ht="15.75" customHeight="1">
      <c r="B3" s="11" t="str">
        <f>VLOOKUP(B4,Outline!$E$8:$G$69,COLUMNS(Outline!$E$8:$G$8),FALSE)</f>
        <v>Exhibit F.1</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244"/>
      <c r="AI3" s="11"/>
      <c r="AJ3" s="11"/>
      <c r="AL3" s="194" t="s">
        <v>299</v>
      </c>
      <c r="AM3" s="275" t="str">
        <f>+'Comp.1'!$AM$3</f>
        <v>F</v>
      </c>
      <c r="AO3" s="636" t="str">
        <f>+L7</f>
        <v>Enterprise Value</v>
      </c>
      <c r="AP3" s="637" t="e">
        <f ca="1">SUM('STM Linked'!I10:I29)</f>
        <v>#NAME?</v>
      </c>
      <c r="AQ3" s="637">
        <f>+SUM('Capital IQ Sheet-STM'!I10:I29)</f>
        <v>25160.9</v>
      </c>
      <c r="AR3" s="197" t="e">
        <f ca="1">AP3=AQ3</f>
        <v>#NAME?</v>
      </c>
    </row>
    <row r="4" spans="2:44" ht="16.5" customHeight="1" thickBot="1">
      <c r="B4" s="12" t="s">
        <v>527</v>
      </c>
      <c r="C4" s="12"/>
      <c r="D4" s="12"/>
      <c r="E4" s="12"/>
      <c r="F4" s="12"/>
      <c r="G4" s="12"/>
      <c r="H4" s="12"/>
      <c r="I4" s="12"/>
      <c r="J4" s="12"/>
      <c r="K4" s="12"/>
      <c r="L4" s="12"/>
      <c r="M4" s="12"/>
      <c r="N4" s="12"/>
      <c r="O4" s="12"/>
      <c r="P4" s="12"/>
      <c r="Q4" s="13"/>
      <c r="R4" s="13"/>
      <c r="S4" s="13"/>
      <c r="T4" s="13"/>
      <c r="U4" s="13"/>
      <c r="V4" s="13"/>
      <c r="W4" s="13"/>
      <c r="X4" s="13"/>
      <c r="Y4" s="13"/>
      <c r="Z4" s="13"/>
      <c r="AA4" s="13"/>
      <c r="AB4" s="13"/>
      <c r="AC4" s="13"/>
      <c r="AD4" s="13"/>
      <c r="AE4" s="13"/>
      <c r="AF4" s="13"/>
      <c r="AG4" s="13"/>
      <c r="AH4" s="486"/>
      <c r="AI4" s="13"/>
      <c r="AJ4" s="13" t="str">
        <f>+'MASTER PubCo Inputs'!$C$24</f>
        <v>(in millions of USD)</v>
      </c>
      <c r="AL4" s="194" t="s">
        <v>300</v>
      </c>
      <c r="AM4" s="275" t="str">
        <f>+'Comp.1'!$AM$4</f>
        <v>USD</v>
      </c>
      <c r="AO4" s="636" t="str">
        <f>+Q7</f>
        <v>Revenue</v>
      </c>
      <c r="AP4" s="637" t="e">
        <f ca="1">+SUM('STM Linked'!N10:N29)</f>
        <v>#NAME?</v>
      </c>
      <c r="AQ4" s="637">
        <f>+SUM('Capital IQ Sheet-STM'!N10:N29)</f>
        <v>812.90000000000009</v>
      </c>
      <c r="AR4" s="197" t="e">
        <f ca="1">AP4=AQ4</f>
        <v>#NAME?</v>
      </c>
    </row>
    <row r="5" spans="2:44" s="16" customFormat="1" ht="12.75" customHeight="1" thickTop="1">
      <c r="B5" s="385"/>
      <c r="C5" s="385"/>
      <c r="D5" s="385"/>
      <c r="E5" s="385"/>
      <c r="F5" s="385"/>
      <c r="G5" s="385"/>
      <c r="H5" s="385"/>
      <c r="I5" s="385"/>
      <c r="J5" s="385"/>
      <c r="K5" s="385"/>
      <c r="L5" s="385"/>
      <c r="M5" s="385"/>
      <c r="N5" s="385"/>
      <c r="O5" s="385"/>
      <c r="P5" s="385"/>
      <c r="Q5" s="385"/>
      <c r="R5" s="385"/>
      <c r="S5" s="385"/>
      <c r="T5" s="385"/>
      <c r="U5" s="385"/>
      <c r="V5" s="385"/>
      <c r="W5" s="385"/>
      <c r="X5" s="385"/>
      <c r="Y5" s="385"/>
      <c r="Z5" s="385"/>
      <c r="AA5" s="385"/>
      <c r="AB5" s="385"/>
      <c r="AC5" s="385"/>
      <c r="AD5" s="385"/>
      <c r="AE5" s="385"/>
      <c r="AF5" s="385"/>
      <c r="AG5" s="385"/>
      <c r="AH5" s="74"/>
      <c r="AI5" s="385"/>
      <c r="AJ5" s="385"/>
      <c r="AK5" s="385"/>
      <c r="AL5" s="78" t="s">
        <v>24</v>
      </c>
      <c r="AM5" s="274" t="str">
        <f>+'Comp.1'!$AM$5</f>
        <v>H</v>
      </c>
      <c r="AO5" s="638" t="str">
        <f>+R7</f>
        <v>EBITDA</v>
      </c>
      <c r="AP5" s="639" t="e">
        <f ca="1">+SUM('STM Linked'!O10:O29)</f>
        <v>#NAME?</v>
      </c>
      <c r="AQ5" s="639">
        <f>+SUM('Capital IQ Sheet-STM'!O10:O29)</f>
        <v>-47.099999999999966</v>
      </c>
      <c r="AR5" s="427" t="e">
        <f ca="1">AP5=AQ5</f>
        <v>#NAME?</v>
      </c>
    </row>
    <row r="6" spans="2:44" ht="25.5">
      <c r="L6" s="33" t="s">
        <v>313</v>
      </c>
      <c r="M6" s="935"/>
      <c r="N6" s="935"/>
      <c r="O6" s="35"/>
      <c r="Q6" s="1582" t="s">
        <v>196</v>
      </c>
      <c r="R6" s="34"/>
      <c r="S6" s="35"/>
      <c r="U6" s="1582" t="s">
        <v>195</v>
      </c>
      <c r="V6" s="337"/>
      <c r="W6" s="394"/>
      <c r="X6" s="337"/>
      <c r="Y6" s="338"/>
      <c r="AA6" s="33" t="s">
        <v>197</v>
      </c>
      <c r="AB6" s="34"/>
      <c r="AC6" s="35"/>
      <c r="AE6" s="33" t="s">
        <v>198</v>
      </c>
      <c r="AF6" s="34"/>
      <c r="AG6" s="35"/>
      <c r="AI6" s="846" t="s">
        <v>201</v>
      </c>
      <c r="AJ6" s="847"/>
    </row>
    <row r="7" spans="2:44" s="6" customFormat="1" ht="42" customHeight="1">
      <c r="B7" s="124" t="s">
        <v>190</v>
      </c>
      <c r="C7" s="122" t="s">
        <v>628</v>
      </c>
      <c r="D7" s="122" t="s">
        <v>191</v>
      </c>
      <c r="E7" s="122" t="s">
        <v>317</v>
      </c>
      <c r="F7" s="395" t="s">
        <v>192</v>
      </c>
      <c r="G7" s="123" t="s">
        <v>194</v>
      </c>
      <c r="I7" s="1579" t="s">
        <v>1437</v>
      </c>
      <c r="J7" s="1580" t="s">
        <v>1438</v>
      </c>
      <c r="L7" s="572" t="str">
        <f>'Capital IQ Sheet-STM'!I8</f>
        <v>Enterprise Value</v>
      </c>
      <c r="M7" s="991" t="str">
        <f>'Capital IQ Sheet-STM'!J8</f>
        <v>Upfront Value</v>
      </c>
      <c r="N7" s="991" t="str">
        <f>'Capital IQ Sheet-STM'!K8</f>
        <v>Contingent Payments</v>
      </c>
      <c r="O7" s="575" t="str">
        <f>'Capital IQ Sheet-STM'!L8</f>
        <v>Total Trans. Value</v>
      </c>
      <c r="P7" s="580"/>
      <c r="Q7" s="1581" t="s">
        <v>85</v>
      </c>
      <c r="R7" s="573" t="s">
        <v>93</v>
      </c>
      <c r="S7" s="575" t="s">
        <v>94</v>
      </c>
      <c r="T7" s="298"/>
      <c r="U7" s="1581" t="s">
        <v>85</v>
      </c>
      <c r="V7" s="573" t="s">
        <v>93</v>
      </c>
      <c r="W7" s="591" t="s">
        <v>94</v>
      </c>
      <c r="X7" s="573" t="s">
        <v>315</v>
      </c>
      <c r="Y7" s="575" t="s">
        <v>316</v>
      </c>
      <c r="Z7" s="298"/>
      <c r="AA7" s="572" t="s">
        <v>85</v>
      </c>
      <c r="AB7" s="573" t="s">
        <v>93</v>
      </c>
      <c r="AC7" s="575" t="s">
        <v>94</v>
      </c>
      <c r="AD7" s="298"/>
      <c r="AE7" s="572" t="s">
        <v>85</v>
      </c>
      <c r="AF7" s="573" t="s">
        <v>93</v>
      </c>
      <c r="AG7" s="575" t="s">
        <v>94</v>
      </c>
      <c r="AH7" s="592"/>
      <c r="AI7" s="848" t="s">
        <v>199</v>
      </c>
      <c r="AJ7" s="849" t="s">
        <v>200</v>
      </c>
      <c r="AL7" s="771" t="s">
        <v>706</v>
      </c>
      <c r="AM7" s="772">
        <v>50</v>
      </c>
      <c r="AN7" s="771" t="s">
        <v>707</v>
      </c>
      <c r="AO7" s="772">
        <v>0</v>
      </c>
    </row>
    <row r="8" spans="2:44" ht="12.75" customHeight="1">
      <c r="L8" s="298"/>
      <c r="M8" s="298"/>
      <c r="N8" s="298"/>
      <c r="O8" s="298"/>
      <c r="P8" s="298"/>
      <c r="Q8" s="298"/>
      <c r="R8" s="298"/>
      <c r="S8" s="298"/>
      <c r="T8" s="298"/>
      <c r="U8" s="298"/>
      <c r="V8" s="298"/>
      <c r="W8" s="298"/>
      <c r="X8" s="298"/>
      <c r="Y8" s="298"/>
      <c r="Z8" s="298"/>
      <c r="AA8" s="298"/>
      <c r="AB8" s="298"/>
      <c r="AC8" s="298"/>
      <c r="AD8" s="298"/>
      <c r="AE8" s="298"/>
      <c r="AF8" s="298"/>
      <c r="AG8" s="298"/>
      <c r="AH8" s="592"/>
      <c r="AI8" s="298"/>
      <c r="AJ8" s="298"/>
    </row>
    <row r="9" spans="2:44" s="487" customFormat="1" ht="12.75" customHeight="1">
      <c r="B9" s="490" t="str">
        <f>IFERROR('Capital IQ Sheet-STM'!B10,"n/a")</f>
        <v>n/a</v>
      </c>
      <c r="C9" s="490" t="str">
        <f>'Capital IQ Sheet-STM'!C10</f>
        <v>Gilead Sciences, Inc.</v>
      </c>
      <c r="D9" s="490" t="str">
        <f>'Capital IQ Sheet-STM'!D10</f>
        <v>Nimbus Apollo, Inc.</v>
      </c>
      <c r="E9" s="490" t="str">
        <f>'Capital IQ Sheet-STM'!E10</f>
        <v>Life Sciences Tools and Services</v>
      </c>
      <c r="F9" s="495">
        <f>IFERROR('Capital IQ Sheet-STM'!F10,"n/a")</f>
        <v>1</v>
      </c>
      <c r="G9" s="490" t="str">
        <f>'Capital IQ Sheet-STM'!G10</f>
        <v>Majority</v>
      </c>
      <c r="I9" s="2018" t="s">
        <v>2732</v>
      </c>
      <c r="J9" s="2018" t="s">
        <v>421</v>
      </c>
      <c r="L9" s="2019">
        <f>'Capital IQ Sheet-STM'!I10</f>
        <v>1200</v>
      </c>
      <c r="M9" s="2019">
        <f>'Capital IQ Sheet-STM'!J10</f>
        <v>400</v>
      </c>
      <c r="N9" s="2019">
        <f>'Capital IQ Sheet-STM'!K10</f>
        <v>800</v>
      </c>
      <c r="O9" s="2019">
        <f>'Capital IQ Sheet-STM'!L10</f>
        <v>1200</v>
      </c>
      <c r="P9" s="491"/>
      <c r="Q9" s="2019" t="str">
        <f>'Capital IQ Sheet-STM'!N10</f>
        <v xml:space="preserve"> n/a </v>
      </c>
      <c r="R9" s="2019" t="str">
        <f>'Capital IQ Sheet-STM'!O10</f>
        <v xml:space="preserve"> n/a </v>
      </c>
      <c r="S9" s="2019" t="str">
        <f>'Capital IQ Sheet-STM'!P10</f>
        <v xml:space="preserve"> n/a </v>
      </c>
      <c r="T9" s="491"/>
      <c r="U9" s="492" t="str">
        <f>IFERROR(IF(($L9/Q9)&gt;$AM$7, "NM", IF(($L9/Q9)&lt;$AO$7, "NM", $L9/Q9)),"n/a")</f>
        <v>n/a</v>
      </c>
      <c r="V9" s="492" t="str">
        <f>IFERROR(IF(($L9/R9)&gt;$AM$7, "NM", IF(($L9/R9)&lt;$AO$7, "NM", $L9/R9)),"n/a")</f>
        <v>n/a</v>
      </c>
      <c r="W9" s="492" t="str">
        <f>IFERROR(IF(($L9/S9)&gt;$AM$7, "NM", IF(($L9/S9)&lt;$AO$7, "NM", $L9/S9)),"n/a")</f>
        <v>n/a</v>
      </c>
      <c r="X9" s="492" t="str">
        <f>'Capital IQ Sheet-STM'!U10</f>
        <v>n/a</v>
      </c>
      <c r="Y9" s="492" t="str">
        <f>'Capital IQ Sheet-STM'!V10</f>
        <v>n/a</v>
      </c>
      <c r="Z9" s="491"/>
      <c r="AA9" s="2017" t="str">
        <f>'Capital IQ Sheet-STM'!Z10</f>
        <v xml:space="preserve"> n/a </v>
      </c>
      <c r="AB9" s="2017" t="str">
        <f>'Capital IQ Sheet-STM'!AA10</f>
        <v xml:space="preserve"> n/a </v>
      </c>
      <c r="AC9" s="2017" t="str">
        <f>'Capital IQ Sheet-STM'!AB10</f>
        <v xml:space="preserve"> n/a </v>
      </c>
      <c r="AD9" s="491"/>
      <c r="AE9" s="492" t="str">
        <f>IF(ISERROR($L9/AA9), "n/a", $L9/AA9)</f>
        <v>n/a</v>
      </c>
      <c r="AF9" s="492" t="str">
        <f>IF(ISERROR($L9/AB9), "n/a", $L9/AB9)</f>
        <v>n/a</v>
      </c>
      <c r="AG9" s="490" t="str">
        <f>'Capital IQ Sheet-STM'!AF10</f>
        <v>n/a</v>
      </c>
      <c r="AI9" s="495" t="str">
        <f>IFERROR('Capital IQ Sheet-STM'!AH10,"n/a")</f>
        <v>NM</v>
      </c>
      <c r="AJ9" s="495" t="str">
        <f>IFERROR('Capital IQ Sheet-STM'!AI10,"n/a")</f>
        <v>NM</v>
      </c>
      <c r="AK9" s="2156">
        <f>A54</f>
        <v>1</v>
      </c>
      <c r="AL9" s="2078" t="s">
        <v>2738</v>
      </c>
    </row>
    <row r="10" spans="2:44" s="487" customFormat="1" ht="12.75" customHeight="1">
      <c r="B10" s="490">
        <f>IFERROR('Capital IQ Sheet-STM'!B11,"n/a")</f>
        <v>43159</v>
      </c>
      <c r="C10" s="490" t="str">
        <f>'Capital IQ Sheet-STM'!C11</f>
        <v>Celgene Corporation</v>
      </c>
      <c r="D10" s="490" t="str">
        <f>'Capital IQ Sheet-STM'!D11</f>
        <v>Impact Biomedicines, Inc.</v>
      </c>
      <c r="E10" s="490" t="str">
        <f>'Capital IQ Sheet-STM'!E11</f>
        <v>Life Sciences Tools and Services</v>
      </c>
      <c r="F10" s="495">
        <f>IFERROR('Capital IQ Sheet-STM'!F11,"n/a")</f>
        <v>1</v>
      </c>
      <c r="G10" s="490" t="str">
        <f>'Capital IQ Sheet-STM'!G11</f>
        <v>Majority</v>
      </c>
      <c r="I10" s="2018" t="s">
        <v>2781</v>
      </c>
      <c r="J10" s="2018" t="s">
        <v>422</v>
      </c>
      <c r="L10" s="148">
        <f>'Capital IQ Sheet-STM'!I11</f>
        <v>7000</v>
      </c>
      <c r="M10" s="148">
        <f>'Capital IQ Sheet-STM'!J11</f>
        <v>1100</v>
      </c>
      <c r="N10" s="148">
        <f>'Capital IQ Sheet-STM'!K11</f>
        <v>5900</v>
      </c>
      <c r="O10" s="148">
        <f>'Capital IQ Sheet-STM'!L11</f>
        <v>7000</v>
      </c>
      <c r="P10" s="491"/>
      <c r="Q10" s="148" t="str">
        <f>'Capital IQ Sheet-STM'!N11</f>
        <v xml:space="preserve"> n/a </v>
      </c>
      <c r="R10" s="148" t="str">
        <f>'Capital IQ Sheet-STM'!O11</f>
        <v xml:space="preserve"> n/a </v>
      </c>
      <c r="S10" s="148" t="str">
        <f>'Capital IQ Sheet-STM'!P11</f>
        <v xml:space="preserve"> n/a </v>
      </c>
      <c r="T10" s="491"/>
      <c r="U10" s="492" t="str">
        <f t="shared" ref="U10:U27" si="0">IFERROR(IF(($L10/Q10)&gt;$AM$7, "NM", IF(($L10/Q10)&lt;$AO$7, "NM", $L10/Q10)),"n/a")</f>
        <v>n/a</v>
      </c>
      <c r="V10" s="492" t="str">
        <f t="shared" ref="V10:V27" si="1">IFERROR(IF(($L10/R10)&gt;$AM$7, "NM", IF(($L10/R10)&lt;$AO$7, "NM", $L10/R10)),"n/a")</f>
        <v>n/a</v>
      </c>
      <c r="W10" s="492" t="str">
        <f t="shared" ref="W10:W27" si="2">IFERROR(IF(($L10/S10)&gt;$AM$7, "NM", IF(($L10/S10)&lt;$AO$7, "NM", $L10/S10)),"n/a")</f>
        <v>n/a</v>
      </c>
      <c r="X10" s="492" t="str">
        <f>'Capital IQ Sheet-STM'!U11</f>
        <v>n/a</v>
      </c>
      <c r="Y10" s="492" t="str">
        <f>'Capital IQ Sheet-STM'!V11</f>
        <v>n/a</v>
      </c>
      <c r="Z10" s="491"/>
      <c r="AA10" s="91" t="str">
        <f>'Capital IQ Sheet-STM'!Z11</f>
        <v xml:space="preserve"> n/a </v>
      </c>
      <c r="AB10" s="91" t="str">
        <f>'Capital IQ Sheet-STM'!AA11</f>
        <v xml:space="preserve"> n/a </v>
      </c>
      <c r="AC10" s="91" t="str">
        <f>'Capital IQ Sheet-STM'!AB11</f>
        <v xml:space="preserve"> n/a </v>
      </c>
      <c r="AD10" s="491"/>
      <c r="AE10" s="492" t="str">
        <f t="shared" ref="AE10:AE27" si="3">IF(ISERROR($L10/AA10), "n/a", $L10/AA10)</f>
        <v>n/a</v>
      </c>
      <c r="AF10" s="492" t="str">
        <f t="shared" ref="AF10:AF27" si="4">IF(ISERROR($L10/AB10), "n/a", $L10/AB10)</f>
        <v>n/a</v>
      </c>
      <c r="AG10" s="490" t="str">
        <f>'Capital IQ Sheet-STM'!AF11</f>
        <v>n/a</v>
      </c>
      <c r="AI10" s="495" t="str">
        <f>IFERROR('Capital IQ Sheet-STM'!AH11,"n/a")</f>
        <v>NM</v>
      </c>
      <c r="AJ10" s="495" t="str">
        <f>IFERROR('Capital IQ Sheet-STM'!AI11,"n/a")</f>
        <v>NM</v>
      </c>
      <c r="AL10" s="2078" t="s">
        <v>2739</v>
      </c>
    </row>
    <row r="11" spans="2:44" s="487" customFormat="1" ht="38.25">
      <c r="B11" s="490">
        <f>IFERROR('Capital IQ Sheet-STM'!B12,"n/a")</f>
        <v>42941</v>
      </c>
      <c r="C11" s="490" t="str">
        <f>'Capital IQ Sheet-STM'!C12</f>
        <v>Vertex Pharmaceuticals (Europe) Limited</v>
      </c>
      <c r="D11" s="490" t="str">
        <f>'Capital IQ Sheet-STM'!D12</f>
        <v>Concert Pharmaceuticals Inc., CT-656 Drug &amp; Related Assets</v>
      </c>
      <c r="E11" s="490" t="str">
        <f>'Capital IQ Sheet-STM'!E12</f>
        <v>Pharmaceuticals</v>
      </c>
      <c r="F11" s="495">
        <f>IFERROR('Capital IQ Sheet-STM'!F12,"n/a")</f>
        <v>1</v>
      </c>
      <c r="G11" s="490" t="str">
        <f>'Capital IQ Sheet-STM'!G12</f>
        <v>Majority</v>
      </c>
      <c r="I11" s="2018" t="s">
        <v>2782</v>
      </c>
      <c r="J11" s="2018" t="s">
        <v>1</v>
      </c>
      <c r="L11" s="148">
        <f>'Capital IQ Sheet-STM'!I12</f>
        <v>250</v>
      </c>
      <c r="M11" s="148">
        <f>'Capital IQ Sheet-STM'!J12</f>
        <v>144</v>
      </c>
      <c r="N11" s="148">
        <f>'Capital IQ Sheet-STM'!K12</f>
        <v>106</v>
      </c>
      <c r="O11" s="148">
        <f>'Capital IQ Sheet-STM'!L12</f>
        <v>250</v>
      </c>
      <c r="P11" s="491"/>
      <c r="Q11" s="148" t="str">
        <f>'Capital IQ Sheet-STM'!N12</f>
        <v xml:space="preserve"> n/a </v>
      </c>
      <c r="R11" s="148" t="str">
        <f>'Capital IQ Sheet-STM'!O12</f>
        <v xml:space="preserve"> n/a </v>
      </c>
      <c r="S11" s="148" t="str">
        <f>'Capital IQ Sheet-STM'!P12</f>
        <v xml:space="preserve"> n/a </v>
      </c>
      <c r="T11" s="491"/>
      <c r="U11" s="492" t="str">
        <f t="shared" si="0"/>
        <v>n/a</v>
      </c>
      <c r="V11" s="492" t="str">
        <f t="shared" si="1"/>
        <v>n/a</v>
      </c>
      <c r="W11" s="492" t="str">
        <f t="shared" si="2"/>
        <v>n/a</v>
      </c>
      <c r="X11" s="492" t="str">
        <f>'Capital IQ Sheet-STM'!U12</f>
        <v>n/a</v>
      </c>
      <c r="Y11" s="492" t="str">
        <f>'Capital IQ Sheet-STM'!V12</f>
        <v>n/a</v>
      </c>
      <c r="Z11" s="491"/>
      <c r="AA11" s="91" t="str">
        <f>'Capital IQ Sheet-STM'!Z12</f>
        <v xml:space="preserve"> n/a </v>
      </c>
      <c r="AB11" s="91" t="str">
        <f>'Capital IQ Sheet-STM'!AA12</f>
        <v xml:space="preserve"> n/a </v>
      </c>
      <c r="AC11" s="91" t="str">
        <f>'Capital IQ Sheet-STM'!AB12</f>
        <v xml:space="preserve"> n/a </v>
      </c>
      <c r="AD11" s="491"/>
      <c r="AE11" s="492" t="str">
        <f t="shared" si="3"/>
        <v>n/a</v>
      </c>
      <c r="AF11" s="492" t="str">
        <f t="shared" si="4"/>
        <v>n/a</v>
      </c>
      <c r="AG11" s="490" t="str">
        <f>'Capital IQ Sheet-STM'!AF12</f>
        <v>n/a</v>
      </c>
      <c r="AI11" s="495" t="str">
        <f>IFERROR('Capital IQ Sheet-STM'!AH12,"n/a")</f>
        <v>NM</v>
      </c>
      <c r="AJ11" s="495" t="str">
        <f>IFERROR('Capital IQ Sheet-STM'!AI12,"n/a")</f>
        <v>NM</v>
      </c>
      <c r="AL11" s="2078" t="s">
        <v>2783</v>
      </c>
    </row>
    <row r="12" spans="2:44" s="487" customFormat="1" ht="25.5">
      <c r="B12" s="490">
        <f>IFERROR('Capital IQ Sheet-STM'!B13,"n/a")</f>
        <v>42940</v>
      </c>
      <c r="C12" s="490" t="str">
        <f>'Capital IQ Sheet-STM'!C13</f>
        <v>Alpine Immune Sciences, Inc.</v>
      </c>
      <c r="D12" s="490" t="str">
        <f>'Capital IQ Sheet-STM'!D13</f>
        <v>Nivalis Therapeutics, Inc.</v>
      </c>
      <c r="E12" s="490" t="str">
        <f>'Capital IQ Sheet-STM'!E13</f>
        <v>Biotechnology</v>
      </c>
      <c r="F12" s="495">
        <f>IFERROR('Capital IQ Sheet-STM'!F13,"n/a")</f>
        <v>1</v>
      </c>
      <c r="G12" s="490" t="str">
        <f>'Capital IQ Sheet-STM'!G13</f>
        <v>Majority</v>
      </c>
      <c r="I12" s="2018" t="s">
        <v>2784</v>
      </c>
      <c r="J12" s="2018" t="s">
        <v>1</v>
      </c>
      <c r="L12" s="148" t="str">
        <f>'Capital IQ Sheet-STM'!I13</f>
        <v xml:space="preserve"> n/a </v>
      </c>
      <c r="M12" s="148" t="str">
        <f>'Capital IQ Sheet-STM'!J13</f>
        <v xml:space="preserve"> - </v>
      </c>
      <c r="N12" s="148" t="str">
        <f>'Capital IQ Sheet-STM'!K13</f>
        <v xml:space="preserve"> n/a </v>
      </c>
      <c r="O12" s="148" t="str">
        <f>'Capital IQ Sheet-STM'!L13</f>
        <v xml:space="preserve"> n/a </v>
      </c>
      <c r="P12" s="491"/>
      <c r="Q12" s="148" t="str">
        <f>'Capital IQ Sheet-STM'!N13</f>
        <v xml:space="preserve"> n/a </v>
      </c>
      <c r="R12" s="148">
        <f>'Capital IQ Sheet-STM'!O13</f>
        <v>-29.3</v>
      </c>
      <c r="S12" s="148">
        <f>'Capital IQ Sheet-STM'!P13</f>
        <v>-29.5</v>
      </c>
      <c r="T12" s="491"/>
      <c r="U12" s="492" t="str">
        <f t="shared" si="0"/>
        <v>n/a</v>
      </c>
      <c r="V12" s="492" t="str">
        <f t="shared" si="1"/>
        <v>n/a</v>
      </c>
      <c r="W12" s="492" t="str">
        <f t="shared" si="2"/>
        <v>n/a</v>
      </c>
      <c r="X12" s="492" t="str">
        <f>'Capital IQ Sheet-STM'!U13</f>
        <v>n/a</v>
      </c>
      <c r="Y12" s="492" t="str">
        <f>'Capital IQ Sheet-STM'!V13</f>
        <v>n/a</v>
      </c>
      <c r="Z12" s="491"/>
      <c r="AA12" s="91" t="str">
        <f>'Capital IQ Sheet-STM'!Z13</f>
        <v xml:space="preserve"> n/a </v>
      </c>
      <c r="AB12" s="91" t="str">
        <f>'Capital IQ Sheet-STM'!AA13</f>
        <v xml:space="preserve"> n/a </v>
      </c>
      <c r="AC12" s="91" t="str">
        <f>'Capital IQ Sheet-STM'!AB13</f>
        <v xml:space="preserve"> n/a </v>
      </c>
      <c r="AD12" s="491"/>
      <c r="AE12" s="492" t="str">
        <f t="shared" si="3"/>
        <v>n/a</v>
      </c>
      <c r="AF12" s="492" t="str">
        <f t="shared" si="4"/>
        <v>n/a</v>
      </c>
      <c r="AG12" s="490" t="str">
        <f>'Capital IQ Sheet-STM'!AF13</f>
        <v>n/a</v>
      </c>
      <c r="AI12" s="495" t="str">
        <f>IFERROR('Capital IQ Sheet-STM'!AH13,"n/a")</f>
        <v>NM</v>
      </c>
      <c r="AJ12" s="495" t="str">
        <f>IFERROR('Capital IQ Sheet-STM'!AI13,"n/a")</f>
        <v>NM</v>
      </c>
      <c r="AL12" s="2078" t="s">
        <v>2740</v>
      </c>
    </row>
    <row r="13" spans="2:44" s="487" customFormat="1">
      <c r="B13" s="490">
        <f>IFERROR('Capital IQ Sheet-STM'!B14,"n/a")</f>
        <v>42852</v>
      </c>
      <c r="C13" s="490" t="str">
        <f>'Capital IQ Sheet-STM'!C14</f>
        <v>Savara Inc.</v>
      </c>
      <c r="D13" s="490" t="str">
        <f>'Capital IQ Sheet-STM'!D14</f>
        <v>Mast Therapeutics, Inc.</v>
      </c>
      <c r="E13" s="490" t="str">
        <f>'Capital IQ Sheet-STM'!E14</f>
        <v>Biotechnology</v>
      </c>
      <c r="F13" s="495">
        <f>IFERROR('Capital IQ Sheet-STM'!F14,"n/a")</f>
        <v>1</v>
      </c>
      <c r="G13" s="490" t="str">
        <f>'Capital IQ Sheet-STM'!G14</f>
        <v>Majority</v>
      </c>
      <c r="I13" s="2018" t="s">
        <v>2733</v>
      </c>
      <c r="J13" s="2018" t="s">
        <v>412</v>
      </c>
      <c r="L13" s="148" t="str">
        <f>'Capital IQ Sheet-STM'!I14</f>
        <v xml:space="preserve"> n/a </v>
      </c>
      <c r="M13" s="148" t="str">
        <f>'Capital IQ Sheet-STM'!J14</f>
        <v xml:space="preserve"> - </v>
      </c>
      <c r="N13" s="148" t="str">
        <f>'Capital IQ Sheet-STM'!K14</f>
        <v xml:space="preserve"> n/a </v>
      </c>
      <c r="O13" s="148" t="str">
        <f>'Capital IQ Sheet-STM'!L14</f>
        <v xml:space="preserve"> n/a </v>
      </c>
      <c r="P13" s="491"/>
      <c r="Q13" s="148">
        <f>'Capital IQ Sheet-STM'!N14</f>
        <v>0.1</v>
      </c>
      <c r="R13" s="148">
        <f>'Capital IQ Sheet-STM'!O14</f>
        <v>-29.2</v>
      </c>
      <c r="S13" s="148">
        <f>'Capital IQ Sheet-STM'!P14</f>
        <v>-29.3</v>
      </c>
      <c r="T13" s="491"/>
      <c r="U13" s="492" t="str">
        <f t="shared" si="0"/>
        <v>n/a</v>
      </c>
      <c r="V13" s="492" t="str">
        <f t="shared" si="1"/>
        <v>n/a</v>
      </c>
      <c r="W13" s="492" t="str">
        <f t="shared" si="2"/>
        <v>n/a</v>
      </c>
      <c r="X13" s="492" t="str">
        <f>'Capital IQ Sheet-STM'!U14</f>
        <v>n/a</v>
      </c>
      <c r="Y13" s="492" t="str">
        <f>'Capital IQ Sheet-STM'!V14</f>
        <v>n/a</v>
      </c>
      <c r="Z13" s="491"/>
      <c r="AA13" s="91" t="str">
        <f>'Capital IQ Sheet-STM'!Z14</f>
        <v xml:space="preserve"> n/a </v>
      </c>
      <c r="AB13" s="91" t="str">
        <f>'Capital IQ Sheet-STM'!AA14</f>
        <v xml:space="preserve"> n/a </v>
      </c>
      <c r="AC13" s="91" t="str">
        <f>'Capital IQ Sheet-STM'!AB14</f>
        <v xml:space="preserve"> n/a </v>
      </c>
      <c r="AD13" s="491"/>
      <c r="AE13" s="492" t="str">
        <f t="shared" si="3"/>
        <v>n/a</v>
      </c>
      <c r="AF13" s="492" t="str">
        <f t="shared" si="4"/>
        <v>n/a</v>
      </c>
      <c r="AG13" s="490" t="str">
        <f>'Capital IQ Sheet-STM'!AF14</f>
        <v>n/a</v>
      </c>
      <c r="AI13" s="495" t="str">
        <f>IFERROR('Capital IQ Sheet-STM'!AH14,"n/a")</f>
        <v>NM</v>
      </c>
      <c r="AJ13" s="495" t="str">
        <f>IFERROR('Capital IQ Sheet-STM'!AI14,"n/a")</f>
        <v>NM</v>
      </c>
      <c r="AL13" s="2078" t="s">
        <v>2741</v>
      </c>
    </row>
    <row r="14" spans="2:44" s="487" customFormat="1" ht="25.5">
      <c r="B14" s="490">
        <f>IFERROR('Capital IQ Sheet-STM'!B15,"n/a")</f>
        <v>42675</v>
      </c>
      <c r="C14" s="490" t="str">
        <f>'Capital IQ Sheet-STM'!C15</f>
        <v>Allergan plc</v>
      </c>
      <c r="D14" s="490" t="str">
        <f>'Capital IQ Sheet-STM'!D15</f>
        <v>Tobira Therapeutics, Inc.</v>
      </c>
      <c r="E14" s="490" t="str">
        <f>'Capital IQ Sheet-STM'!E15</f>
        <v>Biotechnology</v>
      </c>
      <c r="F14" s="495">
        <f>IFERROR('Capital IQ Sheet-STM'!F15,"n/a")</f>
        <v>1</v>
      </c>
      <c r="G14" s="490" t="str">
        <f>'Capital IQ Sheet-STM'!G15</f>
        <v>Majority</v>
      </c>
      <c r="I14" s="2018" t="s">
        <v>2785</v>
      </c>
      <c r="J14" s="2018" t="s">
        <v>421</v>
      </c>
      <c r="L14" s="148">
        <f>'Capital IQ Sheet-STM'!I15</f>
        <v>1661.6</v>
      </c>
      <c r="M14" s="148">
        <f>'Capital IQ Sheet-STM'!J15</f>
        <v>533.6</v>
      </c>
      <c r="N14" s="148">
        <f>'Capital IQ Sheet-STM'!K15</f>
        <v>938.1</v>
      </c>
      <c r="O14" s="148">
        <f>'Capital IQ Sheet-STM'!L15</f>
        <v>1702.3</v>
      </c>
      <c r="P14" s="491"/>
      <c r="Q14" s="148">
        <f>'Capital IQ Sheet-STM'!N15</f>
        <v>1.2</v>
      </c>
      <c r="R14" s="148">
        <f>'Capital IQ Sheet-STM'!O15</f>
        <v>-41.2</v>
      </c>
      <c r="S14" s="148">
        <f>'Capital IQ Sheet-STM'!P15</f>
        <v>-41.3</v>
      </c>
      <c r="T14" s="491"/>
      <c r="U14" s="492" t="str">
        <f t="shared" si="0"/>
        <v>NM</v>
      </c>
      <c r="V14" s="492" t="str">
        <f t="shared" si="1"/>
        <v>NM</v>
      </c>
      <c r="W14" s="492" t="str">
        <f t="shared" si="2"/>
        <v>NM</v>
      </c>
      <c r="X14" s="492" t="str">
        <f>'Capital IQ Sheet-STM'!U15</f>
        <v>27.01x</v>
      </c>
      <c r="Y14" s="492" t="str">
        <f>'Capital IQ Sheet-STM'!V15</f>
        <v>NM</v>
      </c>
      <c r="Z14" s="491"/>
      <c r="AA14" s="91">
        <f>'Capital IQ Sheet-STM'!Z15</f>
        <v>0.1</v>
      </c>
      <c r="AB14" s="91" t="str">
        <f>'Capital IQ Sheet-STM'!AA15</f>
        <v xml:space="preserve"> n/a </v>
      </c>
      <c r="AC14" s="91" t="str">
        <f>'Capital IQ Sheet-STM'!AB15</f>
        <v xml:space="preserve"> NM </v>
      </c>
      <c r="AD14" s="491"/>
      <c r="AE14" s="492">
        <f t="shared" si="3"/>
        <v>16615.999999999996</v>
      </c>
      <c r="AF14" s="492" t="str">
        <f t="shared" si="4"/>
        <v>n/a</v>
      </c>
      <c r="AG14" s="490" t="str">
        <f>'Capital IQ Sheet-STM'!AF15</f>
        <v>n/a</v>
      </c>
      <c r="AI14" s="495">
        <f>IFERROR('Capital IQ Sheet-STM'!AH15,"n/a")</f>
        <v>5.2439999999999998</v>
      </c>
      <c r="AJ14" s="495">
        <f>IFERROR('Capital IQ Sheet-STM'!AI15,"n/a")</f>
        <v>4.8209999999999997</v>
      </c>
      <c r="AL14" s="2078" t="s">
        <v>2742</v>
      </c>
    </row>
    <row r="15" spans="2:44" s="487" customFormat="1">
      <c r="B15" s="490">
        <f>IFERROR('Capital IQ Sheet-STM'!B16,"n/a")</f>
        <v>42633</v>
      </c>
      <c r="C15" s="490" t="str">
        <f>'Capital IQ Sheet-STM'!C16</f>
        <v>Allergan plc</v>
      </c>
      <c r="D15" s="490" t="str">
        <f>'Capital IQ Sheet-STM'!D16</f>
        <v>Akarna Therapeutics Ltd.</v>
      </c>
      <c r="E15" s="490" t="str">
        <f>'Capital IQ Sheet-STM'!E16</f>
        <v>Biotechnology</v>
      </c>
      <c r="F15" s="495">
        <f>IFERROR('Capital IQ Sheet-STM'!F16,"n/a")</f>
        <v>1</v>
      </c>
      <c r="G15" s="490" t="str">
        <f>'Capital IQ Sheet-STM'!G16</f>
        <v>Majority</v>
      </c>
      <c r="I15" s="2018" t="s">
        <v>2786</v>
      </c>
      <c r="J15" s="2018" t="s">
        <v>650</v>
      </c>
      <c r="L15" s="148">
        <f>'Capital IQ Sheet-STM'!I16</f>
        <v>50</v>
      </c>
      <c r="M15" s="148">
        <f>'Capital IQ Sheet-STM'!J16</f>
        <v>50</v>
      </c>
      <c r="N15" s="148" t="str">
        <f>'Capital IQ Sheet-STM'!K16</f>
        <v xml:space="preserve"> n/a </v>
      </c>
      <c r="O15" s="148">
        <f>'Capital IQ Sheet-STM'!L16</f>
        <v>50</v>
      </c>
      <c r="P15" s="491"/>
      <c r="Q15" s="148" t="str">
        <f>'Capital IQ Sheet-STM'!N16</f>
        <v xml:space="preserve"> n/a </v>
      </c>
      <c r="R15" s="148" t="str">
        <f>'Capital IQ Sheet-STM'!O16</f>
        <v xml:space="preserve"> n/a </v>
      </c>
      <c r="S15" s="148" t="str">
        <f>'Capital IQ Sheet-STM'!P16</f>
        <v xml:space="preserve"> n/a </v>
      </c>
      <c r="T15" s="491"/>
      <c r="U15" s="492" t="str">
        <f t="shared" si="0"/>
        <v>n/a</v>
      </c>
      <c r="V15" s="492" t="str">
        <f t="shared" si="1"/>
        <v>n/a</v>
      </c>
      <c r="W15" s="492" t="str">
        <f t="shared" si="2"/>
        <v>n/a</v>
      </c>
      <c r="X15" s="492" t="str">
        <f>'Capital IQ Sheet-STM'!U16</f>
        <v>n/a</v>
      </c>
      <c r="Y15" s="492" t="str">
        <f>'Capital IQ Sheet-STM'!V16</f>
        <v>n/a</v>
      </c>
      <c r="Z15" s="491"/>
      <c r="AA15" s="91" t="str">
        <f>'Capital IQ Sheet-STM'!Z16</f>
        <v xml:space="preserve"> n/a </v>
      </c>
      <c r="AB15" s="91" t="str">
        <f>'Capital IQ Sheet-STM'!AA16</f>
        <v xml:space="preserve"> n/a </v>
      </c>
      <c r="AC15" s="91" t="str">
        <f>'Capital IQ Sheet-STM'!AB16</f>
        <v xml:space="preserve"> n/a </v>
      </c>
      <c r="AD15" s="491"/>
      <c r="AE15" s="492" t="str">
        <f t="shared" si="3"/>
        <v>n/a</v>
      </c>
      <c r="AF15" s="492" t="str">
        <f t="shared" si="4"/>
        <v>n/a</v>
      </c>
      <c r="AG15" s="490" t="str">
        <f>'Capital IQ Sheet-STM'!AF16</f>
        <v>n/a</v>
      </c>
      <c r="AI15" s="495" t="str">
        <f>IFERROR('Capital IQ Sheet-STM'!AH16,"n/a")</f>
        <v>NM</v>
      </c>
      <c r="AJ15" s="495" t="str">
        <f>IFERROR('Capital IQ Sheet-STM'!AI16,"n/a")</f>
        <v>NM</v>
      </c>
      <c r="AL15" s="2078" t="s">
        <v>2743</v>
      </c>
    </row>
    <row r="16" spans="2:44" s="487" customFormat="1" ht="12.75" customHeight="1">
      <c r="B16" s="490">
        <f>IFERROR('Capital IQ Sheet-STM'!B17,"n/a")</f>
        <v>42577</v>
      </c>
      <c r="C16" s="490" t="str">
        <f>'Capital IQ Sheet-STM'!C17</f>
        <v>Merck &amp; Co., Inc.</v>
      </c>
      <c r="D16" s="490" t="str">
        <f>'Capital IQ Sheet-STM'!D17</f>
        <v>Afferent Pharmaceuticals, Inc.</v>
      </c>
      <c r="E16" s="490" t="str">
        <f>'Capital IQ Sheet-STM'!E17</f>
        <v>Biotechnology</v>
      </c>
      <c r="F16" s="495">
        <f>IFERROR('Capital IQ Sheet-STM'!F17,"n/a")</f>
        <v>1</v>
      </c>
      <c r="G16" s="490" t="str">
        <f>'Capital IQ Sheet-STM'!G17</f>
        <v>Majority</v>
      </c>
      <c r="I16" s="2018" t="s">
        <v>2787</v>
      </c>
      <c r="J16" s="2018" t="s">
        <v>412</v>
      </c>
      <c r="L16" s="148">
        <f>'Capital IQ Sheet-STM'!I17</f>
        <v>1250</v>
      </c>
      <c r="M16" s="148">
        <f>'Capital IQ Sheet-STM'!J17</f>
        <v>500</v>
      </c>
      <c r="N16" s="148">
        <f>'Capital IQ Sheet-STM'!K17</f>
        <v>750</v>
      </c>
      <c r="O16" s="148">
        <f>'Capital IQ Sheet-STM'!L17</f>
        <v>1250</v>
      </c>
      <c r="P16" s="491"/>
      <c r="Q16" s="148" t="str">
        <f>'Capital IQ Sheet-STM'!N17</f>
        <v xml:space="preserve"> n/a </v>
      </c>
      <c r="R16" s="148" t="str">
        <f>'Capital IQ Sheet-STM'!O17</f>
        <v xml:space="preserve"> n/a </v>
      </c>
      <c r="S16" s="148" t="str">
        <f>'Capital IQ Sheet-STM'!P17</f>
        <v xml:space="preserve"> n/a </v>
      </c>
      <c r="T16" s="491"/>
      <c r="U16" s="492" t="str">
        <f t="shared" si="0"/>
        <v>n/a</v>
      </c>
      <c r="V16" s="492" t="str">
        <f t="shared" si="1"/>
        <v>n/a</v>
      </c>
      <c r="W16" s="492" t="str">
        <f t="shared" si="2"/>
        <v>n/a</v>
      </c>
      <c r="X16" s="492" t="str">
        <f>'Capital IQ Sheet-STM'!U17</f>
        <v>n/a</v>
      </c>
      <c r="Y16" s="492" t="str">
        <f>'Capital IQ Sheet-STM'!V17</f>
        <v>n/a</v>
      </c>
      <c r="Z16" s="491"/>
      <c r="AA16" s="91" t="str">
        <f>'Capital IQ Sheet-STM'!Z17</f>
        <v xml:space="preserve"> n/a </v>
      </c>
      <c r="AB16" s="91" t="str">
        <f>'Capital IQ Sheet-STM'!AA17</f>
        <v xml:space="preserve"> n/a </v>
      </c>
      <c r="AC16" s="91" t="str">
        <f>'Capital IQ Sheet-STM'!AB17</f>
        <v xml:space="preserve"> n/a </v>
      </c>
      <c r="AD16" s="491"/>
      <c r="AE16" s="492" t="str">
        <f t="shared" si="3"/>
        <v>n/a</v>
      </c>
      <c r="AF16" s="492" t="str">
        <f t="shared" si="4"/>
        <v>n/a</v>
      </c>
      <c r="AG16" s="490" t="str">
        <f>'Capital IQ Sheet-STM'!AF17</f>
        <v>n/a</v>
      </c>
      <c r="AI16" s="495" t="str">
        <f>IFERROR('Capital IQ Sheet-STM'!AH17,"n/a")</f>
        <v>NM</v>
      </c>
      <c r="AJ16" s="495" t="str">
        <f>IFERROR('Capital IQ Sheet-STM'!AI17,"n/a")</f>
        <v>NM</v>
      </c>
      <c r="AL16" s="2078" t="s">
        <v>2744</v>
      </c>
    </row>
    <row r="17" spans="2:38" s="487" customFormat="1" ht="12.75" customHeight="1">
      <c r="B17" s="490">
        <f>IFERROR('Capital IQ Sheet-STM'!B18,"n/a")</f>
        <v>42308</v>
      </c>
      <c r="C17" s="490" t="str">
        <f>'Capital IQ Sheet-STM'!C18</f>
        <v>Roche Holding AG</v>
      </c>
      <c r="D17" s="490" t="str">
        <f>'Capital IQ Sheet-STM'!D18</f>
        <v>Adheron Therapeutics, Inc.</v>
      </c>
      <c r="E17" s="490" t="str">
        <f>'Capital IQ Sheet-STM'!E18</f>
        <v>Pharmaceuticals</v>
      </c>
      <c r="F17" s="495">
        <f>IFERROR('Capital IQ Sheet-STM'!F18,"n/a")</f>
        <v>1</v>
      </c>
      <c r="G17" s="490" t="str">
        <f>'Capital IQ Sheet-STM'!G18</f>
        <v>Majority</v>
      </c>
      <c r="I17" s="2018" t="s">
        <v>2788</v>
      </c>
      <c r="J17" s="2018" t="s">
        <v>421</v>
      </c>
      <c r="L17" s="148">
        <f>'Capital IQ Sheet-STM'!I18</f>
        <v>580</v>
      </c>
      <c r="M17" s="148">
        <f>'Capital IQ Sheet-STM'!J18</f>
        <v>105</v>
      </c>
      <c r="N17" s="148">
        <f>'Capital IQ Sheet-STM'!K18</f>
        <v>475</v>
      </c>
      <c r="O17" s="148">
        <f>'Capital IQ Sheet-STM'!L18</f>
        <v>580</v>
      </c>
      <c r="P17" s="491"/>
      <c r="Q17" s="148" t="str">
        <f>'Capital IQ Sheet-STM'!N18</f>
        <v xml:space="preserve"> n/a </v>
      </c>
      <c r="R17" s="148" t="str">
        <f>'Capital IQ Sheet-STM'!O18</f>
        <v xml:space="preserve"> n/a </v>
      </c>
      <c r="S17" s="148" t="str">
        <f>'Capital IQ Sheet-STM'!P18</f>
        <v xml:space="preserve"> n/a </v>
      </c>
      <c r="T17" s="491"/>
      <c r="U17" s="492" t="str">
        <f t="shared" si="0"/>
        <v>n/a</v>
      </c>
      <c r="V17" s="492" t="str">
        <f t="shared" si="1"/>
        <v>n/a</v>
      </c>
      <c r="W17" s="492" t="str">
        <f t="shared" si="2"/>
        <v>n/a</v>
      </c>
      <c r="X17" s="492" t="str">
        <f>'Capital IQ Sheet-STM'!U18</f>
        <v>n/a</v>
      </c>
      <c r="Y17" s="492" t="str">
        <f>'Capital IQ Sheet-STM'!V18</f>
        <v>n/a</v>
      </c>
      <c r="Z17" s="491"/>
      <c r="AA17" s="91" t="str">
        <f>'Capital IQ Sheet-STM'!Z18</f>
        <v xml:space="preserve"> n/a </v>
      </c>
      <c r="AB17" s="91" t="str">
        <f>'Capital IQ Sheet-STM'!AA18</f>
        <v xml:space="preserve"> n/a </v>
      </c>
      <c r="AC17" s="91" t="str">
        <f>'Capital IQ Sheet-STM'!AB18</f>
        <v xml:space="preserve"> n/a </v>
      </c>
      <c r="AD17" s="491"/>
      <c r="AE17" s="492" t="str">
        <f t="shared" si="3"/>
        <v>n/a</v>
      </c>
      <c r="AF17" s="492" t="str">
        <f t="shared" si="4"/>
        <v>n/a</v>
      </c>
      <c r="AG17" s="490" t="str">
        <f>'Capital IQ Sheet-STM'!AF18</f>
        <v>n/a</v>
      </c>
      <c r="AI17" s="495" t="str">
        <f>IFERROR('Capital IQ Sheet-STM'!AH18,"n/a")</f>
        <v>NM</v>
      </c>
      <c r="AJ17" s="495" t="str">
        <f>IFERROR('Capital IQ Sheet-STM'!AI18,"n/a")</f>
        <v>NM</v>
      </c>
      <c r="AL17" s="2078" t="s">
        <v>2745</v>
      </c>
    </row>
    <row r="18" spans="2:38" s="487" customFormat="1" ht="12.75" customHeight="1">
      <c r="B18" s="490">
        <f>IFERROR('Capital IQ Sheet-STM'!B19,"n/a")</f>
        <v>42004</v>
      </c>
      <c r="C18" s="490" t="str">
        <f>'Capital IQ Sheet-STM'!C19</f>
        <v>AstraZeneca PLC</v>
      </c>
      <c r="D18" s="490" t="str">
        <f>'Capital IQ Sheet-STM'!D19</f>
        <v>Corridor Pharmaceuticals, Inc.</v>
      </c>
      <c r="E18" s="490" t="str">
        <f>'Capital IQ Sheet-STM'!E19</f>
        <v>Biotechnology</v>
      </c>
      <c r="F18" s="495">
        <f>IFERROR('Capital IQ Sheet-STM'!F19,"n/a")</f>
        <v>1</v>
      </c>
      <c r="G18" s="490" t="str">
        <f>'Capital IQ Sheet-STM'!G19</f>
        <v>Majority</v>
      </c>
      <c r="I18" s="2018" t="s">
        <v>2789</v>
      </c>
      <c r="J18" s="2018" t="s">
        <v>650</v>
      </c>
      <c r="L18" s="148" t="str">
        <f>'Capital IQ Sheet-STM'!I19</f>
        <v xml:space="preserve"> n/a </v>
      </c>
      <c r="M18" s="148" t="str">
        <f>'Capital IQ Sheet-STM'!J19</f>
        <v xml:space="preserve"> - </v>
      </c>
      <c r="N18" s="148" t="str">
        <f>'Capital IQ Sheet-STM'!K19</f>
        <v xml:space="preserve"> n/a </v>
      </c>
      <c r="O18" s="148" t="str">
        <f>'Capital IQ Sheet-STM'!L19</f>
        <v xml:space="preserve"> n/a </v>
      </c>
      <c r="P18" s="491"/>
      <c r="Q18" s="148" t="str">
        <f>'Capital IQ Sheet-STM'!N19</f>
        <v xml:space="preserve"> n/a </v>
      </c>
      <c r="R18" s="148" t="str">
        <f>'Capital IQ Sheet-STM'!O19</f>
        <v xml:space="preserve"> n/a </v>
      </c>
      <c r="S18" s="148" t="str">
        <f>'Capital IQ Sheet-STM'!P19</f>
        <v xml:space="preserve"> n/a </v>
      </c>
      <c r="T18" s="491"/>
      <c r="U18" s="492" t="str">
        <f t="shared" si="0"/>
        <v>n/a</v>
      </c>
      <c r="V18" s="492" t="str">
        <f t="shared" si="1"/>
        <v>n/a</v>
      </c>
      <c r="W18" s="492" t="str">
        <f t="shared" si="2"/>
        <v>n/a</v>
      </c>
      <c r="X18" s="492" t="str">
        <f>'Capital IQ Sheet-STM'!U19</f>
        <v>n/a</v>
      </c>
      <c r="Y18" s="492" t="str">
        <f>'Capital IQ Sheet-STM'!V19</f>
        <v>n/a</v>
      </c>
      <c r="Z18" s="491"/>
      <c r="AA18" s="91" t="str">
        <f>'Capital IQ Sheet-STM'!Z19</f>
        <v xml:space="preserve"> n/a </v>
      </c>
      <c r="AB18" s="91" t="str">
        <f>'Capital IQ Sheet-STM'!AA19</f>
        <v xml:space="preserve"> n/a </v>
      </c>
      <c r="AC18" s="91" t="str">
        <f>'Capital IQ Sheet-STM'!AB19</f>
        <v xml:space="preserve"> n/a </v>
      </c>
      <c r="AD18" s="491"/>
      <c r="AE18" s="492" t="str">
        <f t="shared" si="3"/>
        <v>n/a</v>
      </c>
      <c r="AF18" s="492" t="str">
        <f t="shared" si="4"/>
        <v>n/a</v>
      </c>
      <c r="AG18" s="490" t="str">
        <f>'Capital IQ Sheet-STM'!AF19</f>
        <v>n/a</v>
      </c>
      <c r="AI18" s="495" t="str">
        <f>IFERROR('Capital IQ Sheet-STM'!AH19,"n/a")</f>
        <v>NM</v>
      </c>
      <c r="AJ18" s="495" t="str">
        <f>IFERROR('Capital IQ Sheet-STM'!AI19,"n/a")</f>
        <v>NM</v>
      </c>
      <c r="AL18" s="2078" t="s">
        <v>2746</v>
      </c>
    </row>
    <row r="19" spans="2:38" s="487" customFormat="1">
      <c r="B19" s="490">
        <f>IFERROR('Capital IQ Sheet-STM'!B20,"n/a")</f>
        <v>41911</v>
      </c>
      <c r="C19" s="490" t="str">
        <f>'Capital IQ Sheet-STM'!C20</f>
        <v>Roche Holding AG</v>
      </c>
      <c r="D19" s="490" t="str">
        <f>'Capital IQ Sheet-STM'!D20</f>
        <v>InterMune, Inc.</v>
      </c>
      <c r="E19" s="490" t="str">
        <f>'Capital IQ Sheet-STM'!E20</f>
        <v>Biotechnology</v>
      </c>
      <c r="F19" s="495">
        <f>IFERROR('Capital IQ Sheet-STM'!F20,"n/a")</f>
        <v>1</v>
      </c>
      <c r="G19" s="490" t="str">
        <f>'Capital IQ Sheet-STM'!G20</f>
        <v>Majority</v>
      </c>
      <c r="I19" s="2018" t="s">
        <v>2737</v>
      </c>
      <c r="J19" s="2018" t="s">
        <v>732</v>
      </c>
      <c r="L19" s="148">
        <f>'Capital IQ Sheet-STM'!I20</f>
        <v>8369</v>
      </c>
      <c r="M19" s="148">
        <f>'Capital IQ Sheet-STM'!J20</f>
        <v>8120.5</v>
      </c>
      <c r="N19" s="148" t="str">
        <f>'Capital IQ Sheet-STM'!K20</f>
        <v xml:space="preserve"> n/a </v>
      </c>
      <c r="O19" s="148">
        <f>'Capital IQ Sheet-STM'!L20</f>
        <v>8929.1</v>
      </c>
      <c r="P19" s="491"/>
      <c r="Q19" s="148">
        <f>'Capital IQ Sheet-STM'!N20</f>
        <v>111.4</v>
      </c>
      <c r="R19" s="148">
        <f>'Capital IQ Sheet-STM'!O20</f>
        <v>-207.5</v>
      </c>
      <c r="S19" s="148">
        <f>'Capital IQ Sheet-STM'!P20</f>
        <v>-210.5</v>
      </c>
      <c r="T19" s="491"/>
      <c r="U19" s="492" t="str">
        <f t="shared" si="0"/>
        <v>NM</v>
      </c>
      <c r="V19" s="492" t="str">
        <f t="shared" si="1"/>
        <v>NM</v>
      </c>
      <c r="W19" s="492" t="str">
        <f t="shared" si="2"/>
        <v>NM</v>
      </c>
      <c r="X19" s="492" t="str">
        <f>'Capital IQ Sheet-STM'!U20</f>
        <v>23.88x</v>
      </c>
      <c r="Y19" s="492" t="str">
        <f>'Capital IQ Sheet-STM'!V20</f>
        <v>NM</v>
      </c>
      <c r="Z19" s="491"/>
      <c r="AA19" s="91">
        <f>'Capital IQ Sheet-STM'!Z20</f>
        <v>244.1</v>
      </c>
      <c r="AB19" s="91">
        <f>'Capital IQ Sheet-STM'!AA20</f>
        <v>-199</v>
      </c>
      <c r="AC19" s="91" t="str">
        <f>'Capital IQ Sheet-STM'!AB20</f>
        <v xml:space="preserve"> NM </v>
      </c>
      <c r="AD19" s="491"/>
      <c r="AE19" s="492">
        <f t="shared" si="3"/>
        <v>34.28512904547317</v>
      </c>
      <c r="AF19" s="492">
        <f t="shared" si="4"/>
        <v>-42.05527638190955</v>
      </c>
      <c r="AG19" s="490" t="str">
        <f>'Capital IQ Sheet-STM'!AF20</f>
        <v>n/a</v>
      </c>
      <c r="AI19" s="495">
        <f>IFERROR('Capital IQ Sheet-STM'!AH20,"n/a")</f>
        <v>0.44</v>
      </c>
      <c r="AJ19" s="495">
        <f>IFERROR('Capital IQ Sheet-STM'!AI20,"n/a")</f>
        <v>0.626</v>
      </c>
      <c r="AL19" s="2078" t="s">
        <v>2747</v>
      </c>
    </row>
    <row r="20" spans="2:38" s="487" customFormat="1" ht="38.25">
      <c r="B20" s="490">
        <f>IFERROR('Capital IQ Sheet-STM'!B21,"n/a")</f>
        <v>41859</v>
      </c>
      <c r="C20" s="490" t="str">
        <f>'Capital IQ Sheet-STM'!C21</f>
        <v>Oncothyreon Inc (nka:Cascadian Therapeutics, Inc.)</v>
      </c>
      <c r="D20" s="490" t="str">
        <f>'Capital IQ Sheet-STM'!D21</f>
        <v>Alpine Biosciences, Inc.</v>
      </c>
      <c r="E20" s="490" t="str">
        <f>'Capital IQ Sheet-STM'!E21</f>
        <v>Biotechnology</v>
      </c>
      <c r="F20" s="495">
        <f>IFERROR('Capital IQ Sheet-STM'!F21,"n/a")</f>
        <v>1</v>
      </c>
      <c r="G20" s="490" t="str">
        <f>'Capital IQ Sheet-STM'!G21</f>
        <v>Majority</v>
      </c>
      <c r="I20" s="2018" t="s">
        <v>2791</v>
      </c>
      <c r="J20" s="2018" t="s">
        <v>1</v>
      </c>
      <c r="L20" s="148">
        <f>'Capital IQ Sheet-STM'!I21</f>
        <v>26.2</v>
      </c>
      <c r="M20" s="148">
        <f>'Capital IQ Sheet-STM'!J21</f>
        <v>27.1</v>
      </c>
      <c r="N20" s="148" t="str">
        <f>'Capital IQ Sheet-STM'!K21</f>
        <v xml:space="preserve"> n/a </v>
      </c>
      <c r="O20" s="148">
        <f>'Capital IQ Sheet-STM'!L21</f>
        <v>27.1</v>
      </c>
      <c r="P20" s="491"/>
      <c r="Q20" s="148" t="str">
        <f>'Capital IQ Sheet-STM'!N21</f>
        <v xml:space="preserve"> n/a </v>
      </c>
      <c r="R20" s="148" t="str">
        <f>'Capital IQ Sheet-STM'!O21</f>
        <v xml:space="preserve"> n/a </v>
      </c>
      <c r="S20" s="148">
        <f>'Capital IQ Sheet-STM'!P21</f>
        <v>-1.1000000000000001</v>
      </c>
      <c r="T20" s="491"/>
      <c r="U20" s="492" t="str">
        <f t="shared" si="0"/>
        <v>n/a</v>
      </c>
      <c r="V20" s="492" t="str">
        <f t="shared" si="1"/>
        <v>n/a</v>
      </c>
      <c r="W20" s="492" t="str">
        <f t="shared" si="2"/>
        <v>NM</v>
      </c>
      <c r="X20" s="492" t="str">
        <f>'Capital IQ Sheet-STM'!U21</f>
        <v>NM</v>
      </c>
      <c r="Y20" s="492" t="str">
        <f>'Capital IQ Sheet-STM'!V21</f>
        <v>NM</v>
      </c>
      <c r="Z20" s="491"/>
      <c r="AA20" s="91" t="str">
        <f>'Capital IQ Sheet-STM'!Z21</f>
        <v xml:space="preserve"> n/a </v>
      </c>
      <c r="AB20" s="91" t="str">
        <f>'Capital IQ Sheet-STM'!AA21</f>
        <v xml:space="preserve"> n/a </v>
      </c>
      <c r="AC20" s="91" t="str">
        <f>'Capital IQ Sheet-STM'!AB21</f>
        <v xml:space="preserve"> n/a </v>
      </c>
      <c r="AD20" s="491"/>
      <c r="AE20" s="492" t="str">
        <f t="shared" si="3"/>
        <v>n/a</v>
      </c>
      <c r="AF20" s="492" t="str">
        <f t="shared" si="4"/>
        <v>n/a</v>
      </c>
      <c r="AG20" s="490" t="str">
        <f>'Capital IQ Sheet-STM'!AF21</f>
        <v>n/a</v>
      </c>
      <c r="AI20" s="495" t="str">
        <f>IFERROR('Capital IQ Sheet-STM'!AH21,"n/a")</f>
        <v>NM</v>
      </c>
      <c r="AJ20" s="495" t="str">
        <f>IFERROR('Capital IQ Sheet-STM'!AI21,"n/a")</f>
        <v>NM</v>
      </c>
      <c r="AL20" s="2078" t="s">
        <v>2748</v>
      </c>
    </row>
    <row r="21" spans="2:38" s="487" customFormat="1" ht="12.75" customHeight="1">
      <c r="B21" s="490">
        <f>IFERROR('Capital IQ Sheet-STM'!B22,"n/a")</f>
        <v>41801</v>
      </c>
      <c r="C21" s="490" t="str">
        <f>'Capital IQ Sheet-STM'!C22</f>
        <v>Shire plc</v>
      </c>
      <c r="D21" s="490" t="str">
        <f>'Capital IQ Sheet-STM'!D22</f>
        <v>Lumena Pharmaceuticals, Inc.</v>
      </c>
      <c r="E21" s="490" t="str">
        <f>'Capital IQ Sheet-STM'!E22</f>
        <v>Biotechnology</v>
      </c>
      <c r="F21" s="495">
        <f>IFERROR('Capital IQ Sheet-STM'!F22,"n/a")</f>
        <v>1</v>
      </c>
      <c r="G21" s="490" t="str">
        <f>'Capital IQ Sheet-STM'!G22</f>
        <v>Majority</v>
      </c>
      <c r="I21" s="2018" t="s">
        <v>2274</v>
      </c>
      <c r="J21" s="2018" t="s">
        <v>412</v>
      </c>
      <c r="L21" s="148">
        <f>'Capital IQ Sheet-STM'!I22</f>
        <v>586.9</v>
      </c>
      <c r="M21" s="148">
        <f>'Capital IQ Sheet-STM'!J22</f>
        <v>300.3</v>
      </c>
      <c r="N21" s="148">
        <f>'Capital IQ Sheet-STM'!K22</f>
        <v>265</v>
      </c>
      <c r="O21" s="148">
        <f>'Capital IQ Sheet-STM'!L22</f>
        <v>600.79999999999995</v>
      </c>
      <c r="P21" s="491"/>
      <c r="Q21" s="148" t="str">
        <f>'Capital IQ Sheet-STM'!N22</f>
        <v xml:space="preserve"> n/a </v>
      </c>
      <c r="R21" s="148">
        <f>'Capital IQ Sheet-STM'!O22</f>
        <v>-15</v>
      </c>
      <c r="S21" s="148">
        <f>'Capital IQ Sheet-STM'!P22</f>
        <v>-15.1</v>
      </c>
      <c r="T21" s="491"/>
      <c r="U21" s="492" t="str">
        <f t="shared" si="0"/>
        <v>n/a</v>
      </c>
      <c r="V21" s="492" t="str">
        <f t="shared" si="1"/>
        <v>NM</v>
      </c>
      <c r="W21" s="492" t="str">
        <f t="shared" si="2"/>
        <v>NM</v>
      </c>
      <c r="X21" s="492" t="str">
        <f>'Capital IQ Sheet-STM'!U22</f>
        <v>NM</v>
      </c>
      <c r="Y21" s="492" t="str">
        <f>'Capital IQ Sheet-STM'!V22</f>
        <v>NM</v>
      </c>
      <c r="Z21" s="491"/>
      <c r="AA21" s="91" t="str">
        <f>'Capital IQ Sheet-STM'!Z22</f>
        <v xml:space="preserve"> n/a </v>
      </c>
      <c r="AB21" s="91" t="str">
        <f>'Capital IQ Sheet-STM'!AA22</f>
        <v xml:space="preserve"> n/a </v>
      </c>
      <c r="AC21" s="91" t="str">
        <f>'Capital IQ Sheet-STM'!AB22</f>
        <v xml:space="preserve"> n/a </v>
      </c>
      <c r="AD21" s="491"/>
      <c r="AE21" s="492" t="str">
        <f t="shared" si="3"/>
        <v>n/a</v>
      </c>
      <c r="AF21" s="492" t="str">
        <f t="shared" si="4"/>
        <v>n/a</v>
      </c>
      <c r="AG21" s="490" t="str">
        <f>'Capital IQ Sheet-STM'!AF22</f>
        <v>n/a</v>
      </c>
      <c r="AI21" s="495" t="str">
        <f>IFERROR('Capital IQ Sheet-STM'!AH22,"n/a")</f>
        <v>NM</v>
      </c>
      <c r="AJ21" s="495" t="str">
        <f>IFERROR('Capital IQ Sheet-STM'!AI22,"n/a")</f>
        <v>NM</v>
      </c>
      <c r="AL21" s="2078" t="s">
        <v>2749</v>
      </c>
    </row>
    <row r="22" spans="2:38" s="487" customFormat="1" ht="38.25">
      <c r="B22" s="490">
        <f>IFERROR('Capital IQ Sheet-STM'!B23,"n/a")</f>
        <v>41726</v>
      </c>
      <c r="C22" s="490" t="str">
        <f>'Capital IQ Sheet-STM'!C23</f>
        <v>Stratus Media Group, Inc. (nka:Restorgenex Corporation)</v>
      </c>
      <c r="D22" s="490" t="str">
        <f>'Capital IQ Sheet-STM'!D23</f>
        <v>Paloma Pharmaceuticals, Inc.</v>
      </c>
      <c r="E22" s="490" t="str">
        <f>'Capital IQ Sheet-STM'!E23</f>
        <v>Pharmaceuticals</v>
      </c>
      <c r="F22" s="495">
        <f>IFERROR('Capital IQ Sheet-STM'!F23,"n/a")</f>
        <v>1</v>
      </c>
      <c r="G22" s="490" t="str">
        <f>'Capital IQ Sheet-STM'!G23</f>
        <v>Majority</v>
      </c>
      <c r="I22" s="2018" t="s">
        <v>2792</v>
      </c>
      <c r="J22" s="2018" t="s">
        <v>1</v>
      </c>
      <c r="L22" s="148">
        <f>'Capital IQ Sheet-STM'!I23</f>
        <v>16.3</v>
      </c>
      <c r="M22" s="148">
        <f>'Capital IQ Sheet-STM'!J23</f>
        <v>302.2</v>
      </c>
      <c r="N22" s="148">
        <f>'Capital IQ Sheet-STM'!K23</f>
        <v>322.8</v>
      </c>
      <c r="O22" s="148">
        <f>'Capital IQ Sheet-STM'!L23</f>
        <v>625.70000000000005</v>
      </c>
      <c r="P22" s="491"/>
      <c r="Q22" s="148" t="str">
        <f>'Capital IQ Sheet-STM'!N23</f>
        <v xml:space="preserve"> n/a </v>
      </c>
      <c r="R22" s="148">
        <f>'Capital IQ Sheet-STM'!O23</f>
        <v>-0.5</v>
      </c>
      <c r="S22" s="148">
        <f>'Capital IQ Sheet-STM'!P23</f>
        <v>-0.5</v>
      </c>
      <c r="T22" s="491"/>
      <c r="U22" s="492" t="str">
        <f t="shared" si="0"/>
        <v>n/a</v>
      </c>
      <c r="V22" s="492" t="str">
        <f t="shared" si="1"/>
        <v>NM</v>
      </c>
      <c r="W22" s="492" t="str">
        <f t="shared" si="2"/>
        <v>NM</v>
      </c>
      <c r="X22" s="492" t="str">
        <f>'Capital IQ Sheet-STM'!U23</f>
        <v>NM</v>
      </c>
      <c r="Y22" s="492" t="str">
        <f>'Capital IQ Sheet-STM'!V23</f>
        <v>NM</v>
      </c>
      <c r="Z22" s="491"/>
      <c r="AA22" s="91" t="str">
        <f>'Capital IQ Sheet-STM'!Z23</f>
        <v xml:space="preserve"> n/a </v>
      </c>
      <c r="AB22" s="91" t="str">
        <f>'Capital IQ Sheet-STM'!AA23</f>
        <v xml:space="preserve"> n/a </v>
      </c>
      <c r="AC22" s="91" t="str">
        <f>'Capital IQ Sheet-STM'!AB23</f>
        <v xml:space="preserve"> n/a </v>
      </c>
      <c r="AD22" s="491"/>
      <c r="AE22" s="492" t="str">
        <f t="shared" si="3"/>
        <v>n/a</v>
      </c>
      <c r="AF22" s="492" t="str">
        <f t="shared" si="4"/>
        <v>n/a</v>
      </c>
      <c r="AG22" s="490" t="str">
        <f>'Capital IQ Sheet-STM'!AF23</f>
        <v>n/a</v>
      </c>
      <c r="AI22" s="495" t="str">
        <f>IFERROR('Capital IQ Sheet-STM'!AH23,"n/a")</f>
        <v>NM</v>
      </c>
      <c r="AJ22" s="495" t="str">
        <f>IFERROR('Capital IQ Sheet-STM'!AI23,"n/a")</f>
        <v>NM</v>
      </c>
      <c r="AL22" s="2078" t="s">
        <v>2750</v>
      </c>
    </row>
    <row r="23" spans="2:38" s="487" customFormat="1" ht="25.5">
      <c r="B23" s="490">
        <f>IFERROR('Capital IQ Sheet-STM'!B24,"n/a")</f>
        <v>41697</v>
      </c>
      <c r="C23" s="490" t="str">
        <f>'Capital IQ Sheet-STM'!C24</f>
        <v>Mast Therapeutics, Inc.</v>
      </c>
      <c r="D23" s="490" t="str">
        <f>'Capital IQ Sheet-STM'!D24</f>
        <v>Aires Pharmaceuticals, Inc.</v>
      </c>
      <c r="E23" s="490" t="str">
        <f>'Capital IQ Sheet-STM'!E24</f>
        <v>Pharmaceuticals</v>
      </c>
      <c r="F23" s="495">
        <f>IFERROR('Capital IQ Sheet-STM'!F24,"n/a")</f>
        <v>1</v>
      </c>
      <c r="G23" s="490" t="str">
        <f>'Capital IQ Sheet-STM'!G24</f>
        <v>Majority</v>
      </c>
      <c r="I23" s="2018" t="s">
        <v>2733</v>
      </c>
      <c r="J23" s="2018" t="s">
        <v>2273</v>
      </c>
      <c r="L23" s="148">
        <f>'Capital IQ Sheet-STM'!I24</f>
        <v>4.5</v>
      </c>
      <c r="M23" s="148" t="str">
        <f>'Capital IQ Sheet-STM'!J24</f>
        <v xml:space="preserve"> - </v>
      </c>
      <c r="N23" s="148">
        <f>'Capital IQ Sheet-STM'!K24</f>
        <v>4.5</v>
      </c>
      <c r="O23" s="148">
        <f>'Capital IQ Sheet-STM'!L24</f>
        <v>4.5</v>
      </c>
      <c r="P23" s="491"/>
      <c r="Q23" s="148" t="str">
        <f>'Capital IQ Sheet-STM'!N24</f>
        <v xml:space="preserve"> n/a </v>
      </c>
      <c r="R23" s="148" t="str">
        <f>'Capital IQ Sheet-STM'!O24</f>
        <v xml:space="preserve"> n/a </v>
      </c>
      <c r="S23" s="148" t="str">
        <f>'Capital IQ Sheet-STM'!P24</f>
        <v xml:space="preserve"> n/a </v>
      </c>
      <c r="T23" s="491"/>
      <c r="U23" s="492" t="str">
        <f t="shared" si="0"/>
        <v>n/a</v>
      </c>
      <c r="V23" s="492" t="str">
        <f t="shared" si="1"/>
        <v>n/a</v>
      </c>
      <c r="W23" s="492" t="str">
        <f t="shared" si="2"/>
        <v>n/a</v>
      </c>
      <c r="X23" s="492" t="str">
        <f>'Capital IQ Sheet-STM'!U24</f>
        <v>n/a</v>
      </c>
      <c r="Y23" s="492" t="str">
        <f>'Capital IQ Sheet-STM'!V24</f>
        <v>n/a</v>
      </c>
      <c r="Z23" s="491"/>
      <c r="AA23" s="91" t="str">
        <f>'Capital IQ Sheet-STM'!Z24</f>
        <v xml:space="preserve"> n/a </v>
      </c>
      <c r="AB23" s="91" t="str">
        <f>'Capital IQ Sheet-STM'!AA24</f>
        <v xml:space="preserve"> n/a </v>
      </c>
      <c r="AC23" s="91" t="str">
        <f>'Capital IQ Sheet-STM'!AB24</f>
        <v xml:space="preserve"> n/a </v>
      </c>
      <c r="AD23" s="491"/>
      <c r="AE23" s="492" t="str">
        <f t="shared" si="3"/>
        <v>n/a</v>
      </c>
      <c r="AF23" s="492" t="str">
        <f t="shared" si="4"/>
        <v>n/a</v>
      </c>
      <c r="AG23" s="490" t="str">
        <f>'Capital IQ Sheet-STM'!AF24</f>
        <v>n/a</v>
      </c>
      <c r="AI23" s="495" t="str">
        <f>IFERROR('Capital IQ Sheet-STM'!AH24,"n/a")</f>
        <v>NM</v>
      </c>
      <c r="AJ23" s="495" t="str">
        <f>IFERROR('Capital IQ Sheet-STM'!AI24,"n/a")</f>
        <v>NM</v>
      </c>
      <c r="AL23" s="2078" t="s">
        <v>2751</v>
      </c>
    </row>
    <row r="24" spans="2:38" s="487" customFormat="1">
      <c r="B24" s="490">
        <f>IFERROR('Capital IQ Sheet-STM'!B25,"n/a")</f>
        <v>41670</v>
      </c>
      <c r="C24" s="490" t="str">
        <f>'Capital IQ Sheet-STM'!C25</f>
        <v>Forest Laboratories, LLC</v>
      </c>
      <c r="D24" s="490" t="str">
        <f>'Capital IQ Sheet-STM'!D25</f>
        <v>Aptalis Holdings Inc.</v>
      </c>
      <c r="E24" s="490" t="str">
        <f>'Capital IQ Sheet-STM'!E25</f>
        <v>Pharmaceuticals</v>
      </c>
      <c r="F24" s="495">
        <f>IFERROR('Capital IQ Sheet-STM'!F25,"n/a")</f>
        <v>1</v>
      </c>
      <c r="G24" s="490" t="str">
        <f>'Capital IQ Sheet-STM'!G25</f>
        <v>Majority</v>
      </c>
      <c r="I24" s="2018" t="s">
        <v>2765</v>
      </c>
      <c r="J24" s="2018" t="s">
        <v>732</v>
      </c>
      <c r="L24" s="148">
        <f>'Capital IQ Sheet-STM'!I25</f>
        <v>2900</v>
      </c>
      <c r="M24" s="148" t="str">
        <f>'Capital IQ Sheet-STM'!J25</f>
        <v xml:space="preserve"> - </v>
      </c>
      <c r="N24" s="148" t="str">
        <f>'Capital IQ Sheet-STM'!K25</f>
        <v xml:space="preserve"> n/a </v>
      </c>
      <c r="O24" s="148">
        <f>'Capital IQ Sheet-STM'!L25</f>
        <v>2900</v>
      </c>
      <c r="P24" s="491"/>
      <c r="Q24" s="148">
        <f>'Capital IQ Sheet-STM'!N25</f>
        <v>700.2</v>
      </c>
      <c r="R24" s="148">
        <f>'Capital IQ Sheet-STM'!O25</f>
        <v>275.60000000000002</v>
      </c>
      <c r="S24" s="148">
        <f>'Capital IQ Sheet-STM'!P25</f>
        <v>186.1</v>
      </c>
      <c r="T24" s="491"/>
      <c r="U24" s="492">
        <f t="shared" si="0"/>
        <v>4.1416738074835759</v>
      </c>
      <c r="V24" s="492">
        <f t="shared" si="1"/>
        <v>10.522496371552974</v>
      </c>
      <c r="W24" s="492">
        <f t="shared" si="2"/>
        <v>15.583019881783988</v>
      </c>
      <c r="X24" s="492" t="str">
        <f>'Capital IQ Sheet-STM'!U25</f>
        <v>n/a</v>
      </c>
      <c r="Y24" s="492" t="str">
        <f>'Capital IQ Sheet-STM'!V25</f>
        <v>n/a</v>
      </c>
      <c r="Z24" s="491"/>
      <c r="AA24" s="91" t="str">
        <f>'Capital IQ Sheet-STM'!Z25</f>
        <v xml:space="preserve"> n/a </v>
      </c>
      <c r="AB24" s="91" t="str">
        <f>'Capital IQ Sheet-STM'!AA25</f>
        <v xml:space="preserve"> n/a </v>
      </c>
      <c r="AC24" s="91" t="str">
        <f>'Capital IQ Sheet-STM'!AB25</f>
        <v xml:space="preserve"> n/a </v>
      </c>
      <c r="AD24" s="491"/>
      <c r="AE24" s="492" t="str">
        <f t="shared" si="3"/>
        <v>n/a</v>
      </c>
      <c r="AF24" s="492" t="str">
        <f t="shared" si="4"/>
        <v>n/a</v>
      </c>
      <c r="AG24" s="490" t="str">
        <f>'Capital IQ Sheet-STM'!AF25</f>
        <v>n/a</v>
      </c>
      <c r="AI24" s="495" t="str">
        <f>IFERROR('Capital IQ Sheet-STM'!AH25,"n/a")</f>
        <v>NM</v>
      </c>
      <c r="AJ24" s="495" t="str">
        <f>IFERROR('Capital IQ Sheet-STM'!AI25,"n/a")</f>
        <v>NM</v>
      </c>
      <c r="AL24" s="2078" t="s">
        <v>2752</v>
      </c>
    </row>
    <row r="25" spans="2:38" s="487" customFormat="1" ht="25.5">
      <c r="B25" s="490">
        <f>IFERROR('Capital IQ Sheet-STM'!B26,"n/a")</f>
        <v>40976</v>
      </c>
      <c r="C25" s="490" t="str">
        <f>'Capital IQ Sheet-STM'!C26</f>
        <v>Biogen Idec Inc. (nka:Biogen Inc.)</v>
      </c>
      <c r="D25" s="490" t="str">
        <f>'Capital IQ Sheet-STM'!D26</f>
        <v>Stromedix, Inc.</v>
      </c>
      <c r="E25" s="490" t="str">
        <f>'Capital IQ Sheet-STM'!E26</f>
        <v>Biotechnology</v>
      </c>
      <c r="F25" s="495">
        <f>IFERROR('Capital IQ Sheet-STM'!F26,"n/a")</f>
        <v>0.95</v>
      </c>
      <c r="G25" s="490" t="str">
        <f>'Capital IQ Sheet-STM'!G26</f>
        <v>Majority</v>
      </c>
      <c r="I25" s="2018" t="s">
        <v>2793</v>
      </c>
      <c r="J25" s="2018" t="s">
        <v>412</v>
      </c>
      <c r="L25" s="148">
        <f>'Capital IQ Sheet-STM'!I26</f>
        <v>566.4</v>
      </c>
      <c r="M25" s="148">
        <f>'Capital IQ Sheet-STM'!J26</f>
        <v>75</v>
      </c>
      <c r="N25" s="148">
        <f>'Capital IQ Sheet-STM'!K26</f>
        <v>487.5</v>
      </c>
      <c r="O25" s="148">
        <f>'Capital IQ Sheet-STM'!L26</f>
        <v>562.5</v>
      </c>
      <c r="P25" s="491"/>
      <c r="Q25" s="148" t="str">
        <f>'Capital IQ Sheet-STM'!N26</f>
        <v xml:space="preserve"> n/a </v>
      </c>
      <c r="R25" s="148" t="str">
        <f>'Capital IQ Sheet-STM'!O26</f>
        <v xml:space="preserve"> n/a </v>
      </c>
      <c r="S25" s="148" t="str">
        <f>'Capital IQ Sheet-STM'!P26</f>
        <v xml:space="preserve"> n/a </v>
      </c>
      <c r="T25" s="491"/>
      <c r="U25" s="492" t="str">
        <f t="shared" si="0"/>
        <v>n/a</v>
      </c>
      <c r="V25" s="492" t="str">
        <f t="shared" si="1"/>
        <v>n/a</v>
      </c>
      <c r="W25" s="492" t="str">
        <f t="shared" si="2"/>
        <v>n/a</v>
      </c>
      <c r="X25" s="492" t="str">
        <f>'Capital IQ Sheet-STM'!U26</f>
        <v>n/a</v>
      </c>
      <c r="Y25" s="492" t="str">
        <f>'Capital IQ Sheet-STM'!V26</f>
        <v>n/a</v>
      </c>
      <c r="Z25" s="491"/>
      <c r="AA25" s="91" t="str">
        <f>'Capital IQ Sheet-STM'!Z26</f>
        <v xml:space="preserve"> n/a </v>
      </c>
      <c r="AB25" s="91" t="str">
        <f>'Capital IQ Sheet-STM'!AA26</f>
        <v xml:space="preserve"> n/a </v>
      </c>
      <c r="AC25" s="91" t="str">
        <f>'Capital IQ Sheet-STM'!AB26</f>
        <v xml:space="preserve"> n/a </v>
      </c>
      <c r="AD25" s="491"/>
      <c r="AE25" s="492" t="str">
        <f t="shared" si="3"/>
        <v>n/a</v>
      </c>
      <c r="AF25" s="492" t="str">
        <f t="shared" si="4"/>
        <v>n/a</v>
      </c>
      <c r="AG25" s="490" t="str">
        <f>'Capital IQ Sheet-STM'!AF26</f>
        <v>n/a</v>
      </c>
      <c r="AI25" s="495" t="str">
        <f>IFERROR('Capital IQ Sheet-STM'!AH26,"n/a")</f>
        <v>NM</v>
      </c>
      <c r="AJ25" s="495" t="str">
        <f>IFERROR('Capital IQ Sheet-STM'!AI26,"n/a")</f>
        <v>NM</v>
      </c>
      <c r="AL25" s="2078" t="s">
        <v>2753</v>
      </c>
    </row>
    <row r="26" spans="2:38" s="487" customFormat="1" ht="25.5">
      <c r="B26" s="490">
        <f>IFERROR('Capital IQ Sheet-STM'!B27,"n/a")</f>
        <v>40793</v>
      </c>
      <c r="C26" s="490" t="str">
        <f>'Capital IQ Sheet-STM'!C27</f>
        <v>Bristol-Myers Squibb Company</v>
      </c>
      <c r="D26" s="490" t="str">
        <f>'Capital IQ Sheet-STM'!D27</f>
        <v>Amira Pharmaceuticals, Inc.</v>
      </c>
      <c r="E26" s="490" t="str">
        <f>'Capital IQ Sheet-STM'!E27</f>
        <v>Pharmaceuticals</v>
      </c>
      <c r="F26" s="495">
        <f>IFERROR('Capital IQ Sheet-STM'!F27,"n/a")</f>
        <v>1</v>
      </c>
      <c r="G26" s="490" t="str">
        <f>'Capital IQ Sheet-STM'!G27</f>
        <v>Majority</v>
      </c>
      <c r="I26" s="2018" t="s">
        <v>2794</v>
      </c>
      <c r="J26" s="2018" t="s">
        <v>1006</v>
      </c>
      <c r="L26" s="148">
        <f>'Capital IQ Sheet-STM'!I27</f>
        <v>475</v>
      </c>
      <c r="M26" s="148">
        <f>'Capital IQ Sheet-STM'!J27</f>
        <v>325</v>
      </c>
      <c r="N26" s="148">
        <f>'Capital IQ Sheet-STM'!K27</f>
        <v>150</v>
      </c>
      <c r="O26" s="148">
        <f>'Capital IQ Sheet-STM'!L27</f>
        <v>475</v>
      </c>
      <c r="P26" s="491"/>
      <c r="Q26" s="148" t="str">
        <f>'Capital IQ Sheet-STM'!N27</f>
        <v xml:space="preserve"> n/a </v>
      </c>
      <c r="R26" s="148" t="str">
        <f>'Capital IQ Sheet-STM'!O27</f>
        <v xml:space="preserve"> n/a </v>
      </c>
      <c r="S26" s="148" t="str">
        <f>'Capital IQ Sheet-STM'!P27</f>
        <v xml:space="preserve"> n/a </v>
      </c>
      <c r="T26" s="491"/>
      <c r="U26" s="492" t="str">
        <f t="shared" si="0"/>
        <v>n/a</v>
      </c>
      <c r="V26" s="492" t="str">
        <f t="shared" si="1"/>
        <v>n/a</v>
      </c>
      <c r="W26" s="492" t="str">
        <f t="shared" si="2"/>
        <v>n/a</v>
      </c>
      <c r="X26" s="492" t="str">
        <f>'Capital IQ Sheet-STM'!U27</f>
        <v>n/a</v>
      </c>
      <c r="Y26" s="492" t="str">
        <f>'Capital IQ Sheet-STM'!V27</f>
        <v>n/a</v>
      </c>
      <c r="Z26" s="491"/>
      <c r="AA26" s="91" t="str">
        <f>'Capital IQ Sheet-STM'!Z27</f>
        <v xml:space="preserve"> n/a </v>
      </c>
      <c r="AB26" s="91" t="str">
        <f>'Capital IQ Sheet-STM'!AA27</f>
        <v xml:space="preserve"> n/a </v>
      </c>
      <c r="AC26" s="91" t="str">
        <f>'Capital IQ Sheet-STM'!AB27</f>
        <v xml:space="preserve"> n/a </v>
      </c>
      <c r="AD26" s="491"/>
      <c r="AE26" s="492" t="str">
        <f t="shared" si="3"/>
        <v>n/a</v>
      </c>
      <c r="AF26" s="492" t="str">
        <f t="shared" si="4"/>
        <v>n/a</v>
      </c>
      <c r="AG26" s="490" t="str">
        <f>'Capital IQ Sheet-STM'!AF27</f>
        <v>n/a</v>
      </c>
      <c r="AI26" s="495" t="str">
        <f>IFERROR('Capital IQ Sheet-STM'!AH27,"n/a")</f>
        <v>NM</v>
      </c>
      <c r="AJ26" s="495" t="str">
        <f>IFERROR('Capital IQ Sheet-STM'!AI27,"n/a")</f>
        <v>NM</v>
      </c>
      <c r="AL26" s="2078" t="s">
        <v>2754</v>
      </c>
    </row>
    <row r="27" spans="2:38" s="487" customFormat="1">
      <c r="B27" s="490">
        <f>IFERROR('Capital IQ Sheet-STM'!B28,"n/a")</f>
        <v>40557</v>
      </c>
      <c r="C27" s="490" t="str">
        <f>'Capital IQ Sheet-STM'!C28</f>
        <v>Gilead Sciences, Inc.</v>
      </c>
      <c r="D27" s="490" t="str">
        <f>'Capital IQ Sheet-STM'!D28</f>
        <v>Arresto Biosciences, Inc.</v>
      </c>
      <c r="E27" s="490" t="str">
        <f>'Capital IQ Sheet-STM'!E28</f>
        <v>Pharmaceuticals</v>
      </c>
      <c r="F27" s="495">
        <f>IFERROR('Capital IQ Sheet-STM'!F28,"n/a")</f>
        <v>1</v>
      </c>
      <c r="G27" s="490" t="str">
        <f>'Capital IQ Sheet-STM'!G28</f>
        <v>Majority</v>
      </c>
      <c r="I27" s="2018" t="s">
        <v>2795</v>
      </c>
      <c r="J27" s="2018" t="s">
        <v>421</v>
      </c>
      <c r="L27" s="148">
        <f>'Capital IQ Sheet-STM'!I28</f>
        <v>225</v>
      </c>
      <c r="M27" s="148">
        <f>'Capital IQ Sheet-STM'!J28</f>
        <v>225</v>
      </c>
      <c r="N27" s="148" t="str">
        <f>'Capital IQ Sheet-STM'!K28</f>
        <v xml:space="preserve"> n/a </v>
      </c>
      <c r="O27" s="148">
        <f>'Capital IQ Sheet-STM'!L28</f>
        <v>225</v>
      </c>
      <c r="P27" s="491"/>
      <c r="Q27" s="148" t="str">
        <f>'Capital IQ Sheet-STM'!N28</f>
        <v xml:space="preserve"> n/a </v>
      </c>
      <c r="R27" s="148" t="str">
        <f>'Capital IQ Sheet-STM'!O28</f>
        <v xml:space="preserve"> n/a </v>
      </c>
      <c r="S27" s="148" t="str">
        <f>'Capital IQ Sheet-STM'!P28</f>
        <v xml:space="preserve"> n/a </v>
      </c>
      <c r="T27" s="491"/>
      <c r="U27" s="492" t="str">
        <f t="shared" si="0"/>
        <v>n/a</v>
      </c>
      <c r="V27" s="492" t="str">
        <f t="shared" si="1"/>
        <v>n/a</v>
      </c>
      <c r="W27" s="492" t="str">
        <f t="shared" si="2"/>
        <v>n/a</v>
      </c>
      <c r="X27" s="492" t="str">
        <f>'Capital IQ Sheet-STM'!U28</f>
        <v>n/a</v>
      </c>
      <c r="Y27" s="492" t="str">
        <f>'Capital IQ Sheet-STM'!V28</f>
        <v>n/a</v>
      </c>
      <c r="Z27" s="491"/>
      <c r="AA27" s="91" t="str">
        <f>'Capital IQ Sheet-STM'!Z28</f>
        <v xml:space="preserve"> n/a </v>
      </c>
      <c r="AB27" s="91" t="str">
        <f>'Capital IQ Sheet-STM'!AA28</f>
        <v xml:space="preserve"> n/a </v>
      </c>
      <c r="AC27" s="91" t="str">
        <f>'Capital IQ Sheet-STM'!AB28</f>
        <v xml:space="preserve"> n/a </v>
      </c>
      <c r="AD27" s="491"/>
      <c r="AE27" s="492" t="str">
        <f t="shared" si="3"/>
        <v>n/a</v>
      </c>
      <c r="AF27" s="492" t="str">
        <f t="shared" si="4"/>
        <v>n/a</v>
      </c>
      <c r="AG27" s="490" t="str">
        <f>'Capital IQ Sheet-STM'!AF28</f>
        <v>n/a</v>
      </c>
      <c r="AI27" s="495" t="str">
        <f>IFERROR('Capital IQ Sheet-STM'!AH28,"n/a")</f>
        <v>NM</v>
      </c>
      <c r="AJ27" s="495" t="str">
        <f>IFERROR('Capital IQ Sheet-STM'!AI28,"n/a")</f>
        <v>NM</v>
      </c>
      <c r="AL27" s="2078" t="s">
        <v>2755</v>
      </c>
    </row>
    <row r="28" spans="2:38" s="487" customFormat="1" hidden="1" outlineLevel="1">
      <c r="B28" s="490"/>
      <c r="C28" s="490"/>
      <c r="D28" s="490"/>
      <c r="E28" s="490"/>
      <c r="F28" s="495"/>
      <c r="G28" s="490"/>
      <c r="I28" s="2018"/>
      <c r="J28" s="2018"/>
      <c r="L28" s="148"/>
      <c r="M28" s="148"/>
      <c r="N28" s="148"/>
      <c r="O28" s="148"/>
      <c r="P28" s="491"/>
      <c r="Q28" s="148"/>
      <c r="R28" s="148"/>
      <c r="S28" s="148"/>
      <c r="T28" s="491"/>
      <c r="U28" s="492"/>
      <c r="V28" s="492"/>
      <c r="W28" s="492"/>
      <c r="X28" s="492"/>
      <c r="Y28" s="492"/>
      <c r="Z28" s="491"/>
      <c r="AA28" s="91"/>
      <c r="AB28" s="91"/>
      <c r="AC28" s="91"/>
      <c r="AD28" s="491"/>
      <c r="AE28" s="492"/>
      <c r="AF28" s="492"/>
      <c r="AG28" s="490"/>
      <c r="AI28" s="495"/>
      <c r="AJ28" s="495"/>
      <c r="AL28" s="493"/>
    </row>
    <row r="29" spans="2:38" s="487" customFormat="1" hidden="1" outlineLevel="1">
      <c r="B29" s="490"/>
      <c r="C29" s="490"/>
      <c r="D29" s="490"/>
      <c r="E29" s="490"/>
      <c r="F29" s="495"/>
      <c r="G29" s="490"/>
      <c r="I29" s="2018"/>
      <c r="J29" s="2018"/>
      <c r="L29" s="148"/>
      <c r="M29" s="148"/>
      <c r="N29" s="148"/>
      <c r="O29" s="148"/>
      <c r="P29" s="491"/>
      <c r="Q29" s="148"/>
      <c r="R29" s="148"/>
      <c r="S29" s="148"/>
      <c r="T29" s="491"/>
      <c r="U29" s="492"/>
      <c r="V29" s="492"/>
      <c r="W29" s="492"/>
      <c r="X29" s="492"/>
      <c r="Y29" s="492"/>
      <c r="Z29" s="491"/>
      <c r="AA29" s="91"/>
      <c r="AB29" s="91"/>
      <c r="AC29" s="91"/>
      <c r="AD29" s="491"/>
      <c r="AE29" s="492"/>
      <c r="AF29" s="492"/>
      <c r="AG29" s="490"/>
      <c r="AI29" s="495"/>
      <c r="AJ29" s="495"/>
      <c r="AL29" s="493"/>
    </row>
    <row r="30" spans="2:38" s="487" customFormat="1" hidden="1" outlineLevel="1">
      <c r="B30" s="490"/>
      <c r="C30" s="490"/>
      <c r="D30" s="490"/>
      <c r="E30" s="490"/>
      <c r="F30" s="495"/>
      <c r="G30" s="490"/>
      <c r="I30" s="2018"/>
      <c r="J30" s="2018"/>
      <c r="L30" s="148"/>
      <c r="M30" s="148"/>
      <c r="N30" s="148"/>
      <c r="O30" s="148"/>
      <c r="P30" s="491"/>
      <c r="Q30" s="148"/>
      <c r="R30" s="148"/>
      <c r="S30" s="148"/>
      <c r="T30" s="491"/>
      <c r="U30" s="492"/>
      <c r="V30" s="492"/>
      <c r="W30" s="492"/>
      <c r="X30" s="492"/>
      <c r="Y30" s="492"/>
      <c r="Z30" s="491"/>
      <c r="AA30" s="91"/>
      <c r="AB30" s="91"/>
      <c r="AC30" s="91"/>
      <c r="AD30" s="491"/>
      <c r="AE30" s="492"/>
      <c r="AF30" s="492"/>
      <c r="AG30" s="490"/>
      <c r="AI30" s="495"/>
      <c r="AJ30" s="495"/>
      <c r="AL30" s="493"/>
    </row>
    <row r="31" spans="2:38" s="487" customFormat="1" hidden="1" outlineLevel="1">
      <c r="B31" s="490"/>
      <c r="C31" s="490"/>
      <c r="D31" s="490"/>
      <c r="E31" s="490"/>
      <c r="F31" s="495"/>
      <c r="G31" s="490"/>
      <c r="I31" s="2018"/>
      <c r="J31" s="2018"/>
      <c r="L31" s="148"/>
      <c r="M31" s="148"/>
      <c r="N31" s="148"/>
      <c r="O31" s="148"/>
      <c r="P31" s="491"/>
      <c r="Q31" s="148"/>
      <c r="R31" s="148"/>
      <c r="S31" s="148"/>
      <c r="T31" s="491"/>
      <c r="U31" s="492"/>
      <c r="V31" s="492"/>
      <c r="W31" s="492"/>
      <c r="X31" s="492"/>
      <c r="Y31" s="492"/>
      <c r="Z31" s="491"/>
      <c r="AA31" s="91"/>
      <c r="AB31" s="91"/>
      <c r="AC31" s="91"/>
      <c r="AD31" s="491"/>
      <c r="AE31" s="492"/>
      <c r="AF31" s="492"/>
      <c r="AG31" s="490"/>
      <c r="AI31" s="495"/>
      <c r="AJ31" s="495"/>
      <c r="AL31" s="493"/>
    </row>
    <row r="32" spans="2:38" s="487" customFormat="1" hidden="1" outlineLevel="1">
      <c r="B32" s="490"/>
      <c r="C32" s="490"/>
      <c r="D32" s="490"/>
      <c r="E32" s="490"/>
      <c r="F32" s="495"/>
      <c r="G32" s="490"/>
      <c r="I32" s="2018"/>
      <c r="J32" s="2018"/>
      <c r="L32" s="148"/>
      <c r="M32" s="148"/>
      <c r="N32" s="148"/>
      <c r="O32" s="148"/>
      <c r="P32" s="491"/>
      <c r="Q32" s="148"/>
      <c r="R32" s="148"/>
      <c r="S32" s="148"/>
      <c r="T32" s="491"/>
      <c r="U32" s="492"/>
      <c r="V32" s="492"/>
      <c r="W32" s="492"/>
      <c r="X32" s="492"/>
      <c r="Y32" s="492"/>
      <c r="Z32" s="491"/>
      <c r="AA32" s="91"/>
      <c r="AB32" s="91"/>
      <c r="AC32" s="91"/>
      <c r="AD32" s="491"/>
      <c r="AE32" s="492"/>
      <c r="AF32" s="492"/>
      <c r="AG32" s="490"/>
      <c r="AI32" s="495"/>
      <c r="AJ32" s="495"/>
      <c r="AL32" s="493"/>
    </row>
    <row r="33" spans="2:38" s="487" customFormat="1" ht="12.75" hidden="1" customHeight="1" outlineLevel="1">
      <c r="B33" s="490"/>
      <c r="C33" s="490"/>
      <c r="D33" s="490"/>
      <c r="E33" s="490"/>
      <c r="F33" s="495"/>
      <c r="G33" s="490"/>
      <c r="L33" s="148"/>
      <c r="M33" s="148"/>
      <c r="N33" s="148"/>
      <c r="O33" s="148"/>
      <c r="P33" s="491"/>
      <c r="Q33" s="148"/>
      <c r="R33" s="148"/>
      <c r="S33" s="148"/>
      <c r="T33" s="491"/>
      <c r="U33" s="492"/>
      <c r="V33" s="492"/>
      <c r="W33" s="492"/>
      <c r="X33" s="492"/>
      <c r="Y33" s="492"/>
      <c r="Z33" s="491"/>
      <c r="AA33" s="91"/>
      <c r="AB33" s="91"/>
      <c r="AC33" s="91"/>
      <c r="AD33" s="491"/>
      <c r="AE33" s="492"/>
      <c r="AF33" s="492"/>
      <c r="AG33" s="490"/>
      <c r="AI33" s="495"/>
      <c r="AJ33" s="495"/>
      <c r="AL33" s="493"/>
    </row>
    <row r="34" spans="2:38" s="487" customFormat="1" ht="12.75" hidden="1" customHeight="1" outlineLevel="1">
      <c r="B34" s="490"/>
      <c r="C34" s="490"/>
      <c r="D34" s="490"/>
      <c r="E34" s="490"/>
      <c r="F34" s="495"/>
      <c r="G34" s="490"/>
      <c r="L34" s="148"/>
      <c r="M34" s="148"/>
      <c r="N34" s="148"/>
      <c r="O34" s="148"/>
      <c r="P34" s="491"/>
      <c r="Q34" s="148"/>
      <c r="R34" s="148"/>
      <c r="S34" s="148"/>
      <c r="T34" s="491"/>
      <c r="U34" s="492"/>
      <c r="V34" s="492"/>
      <c r="W34" s="492"/>
      <c r="X34" s="492"/>
      <c r="Y34" s="492"/>
      <c r="Z34" s="491"/>
      <c r="AA34" s="91"/>
      <c r="AB34" s="91"/>
      <c r="AC34" s="91"/>
      <c r="AD34" s="491"/>
      <c r="AE34" s="492"/>
      <c r="AF34" s="492"/>
      <c r="AG34" s="490"/>
      <c r="AI34" s="495"/>
      <c r="AJ34" s="495"/>
      <c r="AL34" s="493"/>
    </row>
    <row r="35" spans="2:38" s="487" customFormat="1" ht="12.75" hidden="1" customHeight="1" outlineLevel="1">
      <c r="B35" s="490"/>
      <c r="C35" s="490"/>
      <c r="D35" s="490"/>
      <c r="E35" s="490"/>
      <c r="F35" s="495"/>
      <c r="G35" s="490"/>
      <c r="L35" s="148"/>
      <c r="M35" s="148"/>
      <c r="N35" s="148"/>
      <c r="O35" s="148"/>
      <c r="P35" s="491"/>
      <c r="Q35" s="148"/>
      <c r="R35" s="148"/>
      <c r="S35" s="148"/>
      <c r="T35" s="491"/>
      <c r="U35" s="492"/>
      <c r="V35" s="492"/>
      <c r="W35" s="492"/>
      <c r="X35" s="492"/>
      <c r="Y35" s="492"/>
      <c r="Z35" s="491"/>
      <c r="AA35" s="91"/>
      <c r="AB35" s="91"/>
      <c r="AC35" s="91"/>
      <c r="AD35" s="491"/>
      <c r="AE35" s="492"/>
      <c r="AF35" s="492"/>
      <c r="AG35" s="490"/>
      <c r="AI35" s="495"/>
      <c r="AJ35" s="495"/>
      <c r="AL35" s="493"/>
    </row>
    <row r="36" spans="2:38" s="487" customFormat="1" ht="12.75" hidden="1" customHeight="1" outlineLevel="1">
      <c r="B36" s="490"/>
      <c r="C36" s="490"/>
      <c r="D36" s="490"/>
      <c r="E36" s="490"/>
      <c r="F36" s="495"/>
      <c r="G36" s="490"/>
      <c r="L36" s="148"/>
      <c r="M36" s="148"/>
      <c r="N36" s="148"/>
      <c r="O36" s="148"/>
      <c r="P36" s="491"/>
      <c r="Q36" s="148"/>
      <c r="R36" s="148"/>
      <c r="S36" s="148"/>
      <c r="T36" s="491"/>
      <c r="U36" s="492"/>
      <c r="V36" s="492"/>
      <c r="W36" s="492"/>
      <c r="X36" s="492"/>
      <c r="Y36" s="492"/>
      <c r="Z36" s="491"/>
      <c r="AA36" s="91"/>
      <c r="AB36" s="91"/>
      <c r="AC36" s="91"/>
      <c r="AD36" s="491"/>
      <c r="AE36" s="492"/>
      <c r="AF36" s="492"/>
      <c r="AG36" s="490"/>
      <c r="AI36" s="495"/>
      <c r="AJ36" s="495"/>
      <c r="AL36" s="493"/>
    </row>
    <row r="37" spans="2:38" s="487" customFormat="1" ht="12.75" hidden="1" customHeight="1" outlineLevel="1">
      <c r="B37" s="490"/>
      <c r="C37" s="490"/>
      <c r="D37" s="490"/>
      <c r="E37" s="490"/>
      <c r="F37" s="495"/>
      <c r="G37" s="490"/>
      <c r="L37" s="148"/>
      <c r="M37" s="148"/>
      <c r="N37" s="148"/>
      <c r="O37" s="148"/>
      <c r="P37" s="491"/>
      <c r="Q37" s="148"/>
      <c r="R37" s="148"/>
      <c r="S37" s="148"/>
      <c r="T37" s="491"/>
      <c r="U37" s="492"/>
      <c r="V37" s="492"/>
      <c r="W37" s="492"/>
      <c r="X37" s="492"/>
      <c r="Y37" s="492"/>
      <c r="Z37" s="491"/>
      <c r="AA37" s="91"/>
      <c r="AB37" s="91"/>
      <c r="AC37" s="91"/>
      <c r="AD37" s="491"/>
      <c r="AE37" s="492"/>
      <c r="AF37" s="492"/>
      <c r="AG37" s="490"/>
      <c r="AI37" s="495"/>
      <c r="AJ37" s="495"/>
      <c r="AL37" s="493"/>
    </row>
    <row r="38" spans="2:38" s="487" customFormat="1" ht="12.75" hidden="1" customHeight="1" outlineLevel="1">
      <c r="B38" s="490"/>
      <c r="C38" s="490"/>
      <c r="D38" s="490"/>
      <c r="E38" s="490"/>
      <c r="F38" s="495"/>
      <c r="G38" s="490"/>
      <c r="L38" s="148"/>
      <c r="M38" s="148"/>
      <c r="N38" s="148"/>
      <c r="O38" s="148"/>
      <c r="P38" s="491"/>
      <c r="Q38" s="148"/>
      <c r="R38" s="148"/>
      <c r="S38" s="148"/>
      <c r="T38" s="491"/>
      <c r="U38" s="492"/>
      <c r="V38" s="492"/>
      <c r="W38" s="492"/>
      <c r="X38" s="492"/>
      <c r="Y38" s="492"/>
      <c r="Z38" s="491"/>
      <c r="AA38" s="91"/>
      <c r="AB38" s="91"/>
      <c r="AC38" s="91"/>
      <c r="AD38" s="491"/>
      <c r="AE38" s="492"/>
      <c r="AF38" s="492"/>
      <c r="AG38" s="490"/>
      <c r="AI38" s="495"/>
      <c r="AJ38" s="495"/>
      <c r="AL38" s="493"/>
    </row>
    <row r="39" spans="2:38" s="487" customFormat="1" ht="12.75" hidden="1" customHeight="1" outlineLevel="1">
      <c r="B39" s="490"/>
      <c r="C39" s="490"/>
      <c r="D39" s="490"/>
      <c r="E39" s="490"/>
      <c r="F39" s="495"/>
      <c r="G39" s="490"/>
      <c r="L39" s="148"/>
      <c r="M39" s="148"/>
      <c r="N39" s="148"/>
      <c r="O39" s="148"/>
      <c r="P39" s="491"/>
      <c r="Q39" s="148"/>
      <c r="R39" s="148"/>
      <c r="S39" s="148"/>
      <c r="T39" s="491"/>
      <c r="U39" s="492"/>
      <c r="V39" s="492"/>
      <c r="W39" s="492"/>
      <c r="X39" s="492"/>
      <c r="Y39" s="492"/>
      <c r="Z39" s="491"/>
      <c r="AA39" s="91"/>
      <c r="AB39" s="91"/>
      <c r="AC39" s="91"/>
      <c r="AD39" s="491"/>
      <c r="AE39" s="492"/>
      <c r="AF39" s="492"/>
      <c r="AG39" s="490"/>
      <c r="AI39" s="495"/>
      <c r="AJ39" s="495"/>
      <c r="AL39" s="493"/>
    </row>
    <row r="40" spans="2:38" s="487" customFormat="1" ht="12.75" hidden="1" customHeight="1" outlineLevel="1">
      <c r="B40" s="490"/>
      <c r="C40" s="490"/>
      <c r="D40" s="490"/>
      <c r="E40" s="490"/>
      <c r="F40" s="495"/>
      <c r="G40" s="490"/>
      <c r="L40" s="148"/>
      <c r="M40" s="148"/>
      <c r="N40" s="148"/>
      <c r="O40" s="148"/>
      <c r="P40" s="491"/>
      <c r="Q40" s="148"/>
      <c r="R40" s="148"/>
      <c r="S40" s="148"/>
      <c r="T40" s="491"/>
      <c r="U40" s="492"/>
      <c r="V40" s="492"/>
      <c r="W40" s="492"/>
      <c r="X40" s="492"/>
      <c r="Y40" s="492"/>
      <c r="Z40" s="491"/>
      <c r="AA40" s="91"/>
      <c r="AB40" s="91"/>
      <c r="AC40" s="91"/>
      <c r="AD40" s="491"/>
      <c r="AE40" s="492"/>
      <c r="AF40" s="492"/>
      <c r="AG40" s="490"/>
      <c r="AI40" s="495"/>
      <c r="AJ40" s="495"/>
      <c r="AL40" s="493"/>
    </row>
    <row r="41" spans="2:38" s="487" customFormat="1" ht="12.75" hidden="1" customHeight="1" outlineLevel="1">
      <c r="B41" s="490"/>
      <c r="C41" s="490"/>
      <c r="D41" s="490"/>
      <c r="E41" s="490"/>
      <c r="F41" s="495"/>
      <c r="G41" s="490"/>
      <c r="L41" s="148"/>
      <c r="M41" s="148"/>
      <c r="N41" s="148"/>
      <c r="O41" s="148"/>
      <c r="P41" s="491"/>
      <c r="Q41" s="148"/>
      <c r="R41" s="148"/>
      <c r="S41" s="148"/>
      <c r="T41" s="491"/>
      <c r="U41" s="492"/>
      <c r="V41" s="492"/>
      <c r="W41" s="492"/>
      <c r="X41" s="492"/>
      <c r="Y41" s="492"/>
      <c r="Z41" s="491"/>
      <c r="AA41" s="91"/>
      <c r="AB41" s="91"/>
      <c r="AC41" s="91"/>
      <c r="AD41" s="491"/>
      <c r="AE41" s="492"/>
      <c r="AF41" s="492"/>
      <c r="AG41" s="490"/>
      <c r="AI41" s="495"/>
      <c r="AJ41" s="495"/>
      <c r="AL41" s="493"/>
    </row>
    <row r="42" spans="2:38" ht="12.75" customHeight="1" collapsed="1">
      <c r="F42" s="18"/>
    </row>
    <row r="43" spans="2:38" ht="12.75" customHeight="1">
      <c r="B43" s="1583" t="s">
        <v>46</v>
      </c>
      <c r="C43" s="1584"/>
      <c r="D43" s="1584"/>
      <c r="E43" s="1584"/>
      <c r="F43" s="1585"/>
      <c r="G43" s="1584"/>
      <c r="H43" s="1584"/>
      <c r="I43" s="1584"/>
      <c r="J43" s="1584"/>
      <c r="K43" s="1584"/>
      <c r="L43" s="1586">
        <f>MAX(L9:L42)</f>
        <v>8369</v>
      </c>
      <c r="M43" s="1586">
        <f t="shared" ref="M43:O43" si="5">MAX(M9:M42)</f>
        <v>8120.5</v>
      </c>
      <c r="N43" s="1586">
        <f t="shared" si="5"/>
        <v>5900</v>
      </c>
      <c r="O43" s="1586">
        <f t="shared" si="5"/>
        <v>8929.1</v>
      </c>
      <c r="P43" s="1584"/>
      <c r="Q43" s="1586">
        <f>MAX(Q9:Q42)</f>
        <v>700.2</v>
      </c>
      <c r="R43" s="1586">
        <f>MAX(R9:R42)</f>
        <v>275.60000000000002</v>
      </c>
      <c r="S43" s="1586">
        <f>MAX(S9:S42)</f>
        <v>186.1</v>
      </c>
      <c r="T43" s="1584"/>
      <c r="U43" s="1590">
        <f>MAX(U9:U42)</f>
        <v>4.1416738074835759</v>
      </c>
      <c r="V43" s="1587">
        <f>MAX(V9:V42)</f>
        <v>10.522496371552974</v>
      </c>
      <c r="W43" s="1587">
        <f>MAX(W9:W42)</f>
        <v>15.583019881783988</v>
      </c>
      <c r="X43" s="1587">
        <f>MAX(X9:X42)</f>
        <v>0</v>
      </c>
      <c r="Y43" s="1587">
        <f>MAX(Y9:Y42)</f>
        <v>0</v>
      </c>
      <c r="Z43" s="1588"/>
      <c r="AA43" s="125">
        <f>MAX(AA9:AA42)</f>
        <v>244.1</v>
      </c>
      <c r="AB43" s="125">
        <f>MAX(AB9:AB42)</f>
        <v>-199</v>
      </c>
      <c r="AC43" s="125">
        <f>MAX(AC9:AC42)</f>
        <v>0</v>
      </c>
      <c r="AD43" s="152"/>
      <c r="AE43" s="96">
        <f>MAX(AE9:AE42)</f>
        <v>16615.999999999996</v>
      </c>
      <c r="AF43" s="96">
        <f>MAX(AF9:AF42)</f>
        <v>-42.05527638190955</v>
      </c>
      <c r="AG43" s="96">
        <f>MAX(AG9:AG42)</f>
        <v>0</v>
      </c>
      <c r="AH43" s="488"/>
      <c r="AI43" s="137">
        <f>MAX(AI9:AI42)</f>
        <v>5.2439999999999998</v>
      </c>
      <c r="AJ43" s="138">
        <f>MAX(AJ9:AJ42)</f>
        <v>4.8209999999999997</v>
      </c>
    </row>
    <row r="44" spans="2:38" ht="12.75" customHeight="1">
      <c r="B44" s="339" t="s">
        <v>50</v>
      </c>
      <c r="C44" s="62"/>
      <c r="D44" s="62"/>
      <c r="E44" s="62"/>
      <c r="F44" s="494"/>
      <c r="G44" s="62"/>
      <c r="H44" s="62"/>
      <c r="I44" s="62"/>
      <c r="J44" s="62"/>
      <c r="K44" s="62"/>
      <c r="L44" s="99">
        <f>QUARTILE(L9:L42,3)</f>
        <v>1352.9</v>
      </c>
      <c r="M44" s="99">
        <f t="shared" ref="M44:O44" si="6">QUARTILE(M9:M42,3)</f>
        <v>475</v>
      </c>
      <c r="N44" s="99">
        <f t="shared" si="6"/>
        <v>775</v>
      </c>
      <c r="O44" s="99">
        <f t="shared" si="6"/>
        <v>1363.075</v>
      </c>
      <c r="P44" s="62"/>
      <c r="Q44" s="99">
        <f>QUARTILE(Q9:Q42,3)</f>
        <v>258.60000000000002</v>
      </c>
      <c r="R44" s="99">
        <f>QUARTILE(R9:R42,3)</f>
        <v>-7.75</v>
      </c>
      <c r="S44" s="99">
        <f>QUARTILE(S9:S42,3)</f>
        <v>-0.95000000000000007</v>
      </c>
      <c r="T44" s="62"/>
      <c r="U44" s="129">
        <f>QUARTILE(U9:U42,3)</f>
        <v>4.1416738074835759</v>
      </c>
      <c r="V44" s="98">
        <f>QUARTILE(V9:V42,3)</f>
        <v>10.522496371552974</v>
      </c>
      <c r="W44" s="98">
        <f>QUARTILE(W9:W42,3)</f>
        <v>15.583019881783988</v>
      </c>
      <c r="X44" s="98" t="e">
        <f>QUARTILE(X9:X42,3)</f>
        <v>#NUM!</v>
      </c>
      <c r="Y44" s="98" t="e">
        <f>QUARTILE(Y9:Y42,3)</f>
        <v>#NUM!</v>
      </c>
      <c r="Z44" s="67"/>
      <c r="AA44" s="99">
        <f>QUARTILE(AA9:AA42,3)</f>
        <v>183.1</v>
      </c>
      <c r="AB44" s="99">
        <f>QUARTILE(AB9:AB42,3)</f>
        <v>-199</v>
      </c>
      <c r="AC44" s="99" t="e">
        <f>QUARTILE(AC9:AC42,3)</f>
        <v>#NUM!</v>
      </c>
      <c r="AD44" s="62"/>
      <c r="AE44" s="98">
        <f>QUARTILE(AE9:AE42,3)</f>
        <v>12470.571282261364</v>
      </c>
      <c r="AF44" s="98">
        <f>QUARTILE(AF9:AF42,3)</f>
        <v>-42.05527638190955</v>
      </c>
      <c r="AG44" s="98" t="e">
        <f>QUARTILE(AG9:AG42,3)</f>
        <v>#NUM!</v>
      </c>
      <c r="AH44" s="196"/>
      <c r="AI44" s="139">
        <f>QUARTILE(AI9:AI42,3)</f>
        <v>4.0430000000000001</v>
      </c>
      <c r="AJ44" s="140">
        <f>QUARTILE(AJ9:AJ42,3)</f>
        <v>3.7722499999999992</v>
      </c>
    </row>
    <row r="45" spans="2:38" ht="12.75" customHeight="1">
      <c r="B45" s="339" t="s">
        <v>48</v>
      </c>
      <c r="C45" s="62"/>
      <c r="D45" s="62"/>
      <c r="E45" s="62"/>
      <c r="F45" s="494"/>
      <c r="G45" s="62"/>
      <c r="H45" s="62"/>
      <c r="I45" s="62"/>
      <c r="J45" s="62"/>
      <c r="K45" s="62"/>
      <c r="L45" s="99">
        <f>AVERAGE(L9:L42)</f>
        <v>1572.5562500000001</v>
      </c>
      <c r="M45" s="99">
        <f t="shared" ref="M45:O45" si="7">AVERAGE(M9:M42)</f>
        <v>871.97857142857151</v>
      </c>
      <c r="N45" s="99">
        <f t="shared" si="7"/>
        <v>927.17272727272723</v>
      </c>
      <c r="O45" s="99">
        <f t="shared" si="7"/>
        <v>1648.875</v>
      </c>
      <c r="P45" s="62"/>
      <c r="Q45" s="99">
        <f>AVERAGE(Q9:Q42)</f>
        <v>203.22500000000002</v>
      </c>
      <c r="R45" s="99">
        <f>AVERAGE(R9:R42)</f>
        <v>-6.7285714285714233</v>
      </c>
      <c r="S45" s="99">
        <f>AVERAGE(S9:S42)</f>
        <v>-17.650000000000009</v>
      </c>
      <c r="T45" s="62"/>
      <c r="U45" s="129">
        <f>AVERAGE(U9:U42)</f>
        <v>4.1416738074835759</v>
      </c>
      <c r="V45" s="98">
        <f>AVERAGE(V9:V42)</f>
        <v>10.522496371552974</v>
      </c>
      <c r="W45" s="98">
        <f>AVERAGE(W9:W42)</f>
        <v>15.583019881783988</v>
      </c>
      <c r="X45" s="98" t="e">
        <f>AVERAGE(X9:X42)</f>
        <v>#DIV/0!</v>
      </c>
      <c r="Y45" s="98" t="e">
        <f>AVERAGE(Y9:Y42)</f>
        <v>#DIV/0!</v>
      </c>
      <c r="Z45" s="67"/>
      <c r="AA45" s="99">
        <f>AVERAGE(AA9:AA42)</f>
        <v>122.1</v>
      </c>
      <c r="AB45" s="99">
        <f>AVERAGE(AB9:AB42)</f>
        <v>-199</v>
      </c>
      <c r="AC45" s="99" t="e">
        <f>AVERAGE(AC9:AC42)</f>
        <v>#DIV/0!</v>
      </c>
      <c r="AD45" s="62"/>
      <c r="AE45" s="98">
        <f>AVERAGE(AE9:AE42)</f>
        <v>8325.1425645227355</v>
      </c>
      <c r="AF45" s="98">
        <f>AVERAGE(AF9:AF42)</f>
        <v>-42.05527638190955</v>
      </c>
      <c r="AG45" s="98" t="e">
        <f>AVERAGE(AG9:AG42)</f>
        <v>#DIV/0!</v>
      </c>
      <c r="AH45" s="196"/>
      <c r="AI45" s="139">
        <f>AVERAGE(AI9:AI42)</f>
        <v>2.8420000000000001</v>
      </c>
      <c r="AJ45" s="140">
        <f>AVERAGE(AJ9:AJ42)</f>
        <v>2.7235</v>
      </c>
    </row>
    <row r="46" spans="2:38" ht="12.75" customHeight="1">
      <c r="B46" s="339" t="s">
        <v>3</v>
      </c>
      <c r="C46" s="62"/>
      <c r="D46" s="62"/>
      <c r="E46" s="62"/>
      <c r="F46" s="494"/>
      <c r="G46" s="62"/>
      <c r="H46" s="62"/>
      <c r="I46" s="62"/>
      <c r="J46" s="62"/>
      <c r="K46" s="62"/>
      <c r="L46" s="99">
        <f>MEDIAN(L9:L42)</f>
        <v>573.20000000000005</v>
      </c>
      <c r="M46" s="99">
        <f t="shared" ref="M46:O46" si="8">MEDIAN(M9:M42)</f>
        <v>301.25</v>
      </c>
      <c r="N46" s="99">
        <f t="shared" si="8"/>
        <v>475</v>
      </c>
      <c r="O46" s="99">
        <f t="shared" si="8"/>
        <v>590.4</v>
      </c>
      <c r="P46" s="62"/>
      <c r="Q46" s="99">
        <f>MEDIAN(Q9:Q42)</f>
        <v>56.300000000000004</v>
      </c>
      <c r="R46" s="99">
        <f>MEDIAN(R9:R42)</f>
        <v>-29.2</v>
      </c>
      <c r="S46" s="99">
        <f>MEDIAN(S9:S42)</f>
        <v>-22.2</v>
      </c>
      <c r="T46" s="62"/>
      <c r="U46" s="129">
        <f>MEDIAN(U9:U42)</f>
        <v>4.1416738074835759</v>
      </c>
      <c r="V46" s="98">
        <f>MEDIAN(V9:V42)</f>
        <v>10.522496371552974</v>
      </c>
      <c r="W46" s="98">
        <f>MEDIAN(W9:W42)</f>
        <v>15.583019881783988</v>
      </c>
      <c r="X46" s="98" t="e">
        <f>MEDIAN(X9:X42)</f>
        <v>#NUM!</v>
      </c>
      <c r="Y46" s="98" t="e">
        <f>MEDIAN(Y9:Y42)</f>
        <v>#NUM!</v>
      </c>
      <c r="Z46" s="67"/>
      <c r="AA46" s="99">
        <f>MEDIAN(AA9:AA42)</f>
        <v>122.1</v>
      </c>
      <c r="AB46" s="99">
        <f>MEDIAN(AB9:AB42)</f>
        <v>-199</v>
      </c>
      <c r="AC46" s="99" t="e">
        <f>MEDIAN(AC9:AC42)</f>
        <v>#NUM!</v>
      </c>
      <c r="AD46" s="62"/>
      <c r="AE46" s="98">
        <f>MEDIAN(AE9:AE42)</f>
        <v>8325.1425645227337</v>
      </c>
      <c r="AF46" s="98">
        <f>MEDIAN(AF9:AF42)</f>
        <v>-42.05527638190955</v>
      </c>
      <c r="AG46" s="98" t="e">
        <f>MEDIAN(AG9:AG42)</f>
        <v>#NUM!</v>
      </c>
      <c r="AH46" s="196"/>
      <c r="AI46" s="139">
        <f>MEDIAN(AI9:AI42)</f>
        <v>2.8419999999999996</v>
      </c>
      <c r="AJ46" s="140">
        <f>MEDIAN(AJ9:AJ42)</f>
        <v>2.7234999999999996</v>
      </c>
    </row>
    <row r="47" spans="2:38" ht="12.75" customHeight="1">
      <c r="B47" s="339" t="s">
        <v>49</v>
      </c>
      <c r="C47" s="62"/>
      <c r="D47" s="62"/>
      <c r="E47" s="62"/>
      <c r="F47" s="62"/>
      <c r="G47" s="62"/>
      <c r="H47" s="62"/>
      <c r="I47" s="62"/>
      <c r="J47" s="62"/>
      <c r="K47" s="62"/>
      <c r="L47" s="99">
        <f>QUARTILE(L9:L42,1)</f>
        <v>181.25</v>
      </c>
      <c r="M47" s="99">
        <f t="shared" ref="M47:O47" si="9">QUARTILE(M9:M42,1)</f>
        <v>114.75</v>
      </c>
      <c r="N47" s="99">
        <f t="shared" si="9"/>
        <v>207.5</v>
      </c>
      <c r="O47" s="99">
        <f t="shared" si="9"/>
        <v>243.75</v>
      </c>
      <c r="P47" s="62"/>
      <c r="Q47" s="99">
        <f>QUARTILE(Q9:Q42,1)</f>
        <v>0.92499999999999993</v>
      </c>
      <c r="R47" s="99">
        <f>QUARTILE(R9:R42,1)</f>
        <v>-35.25</v>
      </c>
      <c r="S47" s="99">
        <f>QUARTILE(S9:S42,1)</f>
        <v>-32.450000000000003</v>
      </c>
      <c r="T47" s="62"/>
      <c r="U47" s="129">
        <f>QUARTILE(U9:U42,1)</f>
        <v>4.1416738074835759</v>
      </c>
      <c r="V47" s="98">
        <f>QUARTILE(V9:V42,1)</f>
        <v>10.522496371552974</v>
      </c>
      <c r="W47" s="98">
        <f>QUARTILE(W9:W42,1)</f>
        <v>15.583019881783988</v>
      </c>
      <c r="X47" s="98" t="e">
        <f>QUARTILE(X9:X42,1)</f>
        <v>#NUM!</v>
      </c>
      <c r="Y47" s="98" t="e">
        <f>QUARTILE(Y9:Y42,1)</f>
        <v>#NUM!</v>
      </c>
      <c r="Z47" s="67"/>
      <c r="AA47" s="99">
        <f>QUARTILE(AA9:AA42,1)</f>
        <v>61.1</v>
      </c>
      <c r="AB47" s="99">
        <f>QUARTILE(AB9:AB42,1)</f>
        <v>-199</v>
      </c>
      <c r="AC47" s="99" t="e">
        <f>QUARTILE(AC9:AC42,1)</f>
        <v>#NUM!</v>
      </c>
      <c r="AD47" s="62"/>
      <c r="AE47" s="98">
        <f>QUARTILE(AE9:AE42,1)</f>
        <v>4179.7138467841032</v>
      </c>
      <c r="AF47" s="98">
        <f>QUARTILE(AF9:AF42,1)</f>
        <v>-42.05527638190955</v>
      </c>
      <c r="AG47" s="98" t="e">
        <f>QUARTILE(AG9:AG42,1)</f>
        <v>#NUM!</v>
      </c>
      <c r="AH47" s="196"/>
      <c r="AI47" s="139">
        <f>QUARTILE(AI9:AI42,1)</f>
        <v>1.6409999999999998</v>
      </c>
      <c r="AJ47" s="140">
        <f>QUARTILE(AJ9:AJ42,1)</f>
        <v>1.67475</v>
      </c>
    </row>
    <row r="48" spans="2:38" ht="12.75" customHeight="1">
      <c r="B48" s="1589" t="s">
        <v>47</v>
      </c>
      <c r="C48" s="153"/>
      <c r="D48" s="153"/>
      <c r="E48" s="153"/>
      <c r="F48" s="153"/>
      <c r="G48" s="153"/>
      <c r="H48" s="153"/>
      <c r="I48" s="153"/>
      <c r="J48" s="153"/>
      <c r="K48" s="153"/>
      <c r="L48" s="71">
        <f>MIN(L9:L42)</f>
        <v>4.5</v>
      </c>
      <c r="M48" s="71">
        <f t="shared" ref="M48:O48" si="10">MIN(M9:M42)</f>
        <v>27.1</v>
      </c>
      <c r="N48" s="71">
        <f t="shared" si="10"/>
        <v>4.5</v>
      </c>
      <c r="O48" s="71">
        <f t="shared" si="10"/>
        <v>4.5</v>
      </c>
      <c r="P48" s="153"/>
      <c r="Q48" s="71">
        <f>MIN(Q9:Q42)</f>
        <v>0.1</v>
      </c>
      <c r="R48" s="71">
        <f>MIN(R9:R42)</f>
        <v>-207.5</v>
      </c>
      <c r="S48" s="71">
        <f>MIN(S9:S42)</f>
        <v>-210.5</v>
      </c>
      <c r="T48" s="153"/>
      <c r="U48" s="1591">
        <f>MIN(U9:U42)</f>
        <v>4.1416738074835759</v>
      </c>
      <c r="V48" s="103">
        <f>MIN(V9:V42)</f>
        <v>10.522496371552974</v>
      </c>
      <c r="W48" s="103">
        <f>MIN(W9:W42)</f>
        <v>15.583019881783988</v>
      </c>
      <c r="X48" s="103">
        <f>MIN(X9:X42)</f>
        <v>0</v>
      </c>
      <c r="Y48" s="103">
        <f>MIN(Y9:Y42)</f>
        <v>0</v>
      </c>
      <c r="Z48" s="399"/>
      <c r="AA48" s="71">
        <f>MIN(AA9:AA42)</f>
        <v>0.1</v>
      </c>
      <c r="AB48" s="71">
        <f>MIN(AB9:AB42)</f>
        <v>-199</v>
      </c>
      <c r="AC48" s="71">
        <f>MIN(AC9:AC42)</f>
        <v>0</v>
      </c>
      <c r="AD48" s="153"/>
      <c r="AE48" s="103">
        <f>MIN(AE9:AE42)</f>
        <v>34.28512904547317</v>
      </c>
      <c r="AF48" s="103">
        <f>MIN(AF9:AF42)</f>
        <v>-42.05527638190955</v>
      </c>
      <c r="AG48" s="103">
        <f>MIN(AG9:AG42)</f>
        <v>0</v>
      </c>
      <c r="AH48" s="489"/>
      <c r="AI48" s="141">
        <f>MIN(AI9:AI42)</f>
        <v>0.44</v>
      </c>
      <c r="AJ48" s="142">
        <f>MIN(AJ9:AJ42)</f>
        <v>0.626</v>
      </c>
    </row>
    <row r="49" spans="1:2" ht="12.75" customHeight="1"/>
    <row r="50" spans="1:2" ht="12.75" customHeight="1">
      <c r="B50" s="8"/>
    </row>
    <row r="51" spans="1:2" ht="12.75" customHeight="1">
      <c r="B51" s="8" t="s">
        <v>51</v>
      </c>
    </row>
    <row r="52" spans="1:2" ht="12.75" customHeight="1"/>
    <row r="53" spans="1:2" ht="12.75" customHeight="1">
      <c r="B53" s="8" t="s">
        <v>21</v>
      </c>
    </row>
    <row r="54" spans="1:2">
      <c r="A54" s="2124">
        <v>1</v>
      </c>
      <c r="B54" s="385" t="s">
        <v>2758</v>
      </c>
    </row>
  </sheetData>
  <conditionalFormatting sqref="U4">
    <cfRule type="cellIs" dxfId="234" priority="9" stopIfTrue="1" operator="equal">
      <formula>"input"</formula>
    </cfRule>
  </conditionalFormatting>
  <conditionalFormatting sqref="B4:P4">
    <cfRule type="cellIs" dxfId="233" priority="15" stopIfTrue="1" operator="equal">
      <formula>"input"</formula>
    </cfRule>
  </conditionalFormatting>
  <conditionalFormatting sqref="Q4">
    <cfRule type="cellIs" dxfId="232" priority="13" stopIfTrue="1" operator="equal">
      <formula>"input"</formula>
    </cfRule>
  </conditionalFormatting>
  <conditionalFormatting sqref="Q4">
    <cfRule type="cellIs" dxfId="231" priority="14" stopIfTrue="1" operator="equal">
      <formula>"input"</formula>
    </cfRule>
  </conditionalFormatting>
  <conditionalFormatting sqref="R4:T4">
    <cfRule type="cellIs" dxfId="230" priority="11" stopIfTrue="1" operator="equal">
      <formula>"input"</formula>
    </cfRule>
  </conditionalFormatting>
  <conditionalFormatting sqref="R4:T4">
    <cfRule type="cellIs" dxfId="229" priority="12" stopIfTrue="1" operator="equal">
      <formula>"input"</formula>
    </cfRule>
  </conditionalFormatting>
  <conditionalFormatting sqref="U4">
    <cfRule type="cellIs" dxfId="228" priority="10" stopIfTrue="1" operator="equal">
      <formula>"input"</formula>
    </cfRule>
  </conditionalFormatting>
  <conditionalFormatting sqref="V4:AI4">
    <cfRule type="cellIs" dxfId="227" priority="7" stopIfTrue="1" operator="equal">
      <formula>"input"</formula>
    </cfRule>
  </conditionalFormatting>
  <conditionalFormatting sqref="V4:AI4">
    <cfRule type="cellIs" dxfId="226" priority="8" stopIfTrue="1" operator="equal">
      <formula>"input"</formula>
    </cfRule>
  </conditionalFormatting>
  <conditionalFormatting sqref="AJ4">
    <cfRule type="cellIs" dxfId="225" priority="1" stopIfTrue="1" operator="equal">
      <formula>"input"</formula>
    </cfRule>
  </conditionalFormatting>
  <conditionalFormatting sqref="AJ4">
    <cfRule type="cellIs" dxfId="224" priority="2" stopIfTrue="1" operator="equal">
      <formula>"input"</formula>
    </cfRule>
  </conditionalFormatting>
  <pageMargins left="0.5" right="0.5" top="0.5" bottom="0.5" header="0.5" footer="0.5"/>
  <pageSetup scale="75" fitToWidth="0" fitToHeight="0" orientation="landscape" r:id="rId1"/>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M40"/>
  <sheetViews>
    <sheetView showGridLines="0" view="pageBreakPreview" zoomScaleNormal="100" zoomScaleSheetLayoutView="100" workbookViewId="0"/>
  </sheetViews>
  <sheetFormatPr defaultRowHeight="12.75" outlineLevelRow="1"/>
  <cols>
    <col min="1" max="1" width="4.5" style="385" customWidth="1"/>
    <col min="2" max="2" width="42.1640625" style="385" customWidth="1"/>
    <col min="3" max="3" width="2.83203125" style="385" customWidth="1"/>
    <col min="4" max="4" width="103.1640625" style="385" customWidth="1"/>
    <col min="5" max="5" width="4.5" style="385" customWidth="1"/>
    <col min="6" max="16384" width="9.33203125" style="385"/>
  </cols>
  <sheetData>
    <row r="1" spans="2:13" ht="13.5" thickBot="1"/>
    <row r="2" spans="2:13" ht="16.5" thickTop="1">
      <c r="B2" s="10" t="str">
        <f>'MASTER PubCo Inputs'!$C$5</f>
        <v>Pliant Therapeutics, Inc.</v>
      </c>
      <c r="C2" s="10"/>
      <c r="D2" s="10"/>
    </row>
    <row r="3" spans="2:13" ht="15.75">
      <c r="B3" s="11" t="str">
        <f>VLOOKUP(B4,Outline!$E$8:$G$69,COLUMNS(Outline!$E$8:$G$8),FALSE)</f>
        <v>Exhibit F.2</v>
      </c>
      <c r="C3" s="11"/>
      <c r="D3" s="11"/>
    </row>
    <row r="4" spans="2:13" ht="16.5" thickBot="1">
      <c r="B4" s="12" t="s">
        <v>528</v>
      </c>
      <c r="C4" s="12"/>
      <c r="D4" s="13"/>
    </row>
    <row r="5" spans="2:13" s="16" customFormat="1" ht="13.5" thickTop="1">
      <c r="B5" s="385"/>
      <c r="C5" s="385"/>
      <c r="D5" s="385"/>
      <c r="E5" s="385"/>
      <c r="F5" s="385"/>
      <c r="G5" s="385"/>
      <c r="H5" s="385"/>
      <c r="I5" s="385"/>
      <c r="J5" s="385"/>
      <c r="K5" s="385"/>
      <c r="L5" s="385"/>
      <c r="M5" s="385"/>
    </row>
    <row r="6" spans="2:13">
      <c r="B6" s="703" t="s">
        <v>529</v>
      </c>
      <c r="C6" s="702"/>
      <c r="D6" s="704" t="s">
        <v>56</v>
      </c>
    </row>
    <row r="8" spans="2:13" ht="56.1" customHeight="1">
      <c r="B8" s="456" t="str">
        <f>Trans.1!D9</f>
        <v>Nimbus Apollo, Inc.</v>
      </c>
      <c r="C8" s="701"/>
      <c r="D8" s="456" t="str">
        <f>'Capital IQ Sheet-STM'!AL10</f>
        <v>Nimbus Apollo, Inc. research and develops drugs that treats non-alcoholic steatohepatitis. The company was incorporated in 2010 and is based in Cambridge, Massachusetts. Nimbus Apollo, Inc. operates as a subsidiary of Nimbus Therapeutics, Inc. As per the transaction announced on April 4, 2016, Nimbus Apollo, Inc. operates as a subsidiary of Gilead Sciences Inc.</v>
      </c>
    </row>
    <row r="9" spans="2:13" ht="56.1" customHeight="1">
      <c r="B9" s="456" t="str">
        <f>Trans.1!D10</f>
        <v>Impact Biomedicines, Inc.</v>
      </c>
      <c r="C9" s="701"/>
      <c r="D9" s="456" t="str">
        <f>'Capital IQ Sheet-STM'!AL11</f>
        <v>Impact Biomedicines, Inc. engages in the development of cancer treatments. It engages in the development of fedratinib, a potent and highly selective oral small molecule JAK2 kinase inhibitor for the treatment of myelofibrosis and polycythemia vera. The company was founded in 2016 and is headquartered in San Diego, California. As of February 28, 2018, Impact Biomedicines, Inc. operates as a subsidiary of Celgene Corporation.</v>
      </c>
    </row>
    <row r="10" spans="2:13" ht="42" customHeight="1">
      <c r="B10" s="456" t="str">
        <f>Trans.1!D11</f>
        <v>Concert Pharmaceuticals Inc., CT-656 Drug &amp; Related Assets</v>
      </c>
      <c r="C10" s="701"/>
      <c r="D10" s="456" t="str">
        <f>'Capital IQ Sheet-STM'!AL12</f>
        <v>As of July 25, 2017, CT-656 Drug &amp; Related Assets of Concert Pharmaceuticals Inc. was acquired by Vertex Pharmaceuticals (Europe) Limited. CT-656 Drug &amp; Related Assets of Concert Pharmaceuticals Inc. comprises drugs and related assets for the treatment of of cystic fibrosis. The asset is located in the United States.</v>
      </c>
    </row>
    <row r="11" spans="2:13" ht="98.1" customHeight="1">
      <c r="B11" s="456" t="str">
        <f>Trans.1!D12</f>
        <v>Nivalis Therapeutics, Inc.</v>
      </c>
      <c r="C11" s="701"/>
      <c r="D11" s="456" t="str">
        <f>'Capital IQ Sheet-STM'!AL13</f>
        <v>As of July 24, 2017, Nivalis Therapeutics, Inc. was acquired by Alpine Immune Sciences Inc. in a reverse merger transaction. Nivalis Therapeutics, Inc., a pharmaceutical company, focuses on the discovery and development of product candidates for patients with cystic fibrosis in the United States. Its lead product candidate is N91115, a small molecule inhibitor, which is in Phase II clinical trial that addresses a defect in cystic fibrosis transmembrane conductance regulator resulting from mutations. The company was formerly known as N30 Pharmaceuticals, Inc. and changed its name to Nivalis Therapeutics, Inc. in February 2015. Nivalis Therapeutics, Inc. was founded in 2007 and is headquartered in Boulder, Colorado.</v>
      </c>
    </row>
    <row r="12" spans="2:13" ht="98.1" customHeight="1">
      <c r="B12" s="456" t="str">
        <f>Trans.1!D13</f>
        <v>Mast Therapeutics, Inc.</v>
      </c>
      <c r="C12" s="701"/>
      <c r="D12" s="456" t="str">
        <f>'Capital IQ Sheet-STM'!AL14</f>
        <v>As of April 27, 2017, Mast Therapeutics, Inc. was acquired by Savara Inc., in a reverse merger transaction. Mast Therapeutics, Inc., a clinical-stage biopharmaceutical company, develops therapies for serious or life-threatening diseases with significant unmet needs. Its lead product candidate is AIR001, a sodium nitrite solution for inhalation through nebulization, which is in Phase II clinical stage for the treatment of heart failure with preserved ejection fraction, as well as in Phase I/II study in patients with cystic fibrosis. The company was formerly known as ADVENTRX Pharmaceuticals, Inc. and changed its name to Mast Therapeutics, Inc. in March 2013. Mast Therapeutics, Inc. was founded in 1995 and is headquartered in San Diego, California.</v>
      </c>
    </row>
    <row r="13" spans="2:13" ht="84" customHeight="1">
      <c r="B13" s="456" t="str">
        <f>Trans.1!D14</f>
        <v>Tobira Therapeutics, Inc.</v>
      </c>
      <c r="C13" s="701"/>
      <c r="D13" s="456" t="str">
        <f>'Capital IQ Sheet-STM'!AL15</f>
        <v>Tobira Therapeutics, Inc., a clinical-stage biopharmaceutical company, focuses on the development and commercialization of therapeutics to treat liver disease, inflammation, fibrosis, and HIV. Its lead product candidate includes cenicriviroc, an immunomodulator and dual inhibitor of CCR2 and CCR5, which is in Phase 2a study for the treatment of primary sclerosing cholangitis and non-alcoholic steatohepatitis disease; and Phase 2b study for HIV. The company was founded in 2006 and is headquartered in South San Francisco, California. As of November 1, 2016, Tobira Therapeutics, Inc. operates as a subsidiary of Allergan plc.</v>
      </c>
    </row>
    <row r="14" spans="2:13" ht="69.95" customHeight="1">
      <c r="B14" s="456" t="str">
        <f>Trans.1!D15</f>
        <v>Akarna Therapeutics Ltd.</v>
      </c>
      <c r="C14" s="701"/>
      <c r="D14" s="456" t="str">
        <f>'Capital IQ Sheet-STM'!AL16</f>
        <v>Akarna Therapeutics Ltd., a biopharmaceutical company, develops small molecule therapeutics that target inflammatory and fibrotic diseases. It offers non-bile acid FXR agonist, a therapeutic for the treatment of nonalcoholic steatohepatitis and fatty-liver diseases. The company was incorporated in 2014 and is based in Cambridge, United Kingdom with an additional office in San Diego, California. As of September 20, 2016, Akarna Therapeutics Ltd. operates as a subsidiary of Allergan plc.</v>
      </c>
    </row>
    <row r="15" spans="2:13" ht="89.25">
      <c r="B15" s="456" t="str">
        <f>Trans.1!D16</f>
        <v>Afferent Pharmaceuticals, Inc.</v>
      </c>
      <c r="C15" s="701"/>
      <c r="D15" s="456" t="str">
        <f>'Capital IQ Sheet-STM'!AL17</f>
        <v>Afferent Pharmaceuticals, Inc. researches and develops drugs for the treatment of debilitating neurogenic disorders. It develops P2X3, a purinergic receptor that plays a role in the sensitization of nerves; AF-219, a selective P2X3 antagonist for the treatment of pathologic cough; and P2X3 antagonist that blocks P2X3 in the carotid body. It offers programs in the areas of respiratory diseases, resistant hypertension, P2X3 biology, cardiovascular diseases, and chronic pain and other indications; and clinical trials. The company was founded in 2009 and is based in San Mateo, California. As of July 26, 2016, Afferent Pharmaceuticals, Inc. operates as a subsidiary of Merck &amp; Co., Inc.</v>
      </c>
    </row>
    <row r="16" spans="2:13" ht="89.25">
      <c r="B16" s="456" t="str">
        <f>Trans.1!D17</f>
        <v>Adheron Therapeutics, Inc.</v>
      </c>
      <c r="C16" s="701"/>
      <c r="D16" s="456" t="str">
        <f>'Capital IQ Sheet-STM'!AL18</f>
        <v>Adheron Therapeutics, Inc. develops pharmaceuticals for the treatment of rheumatoid arthritis and fibrotic diseases. Its product SDP051, is a Cad-11 antagonist that acts as an adhesive between cells and changes in these Cad-11 interactions can induce the cells to produce many proteins that influence the cellular environment positively or adversely. The company's product is used in pulmonary fibrosis and skin fibrosis. Adheron Therapeutics, Inc. was formerly known as Synovex Corporation. The company was incorporated in 2003 and is based in Berkeley, California. As of October, 2015, Adheron Therapeutics, Inc. operates as a subsidiary of Roche Holding AG.</v>
      </c>
    </row>
    <row r="17" spans="2:4" ht="102">
      <c r="B17" s="456" t="str">
        <f>Trans.1!D18</f>
        <v>Corridor Pharmaceuticals, Inc.</v>
      </c>
      <c r="C17" s="701"/>
      <c r="D17" s="456" t="str">
        <f>'Capital IQ Sheet-STM'!AL19</f>
        <v>Corridor Pharmaceuticals, Inc. develops small molecule inhibitors of arginase and serotonin to treat pulmonary diseases associated with inflammation, fibrosis, and endothelial dysfunction. Its products include C-201, a small molecule arginase inhibitor that inhibits Arginase I and II in the single nanomolar range, and increases no production in human pulmonary artery endothelial cells; and C-301, a novel arginase inhibitor for the treatment of pulmonary disorders such as PAH, COPD, and IPF. The company was formerly known as Arginetix, Inc. and changed its name to Corridor Pharmaceuticals, Inc. in June, 2010. The company was founded in 2007 and is based in Towson, Maryland. As of December 31, 2014, Corridor Pharmaceuticals, Inc. operates as a subsidiary of AstraZeneca PLC.</v>
      </c>
    </row>
    <row r="18" spans="2:4" ht="165.75">
      <c r="B18" s="456" t="str">
        <f>Trans.1!D19</f>
        <v>InterMune, Inc.</v>
      </c>
      <c r="C18" s="701"/>
      <c r="D18" s="456" t="str">
        <f>'Capital IQ Sheet-STM'!AL20</f>
        <v>InterMune, Inc., a biotechnology company, focuses on the research, development, and commercialization of therapies for pulmonology and orphan fibrotic diseases in North America and Europe. The company develops therapies for the treatment of idiopathic pulmonary fibrosis (IPF), a progressive, irreversible, and fatal lung disease. It markets and sells pirfenidone, an orally active, anti-fibrotic agent that inhibits the synthesis of TGF-beta and TNF-alpha under the Esbriet name for the treatment of adults with mild to moderate IPF in the European Union and Canada. The company’s pirfenidone has also completed three Phase III clinical trials for the treatment of IPF in the United States. The company provides pirfenidone under the Pirespa trade name for the treatment of IPF in Japan and South Korea; and is also approved for the treatment of IPF in China, India, Argentina, and Mexico. Its research programs are focused on the discovery of targeted, small-molecule therapeutics and biomarkers to treat and monitor serious pulmonary and fibrotic diseases. The company was formerly known as InterMune Pharmaceuticals, Inc. and changed its name to InterMune, Inc. in April 2001. InterMune, Inc. was founded in 1998 and is headquartered in Brisbane, California. As of September 29, 2014, InterMune, Inc. operates as a subsidiary of Roche Holding AG.</v>
      </c>
    </row>
    <row r="19" spans="2:4" ht="69.95" customHeight="1">
      <c r="B19" s="456" t="str">
        <f>Trans.1!D20</f>
        <v>Alpine Biosciences, Inc.</v>
      </c>
      <c r="C19" s="701"/>
      <c r="D19" s="456" t="str">
        <f>'Capital IQ Sheet-STM'!AL21</f>
        <v>Alpine Biosciences, Inc. develops therapies for cancer and rare diseases using nanoparticles and drug development. It develops its products based on protocell technology for the development of product candidates in oncology, immunotherapy, and rare diseases. The company’s therapeutic areas include lysosomal storage, oncology, and cystic fibrosis. The company was founded in 2012 and is based in Seattle, Washington. As of August 8, 2014, Alpine Biosciences, Inc. operates as a subsidiary of Oncothyreon Inc.</v>
      </c>
    </row>
    <row r="20" spans="2:4" ht="125.1" customHeight="1">
      <c r="B20" s="456" t="str">
        <f>Trans.1!D21</f>
        <v>Lumena Pharmaceuticals, Inc.</v>
      </c>
      <c r="C20" s="701"/>
      <c r="D20" s="456" t="str">
        <f>'Capital IQ Sheet-STM'!AL22</f>
        <v>Lumena Pharmaceuticals, Inc. develops and commercializes oral therapeutics for cholestatic liver diseases and metabolic disorders. The company’s lead product candidate includes LUM001, an orally-administered, potent, and selective apical sodium-dependent bile acid transporter (ASBT) inhibitor that is in Phase II clinical trials in children for the treatment of orphan cholestatic liver diseases comprising Alagille syndrome and progressive familial intrahepatic cholestasis, as well as is in Phase II clinical trials in adults for the treatment of primary biliary cirrhosis and primary sclerosing cholangitis. It also develops LUM002, orally-administered, potent, and selective ASBT inhibitor has completed Phase I clinical trials for the treatment of nonalcoholic steatohepatitis. The company was founded in 2011 and is based in San Diego, California. As of June 11, 2014, Lumena Pharmaceuticals, Inc. operates as a subsidiary of Shire plc.</v>
      </c>
    </row>
    <row r="21" spans="2:4" ht="111.95" customHeight="1">
      <c r="B21" s="456" t="str">
        <f>Trans.1!D22</f>
        <v>Paloma Pharmaceuticals, Inc.</v>
      </c>
      <c r="C21" s="701"/>
      <c r="D21" s="456" t="str">
        <f>'Capital IQ Sheet-STM'!AL23</f>
        <v>Paloma Pharmaceuticals, Inc. operates as a drug development company that manufactures and commercializes drugs against diseases involving aberrant up-regulation of the PI3K/Akt/mTOR pathway. Its portfolio includes Palomids, the non-steroidal small molecule drugs for the treatment of cancer; ocular diseases, such as macular degeneration and diabetic retinopathy; arthritis; fibrotic diseases that include renal and pulmonary fibrosis; skin diseases, such as psoriasis, atopic dermatitis, and photodamage/wrinkling; antiviral diseases, including HIV/AIDS; and central nervous system disorders that include epilepsy and neurodegenerative diseases. The company was founded in 2005 and is based in Jamaica Plain, Massachusetts. As of March 28, 2014, Paloma Pharmaceuticals, Inc. operates as a subsidiary of Restorgenex Corporation.</v>
      </c>
    </row>
    <row r="22" spans="2:4" ht="98.1" customHeight="1">
      <c r="B22" s="456" t="str">
        <f>Trans.1!D23</f>
        <v>Aires Pharmaceuticals, Inc.</v>
      </c>
      <c r="C22" s="701"/>
      <c r="D22" s="456" t="str">
        <f>'Capital IQ Sheet-STM'!AL24</f>
        <v>Aires Pharmaceuticals, Inc. operates a clinical stage pharmaceutical company and develops therapies to treat pulmonary disorders. The company offers Aironite, an inhaled drug that is used to treat adult and pediatric pulmonary hypertension, cystic fibrosis, pneumonia, and other respiratory infections. Its products are also used in transplantation, heart failure, and other cardiovascular indications. The company also provides a delivery device, a hand-held and portable nebulizer that delivers a targeted mist into the patient’s lungs. The company was founded in 2006 and is based in San Diego, California. As of February 27, 2014, Aires Pharmaceuticals, Inc. operates as a subsidiary of Mast Therapeutics, Inc.</v>
      </c>
    </row>
    <row r="23" spans="2:4" ht="242.25">
      <c r="B23" s="456" t="str">
        <f>Trans.1!D24</f>
        <v>Aptalis Holdings Inc.</v>
      </c>
      <c r="C23" s="701"/>
      <c r="D23" s="456" t="str">
        <f>'Capital IQ Sheet-STM'!AL25</f>
        <v>Aptalis Holdings Inc. develops, manufactures, licenses, and markets therapies for cystic fibrosis (CF) and gastrointestinal disorders. Its principal products include ZENPEP and ULTRESA for the treatment of exocrine pancreatic insufficiency (EPI) due to CF or other conditions; VIOKACE for the treatment of EPI due to chronic pancreatitis or pancreatectomy in adults; PANZYTRAT for the treatment of EPI and pancreatic enzyme deficiency; and RECTIV for the treatment of moderate to severe pain associated with chronic anal fissure. The company’s products also comprise CARAFATE for the short-term treatment of active duodenal ulcers; PYLERA for the treatment of patients with helicobacter pylori, infection, and duodenal ulcer disease; CANASA for t.he short-term treatment of mild to moderately active ulcerative proctitis (UC); and SALOFALK for the treatment of acute UC, management of distal UC, and prevention of relapse of distal UC. In addition, it develops APT-1026, which has completed Phase III study to treat chronic lung infection with pseudomonas aeruginosa in CF; APT-1008 that is in Phase III study to treat EPI; APT-1016, which has completed Phase II study for use as a bowel cleansing preparation for colonoscopy; and APT-1011 that has completed Phase I/II clinical study to treat eosinophilic esophagitis. Further, the company formulates and clinically develops enhanced pharmaceutical and biopharmaceutical products using its proprietary technology platforms, including bioavailability enhancement of poorly soluble drugs, custom release profiles, and taste-masking/orally disintegration tablet formulations. The company was formerly known as Axcan Holdings Inc. and changed its name to Aptalis Holdings Inc. in February, 2011. The company was incorporated in 2008 and is based in Bridgewater, New Jersey. As of January 31, 2014, Aptalis Holdings Inc. operates as a subsidiary of Allergan plc.</v>
      </c>
    </row>
    <row r="24" spans="2:4" ht="56.1" customHeight="1">
      <c r="B24" s="456" t="str">
        <f>Trans.1!D25</f>
        <v>Stromedix, Inc.</v>
      </c>
      <c r="C24" s="701"/>
      <c r="D24" s="456" t="str">
        <f>'Capital IQ Sheet-STM'!AL26</f>
        <v>As of March 8, 2012, Stromedix, Inc. was acquired by Biogen Idec Inc. Stromedix, Inc. develops drugs to treat fibrotic organ failure. The company offers STX-100, a humanized monoclonal antibody that provides anti-fibrotic activity in preclinical models of lung, kidney, and liver diseases. Stromedix, Inc. was founded in 2005 and is based in Cambridge, Massachusetts.</v>
      </c>
    </row>
    <row r="25" spans="2:4" ht="98.1" customHeight="1">
      <c r="B25" s="456" t="str">
        <f>Trans.1!D26</f>
        <v>Amira Pharmaceuticals, Inc.</v>
      </c>
      <c r="C25" s="701"/>
      <c r="D25" s="456" t="str">
        <f>'Capital IQ Sheet-STM'!AL27</f>
        <v>Amira Pharmaceuticals, Inc. develops small molecular drugs to treat inflammatory and fibrotic/respiratory diseases related to bioactive lipid pathways. The company builds insights into various bioactive lipid pathways, such as leukotriene, prostaglandin, and lysophospholipid, as well as complex signaling processes that control chronic obstructive pulmonary, cardiovascular, and fibrotic diseases, as well as asthma. The company offers AM103/AM803, which are oral inhibitors of 5-lipoxygenase-activating protein. The company was founded in 2005 and is based in San Diego, California. As of September 7, 2011, Amira Pharmaceuticals, Inc. operates as a subsidiary of Bristol-Myers Squibb Company.</v>
      </c>
    </row>
    <row r="26" spans="2:4" ht="42" customHeight="1">
      <c r="B26" s="456" t="str">
        <f>Trans.1!D27</f>
        <v>Arresto Biosciences, Inc.</v>
      </c>
      <c r="C26" s="701"/>
      <c r="D26" s="456" t="str">
        <f>'Capital IQ Sheet-STM'!AL28</f>
        <v>As of January 14, 2011, Arresto Biosciences, Inc. was acquired by Gilead Sciences Inc. Arresto Biosciences, Inc., a biotechnology company, develops medicines to treat cancer and fibrotic diseases by targeting molecules from the extracellular matrix. The company was founded in 2007 and is based in Palo Alto, California.</v>
      </c>
    </row>
    <row r="27" spans="2:4" ht="98.1" hidden="1" customHeight="1" outlineLevel="1">
      <c r="B27" s="456"/>
      <c r="C27" s="701"/>
      <c r="D27" s="456"/>
    </row>
    <row r="28" spans="2:4" hidden="1" outlineLevel="1">
      <c r="B28" s="456"/>
      <c r="C28" s="701"/>
      <c r="D28" s="456"/>
    </row>
    <row r="29" spans="2:4" ht="56.1" hidden="1" customHeight="1" outlineLevel="1">
      <c r="B29" s="456"/>
      <c r="C29" s="701"/>
      <c r="D29" s="456"/>
    </row>
    <row r="30" spans="2:4" ht="98.1" hidden="1" customHeight="1" outlineLevel="1">
      <c r="B30" s="456"/>
      <c r="C30" s="701"/>
      <c r="D30" s="456"/>
    </row>
    <row r="31" spans="2:4" ht="42" hidden="1" customHeight="1" outlineLevel="1">
      <c r="B31" s="456"/>
      <c r="C31" s="701"/>
      <c r="D31" s="456"/>
    </row>
    <row r="32" spans="2:4" hidden="1" outlineLevel="1">
      <c r="B32" s="456"/>
      <c r="C32" s="701"/>
      <c r="D32" s="456"/>
    </row>
    <row r="33" spans="2:4" hidden="1" outlineLevel="1">
      <c r="B33" s="456"/>
      <c r="C33" s="701"/>
      <c r="D33" s="456"/>
    </row>
    <row r="34" spans="2:4" hidden="1" outlineLevel="1">
      <c r="B34" s="456"/>
      <c r="C34" s="701"/>
      <c r="D34" s="456"/>
    </row>
    <row r="35" spans="2:4" hidden="1" outlineLevel="1">
      <c r="B35" s="456"/>
      <c r="C35" s="701"/>
      <c r="D35" s="456"/>
    </row>
    <row r="36" spans="2:4" hidden="1" outlineLevel="1">
      <c r="B36" s="1524"/>
      <c r="C36" s="1524"/>
      <c r="D36" s="1524"/>
    </row>
    <row r="37" spans="2:4" hidden="1" outlineLevel="1">
      <c r="B37" s="1524"/>
      <c r="C37" s="1524"/>
      <c r="D37" s="1524"/>
    </row>
    <row r="38" spans="2:4" hidden="1" outlineLevel="1">
      <c r="B38" s="1524"/>
      <c r="C38" s="1524"/>
      <c r="D38" s="1524"/>
    </row>
    <row r="39" spans="2:4" collapsed="1">
      <c r="D39" s="143"/>
    </row>
    <row r="40" spans="2:4">
      <c r="B40" s="8" t="s">
        <v>51</v>
      </c>
      <c r="C40" s="8"/>
    </row>
  </sheetData>
  <conditionalFormatting sqref="B8:C8 C9:C27 B9:B31">
    <cfRule type="cellIs" dxfId="223" priority="10" operator="equal">
      <formula>"(Invalid Identifier)"</formula>
    </cfRule>
  </conditionalFormatting>
  <conditionalFormatting sqref="D4">
    <cfRule type="cellIs" dxfId="222" priority="4" stopIfTrue="1" operator="equal">
      <formula>"input"</formula>
    </cfRule>
  </conditionalFormatting>
  <conditionalFormatting sqref="D4">
    <cfRule type="cellIs" dxfId="221" priority="5" stopIfTrue="1" operator="equal">
      <formula>"input"</formula>
    </cfRule>
  </conditionalFormatting>
  <conditionalFormatting sqref="B4:C4">
    <cfRule type="cellIs" dxfId="220" priority="3" stopIfTrue="1" operator="equal">
      <formula>"input"</formula>
    </cfRule>
  </conditionalFormatting>
  <conditionalFormatting sqref="C28 B36:C38">
    <cfRule type="cellIs" dxfId="219" priority="2" operator="equal">
      <formula>"(Invalid Identifier)"</formula>
    </cfRule>
  </conditionalFormatting>
  <conditionalFormatting sqref="B32:C35 C29:C31">
    <cfRule type="cellIs" dxfId="218" priority="1" operator="equal">
      <formula>"(Invalid Identifier)"</formula>
    </cfRule>
  </conditionalFormatting>
  <pageMargins left="0.5" right="0.5" top="0.5" bottom="0.5" header="0.5" footer="0.5"/>
  <pageSetup scale="98" fitToWidth="0" fitToHeight="0" orientation="landscape" r:id="rId1"/>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04.5" style="259" customWidth="1"/>
    <col min="5" max="5" width="15.83203125" style="258" customWidth="1"/>
    <col min="6" max="6" width="3.83203125" style="258" customWidth="1"/>
    <col min="7" max="7" width="4.5" style="258" customWidth="1"/>
    <col min="8" max="8" width="9.33203125" style="258"/>
    <col min="9" max="9" width="16.33203125" style="258" bestFit="1" customWidth="1"/>
    <col min="10" max="10" width="19" style="258" bestFit="1" customWidth="1"/>
    <col min="11" max="16384" width="9.33203125" style="258"/>
  </cols>
  <sheetData>
    <row r="6" spans="2:6">
      <c r="B6" s="260"/>
      <c r="C6" s="249"/>
      <c r="D6" s="250"/>
      <c r="E6" s="249"/>
      <c r="F6" s="249"/>
    </row>
    <row r="7" spans="2:6" ht="15.75" thickBot="1">
      <c r="B7" s="260"/>
      <c r="C7" s="249"/>
      <c r="D7" s="250"/>
      <c r="E7" s="249"/>
      <c r="F7" s="249"/>
    </row>
    <row r="8" spans="2:6" ht="15.75" thickTop="1">
      <c r="B8" s="14"/>
      <c r="C8" s="261"/>
      <c r="D8" s="262"/>
      <c r="E8" s="261"/>
      <c r="F8" s="261"/>
    </row>
    <row r="9" spans="2:6" s="263" customFormat="1" ht="40.5">
      <c r="B9" s="264"/>
      <c r="C9" s="265"/>
      <c r="D9" s="266" t="s">
        <v>305</v>
      </c>
      <c r="E9" s="265"/>
      <c r="F9" s="265"/>
    </row>
    <row r="10" spans="2:6" ht="15.75" thickBot="1">
      <c r="B10" s="253"/>
      <c r="C10" s="268"/>
      <c r="D10" s="269"/>
      <c r="E10" s="268"/>
      <c r="F10" s="268"/>
    </row>
    <row r="11" spans="2:6" ht="15.75" thickTop="1"/>
    <row r="13" spans="2:6" ht="18.75">
      <c r="D13" s="254"/>
    </row>
    <row r="14" spans="2:6" ht="18.75">
      <c r="D14" s="255"/>
    </row>
    <row r="27" spans="4:4" ht="23.25">
      <c r="D27" s="856" t="s">
        <v>646</v>
      </c>
    </row>
    <row r="29" spans="4:4" ht="18.75">
      <c r="D29" s="256" t="s">
        <v>470</v>
      </c>
    </row>
    <row r="30" spans="4:4" ht="37.5">
      <c r="D30" s="257" t="s">
        <v>295</v>
      </c>
    </row>
  </sheetData>
  <pageMargins left="0.5" right="0.5" top="0.5" bottom="0.5" header="0.5" footer="0.5"/>
  <pageSetup orientation="landscape"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L40"/>
  <sheetViews>
    <sheetView showGridLines="0" view="pageBreakPreview" zoomScaleNormal="100" zoomScaleSheetLayoutView="100" workbookViewId="0">
      <selection activeCell="E8" sqref="E8"/>
    </sheetView>
  </sheetViews>
  <sheetFormatPr defaultRowHeight="12.75"/>
  <cols>
    <col min="1" max="1" width="4.5" style="385" customWidth="1"/>
    <col min="2" max="2" width="35.33203125" style="385" customWidth="1"/>
    <col min="3" max="3" width="6.6640625" style="385" customWidth="1"/>
    <col min="4" max="5" width="18.5" style="385" customWidth="1"/>
    <col min="6" max="6" width="20.1640625" style="385" customWidth="1"/>
    <col min="7" max="7" width="18.5" style="385" customWidth="1"/>
    <col min="8" max="8" width="2.83203125" style="385" customWidth="1"/>
    <col min="9" max="9" width="18.5" style="385" customWidth="1"/>
    <col min="10" max="10" width="4.5" style="385" customWidth="1"/>
    <col min="11" max="11" width="14.6640625" style="385" customWidth="1"/>
    <col min="12" max="12" width="15.33203125" style="385" customWidth="1"/>
    <col min="13" max="16384" width="9.33203125" style="385"/>
  </cols>
  <sheetData>
    <row r="1" spans="2:12" ht="10.7" customHeight="1" thickBot="1"/>
    <row r="2" spans="2:12" ht="16.5" customHeight="1" thickTop="1">
      <c r="B2" s="10" t="str">
        <f>'MASTER PubCo Inputs'!$C$5</f>
        <v>Pliant Therapeutics, Inc.</v>
      </c>
      <c r="C2" s="10"/>
      <c r="D2" s="10"/>
      <c r="E2" s="10"/>
      <c r="F2" s="10"/>
      <c r="G2" s="10"/>
      <c r="H2" s="10"/>
      <c r="I2" s="10"/>
    </row>
    <row r="3" spans="2:12" ht="15.75" customHeight="1">
      <c r="B3" s="11" t="str">
        <f>VLOOKUP(B4,Outline!$E$8:$G$69,COLUMNS(Outline!$E$8:$G$8),FALSE)</f>
        <v>Exhibit G.1</v>
      </c>
      <c r="C3" s="11"/>
      <c r="D3" s="11"/>
      <c r="E3" s="11"/>
      <c r="F3" s="11"/>
      <c r="G3" s="11"/>
      <c r="H3" s="11"/>
      <c r="I3" s="11"/>
    </row>
    <row r="4" spans="2:12" ht="16.5" customHeight="1" thickBot="1">
      <c r="B4" s="12" t="s">
        <v>502</v>
      </c>
      <c r="C4" s="12"/>
      <c r="D4" s="12"/>
      <c r="E4" s="12"/>
      <c r="F4" s="12"/>
      <c r="G4" s="12"/>
      <c r="H4" s="13"/>
      <c r="I4" s="13" t="str">
        <f>+'MASTER PubCo Inputs'!$C$20</f>
        <v>(in thousands of USD and shares, except price per share)</v>
      </c>
    </row>
    <row r="5" spans="2:12" ht="12.75" customHeight="1" thickTop="1"/>
    <row r="6" spans="2:12" s="6" customFormat="1" ht="12.75" customHeight="1">
      <c r="B6" s="361" t="str">
        <f>"Shareholders "&amp;TEXT(A32,"(0)")</f>
        <v>Shareholders (1)</v>
      </c>
      <c r="D6" s="593" t="s">
        <v>329</v>
      </c>
      <c r="E6" s="562" t="s">
        <v>2264</v>
      </c>
      <c r="F6" s="562" t="s">
        <v>2265</v>
      </c>
      <c r="G6" s="564" t="s">
        <v>119</v>
      </c>
      <c r="H6" s="298"/>
      <c r="I6" s="594" t="s">
        <v>86</v>
      </c>
    </row>
    <row r="7" spans="2:12" ht="12.75" customHeight="1">
      <c r="D7" s="714"/>
      <c r="E7" s="2151">
        <f>A33</f>
        <v>2</v>
      </c>
      <c r="F7" s="2151">
        <f>E7</f>
        <v>2</v>
      </c>
    </row>
    <row r="8" spans="2:12" ht="12.75" customHeight="1">
      <c r="B8" s="74" t="s">
        <v>1904</v>
      </c>
      <c r="D8" s="1349">
        <f>'Cap table '!F45/1000</f>
        <v>56000</v>
      </c>
      <c r="E8" s="1349">
        <f>SUM('Cap table '!I7:I32)/1000</f>
        <v>45142.960008861766</v>
      </c>
      <c r="F8" s="286">
        <f>'Cap table '!I34/1000</f>
        <v>5703.2659999999996</v>
      </c>
      <c r="G8" s="286">
        <f>'Cap table '!C37/1000</f>
        <v>15422.682000000001</v>
      </c>
      <c r="I8" s="386">
        <f>SUM(D8:G8)</f>
        <v>122268.90800886176</v>
      </c>
    </row>
    <row r="9" spans="2:12" ht="12.75" customHeight="1">
      <c r="B9" s="5"/>
      <c r="C9" s="5"/>
      <c r="D9" s="5"/>
      <c r="E9" s="5"/>
      <c r="F9" s="5"/>
      <c r="G9" s="5"/>
      <c r="I9" s="5"/>
    </row>
    <row r="10" spans="2:12" ht="12.75" customHeight="1">
      <c r="B10" s="182" t="s">
        <v>86</v>
      </c>
      <c r="D10" s="36">
        <f>SUM(D8:D8)</f>
        <v>56000</v>
      </c>
      <c r="E10" s="36">
        <f>SUM(E8:E8)</f>
        <v>45142.960008861766</v>
      </c>
      <c r="F10" s="36">
        <f>SUM(F8:F8)</f>
        <v>5703.2659999999996</v>
      </c>
      <c r="G10" s="36">
        <f>SUM(G8:G8)</f>
        <v>15422.682000000001</v>
      </c>
      <c r="I10" s="36">
        <f>SUM(I8:I8)</f>
        <v>122268.90800886176</v>
      </c>
    </row>
    <row r="11" spans="2:12" ht="12.75" customHeight="1"/>
    <row r="12" spans="2:12" ht="12.75" customHeight="1">
      <c r="B12" s="2" t="s">
        <v>202</v>
      </c>
      <c r="D12" s="41">
        <v>0</v>
      </c>
      <c r="E12" s="41">
        <v>0</v>
      </c>
      <c r="F12" s="41">
        <v>0</v>
      </c>
      <c r="G12" s="41">
        <f>'Cap table '!K39/1000</f>
        <v>216.9</v>
      </c>
      <c r="I12" s="386">
        <f>SUM(D12:G12)</f>
        <v>216.9</v>
      </c>
    </row>
    <row r="13" spans="2:12" ht="12.75" customHeight="1">
      <c r="B13" s="2" t="s">
        <v>203</v>
      </c>
      <c r="D13" s="41">
        <v>0</v>
      </c>
      <c r="E13" s="41">
        <v>0</v>
      </c>
      <c r="F13" s="41">
        <v>0</v>
      </c>
      <c r="G13" s="1383">
        <f>SUM('Cap table '!K40:K41)/1000</f>
        <v>7838.9179999999997</v>
      </c>
      <c r="I13" s="386">
        <f>SUM(D13:G13)</f>
        <v>7838.9179999999997</v>
      </c>
    </row>
    <row r="14" spans="2:12" ht="12.75" customHeight="1">
      <c r="B14" s="2" t="s">
        <v>1868</v>
      </c>
      <c r="D14" s="41">
        <v>0</v>
      </c>
      <c r="E14" s="41">
        <v>0</v>
      </c>
      <c r="F14" s="41">
        <v>0</v>
      </c>
      <c r="G14" s="1383">
        <f>'Cap table '!M43/1000</f>
        <v>1149.1089999999999</v>
      </c>
      <c r="I14" s="386">
        <f>SUM(D14:G14)</f>
        <v>1149.1089999999999</v>
      </c>
    </row>
    <row r="15" spans="2:12" ht="12.75" customHeight="1">
      <c r="B15" s="5"/>
      <c r="C15" s="5"/>
      <c r="D15" s="5"/>
      <c r="E15" s="5"/>
      <c r="F15" s="5"/>
      <c r="G15" s="5"/>
      <c r="I15" s="5"/>
    </row>
    <row r="16" spans="2:12" ht="12.75" customHeight="1">
      <c r="B16" s="182" t="s">
        <v>204</v>
      </c>
      <c r="D16" s="36">
        <f>SUM(D10:D13)</f>
        <v>56000</v>
      </c>
      <c r="E16" s="36">
        <f>SUM(E10:E13)</f>
        <v>45142.960008861766</v>
      </c>
      <c r="F16" s="36">
        <f>SUM(F10:F13)</f>
        <v>5703.2659999999996</v>
      </c>
      <c r="G16" s="36">
        <f>SUM(G10:G14)</f>
        <v>24627.609</v>
      </c>
      <c r="I16" s="36">
        <f>SUM(I10:I14)</f>
        <v>131473.83500886176</v>
      </c>
      <c r="K16" s="1933" t="str">
        <f>IF('Cap table '!P45/1000&lt;&gt;'Cap Table'!I16,"Check","")</f>
        <v/>
      </c>
      <c r="L16" s="1531" t="s">
        <v>2403</v>
      </c>
    </row>
    <row r="17" spans="1:12" ht="12.75" customHeight="1"/>
    <row r="18" spans="1:12" ht="12.75" customHeight="1">
      <c r="B18" s="37" t="s">
        <v>205</v>
      </c>
      <c r="D18" s="183">
        <v>1</v>
      </c>
      <c r="E18" s="183">
        <v>1</v>
      </c>
      <c r="F18" s="183">
        <v>1</v>
      </c>
      <c r="G18" s="183">
        <v>1</v>
      </c>
    </row>
    <row r="19" spans="1:12" ht="12.75" customHeight="1"/>
    <row r="20" spans="1:12" ht="12.75" customHeight="1">
      <c r="B20" s="362" t="s">
        <v>206</v>
      </c>
      <c r="C20" s="363"/>
      <c r="D20" s="364">
        <f t="shared" ref="D20:G20" si="0">D16*D18</f>
        <v>56000</v>
      </c>
      <c r="E20" s="364">
        <f t="shared" si="0"/>
        <v>45142.960008861766</v>
      </c>
      <c r="F20" s="364">
        <f t="shared" si="0"/>
        <v>5703.2659999999996</v>
      </c>
      <c r="G20" s="850">
        <f t="shared" si="0"/>
        <v>24627.609</v>
      </c>
      <c r="I20" s="365">
        <f>SUM(D20:G20)</f>
        <v>131473.83500886176</v>
      </c>
      <c r="J20" s="745"/>
    </row>
    <row r="21" spans="1:12" ht="12.75" customHeight="1"/>
    <row r="22" spans="1:12" ht="12.75" customHeight="1">
      <c r="B22" s="366" t="s">
        <v>1867</v>
      </c>
      <c r="C22" s="367"/>
      <c r="D22" s="367"/>
      <c r="E22" s="368"/>
      <c r="H22" s="163"/>
      <c r="I22" s="386"/>
    </row>
    <row r="23" spans="1:12">
      <c r="B23" s="287"/>
      <c r="C23" s="16"/>
      <c r="D23" s="184" t="s">
        <v>645</v>
      </c>
      <c r="E23" s="290" t="s">
        <v>17</v>
      </c>
      <c r="H23" s="163"/>
      <c r="K23" s="2298"/>
      <c r="L23" s="2298"/>
    </row>
    <row r="24" spans="1:12">
      <c r="B24" s="705" t="str">
        <f>"Options at " &amp;TEXT(E24,"$0.000") &amp; " Strike Price"</f>
        <v>Options at $0.001 Strike Price</v>
      </c>
      <c r="C24" s="16"/>
      <c r="D24" s="2022">
        <f>'Detailed Cap_KC calcs'!L34/1000</f>
        <v>10</v>
      </c>
      <c r="E24" s="1350">
        <v>1E-3</v>
      </c>
      <c r="H24" s="163"/>
      <c r="K24" s="1926"/>
      <c r="L24" s="1926"/>
    </row>
    <row r="25" spans="1:12" ht="12.75" customHeight="1">
      <c r="B25" s="705" t="str">
        <f>"Options at " &amp;TEXT(E25,"$0.000") &amp; " Strike Price"</f>
        <v>Options at $0.010 Strike Price</v>
      </c>
      <c r="C25" s="16"/>
      <c r="D25" s="1351">
        <f>G12-D24</f>
        <v>206.9</v>
      </c>
      <c r="E25" s="1350">
        <v>0.01</v>
      </c>
      <c r="H25" s="163"/>
      <c r="K25" s="1852"/>
      <c r="L25" s="1876"/>
    </row>
    <row r="26" spans="1:12" ht="12.75" customHeight="1">
      <c r="B26" s="705" t="s">
        <v>362</v>
      </c>
      <c r="C26" s="2149">
        <f>A34</f>
        <v>3</v>
      </c>
      <c r="D26" s="1351">
        <f>G13</f>
        <v>7838.9179999999997</v>
      </c>
      <c r="E26" s="1542">
        <f>'Val Summ'!$J$11</f>
        <v>0.28999999999999998</v>
      </c>
      <c r="H26" s="163"/>
      <c r="K26" s="1877"/>
      <c r="L26" s="16"/>
    </row>
    <row r="27" spans="1:12" ht="12.75" customHeight="1">
      <c r="B27" s="705" t="s">
        <v>1868</v>
      </c>
      <c r="C27" s="2149">
        <f>A35</f>
        <v>4</v>
      </c>
      <c r="D27" s="1351">
        <f>G14</f>
        <v>1149.1089999999999</v>
      </c>
      <c r="E27" s="1542">
        <f>'Val Summ'!$J$11</f>
        <v>0.28999999999999998</v>
      </c>
      <c r="H27" s="163"/>
      <c r="K27" s="1877"/>
      <c r="L27" s="16"/>
    </row>
    <row r="28" spans="1:12" ht="12.75" customHeight="1">
      <c r="B28" s="288"/>
      <c r="C28" s="5"/>
      <c r="D28" s="289"/>
      <c r="E28" s="167"/>
      <c r="H28" s="163"/>
    </row>
    <row r="29" spans="1:12" ht="12.75" customHeight="1">
      <c r="B29" s="1005" t="s">
        <v>86</v>
      </c>
      <c r="C29" s="16"/>
      <c r="D29" s="36">
        <f>SUM(D24:D27)</f>
        <v>9204.9269999999997</v>
      </c>
      <c r="E29" s="169"/>
      <c r="F29" s="169"/>
      <c r="H29" s="163"/>
    </row>
    <row r="30" spans="1:12" ht="12.75" customHeight="1">
      <c r="D30" s="169"/>
      <c r="E30" s="169"/>
      <c r="F30" s="169"/>
      <c r="H30" s="163"/>
    </row>
    <row r="31" spans="1:12" ht="12.75" customHeight="1">
      <c r="B31" s="8" t="s">
        <v>21</v>
      </c>
    </row>
    <row r="32" spans="1:12" ht="12.75" customHeight="1">
      <c r="A32" s="2124">
        <v>1</v>
      </c>
      <c r="B32" s="737" t="s">
        <v>712</v>
      </c>
    </row>
    <row r="33" spans="1:9" ht="42" customHeight="1">
      <c r="A33" s="2152">
        <f>+A32+1</f>
        <v>2</v>
      </c>
      <c r="B33" s="2299" t="str">
        <f>'Econ Rights'!B37:F37</f>
        <v>As of July 10, 2018, the Company issued 45.1 million shares of Series B in Tranche I. The Company plans to issue the remaining shares of Series B in the amount of $7.9 million in the second Tranche. Management indicated that Series B Tranche II will be raised within 90 days after Series B Tranche I close date.  As such, we considered Series B Tranche II in our analysis.</v>
      </c>
      <c r="C33" s="2299"/>
      <c r="D33" s="2299"/>
      <c r="E33" s="2299"/>
      <c r="F33" s="2299"/>
      <c r="G33" s="2299"/>
      <c r="H33" s="2299"/>
      <c r="I33" s="2299"/>
    </row>
    <row r="34" spans="1:9" ht="12.75" customHeight="1">
      <c r="A34" s="2152">
        <f t="shared" ref="A34:A35" si="1">+A33+1</f>
        <v>3</v>
      </c>
      <c r="B34" s="737" t="s">
        <v>2759</v>
      </c>
      <c r="C34" s="74"/>
      <c r="D34" s="74"/>
      <c r="E34" s="74"/>
      <c r="F34" s="74"/>
      <c r="G34" s="74"/>
    </row>
    <row r="35" spans="1:9" ht="26.1" customHeight="1">
      <c r="A35" s="2152">
        <f t="shared" si="1"/>
        <v>4</v>
      </c>
      <c r="B35" s="2299" t="s">
        <v>2686</v>
      </c>
      <c r="C35" s="2299"/>
      <c r="D35" s="2299"/>
      <c r="E35" s="2299"/>
      <c r="F35" s="2299"/>
      <c r="G35" s="2299"/>
      <c r="H35" s="2299"/>
      <c r="I35" s="2299"/>
    </row>
    <row r="36" spans="1:9" ht="12.75" customHeight="1">
      <c r="B36" s="862"/>
    </row>
    <row r="37" spans="1:9" ht="12.75" customHeight="1"/>
    <row r="38" spans="1:9" ht="12.75" customHeight="1"/>
    <row r="39" spans="1:9" ht="12.75" customHeight="1"/>
    <row r="40" spans="1:9" ht="12.75" customHeight="1"/>
  </sheetData>
  <mergeCells count="3">
    <mergeCell ref="K23:L23"/>
    <mergeCell ref="B33:I33"/>
    <mergeCell ref="B35:I35"/>
  </mergeCells>
  <conditionalFormatting sqref="B4:G4">
    <cfRule type="cellIs" dxfId="217" priority="7" stopIfTrue="1" operator="equal">
      <formula>"input"</formula>
    </cfRule>
  </conditionalFormatting>
  <conditionalFormatting sqref="H4">
    <cfRule type="cellIs" dxfId="216" priority="5" stopIfTrue="1" operator="equal">
      <formula>"input"</formula>
    </cfRule>
  </conditionalFormatting>
  <conditionalFormatting sqref="H4">
    <cfRule type="cellIs" dxfId="215" priority="6" stopIfTrue="1" operator="equal">
      <formula>"input"</formula>
    </cfRule>
  </conditionalFormatting>
  <conditionalFormatting sqref="I4">
    <cfRule type="cellIs" dxfId="214" priority="1" stopIfTrue="1" operator="equal">
      <formula>"input"</formula>
    </cfRule>
  </conditionalFormatting>
  <conditionalFormatting sqref="I4">
    <cfRule type="cellIs" dxfId="213" priority="2" stopIfTrue="1" operator="equal">
      <formula>"input"</formula>
    </cfRule>
  </conditionalFormatting>
  <pageMargins left="0.5" right="0.5" top="0.5" bottom="0.5" header="0.5" footer="0.5"/>
  <pageSetup fitToWidth="0" fitToHeight="0" orientation="landscape" r:id="rId1"/>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'List Data'!$B$3:$B$49</xm:f>
          </x14:formula1>
          <xm:sqref>D6:G6</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S78"/>
  <sheetViews>
    <sheetView showGridLines="0" view="pageBreakPreview" topLeftCell="D30" zoomScale="85" zoomScaleNormal="145" zoomScaleSheetLayoutView="85" workbookViewId="0">
      <selection activeCell="D30" sqref="D30"/>
    </sheetView>
  </sheetViews>
  <sheetFormatPr defaultRowHeight="12.75" outlineLevelRow="1"/>
  <cols>
    <col min="1" max="1" width="4.5" style="385" customWidth="1"/>
    <col min="2" max="2" width="75.33203125" style="385" customWidth="1"/>
    <col min="3" max="3" width="2.83203125" style="385" customWidth="1"/>
    <col min="4" max="6" width="22" style="385" customWidth="1"/>
    <col min="7" max="7" width="4.5" style="385" customWidth="1"/>
    <col min="8" max="8" width="4.33203125" style="385" customWidth="1"/>
    <col min="9" max="9" width="57.33203125" style="385" bestFit="1" customWidth="1"/>
    <col min="10" max="14" width="14.33203125" style="385" customWidth="1"/>
    <col min="15" max="15" width="12.83203125" style="385" customWidth="1"/>
    <col min="16" max="16" width="12.6640625" style="385" customWidth="1"/>
    <col min="17" max="16384" width="9.33203125" style="385"/>
  </cols>
  <sheetData>
    <row r="1" spans="2:19" ht="10.7" customHeight="1" thickBot="1">
      <c r="I1" s="1354" t="s">
        <v>1084</v>
      </c>
      <c r="J1" s="1355"/>
      <c r="K1" s="1" t="s">
        <v>399</v>
      </c>
    </row>
    <row r="2" spans="2:19" ht="16.5" customHeight="1" thickTop="1">
      <c r="B2" s="10" t="str">
        <f>'MASTER PubCo Inputs'!$C$5</f>
        <v>Pliant Therapeutics, Inc.</v>
      </c>
      <c r="C2" s="10"/>
      <c r="D2" s="10"/>
      <c r="E2" s="10"/>
      <c r="F2" s="10"/>
      <c r="I2" s="1356" t="s">
        <v>1905</v>
      </c>
      <c r="J2" s="1357" t="s">
        <v>17</v>
      </c>
    </row>
    <row r="3" spans="2:19" ht="15.75" customHeight="1">
      <c r="B3" s="11" t="str">
        <f>VLOOKUP(B4,Outline!$E$8:$G$69,COLUMNS(Outline!$E$8:$G$8),FALSE)</f>
        <v>Exhibit G.2</v>
      </c>
      <c r="C3" s="11"/>
      <c r="D3" s="11"/>
      <c r="E3" s="11"/>
      <c r="F3" s="11"/>
      <c r="I3" s="335" t="s">
        <v>221</v>
      </c>
      <c r="J3" s="1359">
        <v>0</v>
      </c>
    </row>
    <row r="4" spans="2:19" ht="16.5" customHeight="1" thickBot="1">
      <c r="B4" s="12" t="s">
        <v>503</v>
      </c>
      <c r="C4" s="12"/>
      <c r="D4" s="12"/>
      <c r="E4" s="12"/>
      <c r="F4" s="13" t="str">
        <f>+'MASTER PubCo Inputs'!$C$20</f>
        <v>(in thousands of USD and shares, except price per share)</v>
      </c>
      <c r="I4" s="335" t="s">
        <v>1906</v>
      </c>
      <c r="J4" s="1359">
        <v>0</v>
      </c>
    </row>
    <row r="5" spans="2:19" ht="12.75" customHeight="1" thickTop="1">
      <c r="I5" s="335" t="s">
        <v>2476</v>
      </c>
      <c r="J5" s="1359">
        <v>0</v>
      </c>
    </row>
    <row r="6" spans="2:19" s="6" customFormat="1">
      <c r="D6" s="559" t="s">
        <v>329</v>
      </c>
      <c r="E6" s="560" t="s">
        <v>2264</v>
      </c>
      <c r="F6" s="1348" t="s">
        <v>2265</v>
      </c>
      <c r="I6" s="335" t="str">
        <f>'Cap Table'!B24&amp;" Exercise"</f>
        <v>Options at $0.001 Strike Price Exercise</v>
      </c>
      <c r="J6" s="1358">
        <f>'Cap Table'!E24</f>
        <v>1E-3</v>
      </c>
    </row>
    <row r="7" spans="2:19" ht="12.75" customHeight="1">
      <c r="I7" s="335" t="str">
        <f>'Cap Table'!B25&amp;" Exercise"</f>
        <v>Options at $0.010 Strike Price Exercise</v>
      </c>
      <c r="J7" s="1358">
        <f>'Cap Table'!E25</f>
        <v>0.01</v>
      </c>
    </row>
    <row r="8" spans="2:19" ht="12.75" customHeight="1">
      <c r="B8" s="61" t="str">
        <f>"Features "&amp;TEXT(A36,"(0)")</f>
        <v>Features (1)</v>
      </c>
      <c r="C8" s="111"/>
      <c r="D8" s="1353"/>
      <c r="E8" s="2158">
        <f>A37</f>
        <v>2</v>
      </c>
      <c r="F8" s="2159">
        <f>E8</f>
        <v>2</v>
      </c>
      <c r="I8" s="335" t="str">
        <f>'Cap Table'!B26&amp;" Exercise and "&amp;'Cap Table'!B27&amp;" receive cash at "&amp;TEXT(J8,"$0.000")&amp;" Strike Price"</f>
        <v>Expected Options Grant Exercise and Phantom Stock receive cash at $0.290 Strike Price</v>
      </c>
      <c r="J8" s="1358">
        <f>'Cap Table'!E26</f>
        <v>0.28999999999999998</v>
      </c>
    </row>
    <row r="9" spans="2:19" ht="12.75" customHeight="1">
      <c r="B9" s="2" t="s">
        <v>213</v>
      </c>
      <c r="D9" s="553" t="s">
        <v>1101</v>
      </c>
      <c r="E9" s="185">
        <v>43291</v>
      </c>
      <c r="F9" s="185">
        <v>43383</v>
      </c>
      <c r="I9" s="335" t="s">
        <v>1907</v>
      </c>
      <c r="J9" s="1360">
        <f>D30</f>
        <v>1.316465988258317</v>
      </c>
      <c r="Q9" s="7"/>
      <c r="R9" s="7"/>
    </row>
    <row r="10" spans="2:19" ht="12.75" customHeight="1">
      <c r="B10" s="2" t="s">
        <v>224</v>
      </c>
      <c r="D10" s="744">
        <f>'Cap Table'!D8</f>
        <v>56000</v>
      </c>
      <c r="E10" s="744">
        <f>'Cap Table'!E8</f>
        <v>45142.960008861766</v>
      </c>
      <c r="F10" s="744">
        <f>'Cap Table'!F8</f>
        <v>5703.2659999999996</v>
      </c>
      <c r="I10" s="900" t="s">
        <v>2075</v>
      </c>
      <c r="J10" s="1361">
        <f>E30</f>
        <v>1.6732194970168255</v>
      </c>
    </row>
    <row r="11" spans="2:19" ht="12.75" customHeight="1">
      <c r="B11" s="2" t="s">
        <v>279</v>
      </c>
      <c r="D11" s="186">
        <v>1</v>
      </c>
      <c r="E11" s="186">
        <f>'Cap table '!C48</f>
        <v>1.3767</v>
      </c>
      <c r="F11" s="1003">
        <f>E11</f>
        <v>1.3767</v>
      </c>
      <c r="M11" s="7"/>
      <c r="N11" s="7"/>
      <c r="O11" s="7"/>
      <c r="P11" s="7"/>
      <c r="Q11" s="7"/>
      <c r="R11" s="7"/>
      <c r="S11" s="7"/>
    </row>
    <row r="12" spans="2:19" ht="12.75" customHeight="1">
      <c r="B12" s="2" t="s">
        <v>372</v>
      </c>
      <c r="D12" s="458">
        <f>D10*D11</f>
        <v>56000</v>
      </c>
      <c r="E12" s="458">
        <f>E10*E11</f>
        <v>62148.313044199997</v>
      </c>
      <c r="F12" s="458">
        <f>F10*F11</f>
        <v>7851.6863021999998</v>
      </c>
      <c r="I12" s="1354" t="s">
        <v>1084</v>
      </c>
      <c r="J12" s="1355"/>
      <c r="K12" s="1" t="s">
        <v>1222</v>
      </c>
      <c r="M12" s="7"/>
      <c r="N12" s="7"/>
      <c r="O12" s="7"/>
      <c r="P12" s="7"/>
      <c r="Q12" s="7"/>
      <c r="R12" s="7"/>
      <c r="S12" s="7"/>
    </row>
    <row r="13" spans="2:19" ht="12.75" customHeight="1">
      <c r="B13" s="2"/>
      <c r="D13" s="296"/>
      <c r="E13" s="296"/>
      <c r="F13" s="296"/>
      <c r="I13" s="1356" t="s">
        <v>1905</v>
      </c>
      <c r="J13" s="1357" t="s">
        <v>17</v>
      </c>
      <c r="M13" s="7"/>
      <c r="N13" s="7"/>
      <c r="O13" s="7"/>
      <c r="P13" s="7"/>
      <c r="Q13" s="7"/>
      <c r="R13" s="7"/>
      <c r="S13" s="7"/>
    </row>
    <row r="14" spans="2:19" ht="12.75" customHeight="1">
      <c r="B14" s="2" t="s">
        <v>375</v>
      </c>
      <c r="D14" s="187">
        <v>1</v>
      </c>
      <c r="E14" s="187">
        <v>1</v>
      </c>
      <c r="F14" s="187">
        <v>1</v>
      </c>
      <c r="I14" s="335" t="s">
        <v>221</v>
      </c>
      <c r="J14" s="1359">
        <v>0</v>
      </c>
      <c r="M14" s="7"/>
      <c r="N14" s="7"/>
      <c r="O14" s="7"/>
      <c r="P14" s="7"/>
      <c r="Q14" s="7"/>
      <c r="R14" s="7"/>
      <c r="S14" s="7"/>
    </row>
    <row r="15" spans="2:19" ht="12.75" customHeight="1">
      <c r="B15" s="2" t="s">
        <v>374</v>
      </c>
      <c r="D15" s="458">
        <f>D12*D14</f>
        <v>56000</v>
      </c>
      <c r="E15" s="458">
        <f>E12*E14</f>
        <v>62148.313044199997</v>
      </c>
      <c r="F15" s="458">
        <f>F12*F14</f>
        <v>7851.6863021999998</v>
      </c>
      <c r="G15" s="360"/>
      <c r="I15" s="335" t="s">
        <v>1906</v>
      </c>
      <c r="J15" s="1359">
        <v>0</v>
      </c>
      <c r="M15" s="7"/>
      <c r="N15" s="7"/>
      <c r="O15" s="7"/>
      <c r="P15" s="7"/>
      <c r="Q15" s="7"/>
      <c r="R15" s="7"/>
      <c r="S15" s="7"/>
    </row>
    <row r="16" spans="2:19" ht="12.75" customHeight="1">
      <c r="B16" s="2" t="s">
        <v>220</v>
      </c>
      <c r="D16" s="188">
        <v>2</v>
      </c>
      <c r="E16" s="188">
        <v>1</v>
      </c>
      <c r="F16" s="188">
        <v>1</v>
      </c>
      <c r="I16" s="335" t="s">
        <v>2266</v>
      </c>
      <c r="J16" s="1359">
        <v>0</v>
      </c>
      <c r="M16" s="7"/>
      <c r="N16" s="7"/>
      <c r="O16" s="7"/>
      <c r="P16" s="7"/>
      <c r="Q16" s="7"/>
      <c r="R16" s="7"/>
      <c r="S16" s="7"/>
    </row>
    <row r="17" spans="2:19" ht="12.75" customHeight="1">
      <c r="B17" s="2"/>
      <c r="D17" s="188"/>
      <c r="E17" s="188"/>
      <c r="F17" s="188"/>
      <c r="I17" s="335" t="str">
        <f>"Options at " &amp;TEXT(J17,"$0.000") &amp; " Strike Price Exercise"</f>
        <v>Options at $0.001 Strike Price Exercise</v>
      </c>
      <c r="J17" s="1544">
        <f>J6</f>
        <v>1E-3</v>
      </c>
      <c r="M17" s="7"/>
      <c r="N17" s="7"/>
      <c r="O17" s="7"/>
      <c r="P17" s="7"/>
      <c r="Q17" s="7"/>
      <c r="R17" s="7"/>
      <c r="S17" s="7"/>
    </row>
    <row r="18" spans="2:19" ht="12.75" customHeight="1">
      <c r="B18" s="2" t="s">
        <v>209</v>
      </c>
      <c r="D18" s="189" t="s">
        <v>211</v>
      </c>
      <c r="E18" s="189" t="s">
        <v>211</v>
      </c>
      <c r="F18" s="189" t="s">
        <v>211</v>
      </c>
      <c r="I18" s="335" t="str">
        <f>"Options at " &amp;TEXT(J18,"$0.000") &amp; " Strike Price Exercise"</f>
        <v>Options at $0.010 Strike Price Exercise</v>
      </c>
      <c r="J18" s="1544">
        <f>J7</f>
        <v>0.01</v>
      </c>
    </row>
    <row r="19" spans="2:19" ht="12.75" customHeight="1">
      <c r="B19" s="2" t="s">
        <v>214</v>
      </c>
      <c r="D19" s="187" t="s">
        <v>1</v>
      </c>
      <c r="E19" s="187" t="s">
        <v>1</v>
      </c>
      <c r="F19" s="187" t="s">
        <v>1</v>
      </c>
      <c r="I19" s="335" t="str">
        <f>I8</f>
        <v>Expected Options Grant Exercise and Phantom Stock receive cash at $0.290 Strike Price</v>
      </c>
      <c r="J19" s="1358">
        <f>'Cap Table'!E26</f>
        <v>0.28999999999999998</v>
      </c>
    </row>
    <row r="20" spans="2:19" ht="12.75" customHeight="1">
      <c r="B20" s="2"/>
      <c r="D20" s="187"/>
      <c r="E20" s="187"/>
      <c r="F20" s="187"/>
      <c r="I20" s="335" t="s">
        <v>1907</v>
      </c>
      <c r="J20" s="1360">
        <f>J9</f>
        <v>1.316465988258317</v>
      </c>
    </row>
    <row r="21" spans="2:19" ht="12.75" customHeight="1">
      <c r="B21" s="2" t="s">
        <v>208</v>
      </c>
      <c r="D21" s="42">
        <v>0.08</v>
      </c>
      <c r="E21" s="42">
        <v>0.08</v>
      </c>
      <c r="F21" s="42">
        <v>0.08</v>
      </c>
      <c r="I21" s="900" t="s">
        <v>2075</v>
      </c>
      <c r="J21" s="1361">
        <f>J10</f>
        <v>1.6732194970168255</v>
      </c>
    </row>
    <row r="22" spans="2:19">
      <c r="B22" s="2" t="s">
        <v>365</v>
      </c>
      <c r="D22" s="294" t="s">
        <v>367</v>
      </c>
      <c r="E22" s="294" t="s">
        <v>367</v>
      </c>
      <c r="F22" s="294" t="s">
        <v>367</v>
      </c>
      <c r="M22" s="7"/>
      <c r="N22" s="7"/>
      <c r="O22" s="7"/>
      <c r="P22" s="7"/>
      <c r="Q22" s="7"/>
      <c r="R22" s="7"/>
      <c r="S22" s="7"/>
    </row>
    <row r="23" spans="2:19">
      <c r="B23" s="2" t="s">
        <v>366</v>
      </c>
      <c r="D23" s="294" t="s">
        <v>370</v>
      </c>
      <c r="E23" s="294" t="s">
        <v>370</v>
      </c>
      <c r="F23" s="294" t="s">
        <v>370</v>
      </c>
      <c r="N23" s="7"/>
      <c r="O23" s="7"/>
      <c r="P23" s="7"/>
      <c r="Q23" s="7"/>
      <c r="R23" s="7"/>
      <c r="S23" s="7"/>
    </row>
    <row r="24" spans="2:19" ht="12.75" customHeight="1" outlineLevel="1">
      <c r="B24" s="161" t="s">
        <v>364</v>
      </c>
      <c r="C24" s="74"/>
      <c r="D24" s="1382">
        <f>IF(E9&gt;'MASTER PubCo Inputs'!$C$6,0,YEARFRAC(E9,'MASTER PubCo Inputs'!$C$6,3))</f>
        <v>5.7534246575342465E-2</v>
      </c>
      <c r="E24" s="1382">
        <f>IF(E9&gt;'MASTER PubCo Inputs'!$C$6,0,YEARFRAC(E9,'MASTER PubCo Inputs'!$C$6,3))</f>
        <v>5.7534246575342465E-2</v>
      </c>
      <c r="F24" s="1382">
        <f>IF(F9&gt;'MASTER PubCo Inputs'!$C$6,0,YEARFRAC(F9,'MASTER PubCo Inputs'!$C$6,3))</f>
        <v>0</v>
      </c>
      <c r="J24" s="169" t="s">
        <v>737</v>
      </c>
      <c r="K24" s="169" t="s">
        <v>2301</v>
      </c>
      <c r="L24" s="169" t="s">
        <v>2300</v>
      </c>
      <c r="M24" s="169" t="s">
        <v>2285</v>
      </c>
      <c r="N24" s="169" t="s">
        <v>2285</v>
      </c>
      <c r="P24" s="7"/>
      <c r="Q24" s="7"/>
      <c r="R24" s="7"/>
      <c r="S24" s="7"/>
    </row>
    <row r="25" spans="2:19" ht="12.75" customHeight="1" outlineLevel="1">
      <c r="B25" s="161" t="s">
        <v>2402</v>
      </c>
      <c r="C25" s="74"/>
      <c r="D25" s="1382">
        <f>IF(D22="Non-Cumulative","NA",IF(D23="Simple",D11*D21*D24*'Cap Table'!D8,(D11*((1+D21)^D24-1))*'Cap Table'!D8))</f>
        <v>257.75342465753425</v>
      </c>
      <c r="E25" s="1382">
        <f>IF(E22="Non-Cumulative","NA",IF(E23="Simple",E11*E21*E24*'Cap Table'!E8,(E11*((1+E21)^E24-1))*'Cap Table'!E8))</f>
        <v>286.05250935412602</v>
      </c>
      <c r="F25" s="1382">
        <f>IF(F22="Non-Cumulative","NA",IF(F23="Simple",F11*F21*F24*'Cap Table'!F8,(F11*((1+F21)^F24-1))*'Cap Table'!F8))</f>
        <v>0</v>
      </c>
      <c r="J25" s="553" t="str">
        <f t="array" ref="J25:N25">TRANSPOSE('Exit Probability'!C43:C47)</f>
        <v>Phase Ib</v>
      </c>
      <c r="K25" s="553" t="str">
        <v>Phase IIa</v>
      </c>
      <c r="L25" s="553" t="str">
        <v>Phase IIa</v>
      </c>
      <c r="M25" s="553" t="str">
        <v>Phase Ib</v>
      </c>
      <c r="N25" s="553" t="str">
        <v>Phase IIa</v>
      </c>
      <c r="P25" s="7"/>
      <c r="Q25" s="7"/>
      <c r="R25" s="7"/>
      <c r="S25" s="7"/>
    </row>
    <row r="26" spans="2:19" ht="12.75" customHeight="1" outlineLevel="1">
      <c r="B26" s="161" t="s">
        <v>373</v>
      </c>
      <c r="C26" s="74"/>
      <c r="D26" s="1936">
        <f>'OPM 1'!$D$10+D24</f>
        <v>2.7205753424657533</v>
      </c>
      <c r="E26" s="1936">
        <f>'OPM 1'!$D$10+E24</f>
        <v>2.7205753424657533</v>
      </c>
      <c r="F26" s="2003">
        <f>'OPM 1'!$D$10-YEARFRAC('MASTER PubCo Inputs'!C6,F9,3)</f>
        <v>2.4685205479452055</v>
      </c>
      <c r="J26" s="1707">
        <f t="array" ref="J26:N26">TRANSPOSE('Exit Probability'!H43:H47)</f>
        <v>43830</v>
      </c>
      <c r="K26" s="1707">
        <v>44377</v>
      </c>
      <c r="L26" s="1707">
        <v>44377</v>
      </c>
      <c r="M26" s="1707">
        <v>43830</v>
      </c>
      <c r="N26" s="1707">
        <v>44377</v>
      </c>
      <c r="Q26" s="7"/>
      <c r="R26" s="7"/>
      <c r="S26" s="7"/>
    </row>
    <row r="27" spans="2:19" ht="12.75" customHeight="1" outlineLevel="1">
      <c r="B27" s="161" t="s">
        <v>2401</v>
      </c>
      <c r="C27" s="74"/>
      <c r="D27" s="1367">
        <f>IF(D22="Non-Cumulative","NA",IF(D23="Simple",D11*D21*D26*'Cap Table'!D8,(D11*((1+D21)^D26-1))*'Cap Table'!D8))</f>
        <v>12188.177534246575</v>
      </c>
      <c r="E27" s="1367">
        <f>IF(E22="Non-Cumulative","NA",IF(E23="Simple",E11*E21*E26*'Cap Table'!E8,(E11*((1+E21)^E26-1))*'Cap Table'!E8))</f>
        <v>13526.333443511461</v>
      </c>
      <c r="F27" s="1367">
        <f>IF(F22="Non-Cumulative","NA",IF(F23="Simple",F11*F21*F26*F10,(F11*((1+F21)^F26-1))*F10))</f>
        <v>1550.5639178400486</v>
      </c>
      <c r="I27" s="1" t="s">
        <v>2302</v>
      </c>
      <c r="R27" s="7"/>
      <c r="S27" s="7"/>
    </row>
    <row r="28" spans="2:19" ht="12.75" customHeight="1" outlineLevel="1">
      <c r="B28" s="161" t="s">
        <v>2757</v>
      </c>
      <c r="C28" s="74"/>
      <c r="D28" s="1367">
        <f>D15+D27</f>
        <v>68188.17753424657</v>
      </c>
      <c r="E28" s="1367">
        <f t="shared" ref="E28:F28" si="0">E15+E27</f>
        <v>75674.646487711463</v>
      </c>
      <c r="F28" s="1367">
        <f t="shared" si="0"/>
        <v>9402.2502200400486</v>
      </c>
      <c r="I28" s="1"/>
      <c r="R28" s="7"/>
      <c r="S28" s="7"/>
    </row>
    <row r="29" spans="2:19" ht="10.5" customHeight="1" outlineLevel="1">
      <c r="B29" s="2"/>
      <c r="D29" s="295"/>
      <c r="E29" s="295"/>
      <c r="F29" s="295"/>
      <c r="I29" s="385" t="s">
        <v>329</v>
      </c>
      <c r="J29" s="1371">
        <f>PWERM_2!D13+$D$24</f>
        <v>1.4767123287671233</v>
      </c>
      <c r="K29" s="1371">
        <f>PWERM_2!E13+$D$24</f>
        <v>2.9753424657534246</v>
      </c>
      <c r="L29" s="1371">
        <f>PWERM_2!F13+$D$24</f>
        <v>2.9753424657534246</v>
      </c>
      <c r="M29" s="1371">
        <f>PWERM_2!G13+$D$24</f>
        <v>1.4767123287671233</v>
      </c>
      <c r="N29" s="1371">
        <f>PWERM_2!H13+$D$24</f>
        <v>2.9753424657534246</v>
      </c>
      <c r="S29" s="7"/>
    </row>
    <row r="30" spans="2:19" ht="12.75" customHeight="1" outlineLevel="1">
      <c r="B30" s="2" t="s">
        <v>2299</v>
      </c>
      <c r="D30" s="163">
        <f>SUM(D15,P54)/D10</f>
        <v>1.316465988258317</v>
      </c>
      <c r="E30" s="163">
        <f>SUM(E28:F28)/SUM(E10:F10)</f>
        <v>1.6732194970168255</v>
      </c>
      <c r="F30" s="163">
        <f>E30</f>
        <v>1.6732194970168255</v>
      </c>
      <c r="I30" s="385" t="s">
        <v>2264</v>
      </c>
      <c r="J30" s="1371">
        <f>PWERM_2!D13+$E$24</f>
        <v>1.4767123287671233</v>
      </c>
      <c r="K30" s="1371">
        <f>PWERM_2!E13+$E$24</f>
        <v>2.9753424657534246</v>
      </c>
      <c r="L30" s="1371">
        <f>PWERM_2!F13+$E$24</f>
        <v>2.9753424657534246</v>
      </c>
      <c r="M30" s="1371">
        <f>PWERM_2!G13+$E$24</f>
        <v>1.4767123287671233</v>
      </c>
      <c r="N30" s="1371">
        <f>PWERM_2!H13+$E$24</f>
        <v>2.9753424657534246</v>
      </c>
      <c r="S30" s="7"/>
    </row>
    <row r="31" spans="2:19" ht="9.75" customHeight="1">
      <c r="B31" s="2"/>
      <c r="D31" s="295"/>
      <c r="E31" s="295"/>
      <c r="F31" s="295"/>
      <c r="I31" s="385" t="s">
        <v>2265</v>
      </c>
      <c r="J31" s="1371">
        <f>YEARFRAC($F$9,J26,3)</f>
        <v>1.2246575342465753</v>
      </c>
      <c r="K31" s="1371">
        <f>YEARFRAC($F$9,K26,3)</f>
        <v>2.7232876712328768</v>
      </c>
      <c r="L31" s="1371">
        <f>YEARFRAC($F$9,L26,3)</f>
        <v>2.7232876712328768</v>
      </c>
      <c r="M31" s="1371">
        <f>YEARFRAC($F$9,M26,3)</f>
        <v>1.2246575342465753</v>
      </c>
      <c r="N31" s="1371">
        <f>YEARFRAC($F$9,N26,3)</f>
        <v>2.7232876712328768</v>
      </c>
      <c r="S31" s="7"/>
    </row>
    <row r="32" spans="2:19" ht="12.75" customHeight="1">
      <c r="B32" s="2" t="s">
        <v>207</v>
      </c>
      <c r="D32" s="189" t="s">
        <v>363</v>
      </c>
      <c r="E32" s="189" t="s">
        <v>363</v>
      </c>
      <c r="F32" s="189" t="s">
        <v>363</v>
      </c>
      <c r="G32" s="2157">
        <f>A39</f>
        <v>3</v>
      </c>
      <c r="I32" s="1937" t="s">
        <v>1908</v>
      </c>
      <c r="J32" s="1938"/>
      <c r="K32" s="1938"/>
      <c r="L32" s="1938"/>
      <c r="M32" s="1938"/>
      <c r="N32" s="1939"/>
    </row>
    <row r="33" spans="1:17" ht="12.75" customHeight="1">
      <c r="B33" s="2" t="s">
        <v>210</v>
      </c>
      <c r="D33" s="189" t="s">
        <v>212</v>
      </c>
      <c r="E33" s="189" t="s">
        <v>212</v>
      </c>
      <c r="F33" s="189" t="s">
        <v>212</v>
      </c>
      <c r="I33" s="335" t="s">
        <v>329</v>
      </c>
      <c r="J33" s="1940">
        <f>P64</f>
        <v>12149.589041095889</v>
      </c>
      <c r="K33" s="1940">
        <f>P70</f>
        <v>18863.452054794521</v>
      </c>
      <c r="L33" s="1940">
        <f>P70</f>
        <v>18863.452054794521</v>
      </c>
      <c r="M33" s="1940">
        <f>P64</f>
        <v>12149.589041095889</v>
      </c>
      <c r="N33" s="1941">
        <f>P64</f>
        <v>12149.589041095889</v>
      </c>
    </row>
    <row r="34" spans="1:17" ht="12.75" customHeight="1">
      <c r="B34" s="2"/>
      <c r="I34" s="335" t="s">
        <v>2264</v>
      </c>
      <c r="J34" s="1940">
        <f>IF($E$22="Non-Cumulative","NA",IF($E$23="Simple",$E$10*$E$11*$E$21*J30,($E$11*((1+$E$21)^J30-1))*$E$10))</f>
        <v>7342.0144067559013</v>
      </c>
      <c r="K34" s="1940">
        <f>IF($E$22="Non-Cumulative","NA",IF($E$23="Simple",$E$10*$E$11*$E$21*K30,($E$11*((1+$E$21)^K30-1))*$E$10))</f>
        <v>14793.001198027659</v>
      </c>
      <c r="L34" s="1940">
        <f>IF($E$22="Non-Cumulative","NA",IF($E$23="Simple",$E$10*$E$11*$E$21*L30,($E$11*((1+$E$21)^L30-1))*$E$10))</f>
        <v>14793.001198027659</v>
      </c>
      <c r="M34" s="1940">
        <f>IF($E$22="Non-Cumulative","NA",IF($E$23="Simple",$E$10*$E$11*$E$21*M30,($E$11*((1+$E$21)^M30-1))*$E$10))</f>
        <v>7342.0144067559013</v>
      </c>
      <c r="N34" s="1941">
        <f>IF($E$22="Non-Cumulative","NA",IF($E$23="Simple",$E$10*$E$11*$E$21*N30,($E$11*((1+$E$21)^N30-1))*$E$10))</f>
        <v>14793.001198027659</v>
      </c>
    </row>
    <row r="35" spans="1:17" ht="12.75" customHeight="1">
      <c r="B35" s="8" t="s">
        <v>21</v>
      </c>
      <c r="I35" s="1942" t="s">
        <v>2265</v>
      </c>
      <c r="J35" s="1943">
        <f>IF($F$22="Non-Cumulative","NA",IF($F$23="Simple",$F$10*$F$11*$F$21*J31,($F$11*((1+$F$21)^J31-1))*$F$10))</f>
        <v>769.25014292238893</v>
      </c>
      <c r="K35" s="1943">
        <f>IF($F$22="Non-Cumulative","NA",IF($F$23="Simple",$F$10*$F$11*$F$21*K31,($F$11*((1+$F$21)^K31-1))*$F$10))</f>
        <v>1710.5920404135452</v>
      </c>
      <c r="L35" s="1943">
        <f>IF($F$22="Non-Cumulative","NA",IF($F$23="Simple",$F$10*$F$11*$F$21*L31,($F$11*((1+$F$21)^L31-1))*$F$10))</f>
        <v>1710.5920404135452</v>
      </c>
      <c r="M35" s="1943">
        <f>IF($F$22="Non-Cumulative","NA",IF($F$23="Simple",$F$10*$F$11*$F$21*M31,($F$11*((1+$F$21)^M31-1))*$F$10))</f>
        <v>769.25014292238893</v>
      </c>
      <c r="N35" s="1944">
        <f>IF($F$22="Non-Cumulative","NA",IF($F$23="Simple",$F$10*$F$11*$F$21*N31,($F$11*((1+$F$21)^N31-1))*$F$10))</f>
        <v>1710.5920404135452</v>
      </c>
    </row>
    <row r="36" spans="1:17" ht="12.75" customHeight="1">
      <c r="A36" s="2124">
        <v>1</v>
      </c>
      <c r="B36" s="385" t="s">
        <v>712</v>
      </c>
    </row>
    <row r="37" spans="1:17" ht="40.5" customHeight="1">
      <c r="A37" s="2152">
        <f>+A36+1</f>
        <v>2</v>
      </c>
      <c r="B37" s="2290" t="str">
        <f>"As of "&amp;TEXT(E9,"MMMM d, YYYY")&amp;", the Company issued "&amp;TEXT(E10/1000,"0.0")&amp;" million shares of Series B in Tranche I. The Company plans to issue the remaining shares of Series B in the amount of "&amp;TEXT(F12/1000,"$0.0")&amp;" million in the second Tranche. Management indicated that Series B Tranche II will be raised within 90 days after Series B Tranche I close date.  As such, we considered Series B Tranche II in our analysis."</f>
        <v>As of July 10, 2018, the Company issued 45.1 million shares of Series B in Tranche I. The Company plans to issue the remaining shares of Series B in the amount of $7.9 million in the second Tranche. Management indicated that Series B Tranche II will be raised within 90 days after Series B Tranche I close date.  As such, we considered Series B Tranche II in our analysis.</v>
      </c>
      <c r="C37" s="2290"/>
      <c r="D37" s="2290"/>
      <c r="E37" s="2290"/>
      <c r="F37" s="2290"/>
      <c r="G37" s="1532"/>
      <c r="H37" s="1532"/>
    </row>
    <row r="38" spans="1:17" ht="26.1" hidden="1" customHeight="1" outlineLevel="1">
      <c r="A38" s="2152">
        <f t="shared" ref="A38" si="1">+A37+1</f>
        <v>3</v>
      </c>
      <c r="B38" s="2290" t="s">
        <v>2533</v>
      </c>
      <c r="C38" s="2290"/>
      <c r="D38" s="2290"/>
      <c r="E38" s="2290"/>
      <c r="F38" s="2290"/>
    </row>
    <row r="39" spans="1:17" ht="26.1" customHeight="1" collapsed="1">
      <c r="A39" s="2152">
        <f>+A37+1</f>
        <v>3</v>
      </c>
      <c r="B39" s="2290" t="s">
        <v>2527</v>
      </c>
      <c r="C39" s="2290"/>
      <c r="D39" s="2290"/>
      <c r="E39" s="2290"/>
      <c r="F39" s="2290"/>
    </row>
    <row r="40" spans="1:17" ht="12.75" customHeight="1">
      <c r="I40" s="300" t="s">
        <v>3330</v>
      </c>
    </row>
    <row r="41" spans="1:17" ht="12.75" customHeight="1"/>
    <row r="42" spans="1:17" ht="25.5">
      <c r="I42" s="2028"/>
      <c r="J42" s="2209" t="s">
        <v>2877</v>
      </c>
      <c r="K42" s="2209" t="s">
        <v>2878</v>
      </c>
      <c r="L42" s="2209" t="s">
        <v>2879</v>
      </c>
      <c r="M42" s="2209" t="s">
        <v>2880</v>
      </c>
      <c r="N42" s="2209" t="s">
        <v>2881</v>
      </c>
      <c r="O42" s="2211" t="s">
        <v>3325</v>
      </c>
    </row>
    <row r="43" spans="1:17" ht="12.75" customHeight="1">
      <c r="I43" s="335"/>
      <c r="J43" s="16"/>
      <c r="K43" s="16"/>
      <c r="L43" s="16"/>
      <c r="M43" s="16"/>
      <c r="N43" s="16"/>
      <c r="O43" s="197"/>
    </row>
    <row r="44" spans="1:17">
      <c r="I44" s="335" t="s">
        <v>3321</v>
      </c>
      <c r="J44" s="2187">
        <f>'Dividend Calculations'!D9</f>
        <v>42235</v>
      </c>
      <c r="K44" s="2187">
        <f>'Dividend Calculations'!E9</f>
        <v>42468</v>
      </c>
      <c r="L44" s="2187">
        <f>'Dividend Calculations'!F9</f>
        <v>42628</v>
      </c>
      <c r="M44" s="2187">
        <f>'Dividend Calculations'!G9</f>
        <v>42825</v>
      </c>
      <c r="N44" s="2187">
        <f>'Dividend Calculations'!H9</f>
        <v>43100</v>
      </c>
      <c r="O44" s="2188">
        <f>'Dividend Calculations'!I9</f>
        <v>43190</v>
      </c>
    </row>
    <row r="45" spans="1:17">
      <c r="I45" s="335" t="s">
        <v>1055</v>
      </c>
      <c r="J45" s="871">
        <f>D11</f>
        <v>1</v>
      </c>
      <c r="K45" s="871">
        <f>J45</f>
        <v>1</v>
      </c>
      <c r="L45" s="871">
        <f t="shared" ref="L45:O45" si="2">K45</f>
        <v>1</v>
      </c>
      <c r="M45" s="871">
        <f t="shared" si="2"/>
        <v>1</v>
      </c>
      <c r="N45" s="871">
        <f t="shared" si="2"/>
        <v>1</v>
      </c>
      <c r="O45" s="200">
        <f t="shared" si="2"/>
        <v>1</v>
      </c>
    </row>
    <row r="46" spans="1:17">
      <c r="I46" s="335" t="s">
        <v>3322</v>
      </c>
      <c r="J46" s="928">
        <v>6500</v>
      </c>
      <c r="K46" s="928">
        <v>5000</v>
      </c>
      <c r="L46" s="928">
        <v>5000</v>
      </c>
      <c r="M46" s="928">
        <v>16000</v>
      </c>
      <c r="N46" s="928">
        <v>12500</v>
      </c>
      <c r="O46" s="2212">
        <v>11000</v>
      </c>
    </row>
    <row r="47" spans="1:17">
      <c r="I47" s="335" t="s">
        <v>2477</v>
      </c>
      <c r="J47" s="637">
        <f t="shared" ref="J47:O47" si="3">J45*J46</f>
        <v>6500</v>
      </c>
      <c r="K47" s="637">
        <f t="shared" si="3"/>
        <v>5000</v>
      </c>
      <c r="L47" s="637">
        <f t="shared" si="3"/>
        <v>5000</v>
      </c>
      <c r="M47" s="637">
        <f t="shared" si="3"/>
        <v>16000</v>
      </c>
      <c r="N47" s="637">
        <f t="shared" si="3"/>
        <v>12500</v>
      </c>
      <c r="O47" s="2189">
        <f t="shared" si="3"/>
        <v>11000</v>
      </c>
      <c r="P47" s="2208">
        <f>SUM(J47:O47)</f>
        <v>56000</v>
      </c>
      <c r="Q47" s="385" t="s">
        <v>372</v>
      </c>
    </row>
    <row r="48" spans="1:17">
      <c r="I48" s="335"/>
      <c r="J48" s="2190" t="s">
        <v>367</v>
      </c>
      <c r="K48" s="2190" t="s">
        <v>367</v>
      </c>
      <c r="L48" s="2190" t="s">
        <v>367</v>
      </c>
      <c r="M48" s="2190" t="s">
        <v>367</v>
      </c>
      <c r="N48" s="2190" t="s">
        <v>367</v>
      </c>
      <c r="O48" s="2191" t="s">
        <v>367</v>
      </c>
    </row>
    <row r="49" spans="9:17">
      <c r="I49" s="335"/>
      <c r="J49" s="2190" t="s">
        <v>370</v>
      </c>
      <c r="K49" s="2190" t="s">
        <v>370</v>
      </c>
      <c r="L49" s="2190" t="s">
        <v>370</v>
      </c>
      <c r="M49" s="2190" t="s">
        <v>370</v>
      </c>
      <c r="N49" s="2190" t="s">
        <v>370</v>
      </c>
      <c r="O49" s="2191" t="s">
        <v>370</v>
      </c>
    </row>
    <row r="50" spans="9:17">
      <c r="I50" s="335"/>
      <c r="J50" s="2190"/>
      <c r="K50" s="2190"/>
      <c r="L50" s="2190"/>
      <c r="M50" s="2190"/>
      <c r="N50" s="2190"/>
      <c r="O50" s="197"/>
    </row>
    <row r="51" spans="9:17">
      <c r="I51" s="335" t="str">
        <f>B24</f>
        <v>Duration as of Valuation Date</v>
      </c>
      <c r="J51" s="2054">
        <f>IF(J44&gt;'MASTER PubCo Inputs'!$C$6,0,YEARFRAC(J44,'MASTER PubCo Inputs'!$C$6,3))</f>
        <v>2.9506849315068493</v>
      </c>
      <c r="K51" s="2054">
        <f>IF(K44&gt;'MASTER PubCo Inputs'!$C$6,0,YEARFRAC(K44,'MASTER PubCo Inputs'!$C$6,3))</f>
        <v>2.3123287671232875</v>
      </c>
      <c r="L51" s="2054">
        <f>IF(L44&gt;'MASTER PubCo Inputs'!$C$6,0,YEARFRAC(L44,'MASTER PubCo Inputs'!$C$6,3))</f>
        <v>1.8739726027397261</v>
      </c>
      <c r="M51" s="2054">
        <f>IF(M44&gt;'MASTER PubCo Inputs'!$C$6,0,YEARFRAC(M44,'MASTER PubCo Inputs'!$C$6,3))</f>
        <v>1.3342465753424657</v>
      </c>
      <c r="N51" s="2054">
        <f>IF(N44&gt;'MASTER PubCo Inputs'!$C$6,0,YEARFRAC(N44,'MASTER PubCo Inputs'!$C$6,3))</f>
        <v>0.58082191780821912</v>
      </c>
      <c r="O51" s="2192">
        <f>IF(O44&gt;'MASTER PubCo Inputs'!$C$6,0,YEARFRAC(O44,'MASTER PubCo Inputs'!$C$6,3))</f>
        <v>0.33424657534246577</v>
      </c>
    </row>
    <row r="52" spans="9:17">
      <c r="I52" s="335" t="str">
        <f>B25</f>
        <v>Accrued Dividend as of Valuation Date (3)</v>
      </c>
      <c r="J52" s="2054">
        <f t="shared" ref="J52:O52" si="4">IF(J48="Non-Cumulative","NA",IF(J49="Simple",J45*$D$21*J51*J46,(J45*((1+$D$21)^J51-1))*J46))</f>
        <v>1534.3561643835617</v>
      </c>
      <c r="K52" s="637">
        <f t="shared" si="4"/>
        <v>924.93150684931493</v>
      </c>
      <c r="L52" s="637">
        <f t="shared" si="4"/>
        <v>749.58904109589037</v>
      </c>
      <c r="M52" s="637">
        <f t="shared" si="4"/>
        <v>1707.8356164383561</v>
      </c>
      <c r="N52" s="637">
        <f t="shared" si="4"/>
        <v>580.82191780821915</v>
      </c>
      <c r="O52" s="2189">
        <f t="shared" si="4"/>
        <v>294.13698630136992</v>
      </c>
      <c r="P52" s="2208">
        <f>SUM(J52:O52)</f>
        <v>5791.6712328767117</v>
      </c>
    </row>
    <row r="53" spans="9:17">
      <c r="I53" s="335" t="str">
        <f>B26</f>
        <v>Duration as of OPM Exit</v>
      </c>
      <c r="J53" s="2193">
        <f>'OPM BackSolve WP'!$D$10+J51</f>
        <v>5.6137260273972602</v>
      </c>
      <c r="K53" s="2193">
        <f>'OPM BackSolve WP'!$D$10+K51</f>
        <v>4.9753698630136984</v>
      </c>
      <c r="L53" s="2193">
        <f>'OPM BackSolve WP'!$D$10+L51</f>
        <v>4.5370136986301368</v>
      </c>
      <c r="M53" s="2193">
        <f>'OPM BackSolve WP'!$D$10+M51</f>
        <v>3.9972876712328764</v>
      </c>
      <c r="N53" s="2193">
        <f>'OPM BackSolve WP'!$D$10+N51</f>
        <v>3.2438630136986299</v>
      </c>
      <c r="O53" s="2194">
        <f>'OPM BackSolve WP'!$D$10+O51</f>
        <v>2.9972876712328769</v>
      </c>
    </row>
    <row r="54" spans="9:17">
      <c r="I54" s="335" t="str">
        <f>B27</f>
        <v>Accrued Dividend at OPM Exit</v>
      </c>
      <c r="J54" s="1940">
        <f t="shared" ref="J54:O54" si="5">IF(J48="Non-Cumulative","NA",IF(J49="Simple",J45*$D$21*J53*J46,(J45*((1+$D$21)^J53-1))*J46))</f>
        <v>2919.1375342465753</v>
      </c>
      <c r="K54" s="1940">
        <f t="shared" si="5"/>
        <v>1990.1479452054793</v>
      </c>
      <c r="L54" s="1940">
        <f t="shared" si="5"/>
        <v>1814.8054794520549</v>
      </c>
      <c r="M54" s="1940">
        <f t="shared" si="5"/>
        <v>5116.5282191780816</v>
      </c>
      <c r="N54" s="1940">
        <f t="shared" si="5"/>
        <v>3243.8630136986299</v>
      </c>
      <c r="O54" s="1941">
        <f t="shared" si="5"/>
        <v>2637.6131506849315</v>
      </c>
      <c r="P54" s="2208">
        <f>SUM(J54:O54)</f>
        <v>17722.095342465753</v>
      </c>
    </row>
    <row r="55" spans="9:17">
      <c r="I55" s="1942" t="str">
        <f>B28</f>
        <v>Total Liquidation Preference plus Dividend</v>
      </c>
      <c r="J55" s="1943">
        <f>J47+J54</f>
        <v>9419.1375342465763</v>
      </c>
      <c r="K55" s="1943">
        <f t="shared" ref="K55:N55" si="6">K47+K54</f>
        <v>6990.1479452054791</v>
      </c>
      <c r="L55" s="1943">
        <f t="shared" si="6"/>
        <v>6814.8054794520549</v>
      </c>
      <c r="M55" s="1943">
        <f t="shared" si="6"/>
        <v>21116.528219178083</v>
      </c>
      <c r="N55" s="1943">
        <f t="shared" si="6"/>
        <v>15743.86301369863</v>
      </c>
      <c r="O55" s="1944">
        <f t="shared" ref="O55" si="7">O47+O54</f>
        <v>13637.613150684931</v>
      </c>
    </row>
    <row r="57" spans="9:17">
      <c r="I57" s="300" t="s">
        <v>3331</v>
      </c>
    </row>
    <row r="59" spans="9:17">
      <c r="I59" s="2028" t="s">
        <v>3333</v>
      </c>
      <c r="J59" s="2216"/>
      <c r="K59" s="2216"/>
      <c r="L59" s="2216"/>
      <c r="M59" s="2216"/>
      <c r="N59" s="2216"/>
      <c r="O59" s="2210"/>
    </row>
    <row r="60" spans="9:17">
      <c r="I60" s="335" t="s">
        <v>477</v>
      </c>
      <c r="J60" s="2214">
        <f>'Exit Probability'!I36</f>
        <v>43830</v>
      </c>
      <c r="K60" s="16"/>
      <c r="L60" s="16"/>
      <c r="M60" s="16"/>
      <c r="N60" s="16"/>
      <c r="O60" s="197"/>
    </row>
    <row r="61" spans="9:17">
      <c r="I61" s="335" t="s">
        <v>3326</v>
      </c>
      <c r="J61" s="2217">
        <f>PWERM_2!D13</f>
        <v>1.4191780821917808</v>
      </c>
      <c r="K61" s="16"/>
      <c r="L61" s="16"/>
      <c r="M61" s="16"/>
      <c r="N61" s="16"/>
      <c r="O61" s="197"/>
    </row>
    <row r="62" spans="9:17">
      <c r="I62" s="335"/>
      <c r="J62" s="16"/>
      <c r="K62" s="16"/>
      <c r="L62" s="16"/>
      <c r="M62" s="16"/>
      <c r="N62" s="16"/>
      <c r="O62" s="197"/>
    </row>
    <row r="63" spans="9:17">
      <c r="I63" s="335" t="s">
        <v>3328</v>
      </c>
      <c r="J63" s="2213">
        <f t="shared" ref="J63:O63" si="8">$J$61+J51</f>
        <v>4.3698630136986303</v>
      </c>
      <c r="K63" s="2213">
        <f t="shared" si="8"/>
        <v>3.7315068493150685</v>
      </c>
      <c r="L63" s="2213">
        <f t="shared" si="8"/>
        <v>3.2931506849315069</v>
      </c>
      <c r="M63" s="2213">
        <f t="shared" si="8"/>
        <v>2.7534246575342465</v>
      </c>
      <c r="N63" s="2213">
        <f t="shared" si="8"/>
        <v>2</v>
      </c>
      <c r="O63" s="2215">
        <f t="shared" si="8"/>
        <v>1.7534246575342465</v>
      </c>
    </row>
    <row r="64" spans="9:17">
      <c r="I64" s="335" t="s">
        <v>3327</v>
      </c>
      <c r="J64" s="637">
        <f t="shared" ref="J64:O64" si="9">IF(J48="Non-Cumulative","NA",IF(J49="Simple",J45*$D$21*J63*J46,(J45*((1+$D$21)^J63-1))*J46))</f>
        <v>2272.3287671232879</v>
      </c>
      <c r="K64" s="637">
        <f t="shared" si="9"/>
        <v>1492.6027397260275</v>
      </c>
      <c r="L64" s="637">
        <f t="shared" si="9"/>
        <v>1317.2602739726028</v>
      </c>
      <c r="M64" s="637">
        <f t="shared" si="9"/>
        <v>3524.3835616438355</v>
      </c>
      <c r="N64" s="637">
        <f t="shared" si="9"/>
        <v>2000</v>
      </c>
      <c r="O64" s="2189">
        <f t="shared" si="9"/>
        <v>1543.0136986301368</v>
      </c>
      <c r="P64" s="2218">
        <f>SUM(J64:O64)</f>
        <v>12149.589041095889</v>
      </c>
      <c r="Q64" s="385" t="s">
        <v>3329</v>
      </c>
    </row>
    <row r="65" spans="9:17">
      <c r="I65" s="2028" t="s">
        <v>3334</v>
      </c>
      <c r="J65" s="2216"/>
      <c r="K65" s="2216"/>
      <c r="L65" s="2216"/>
      <c r="M65" s="2216"/>
      <c r="N65" s="2216"/>
      <c r="O65" s="2210"/>
    </row>
    <row r="66" spans="9:17">
      <c r="I66" s="335" t="str">
        <f>I60</f>
        <v>Event Date</v>
      </c>
      <c r="J66" s="2214">
        <f>'Exit Probability'!I37</f>
        <v>44377</v>
      </c>
      <c r="K66" s="16"/>
      <c r="L66" s="16"/>
      <c r="M66" s="16"/>
      <c r="N66" s="16"/>
      <c r="O66" s="197"/>
    </row>
    <row r="67" spans="9:17">
      <c r="I67" s="335" t="str">
        <f>I61</f>
        <v>Term to Exit (from VD)</v>
      </c>
      <c r="J67" s="2217">
        <f>PWERM_2!F13</f>
        <v>2.9178082191780823</v>
      </c>
      <c r="K67" s="16"/>
      <c r="L67" s="16"/>
      <c r="M67" s="16"/>
      <c r="N67" s="16"/>
      <c r="O67" s="197"/>
    </row>
    <row r="68" spans="9:17">
      <c r="I68" s="335"/>
      <c r="J68" s="16"/>
      <c r="K68" s="16"/>
      <c r="L68" s="16"/>
      <c r="M68" s="16"/>
      <c r="N68" s="16"/>
      <c r="O68" s="197"/>
    </row>
    <row r="69" spans="9:17">
      <c r="I69" s="335" t="str">
        <f>I63</f>
        <v xml:space="preserve">Duration as of Early PWERM Exit </v>
      </c>
      <c r="J69" s="2213">
        <f t="shared" ref="J69:O69" si="10">$J$67+J51</f>
        <v>5.868493150684932</v>
      </c>
      <c r="K69" s="2213">
        <f t="shared" si="10"/>
        <v>5.2301369863013694</v>
      </c>
      <c r="L69" s="2213">
        <f t="shared" si="10"/>
        <v>4.7917808219178086</v>
      </c>
      <c r="M69" s="2213">
        <f t="shared" si="10"/>
        <v>4.2520547945205482</v>
      </c>
      <c r="N69" s="2213">
        <f t="shared" si="10"/>
        <v>3.4986301369863013</v>
      </c>
      <c r="O69" s="2215">
        <f t="shared" si="10"/>
        <v>3.2520547945205482</v>
      </c>
    </row>
    <row r="70" spans="9:17">
      <c r="I70" s="1942" t="str">
        <f>I64</f>
        <v>Accrued Dividend as of Early PWERM Exit</v>
      </c>
      <c r="J70" s="2219">
        <f t="shared" ref="J70:O70" si="11">IF(J48="Non-Cumulative","NA",IF(J49="Simple",J45*$D$21*J69*J46,(J45*((1+$D$21)^J69-1))*J46))</f>
        <v>3051.616438356165</v>
      </c>
      <c r="K70" s="2219">
        <f t="shared" si="11"/>
        <v>2092.0547945205476</v>
      </c>
      <c r="L70" s="2219">
        <f t="shared" si="11"/>
        <v>1916.7123287671234</v>
      </c>
      <c r="M70" s="2219">
        <f t="shared" si="11"/>
        <v>5442.6301369863013</v>
      </c>
      <c r="N70" s="2219">
        <f t="shared" si="11"/>
        <v>3498.6301369863013</v>
      </c>
      <c r="O70" s="2220">
        <f t="shared" si="11"/>
        <v>2861.8082191780823</v>
      </c>
      <c r="P70" s="2218">
        <f>SUM(J70:O70)</f>
        <v>18863.452054794521</v>
      </c>
      <c r="Q70" s="385" t="s">
        <v>3329</v>
      </c>
    </row>
    <row r="71" spans="9:17">
      <c r="I71" s="16"/>
      <c r="J71" s="637"/>
      <c r="K71" s="637"/>
      <c r="L71" s="637"/>
      <c r="M71" s="637"/>
      <c r="N71" s="637"/>
      <c r="O71" s="637"/>
      <c r="P71" s="2221"/>
    </row>
    <row r="72" spans="9:17">
      <c r="I72" s="2222" t="s">
        <v>3332</v>
      </c>
      <c r="J72" s="637"/>
      <c r="K72" s="637"/>
      <c r="L72" s="637"/>
      <c r="M72" s="637"/>
      <c r="N72" s="637"/>
      <c r="O72" s="637"/>
      <c r="P72" s="2221"/>
    </row>
    <row r="74" spans="9:17" ht="25.5">
      <c r="I74" s="2200"/>
      <c r="J74" s="2201" t="s">
        <v>78</v>
      </c>
      <c r="K74" s="2201" t="s">
        <v>2882</v>
      </c>
      <c r="L74" s="2201" t="s">
        <v>2883</v>
      </c>
      <c r="M74" s="2202" t="s">
        <v>2884</v>
      </c>
    </row>
    <row r="75" spans="9:17">
      <c r="I75" s="2130" t="s">
        <v>3323</v>
      </c>
      <c r="J75" s="2195">
        <v>0.29182253688483567</v>
      </c>
      <c r="K75" s="2196">
        <v>147700</v>
      </c>
      <c r="L75" s="2195">
        <v>1.3742914032097344</v>
      </c>
      <c r="M75" s="2197">
        <v>0.21197249719244254</v>
      </c>
    </row>
    <row r="76" spans="9:17">
      <c r="I76" s="335"/>
      <c r="J76" s="16"/>
      <c r="K76" s="16"/>
      <c r="L76" s="16"/>
      <c r="M76" s="197"/>
    </row>
    <row r="77" spans="9:17">
      <c r="I77" s="1972" t="s">
        <v>3324</v>
      </c>
      <c r="J77" s="2198">
        <f ca="1">'Val Summ'!F9</f>
        <v>0.29182253688483567</v>
      </c>
      <c r="K77" s="2207">
        <f>'Val Summ'!D9</f>
        <v>147700</v>
      </c>
      <c r="L77" s="2198">
        <f>'Val Summ'!J9</f>
        <v>1.3742914032097344</v>
      </c>
      <c r="M77" s="2199">
        <f ca="1">'Val Summ'!F14</f>
        <v>0.21197249719244254</v>
      </c>
    </row>
    <row r="78" spans="9:17">
      <c r="J78" s="18">
        <f ca="1">J75/J77-1</f>
        <v>0</v>
      </c>
    </row>
  </sheetData>
  <mergeCells count="3">
    <mergeCell ref="B37:F37"/>
    <mergeCell ref="B39:F39"/>
    <mergeCell ref="B38:F38"/>
  </mergeCells>
  <conditionalFormatting sqref="B4:F4">
    <cfRule type="cellIs" dxfId="212" priority="7" stopIfTrue="1" operator="equal">
      <formula>"input"</formula>
    </cfRule>
  </conditionalFormatting>
  <conditionalFormatting sqref="F4">
    <cfRule type="cellIs" dxfId="211" priority="1" stopIfTrue="1" operator="equal">
      <formula>"input"</formula>
    </cfRule>
  </conditionalFormatting>
  <conditionalFormatting sqref="F4">
    <cfRule type="cellIs" dxfId="210" priority="2" stopIfTrue="1" operator="equal">
      <formula>"input"</formula>
    </cfRule>
  </conditionalFormatting>
  <pageMargins left="0.5" right="0.5" top="0.5" bottom="0.5" header="0.5" footer="0.5"/>
  <pageSetup fitToWidth="0" fitToHeight="0" orientation="landscape" r:id="rId1"/>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'List Data'!$C$3:$C$6</xm:f>
          </x14:formula1>
          <xm:sqref>D32:F32 D18:F18</xm:sqref>
        </x14:dataValidation>
        <x14:dataValidation type="list" allowBlank="1" showInputMessage="1" showErrorMessage="1">
          <x14:formula1>
            <xm:f>'List Data'!$D$3:$D$5</xm:f>
          </x14:formula1>
          <xm:sqref>D22:F22 J48:O48 J50:N50</xm:sqref>
        </x14:dataValidation>
        <x14:dataValidation type="list" allowBlank="1" showInputMessage="1" showErrorMessage="1">
          <x14:formula1>
            <xm:f>'List Data'!$E$3:$E$5</xm:f>
          </x14:formula1>
          <xm:sqref>D23:F23 J49:O49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05.5" style="259" customWidth="1"/>
    <col min="5" max="5" width="15.83203125" style="258" customWidth="1"/>
    <col min="6" max="6" width="3.83203125" style="258" customWidth="1"/>
    <col min="7" max="7" width="4.5" style="258" customWidth="1"/>
    <col min="8" max="8" width="9.33203125" style="258"/>
    <col min="9" max="9" width="16.33203125" style="258" bestFit="1" customWidth="1"/>
    <col min="10" max="10" width="19" style="258" bestFit="1" customWidth="1"/>
    <col min="11" max="16384" width="9.33203125" style="258"/>
  </cols>
  <sheetData>
    <row r="6" spans="2:6">
      <c r="B6" s="260"/>
      <c r="C6" s="249"/>
      <c r="D6" s="250"/>
      <c r="E6" s="249"/>
      <c r="F6" s="249"/>
    </row>
    <row r="7" spans="2:6" ht="15.75" thickBot="1">
      <c r="B7" s="260"/>
      <c r="C7" s="249"/>
      <c r="D7" s="250"/>
      <c r="E7" s="249"/>
      <c r="F7" s="249"/>
    </row>
    <row r="8" spans="2:6" ht="15.75" thickTop="1">
      <c r="B8" s="14"/>
      <c r="C8" s="261"/>
      <c r="D8" s="262"/>
      <c r="E8" s="261"/>
      <c r="F8" s="261"/>
    </row>
    <row r="9" spans="2:6" s="263" customFormat="1" ht="40.5">
      <c r="B9" s="264"/>
      <c r="C9" s="265"/>
      <c r="D9" s="266" t="s">
        <v>307</v>
      </c>
      <c r="E9" s="265"/>
      <c r="F9" s="265"/>
    </row>
    <row r="10" spans="2:6" ht="15.75" thickBot="1">
      <c r="B10" s="253"/>
      <c r="C10" s="268"/>
      <c r="D10" s="269"/>
      <c r="E10" s="268"/>
      <c r="F10" s="268"/>
    </row>
    <row r="11" spans="2:6" ht="15.75" thickTop="1"/>
    <row r="13" spans="2:6" ht="18.75">
      <c r="D13" s="254"/>
    </row>
    <row r="14" spans="2:6" ht="18.75">
      <c r="D14" s="255"/>
    </row>
    <row r="27" spans="4:4" ht="23.25">
      <c r="D27" s="856" t="s">
        <v>646</v>
      </c>
    </row>
    <row r="29" spans="4:4" ht="18.75">
      <c r="D29" s="256" t="s">
        <v>470</v>
      </c>
    </row>
    <row r="30" spans="4:4" ht="37.5">
      <c r="D30" s="257" t="s">
        <v>295</v>
      </c>
    </row>
  </sheetData>
  <pageMargins left="0.5" right="0.5" top="0.5" bottom="0.5" header="0.5" footer="0.5"/>
  <pageSetup scale="99"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H74"/>
  <sheetViews>
    <sheetView showGridLines="0" view="pageBreakPreview" zoomScaleNormal="100" zoomScaleSheetLayoutView="100" workbookViewId="0"/>
  </sheetViews>
  <sheetFormatPr defaultRowHeight="12.75" outlineLevelRow="2"/>
  <cols>
    <col min="1" max="1" width="4.5" style="385" customWidth="1"/>
    <col min="2" max="2" width="76.5" style="385" customWidth="1"/>
    <col min="3" max="3" width="2.83203125" style="385" customWidth="1"/>
    <col min="4" max="6" width="20.83203125" style="385" customWidth="1"/>
    <col min="7" max="7" width="4.5" style="385" customWidth="1"/>
    <col min="8" max="8" width="17.1640625" style="385" customWidth="1"/>
    <col min="9" max="9" width="4.5" style="385" customWidth="1"/>
    <col min="10" max="16384" width="9.33203125" style="385"/>
  </cols>
  <sheetData>
    <row r="1" spans="2:8" ht="10.7" customHeight="1" thickBot="1"/>
    <row r="2" spans="2:8" ht="16.5" customHeight="1" thickTop="1">
      <c r="B2" s="10" t="str">
        <f>'MASTER PubCo Inputs'!$C$5</f>
        <v>Pliant Therapeutics, Inc.</v>
      </c>
      <c r="C2" s="10"/>
      <c r="D2" s="10"/>
      <c r="E2" s="10"/>
      <c r="F2" s="10"/>
      <c r="G2" s="244"/>
      <c r="H2" s="244"/>
    </row>
    <row r="3" spans="2:8" ht="15.75" customHeight="1">
      <c r="B3" s="11" t="str">
        <f>VLOOKUP(B4,Outline!$E$8:$G$69,COLUMNS(Outline!$E$8:$G$8),FALSE)</f>
        <v>Exhibit H.1</v>
      </c>
      <c r="C3" s="11"/>
      <c r="D3" s="11"/>
      <c r="E3" s="11"/>
      <c r="F3" s="11"/>
      <c r="G3" s="244"/>
      <c r="H3" s="244"/>
    </row>
    <row r="4" spans="2:8" ht="16.5" customHeight="1" thickBot="1">
      <c r="B4" s="12" t="s">
        <v>2370</v>
      </c>
      <c r="C4" s="12"/>
      <c r="D4" s="12"/>
      <c r="E4" s="12"/>
      <c r="F4" s="12"/>
      <c r="G4" s="244"/>
      <c r="H4" s="984"/>
    </row>
    <row r="5" spans="2:8" ht="16.5" customHeight="1" thickTop="1">
      <c r="B5" s="244"/>
      <c r="C5" s="244"/>
      <c r="D5" s="244"/>
      <c r="E5" s="244"/>
      <c r="F5" s="244"/>
      <c r="G5" s="244"/>
      <c r="H5" s="984"/>
    </row>
    <row r="6" spans="2:8" hidden="1" outlineLevel="1">
      <c r="B6" s="1708" t="s">
        <v>413</v>
      </c>
      <c r="C6" s="1709"/>
      <c r="D6" s="1710" t="s">
        <v>2862</v>
      </c>
      <c r="E6" s="2108" t="s">
        <v>2863</v>
      </c>
      <c r="F6" s="2109" t="s">
        <v>2869</v>
      </c>
      <c r="H6" s="193" t="s">
        <v>5</v>
      </c>
    </row>
    <row r="7" spans="2:8" ht="12.75" hidden="1" customHeight="1" outlineLevel="1">
      <c r="H7" s="966"/>
    </row>
    <row r="8" spans="2:8" ht="12.75" hidden="1" customHeight="1" outlineLevel="1">
      <c r="B8" s="385" t="s">
        <v>1246</v>
      </c>
      <c r="D8" s="968">
        <f>PWERM_2!D13</f>
        <v>1.4191780821917808</v>
      </c>
      <c r="E8" s="968">
        <f>PWERM_2!E13</f>
        <v>2.9178082191780823</v>
      </c>
      <c r="F8" s="968">
        <f>PWERM_2!F13</f>
        <v>2.9178082191780823</v>
      </c>
      <c r="H8" s="281" t="str">
        <f>PWERM_2!B3</f>
        <v>Workpaper 3</v>
      </c>
    </row>
    <row r="9" spans="2:8" ht="12.75" hidden="1" customHeight="1" outlineLevel="2">
      <c r="B9" s="385" t="s">
        <v>1247</v>
      </c>
      <c r="D9" s="967"/>
      <c r="E9" s="967"/>
      <c r="F9" s="967"/>
      <c r="H9" s="281"/>
    </row>
    <row r="10" spans="2:8" ht="12.75" hidden="1" customHeight="1" outlineLevel="1" collapsed="1">
      <c r="B10" s="385" t="s">
        <v>1248</v>
      </c>
      <c r="D10" s="1025"/>
      <c r="E10" s="1025"/>
      <c r="F10" s="2116">
        <f>PWERM_2!F25</f>
        <v>3</v>
      </c>
      <c r="H10" s="1024" t="s">
        <v>132</v>
      </c>
    </row>
    <row r="11" spans="2:8" ht="12.75" hidden="1" customHeight="1" outlineLevel="1">
      <c r="B11" s="946" t="s">
        <v>1249</v>
      </c>
      <c r="C11" s="936"/>
      <c r="D11" s="1004">
        <f>SUM(D8:D10)</f>
        <v>1.4191780821917808</v>
      </c>
      <c r="E11" s="1004">
        <f>SUM(E8:E10)</f>
        <v>2.9178082191780823</v>
      </c>
      <c r="F11" s="1004">
        <f>SUM(F8:F10)</f>
        <v>5.9178082191780828</v>
      </c>
      <c r="H11" s="281"/>
    </row>
    <row r="12" spans="2:8" ht="12.75" hidden="1" customHeight="1" outlineLevel="1"/>
    <row r="13" spans="2:8" hidden="1" outlineLevel="1" collapsed="1">
      <c r="B13" s="1708" t="s">
        <v>310</v>
      </c>
      <c r="C13" s="1709"/>
      <c r="D13" s="1710" t="str">
        <f t="shared" ref="D13:E13" si="0">D6</f>
        <v>Early Exit</v>
      </c>
      <c r="E13" s="2108" t="str">
        <f t="shared" si="0"/>
        <v>Late Exit</v>
      </c>
      <c r="F13" s="2109" t="str">
        <f>F6</f>
        <v>Structured Exit</v>
      </c>
      <c r="H13" s="193" t="s">
        <v>5</v>
      </c>
    </row>
    <row r="14" spans="2:8" ht="12.75" hidden="1" customHeight="1" outlineLevel="1">
      <c r="D14" s="16"/>
      <c r="E14" s="16"/>
      <c r="F14" s="16"/>
    </row>
    <row r="15" spans="2:8" ht="12.75" hidden="1" customHeight="1" outlineLevel="1">
      <c r="B15" s="1639" t="s">
        <v>6</v>
      </c>
      <c r="C15" s="1695"/>
      <c r="D15" s="1712">
        <f>D11</f>
        <v>1.4191780821917808</v>
      </c>
      <c r="E15" s="2110">
        <f>E11</f>
        <v>2.9178082191780823</v>
      </c>
      <c r="F15" s="2111">
        <f>F11</f>
        <v>5.9178082191780828</v>
      </c>
      <c r="H15" s="975" t="str">
        <f>PWERM_2!B3</f>
        <v>Workpaper 3</v>
      </c>
    </row>
    <row r="16" spans="2:8" ht="12.75" hidden="1" customHeight="1" outlineLevel="1">
      <c r="B16" s="335" t="s">
        <v>7</v>
      </c>
      <c r="C16" s="16"/>
      <c r="D16" s="976">
        <f>'Risk-Free Rates'!E26</f>
        <v>2.5264109589041094E-2</v>
      </c>
      <c r="E16" s="976">
        <f>'Risk-Free Rates'!E34</f>
        <v>2.7609589041095891E-2</v>
      </c>
      <c r="F16" s="977">
        <f>E16</f>
        <v>2.7609589041095891E-2</v>
      </c>
      <c r="H16" s="22" t="str">
        <f>'Risk-Free Rates'!B3</f>
        <v>Exhibit H.6</v>
      </c>
    </row>
    <row r="17" spans="2:8" ht="12.75" hidden="1" customHeight="1" outlineLevel="1">
      <c r="B17" s="335" t="s">
        <v>8</v>
      </c>
      <c r="C17" s="16"/>
      <c r="D17" s="950">
        <v>0</v>
      </c>
      <c r="E17" s="950">
        <v>0</v>
      </c>
      <c r="F17" s="195">
        <v>0</v>
      </c>
      <c r="H17" s="20"/>
    </row>
    <row r="18" spans="2:8" ht="12.75" hidden="1" customHeight="1" outlineLevel="1">
      <c r="B18" s="937" t="s">
        <v>9</v>
      </c>
      <c r="C18" s="196"/>
      <c r="D18" s="974">
        <f ca="1">'Asset Vol_Early'!$Q$51</f>
        <v>1.098221030314132</v>
      </c>
      <c r="E18" s="974">
        <f ca="1">'Asset Vol_Late'!$Q$51</f>
        <v>1.0991856567355505</v>
      </c>
      <c r="F18" s="973">
        <f ca="1">$E$18</f>
        <v>1.0991856567355505</v>
      </c>
      <c r="H18" s="21" t="s">
        <v>133</v>
      </c>
    </row>
    <row r="19" spans="2:8" ht="12.75" hidden="1" customHeight="1" outlineLevel="1">
      <c r="B19" s="335"/>
      <c r="C19" s="16"/>
      <c r="D19" s="16"/>
      <c r="E19" s="16"/>
      <c r="F19" s="197"/>
    </row>
    <row r="20" spans="2:8" ht="12.75" hidden="1" customHeight="1" outlineLevel="1">
      <c r="B20" s="335" t="s">
        <v>10</v>
      </c>
      <c r="C20" s="16"/>
      <c r="D20" s="948">
        <f t="shared" ref="D20:E20" ca="1" si="1">D18^2*D15</f>
        <v>1.7116556862404191</v>
      </c>
      <c r="E20" s="948">
        <f t="shared" ca="1" si="1"/>
        <v>3.5253224657299151</v>
      </c>
      <c r="F20" s="198">
        <f t="shared" ref="F20" ca="1" si="2">F18^2*F15</f>
        <v>7.1499497896494058</v>
      </c>
    </row>
    <row r="21" spans="2:8" ht="12.75" hidden="1" customHeight="1" outlineLevel="1">
      <c r="B21" s="335" t="s">
        <v>11</v>
      </c>
      <c r="C21" s="16"/>
      <c r="D21" s="948">
        <f t="shared" ref="D21:E21" ca="1" si="3">(D18^2*D15+LN(2*(EXP(D20)-D18^2*D15-1))-2*LN(EXP(D20)-1))^0.5</f>
        <v>0.6471502869956467</v>
      </c>
      <c r="E21" s="948">
        <f t="shared" ca="1" si="3"/>
        <v>0.78097859337781905</v>
      </c>
      <c r="F21" s="198">
        <f t="shared" ref="F21" ca="1" si="4">(F18^2*F15+LN(2*(EXP(F20)-F18^2*F15-1))-2*LN(EXP(F20)-1))^0.5</f>
        <v>0.82963855497700056</v>
      </c>
    </row>
    <row r="22" spans="2:8" ht="12.75" hidden="1" customHeight="1" outlineLevel="1">
      <c r="B22" s="335" t="s">
        <v>12</v>
      </c>
      <c r="C22" s="16"/>
      <c r="D22" s="948">
        <f ca="1">((D16-D17)*D15)/D21+0.5*D21</f>
        <v>0.37897845755847137</v>
      </c>
      <c r="E22" s="948">
        <f ca="1">((E16-E17)*E15)/E21+0.5*E21</f>
        <v>0.49364127360009474</v>
      </c>
      <c r="F22" s="198">
        <f ca="1">((F16-F17)*F15)/F21+0.5*F21</f>
        <v>0.61175835653124788</v>
      </c>
    </row>
    <row r="23" spans="2:8" ht="12.75" hidden="1" customHeight="1" outlineLevel="1">
      <c r="B23" s="335" t="s">
        <v>13</v>
      </c>
      <c r="C23" s="16"/>
      <c r="D23" s="948">
        <f ca="1">((D16-D17)*D15)/D21-0.5*D21</f>
        <v>-0.26817182943717532</v>
      </c>
      <c r="E23" s="948">
        <f ca="1">((E16-E17)*E15)/E21-0.5*E21</f>
        <v>-0.28733731977772431</v>
      </c>
      <c r="F23" s="198">
        <f ca="1">((F16-F17)*F15)/F21-0.5*F21</f>
        <v>-0.21788019844575271</v>
      </c>
    </row>
    <row r="24" spans="2:8" ht="12.75" hidden="1" customHeight="1" outlineLevel="1">
      <c r="B24" s="335"/>
      <c r="C24" s="16"/>
      <c r="D24" s="951"/>
      <c r="E24" s="951"/>
      <c r="F24" s="199"/>
    </row>
    <row r="25" spans="2:8" ht="12.75" hidden="1" customHeight="1" outlineLevel="1">
      <c r="B25" s="938" t="s">
        <v>14</v>
      </c>
      <c r="C25" s="939"/>
      <c r="D25" s="949">
        <f ca="1">EXP((D16-D17)*D15)*NORMSDIST(D22)-NORMSDIST(D23)</f>
        <v>0.27700679484441493</v>
      </c>
      <c r="E25" s="949">
        <f ca="1">EXP((E16-E17)*E15)*NORMSDIST(E22)-NORMSDIST(E23)</f>
        <v>0.36011417555281555</v>
      </c>
      <c r="F25" s="2112">
        <f ca="1">EXP((F16-F17)*F15)*NORMSDIST(F22)-NORMSDIST(F23)</f>
        <v>0.44539848484036126</v>
      </c>
    </row>
    <row r="26" spans="2:8" ht="12.75" hidden="1" customHeight="1" outlineLevel="1">
      <c r="D26" s="16"/>
      <c r="E26" s="16"/>
      <c r="F26" s="16"/>
    </row>
    <row r="27" spans="2:8" hidden="1" outlineLevel="1">
      <c r="B27" s="1708" t="s">
        <v>15</v>
      </c>
      <c r="C27" s="1709"/>
      <c r="D27" s="1710" t="str">
        <f t="shared" ref="D27:E27" si="5">D13</f>
        <v>Early Exit</v>
      </c>
      <c r="E27" s="1711" t="str">
        <f t="shared" si="5"/>
        <v>Late Exit</v>
      </c>
      <c r="F27" s="1711" t="str">
        <f t="shared" ref="F27" si="6">F13</f>
        <v>Structured Exit</v>
      </c>
    </row>
    <row r="28" spans="2:8" ht="12.75" hidden="1" customHeight="1" outlineLevel="1">
      <c r="D28" s="16"/>
      <c r="E28" s="16"/>
      <c r="F28" s="16"/>
    </row>
    <row r="29" spans="2:8" ht="12.75" hidden="1" customHeight="1" outlineLevel="1">
      <c r="B29" s="1639" t="s">
        <v>16</v>
      </c>
      <c r="C29" s="1695"/>
      <c r="D29" s="1714">
        <v>1</v>
      </c>
      <c r="E29" s="1715">
        <v>1</v>
      </c>
      <c r="F29" s="1715">
        <v>1</v>
      </c>
    </row>
    <row r="30" spans="2:8" ht="12.75" hidden="1" customHeight="1" outlineLevel="1">
      <c r="B30" s="937" t="s">
        <v>17</v>
      </c>
      <c r="C30" s="16"/>
      <c r="D30" s="871">
        <v>1</v>
      </c>
      <c r="E30" s="200">
        <v>1</v>
      </c>
      <c r="F30" s="200">
        <v>1</v>
      </c>
    </row>
    <row r="31" spans="2:8" ht="12.75" hidden="1" customHeight="1" outlineLevel="1">
      <c r="B31" s="937" t="s">
        <v>18</v>
      </c>
      <c r="C31" s="16"/>
      <c r="D31" s="47">
        <f t="shared" ref="D31:E31" si="7">D15</f>
        <v>1.4191780821917808</v>
      </c>
      <c r="E31" s="46">
        <f t="shared" si="7"/>
        <v>2.9178082191780823</v>
      </c>
      <c r="F31" s="46">
        <f t="shared" ref="F31" si="8">F15</f>
        <v>5.9178082191780828</v>
      </c>
      <c r="H31" s="22"/>
    </row>
    <row r="32" spans="2:8" ht="12.75" hidden="1" customHeight="1" outlineLevel="1">
      <c r="B32" s="335" t="s">
        <v>7</v>
      </c>
      <c r="C32" s="16"/>
      <c r="D32" s="947">
        <f>D16</f>
        <v>2.5264109589041094E-2</v>
      </c>
      <c r="E32" s="201">
        <f>E16</f>
        <v>2.7609589041095891E-2</v>
      </c>
      <c r="F32" s="201">
        <f>F16</f>
        <v>2.7609589041095891E-2</v>
      </c>
      <c r="H32" s="22" t="str">
        <f>+H16</f>
        <v>Exhibit H.6</v>
      </c>
    </row>
    <row r="33" spans="2:8" ht="12.75" hidden="1" customHeight="1" outlineLevel="1">
      <c r="B33" s="335" t="s">
        <v>9</v>
      </c>
      <c r="C33" s="16"/>
      <c r="D33" s="898">
        <f t="shared" ref="D33:E33" ca="1" si="9">D18</f>
        <v>1.098221030314132</v>
      </c>
      <c r="E33" s="400">
        <f t="shared" ca="1" si="9"/>
        <v>1.0991856567355505</v>
      </c>
      <c r="F33" s="400">
        <f t="shared" ref="F33" ca="1" si="10">F18</f>
        <v>1.0991856567355505</v>
      </c>
      <c r="H33" s="22" t="str">
        <f>+H18</f>
        <v>(1)</v>
      </c>
    </row>
    <row r="34" spans="2:8" ht="12.75" hidden="1" customHeight="1" outlineLevel="1">
      <c r="B34" s="335"/>
      <c r="C34" s="16"/>
      <c r="D34" s="16"/>
      <c r="E34" s="197"/>
      <c r="F34" s="197"/>
    </row>
    <row r="35" spans="2:8" ht="12.75" hidden="1" customHeight="1" outlineLevel="1">
      <c r="B35" s="335" t="s">
        <v>19</v>
      </c>
      <c r="C35" s="16"/>
      <c r="D35" s="948">
        <f t="shared" ref="D35:E35" ca="1" si="11">(LN(D29/D30)+(D32+D33^2/2)*D31)/(D33*SQRT(D31))</f>
        <v>0.6815564805261386</v>
      </c>
      <c r="E35" s="198">
        <f t="shared" ca="1" si="11"/>
        <v>0.98169802923195459</v>
      </c>
      <c r="F35" s="198">
        <f t="shared" ref="F35" ca="1" si="12">(LN(F29/F30)+(F32+F33^2/2)*F31)/(F33*SQRT(F31))</f>
        <v>1.3980734579730445</v>
      </c>
    </row>
    <row r="36" spans="2:8" ht="12.75" hidden="1" customHeight="1" outlineLevel="1">
      <c r="B36" s="335" t="s">
        <v>20</v>
      </c>
      <c r="C36" s="16"/>
      <c r="D36" s="948">
        <f t="shared" ref="D36:E36" ca="1" si="13">D35-D33*SQRT(D31)</f>
        <v>-0.62674611682679016</v>
      </c>
      <c r="E36" s="198">
        <f t="shared" ca="1" si="13"/>
        <v>-0.89588618079163718</v>
      </c>
      <c r="F36" s="198">
        <f t="shared" ref="F36" ca="1" si="14">F35-F33*SQRT(F31)</f>
        <v>-1.2758655446314289</v>
      </c>
    </row>
    <row r="37" spans="2:8" ht="12.75" hidden="1" customHeight="1" outlineLevel="1">
      <c r="B37" s="335"/>
      <c r="C37" s="16"/>
      <c r="D37" s="16"/>
      <c r="E37" s="197"/>
      <c r="F37" s="197"/>
    </row>
    <row r="38" spans="2:8" ht="12.75" hidden="1" customHeight="1" outlineLevel="1">
      <c r="B38" s="938" t="s">
        <v>14</v>
      </c>
      <c r="C38" s="5"/>
      <c r="D38" s="949">
        <f t="shared" ref="D38:E38" ca="1" si="15">D30*EXP(-D32*D31)*NORMSDIST(-D36)-D29*NORMSDIST(-D35)</f>
        <v>0.46095593145659525</v>
      </c>
      <c r="E38" s="940">
        <f t="shared" ca="1" si="15"/>
        <v>0.58865005509528256</v>
      </c>
      <c r="F38" s="940">
        <f t="shared" ref="F38" ca="1" si="16">F30*EXP(-F32*F31)*NORMSDIST(-F36)-F29*NORMSDIST(-F35)</f>
        <v>0.68243919416625998</v>
      </c>
    </row>
    <row r="39" spans="2:8" ht="12.75" hidden="1" customHeight="1" outlineLevel="1">
      <c r="D39" s="16"/>
      <c r="E39" s="16"/>
      <c r="F39" s="16"/>
    </row>
    <row r="40" spans="2:8" collapsed="1">
      <c r="B40" s="1708" t="s">
        <v>306</v>
      </c>
      <c r="C40" s="1709"/>
      <c r="D40" s="1710" t="str">
        <f>D13</f>
        <v>Early Exit</v>
      </c>
      <c r="E40" s="2108" t="str">
        <f>E13</f>
        <v>Late Exit</v>
      </c>
      <c r="F40" s="2109" t="str">
        <f>F13</f>
        <v>Structured Exit</v>
      </c>
    </row>
    <row r="41" spans="2:8" ht="12.75" customHeight="1">
      <c r="D41" s="16"/>
      <c r="E41" s="16"/>
      <c r="F41" s="16"/>
    </row>
    <row r="42" spans="2:8" ht="12.75" customHeight="1">
      <c r="B42" s="1639" t="s">
        <v>18</v>
      </c>
      <c r="C42" s="1695"/>
      <c r="D42" s="1716">
        <f t="shared" ref="D42:E42" si="17">+D31</f>
        <v>1.4191780821917808</v>
      </c>
      <c r="E42" s="2113">
        <f t="shared" si="17"/>
        <v>2.9178082191780823</v>
      </c>
      <c r="F42" s="2114">
        <f t="shared" ref="F42" si="18">+F31</f>
        <v>5.9178082191780828</v>
      </c>
      <c r="G42" s="2162">
        <f>A69</f>
        <v>1</v>
      </c>
      <c r="H42" s="22"/>
    </row>
    <row r="43" spans="2:8" ht="12.75" customHeight="1">
      <c r="B43" s="335" t="s">
        <v>16</v>
      </c>
      <c r="C43" s="16"/>
      <c r="D43" s="871">
        <f t="shared" ref="D43:E43" si="19">+D29</f>
        <v>1</v>
      </c>
      <c r="E43" s="871">
        <f t="shared" si="19"/>
        <v>1</v>
      </c>
      <c r="F43" s="200">
        <f t="shared" ref="F43" si="20">+F29</f>
        <v>1</v>
      </c>
      <c r="G43" s="2163"/>
    </row>
    <row r="44" spans="2:8" ht="12.75" customHeight="1">
      <c r="B44" s="335" t="s">
        <v>17</v>
      </c>
      <c r="C44" s="16"/>
      <c r="D44" s="871">
        <f t="shared" ref="D44:E44" si="21">+D30</f>
        <v>1</v>
      </c>
      <c r="E44" s="871">
        <f t="shared" si="21"/>
        <v>1</v>
      </c>
      <c r="F44" s="200">
        <f t="shared" ref="F44" si="22">+F30</f>
        <v>1</v>
      </c>
      <c r="G44" s="2163"/>
    </row>
    <row r="45" spans="2:8" ht="12.75" customHeight="1">
      <c r="B45" s="335" t="s">
        <v>8</v>
      </c>
      <c r="C45" s="16"/>
      <c r="D45" s="947">
        <f t="shared" ref="D45:E45" si="23">+D17</f>
        <v>0</v>
      </c>
      <c r="E45" s="947">
        <f t="shared" si="23"/>
        <v>0</v>
      </c>
      <c r="F45" s="201">
        <v>0</v>
      </c>
      <c r="G45" s="2163"/>
    </row>
    <row r="46" spans="2:8" ht="12.75" customHeight="1">
      <c r="B46" s="335" t="s">
        <v>9</v>
      </c>
      <c r="C46" s="16"/>
      <c r="D46" s="974">
        <f ca="1">'Asset Vol_Early'!$Q$51</f>
        <v>1.098221030314132</v>
      </c>
      <c r="E46" s="974">
        <f ca="1">'Asset Vol_Late'!$Q$51</f>
        <v>1.0991856567355505</v>
      </c>
      <c r="F46" s="973">
        <f ca="1">'Asset Vol_Structured'!Q51</f>
        <v>1.0063314661571598</v>
      </c>
      <c r="G46" s="2162">
        <f>A70</f>
        <v>2</v>
      </c>
      <c r="H46" s="22"/>
    </row>
    <row r="47" spans="2:8" ht="12.75" customHeight="1">
      <c r="B47" s="335"/>
      <c r="C47" s="16"/>
      <c r="D47" s="16"/>
      <c r="E47" s="16"/>
      <c r="F47" s="197"/>
    </row>
    <row r="48" spans="2:8" ht="12.75" customHeight="1">
      <c r="B48" s="335" t="s">
        <v>308</v>
      </c>
      <c r="C48" s="16"/>
      <c r="D48" s="948">
        <f t="shared" ref="D48:E48" ca="1" si="24">LN(2*(EXP((D46^2)*D42)-((D46^2)*D42)-1))-2*(LN((D46^2)*D42))</f>
        <v>0.65725263514522259</v>
      </c>
      <c r="E48" s="948">
        <f t="shared" ca="1" si="24"/>
        <v>1.5555373329899691</v>
      </c>
      <c r="F48" s="198">
        <f t="shared" ref="F48" ca="1" si="25">LN(2*(EXP((F46^2)*F42)-((F46^2)*F42)-1))-2*(LN((F46^2)*F42))</f>
        <v>3.0873410198574165</v>
      </c>
    </row>
    <row r="49" spans="2:8" ht="12.75" customHeight="1">
      <c r="B49" s="335" t="s">
        <v>309</v>
      </c>
      <c r="C49" s="16"/>
      <c r="D49" s="948">
        <f t="shared" ref="D49:E49" ca="1" si="26">SQRT(D48)</f>
        <v>0.8107111909584217</v>
      </c>
      <c r="E49" s="948">
        <f t="shared" ca="1" si="26"/>
        <v>1.2472118236249883</v>
      </c>
      <c r="F49" s="198">
        <f t="shared" ref="F49" ca="1" si="27">SQRT(F48)</f>
        <v>1.7570830998724609</v>
      </c>
    </row>
    <row r="50" spans="2:8" ht="12.75" customHeight="1">
      <c r="B50" s="335"/>
      <c r="C50" s="16"/>
      <c r="D50" s="16"/>
      <c r="E50" s="16"/>
      <c r="F50" s="197"/>
    </row>
    <row r="51" spans="2:8" ht="12.75" customHeight="1">
      <c r="B51" s="938" t="s">
        <v>14</v>
      </c>
      <c r="C51" s="5"/>
      <c r="D51" s="949">
        <f t="shared" ref="D51:E51" ca="1" si="28">EXP(-D45*D42)*D44*(2*NORMSDIST(D49/2)-1)</f>
        <v>0.31478385405770504</v>
      </c>
      <c r="E51" s="949">
        <f t="shared" ca="1" si="28"/>
        <v>0.46711357281434673</v>
      </c>
      <c r="F51" s="2112">
        <f t="shared" ref="F51" ca="1" si="29">EXP(-F45*F42)*F44*(2*NORMSDIST(F49/2)-1)</f>
        <v>0.62035010034547744</v>
      </c>
    </row>
    <row r="52" spans="2:8" ht="12.75" customHeight="1">
      <c r="D52" s="16"/>
      <c r="E52" s="16"/>
      <c r="F52" s="16"/>
    </row>
    <row r="53" spans="2:8" hidden="1" outlineLevel="1">
      <c r="B53" s="1708" t="s">
        <v>1496</v>
      </c>
      <c r="C53" s="1709"/>
      <c r="D53" s="1710" t="str">
        <f>D6</f>
        <v>Early Exit</v>
      </c>
      <c r="E53" s="1711" t="str">
        <f>E6</f>
        <v>Late Exit</v>
      </c>
      <c r="F53" s="1711" t="str">
        <f>F6</f>
        <v>Structured Exit</v>
      </c>
    </row>
    <row r="54" spans="2:8" ht="12.75" hidden="1" customHeight="1" outlineLevel="1">
      <c r="D54" s="16"/>
      <c r="E54" s="16"/>
      <c r="F54" s="16"/>
    </row>
    <row r="55" spans="2:8" ht="12.75" hidden="1" customHeight="1" outlineLevel="1">
      <c r="B55" s="1639" t="s">
        <v>6</v>
      </c>
      <c r="C55" s="1695"/>
      <c r="D55" s="1712">
        <f>D11</f>
        <v>1.4191780821917808</v>
      </c>
      <c r="E55" s="1713">
        <f>E11</f>
        <v>2.9178082191780823</v>
      </c>
      <c r="F55" s="1713">
        <f>F11</f>
        <v>5.9178082191780828</v>
      </c>
      <c r="H55" s="281" t="str">
        <f>H8</f>
        <v>Workpaper 3</v>
      </c>
    </row>
    <row r="56" spans="2:8" ht="12.75" hidden="1" customHeight="1" outlineLevel="1">
      <c r="B56" s="335" t="s">
        <v>7</v>
      </c>
      <c r="C56" s="16"/>
      <c r="D56" s="1028">
        <f t="shared" ref="D56:E56" si="30">D16</f>
        <v>2.5264109589041094E-2</v>
      </c>
      <c r="E56" s="1717">
        <f t="shared" si="30"/>
        <v>2.7609589041095891E-2</v>
      </c>
      <c r="F56" s="1717">
        <f t="shared" ref="F56" si="31">F16</f>
        <v>2.7609589041095891E-2</v>
      </c>
      <c r="H56" s="391" t="str">
        <f>H16</f>
        <v>Exhibit H.6</v>
      </c>
    </row>
    <row r="57" spans="2:8" ht="12.75" hidden="1" customHeight="1" outlineLevel="1">
      <c r="B57" s="335" t="s">
        <v>8</v>
      </c>
      <c r="C57" s="16"/>
      <c r="D57" s="1029">
        <f t="shared" ref="D57:E58" si="32">D17</f>
        <v>0</v>
      </c>
      <c r="E57" s="1718">
        <f t="shared" si="32"/>
        <v>0</v>
      </c>
      <c r="F57" s="1718">
        <f t="shared" ref="F57" si="33">F17</f>
        <v>0</v>
      </c>
    </row>
    <row r="58" spans="2:8" ht="12.75" hidden="1" customHeight="1" outlineLevel="1">
      <c r="B58" s="937" t="s">
        <v>9</v>
      </c>
      <c r="C58" s="196"/>
      <c r="D58" s="1029">
        <f t="shared" ca="1" si="32"/>
        <v>1.098221030314132</v>
      </c>
      <c r="E58" s="1718">
        <f t="shared" ca="1" si="32"/>
        <v>1.0991856567355505</v>
      </c>
      <c r="F58" s="1718">
        <f t="shared" ref="F58" ca="1" si="34">F18</f>
        <v>1.0991856567355505</v>
      </c>
      <c r="H58" s="414"/>
    </row>
    <row r="59" spans="2:8" ht="12.75" hidden="1" customHeight="1" outlineLevel="1">
      <c r="B59" s="335"/>
      <c r="C59" s="16"/>
      <c r="D59" s="16"/>
      <c r="E59" s="197"/>
      <c r="F59" s="197"/>
    </row>
    <row r="60" spans="2:8" ht="12.75" hidden="1" customHeight="1" outlineLevel="1">
      <c r="B60" s="335" t="s">
        <v>10</v>
      </c>
      <c r="C60" s="16"/>
      <c r="D60" s="948">
        <f t="shared" ref="D60:E60" ca="1" si="35">D58^2*D55</f>
        <v>1.7116556862404191</v>
      </c>
      <c r="E60" s="198">
        <f t="shared" ca="1" si="35"/>
        <v>3.5253224657299151</v>
      </c>
      <c r="F60" s="198">
        <f t="shared" ref="F60" ca="1" si="36">F58^2*F55</f>
        <v>7.1499497896494058</v>
      </c>
    </row>
    <row r="61" spans="2:8" ht="12.75" hidden="1" customHeight="1" outlineLevel="1">
      <c r="B61" s="335"/>
      <c r="C61" s="16"/>
      <c r="D61" s="948"/>
      <c r="E61" s="198"/>
      <c r="F61" s="198"/>
    </row>
    <row r="62" spans="2:8" ht="12.75" hidden="1" customHeight="1" outlineLevel="1">
      <c r="B62" s="335" t="s">
        <v>1497</v>
      </c>
      <c r="C62" s="16"/>
      <c r="D62" s="898">
        <f t="shared" ref="D62:E62" ca="1" si="37">(2+(D60/2))*NORMSDIST(SQRT(D60)/2)+(SQRT(D60/(2*PI()))*EXP(-D60/8))-1</f>
        <v>1.5446908425190831</v>
      </c>
      <c r="E62" s="400">
        <f t="shared" ca="1" si="37"/>
        <v>2.5903570770539832</v>
      </c>
      <c r="F62" s="400">
        <f t="shared" ref="F62" ca="1" si="38">(2+(F60/2))*NORMSDIST(SQRT(F60)/2)+(SQRT(F60/(2*PI()))*EXP(-F60/8))-1</f>
        <v>4.5062203118333946</v>
      </c>
    </row>
    <row r="63" spans="2:8" ht="12.75" hidden="1" customHeight="1" outlineLevel="1">
      <c r="B63" s="335"/>
      <c r="C63" s="16"/>
      <c r="D63" s="948"/>
      <c r="E63" s="198"/>
      <c r="F63" s="198"/>
    </row>
    <row r="64" spans="2:8" ht="12.75" hidden="1" customHeight="1" outlineLevel="1">
      <c r="B64" s="938" t="s">
        <v>1498</v>
      </c>
      <c r="C64" s="939"/>
      <c r="D64" s="949">
        <f t="shared" ref="D64:E64" ca="1" si="39">D62/(1+D62)</f>
        <v>0.60702495435160087</v>
      </c>
      <c r="E64" s="940">
        <f t="shared" ca="1" si="39"/>
        <v>0.72147617116107687</v>
      </c>
      <c r="F64" s="940">
        <f t="shared" ref="F64" ca="1" si="40">F62/(1+F62)</f>
        <v>0.81838721602713493</v>
      </c>
    </row>
    <row r="65" spans="1:8" ht="12.75" hidden="1" customHeight="1" outlineLevel="1">
      <c r="D65" s="16"/>
      <c r="E65" s="16"/>
      <c r="F65" s="16"/>
    </row>
    <row r="66" spans="1:8" ht="12.75" customHeight="1" collapsed="1">
      <c r="B66" s="1719" t="s">
        <v>311</v>
      </c>
      <c r="C66" s="1720"/>
      <c r="D66" s="1721">
        <f ca="1">MROUND(AVERAGE(D51),1%)</f>
        <v>0.31</v>
      </c>
      <c r="E66" s="1721">
        <f ca="1">MROUND(AVERAGE(E51),1%)</f>
        <v>0.47000000000000003</v>
      </c>
      <c r="F66" s="2120">
        <f ca="1">MROUND(AVERAGE(F51),1%)</f>
        <v>0.62</v>
      </c>
    </row>
    <row r="67" spans="1:8" ht="12.75" customHeight="1"/>
    <row r="68" spans="1:8" ht="12.75" customHeight="1">
      <c r="B68" s="8" t="s">
        <v>21</v>
      </c>
    </row>
    <row r="69" spans="1:8" ht="12.75" customHeight="1">
      <c r="A69" s="2161">
        <v>1</v>
      </c>
      <c r="B69" s="745" t="str">
        <f>CONCATENATE("Refer to ",PWERM_2!B3,".")</f>
        <v>Refer to Workpaper 3.</v>
      </c>
      <c r="C69" s="1027"/>
      <c r="D69" s="1027"/>
      <c r="E69" s="1027"/>
      <c r="F69" s="1027"/>
      <c r="G69" s="1027"/>
      <c r="H69" s="1027"/>
    </row>
    <row r="70" spans="1:8" ht="11.25" customHeight="1">
      <c r="A70" s="2161">
        <f>+A69+1</f>
        <v>2</v>
      </c>
      <c r="B70" s="745" t="str">
        <f>CONCATENATE("Refer to ",'Asset Vol_Early'!B3," through ",'Asset Vol_Structured'!B3,".")</f>
        <v>Refer to Exhibit H.2 through Exhibit H.4.</v>
      </c>
      <c r="C70" s="2138"/>
      <c r="D70" s="2138"/>
      <c r="E70" s="2138"/>
      <c r="F70" s="2138"/>
      <c r="G70" s="2138"/>
      <c r="H70" s="2138"/>
    </row>
    <row r="71" spans="1:8" ht="12.75" customHeight="1">
      <c r="A71" s="149"/>
      <c r="B71" s="1026"/>
      <c r="C71" s="1027"/>
      <c r="D71" s="1027"/>
      <c r="E71" s="1027"/>
      <c r="F71" s="1027"/>
      <c r="G71" s="1027"/>
      <c r="H71" s="1027"/>
    </row>
    <row r="72" spans="1:8" ht="12.75" customHeight="1"/>
    <row r="73" spans="1:8" ht="12.75" customHeight="1"/>
    <row r="74" spans="1:8" ht="12.75" customHeight="1"/>
  </sheetData>
  <conditionalFormatting sqref="G4:G5 B4:D5">
    <cfRule type="cellIs" dxfId="209" priority="12" stopIfTrue="1" operator="equal">
      <formula>"input"</formula>
    </cfRule>
  </conditionalFormatting>
  <conditionalFormatting sqref="H4:H5">
    <cfRule type="cellIs" dxfId="208" priority="8" stopIfTrue="1" operator="equal">
      <formula>"input"</formula>
    </cfRule>
  </conditionalFormatting>
  <conditionalFormatting sqref="H4:H5">
    <cfRule type="cellIs" dxfId="207" priority="9" stopIfTrue="1" operator="equal">
      <formula>"input"</formula>
    </cfRule>
  </conditionalFormatting>
  <conditionalFormatting sqref="D9:D10">
    <cfRule type="cellIs" dxfId="206" priority="7" operator="equal">
      <formula>0</formula>
    </cfRule>
  </conditionalFormatting>
  <conditionalFormatting sqref="E4:F5">
    <cfRule type="cellIs" dxfId="205" priority="4" stopIfTrue="1" operator="equal">
      <formula>"input"</formula>
    </cfRule>
  </conditionalFormatting>
  <conditionalFormatting sqref="E9:F10">
    <cfRule type="cellIs" dxfId="204" priority="3" operator="equal">
      <formula>0</formula>
    </cfRule>
  </conditionalFormatting>
  <pageMargins left="0.5" right="0.5" top="0.5" bottom="0.5" header="0.5" footer="0.5"/>
  <pageSetup fitToWidth="0" fitToHeight="0" orientation="landscape" r:id="rId1"/>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AI60"/>
  <sheetViews>
    <sheetView showGridLines="0" view="pageBreakPreview" zoomScaleNormal="100" zoomScaleSheetLayoutView="100" workbookViewId="0"/>
  </sheetViews>
  <sheetFormatPr defaultRowHeight="12.75" outlineLevelRow="1" outlineLevelCol="1"/>
  <cols>
    <col min="1" max="1" width="4.5" style="385" customWidth="1"/>
    <col min="2" max="2" width="44.1640625" style="385" customWidth="1"/>
    <col min="3" max="3" width="3.5" style="385" bestFit="1" customWidth="1"/>
    <col min="4" max="4" width="11" style="385" customWidth="1"/>
    <col min="5" max="5" width="10.83203125" style="385" hidden="1" customWidth="1" outlineLevel="1"/>
    <col min="6" max="7" width="9.83203125" style="385" hidden="1" customWidth="1" outlineLevel="1"/>
    <col min="8" max="8" width="11" style="385" bestFit="1" customWidth="1" collapsed="1"/>
    <col min="9" max="9" width="10.5" style="385" bestFit="1" customWidth="1"/>
    <col min="10" max="10" width="10.6640625" style="385" bestFit="1" customWidth="1"/>
    <col min="11" max="11" width="10.5" style="385" bestFit="1" customWidth="1"/>
    <col min="12" max="12" width="2.83203125" style="385" customWidth="1"/>
    <col min="13" max="13" width="10" style="385" bestFit="1" customWidth="1"/>
    <col min="14" max="14" width="8.6640625" style="385" customWidth="1"/>
    <col min="15" max="15" width="10.5" style="385" bestFit="1" customWidth="1"/>
    <col min="16" max="16" width="2.83203125" style="20" customWidth="1"/>
    <col min="17" max="17" width="9.83203125" style="385" customWidth="1"/>
    <col min="18" max="18" width="2.83203125" style="385" customWidth="1"/>
    <col min="19" max="19" width="11.6640625" style="385" hidden="1" customWidth="1" outlineLevel="1"/>
    <col min="20" max="23" width="8.83203125" style="385" hidden="1" customWidth="1" outlineLevel="1"/>
    <col min="24" max="24" width="10.1640625" style="385" customWidth="1" collapsed="1"/>
    <col min="25" max="25" width="10.1640625" style="385" customWidth="1"/>
    <col min="26" max="26" width="4.5" style="385" customWidth="1"/>
    <col min="27" max="27" width="17.5" style="385" bestFit="1" customWidth="1"/>
    <col min="28" max="28" width="12.33203125" style="385" bestFit="1" customWidth="1"/>
    <col min="29" max="29" width="9.5" style="385" bestFit="1" customWidth="1"/>
    <col min="30" max="30" width="10.1640625" style="385" bestFit="1" customWidth="1"/>
    <col min="31" max="16384" width="9.33203125" style="385"/>
  </cols>
  <sheetData>
    <row r="1" spans="2:35" ht="10.7" customHeight="1" thickBot="1">
      <c r="P1" s="385"/>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0" t="s">
        <v>22</v>
      </c>
      <c r="AB2" s="271">
        <f>+'Comp.1'!$AM$2</f>
        <v>43312</v>
      </c>
    </row>
    <row r="3" spans="2:35" ht="15.75" customHeight="1">
      <c r="B3" s="11" t="str">
        <f>VLOOKUP(B4,Outline!$E$8:$G$69,COLUMNS(Outline!$E$8:$G$8),FALSE)</f>
        <v>Exhibit H.2</v>
      </c>
      <c r="C3" s="11"/>
      <c r="D3" s="11"/>
      <c r="E3" s="11"/>
      <c r="F3" s="11"/>
      <c r="G3" s="11"/>
      <c r="H3" s="11"/>
      <c r="I3" s="11"/>
      <c r="J3" s="11"/>
      <c r="K3" s="11"/>
      <c r="L3" s="11"/>
      <c r="M3" s="11"/>
      <c r="N3" s="11"/>
      <c r="O3" s="11"/>
      <c r="P3" s="11"/>
      <c r="Q3" s="11"/>
      <c r="R3" s="11"/>
      <c r="S3" s="11"/>
      <c r="T3" s="11"/>
      <c r="U3" s="11"/>
      <c r="V3" s="11"/>
      <c r="W3" s="11"/>
      <c r="X3" s="11"/>
      <c r="Y3" s="11"/>
      <c r="AA3" s="194" t="s">
        <v>299</v>
      </c>
      <c r="AB3" s="275" t="str">
        <f>+'Comp.1'!$AM$3</f>
        <v>F</v>
      </c>
    </row>
    <row r="4" spans="2:35" ht="16.5" customHeight="1" thickBot="1">
      <c r="B4" s="12" t="str">
        <f>"Asset Volatility - "&amp;TEXT('PWERM DLOM'!D6,"")</f>
        <v>Asset Volatility - Early Exit</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4" t="s">
        <v>300</v>
      </c>
      <c r="AB4" s="275" t="str">
        <f>+'Comp.1'!$AM$4</f>
        <v>USD</v>
      </c>
    </row>
    <row r="5" spans="2:35" ht="12.75" customHeight="1" thickTop="1">
      <c r="B5" s="20"/>
      <c r="AA5" s="78" t="s">
        <v>24</v>
      </c>
      <c r="AB5" s="274" t="str">
        <f>+'Comp.1'!$AM$5</f>
        <v>H</v>
      </c>
    </row>
    <row r="6" spans="2:35" ht="12.75" hidden="1" customHeight="1" outlineLevel="1">
      <c r="N6" s="202">
        <f>'PWERM DLOM'!D11</f>
        <v>1.4191780821917808</v>
      </c>
      <c r="O6" s="203">
        <f>'Risk-Free Rates'!E26</f>
        <v>2.5264109589041094E-2</v>
      </c>
      <c r="Q6" s="204">
        <f>HLOOKUP(ROUND(N6,0),'Equity Vol'!$D$8:$I$8,1,TRUE)</f>
        <v>1</v>
      </c>
    </row>
    <row r="7" spans="2:35" ht="25.5" collapsed="1">
      <c r="D7" s="190" t="s">
        <v>26</v>
      </c>
      <c r="E7" s="191"/>
      <c r="F7" s="191"/>
      <c r="G7" s="191"/>
      <c r="H7" s="191"/>
      <c r="I7" s="191"/>
      <c r="J7" s="191"/>
      <c r="K7" s="192"/>
      <c r="M7" s="190" t="s">
        <v>27</v>
      </c>
      <c r="N7" s="191"/>
      <c r="O7" s="191"/>
      <c r="P7" s="205"/>
      <c r="Q7" s="192"/>
      <c r="S7" s="190" t="s">
        <v>28</v>
      </c>
      <c r="T7" s="191"/>
      <c r="U7" s="191"/>
      <c r="V7" s="191"/>
      <c r="W7" s="191"/>
      <c r="X7" s="995" t="s">
        <v>28</v>
      </c>
      <c r="Y7" s="996"/>
    </row>
    <row r="8" spans="2:35" s="6" customFormat="1" ht="29.25" customHeight="1">
      <c r="B8" s="460" t="s">
        <v>519</v>
      </c>
      <c r="D8" s="595" t="s">
        <v>29</v>
      </c>
      <c r="E8" s="596" t="s">
        <v>30</v>
      </c>
      <c r="F8" s="596" t="s">
        <v>31</v>
      </c>
      <c r="G8" s="596" t="s">
        <v>32</v>
      </c>
      <c r="H8" s="596" t="s">
        <v>33</v>
      </c>
      <c r="I8" s="596" t="s">
        <v>34</v>
      </c>
      <c r="J8" s="596" t="s">
        <v>35</v>
      </c>
      <c r="K8" s="597" t="s">
        <v>36</v>
      </c>
      <c r="L8" s="298"/>
      <c r="M8" s="595" t="s">
        <v>8</v>
      </c>
      <c r="N8" s="596" t="s">
        <v>37</v>
      </c>
      <c r="O8" s="597" t="s">
        <v>7</v>
      </c>
      <c r="P8" s="580"/>
      <c r="Q8" s="598" t="s">
        <v>38</v>
      </c>
      <c r="R8" s="580"/>
      <c r="S8" s="595" t="s">
        <v>39</v>
      </c>
      <c r="T8" s="596" t="s">
        <v>19</v>
      </c>
      <c r="U8" s="596" t="s">
        <v>20</v>
      </c>
      <c r="V8" s="596" t="s">
        <v>40</v>
      </c>
      <c r="W8" s="596" t="s">
        <v>41</v>
      </c>
      <c r="X8" s="599" t="s">
        <v>42</v>
      </c>
      <c r="Y8" s="597" t="s">
        <v>2875</v>
      </c>
      <c r="AA8" s="86" t="s">
        <v>43</v>
      </c>
      <c r="AB8" s="87" t="s">
        <v>44</v>
      </c>
      <c r="AC8" s="87" t="s">
        <v>45</v>
      </c>
      <c r="AD8" s="88"/>
    </row>
    <row r="9" spans="2:35" ht="12.75" customHeight="1">
      <c r="Y9" s="2160">
        <f>A54</f>
        <v>1</v>
      </c>
    </row>
    <row r="10" spans="2:35" ht="12.75" customHeight="1">
      <c r="B10" s="385" t="str">
        <f>'Comp.1'!B10</f>
        <v>Vertex Pharmaceuticals Incorporated</v>
      </c>
      <c r="D10" s="386">
        <f>'Beta Calc'!K10</f>
        <v>44574.8</v>
      </c>
      <c r="E10" s="386">
        <f>'Beta Calc'!L10</f>
        <v>592.70000000000005</v>
      </c>
      <c r="F10" s="386" t="str">
        <f>'Beta Calc'!M10</f>
        <v xml:space="preserve"> n/a </v>
      </c>
      <c r="G10" s="386">
        <f>'Beta Calc'!N10</f>
        <v>28.7</v>
      </c>
      <c r="H10" s="386">
        <f>SUM(E10:G10)</f>
        <v>621.40000000000009</v>
      </c>
      <c r="I10" s="386">
        <f>SUM(D10:G10)</f>
        <v>45196.2</v>
      </c>
      <c r="J10" s="386">
        <f>'Beta Calc'!Q10</f>
        <v>2767.8</v>
      </c>
      <c r="K10" s="386">
        <f>I10-J10</f>
        <v>42428.399999999994</v>
      </c>
      <c r="M10" s="54">
        <f>IFERROR('Capital IQ Sheet-GPC'!AT13,"n/a")</f>
        <v>0</v>
      </c>
      <c r="N10" s="386">
        <f t="shared" ref="N10:O29" si="0">N$6</f>
        <v>1.4191780821917808</v>
      </c>
      <c r="O10" s="206">
        <f t="shared" si="0"/>
        <v>2.5264109589041094E-2</v>
      </c>
      <c r="P10" s="207"/>
      <c r="Q10" s="208">
        <f>IFERROR(HLOOKUP($Q$6,'Equity Vol'!$B$8:$I10,ROWS('Equity Vol'!$C$8:$C10),FALSE),"n/a")</f>
        <v>0.30399999999999999</v>
      </c>
      <c r="R10" s="44"/>
      <c r="S10" s="209">
        <f>IFERROR(IF(Q10="n/a","n/a",Q10^2),"n/a")</f>
        <v>9.2415999999999998E-2</v>
      </c>
      <c r="T10" s="209">
        <f t="shared" ref="T10:T29" si="1">IF(OR(K10="n/a",S10="n/a"),"n/a",IF(H10=0,0,IF(M10=0,(LN(K10/H10)+((O10+(S10/2))*N10))/((S10*N10)^0.5),(LN(K10/H10)+((O10-M10+(S10/2))*N10))/((S10*N10)^0.5))))</f>
        <v>11.942550357181123</v>
      </c>
      <c r="U10" s="210">
        <f t="shared" ref="U10:U29" si="2">IF(T10="n/a","n/a",IF(H10=0,0,T10-(S10*N10)^0.5))</f>
        <v>11.58039740379839</v>
      </c>
      <c r="V10" s="210">
        <f t="shared" ref="V10:V29" si="3">IF(OR(T10="n/a",S10="n/a"),"n/a",IF(H10=0,0,NORMSDIST(T10)))</f>
        <v>1</v>
      </c>
      <c r="W10" s="210">
        <f t="shared" ref="W10:W29" si="4">IF(OR(U10="n/a",S10="n/a"),"n/a",IF(H10=0,0,NORMSDIST(U10)))</f>
        <v>1</v>
      </c>
      <c r="X10" s="91">
        <f t="shared" ref="X10:X29" si="5">IF(OR(K10="n/a",S10="n/a"),"n/a",IF(M10=0,(K10*V10)-((H10*EXP(1)^(-O10*N10))*W10),(K10*(2.718^(-M10*N10))*V10)-(H10*(2.718^(-O10*N10))*W10)))</f>
        <v>41828.885161054386</v>
      </c>
      <c r="Y10" s="208">
        <f>IFERROR(IF(LEN(B10)&gt;0,IF(H10=0,Q10,IF(ISERROR(Q10/((K10/X10)*V10)),"n/a",Q10/((K10/X10)*V10)))),"n/a")</f>
        <v>0.29970446891611596</v>
      </c>
      <c r="AA10" s="92" t="str">
        <f>IF('MASTER PubCo Inputs'!B28=0,"",'MASTER PubCo Inputs'!B28)</f>
        <v>NasdaqGS:VRTX</v>
      </c>
      <c r="AB10" s="386">
        <f>'Beta Calc'!Z10</f>
        <v>42428.4</v>
      </c>
      <c r="AC10" s="93">
        <f t="shared" ref="AC10:AC39" si="6">K10-AB10</f>
        <v>0</v>
      </c>
      <c r="AI10" s="94"/>
    </row>
    <row r="11" spans="2:35" ht="12.75" customHeight="1">
      <c r="B11" s="385" t="str">
        <f>'Comp.1'!B11</f>
        <v>FibroGen, Inc.</v>
      </c>
      <c r="D11" s="386">
        <f>'Beta Calc'!K11</f>
        <v>5153.3</v>
      </c>
      <c r="E11" s="386">
        <f>'Beta Calc'!L11</f>
        <v>115.4</v>
      </c>
      <c r="F11" s="386" t="str">
        <f>'Beta Calc'!M11</f>
        <v xml:space="preserve"> n/a </v>
      </c>
      <c r="G11" s="386">
        <f>'Beta Calc'!N11</f>
        <v>19.3</v>
      </c>
      <c r="H11" s="386">
        <f t="shared" ref="H11:H29" si="7">SUM(E11:G11)</f>
        <v>134.70000000000002</v>
      </c>
      <c r="I11" s="386">
        <f t="shared" ref="I11:I29" si="8">SUM(D11:G11)</f>
        <v>5288</v>
      </c>
      <c r="J11" s="386">
        <f>'Beta Calc'!Q11</f>
        <v>703.8</v>
      </c>
      <c r="K11" s="386">
        <f t="shared" ref="K11:K29" si="9">I11-J11</f>
        <v>4584.2</v>
      </c>
      <c r="M11" s="54">
        <f>IFERROR('Capital IQ Sheet-GPC'!AT14,"n/a")</f>
        <v>0</v>
      </c>
      <c r="N11" s="386">
        <f t="shared" si="0"/>
        <v>1.4191780821917808</v>
      </c>
      <c r="O11" s="206">
        <f t="shared" si="0"/>
        <v>2.5264109589041094E-2</v>
      </c>
      <c r="P11" s="207"/>
      <c r="Q11" s="208">
        <f>IFERROR(HLOOKUP($Q$6,'Equity Vol'!$B$8:$I11,ROWS('Equity Vol'!$C$8:$C11),FALSE),"n/a")</f>
        <v>0.60599999999999998</v>
      </c>
      <c r="R11" s="44"/>
      <c r="S11" s="209">
        <f t="shared" ref="S11:S29" si="10">IFERROR(IF(Q11="n/a","n/a",Q11^2),"n/a")</f>
        <v>0.36723600000000001</v>
      </c>
      <c r="T11" s="209">
        <f t="shared" si="1"/>
        <v>5.2966313756798193</v>
      </c>
      <c r="U11" s="210">
        <f t="shared" si="2"/>
        <v>4.5747080541339775</v>
      </c>
      <c r="V11" s="210">
        <f t="shared" si="3"/>
        <v>0.99999994102075962</v>
      </c>
      <c r="W11" s="210">
        <f t="shared" si="4"/>
        <v>0.99999761557749067</v>
      </c>
      <c r="X11" s="91">
        <f t="shared" si="5"/>
        <v>4454.2440549367138</v>
      </c>
      <c r="Y11" s="208">
        <f t="shared" ref="Y11:Y29" si="11">IFERROR(IF(LEN(B11)&gt;0,IF(H11=0,Q11,IF(ISERROR(Q11/((K11/X11)*V11)),"n/a",Q11/((K11/X11)*V11)))),"n/a")</f>
        <v>0.58882074440309407</v>
      </c>
      <c r="AA11" s="92" t="str">
        <f>IF('MASTER PubCo Inputs'!B29=0,"",'MASTER PubCo Inputs'!B29)</f>
        <v>NasdaqGS:FGEN</v>
      </c>
      <c r="AB11" s="386">
        <f>'Beta Calc'!Z11</f>
        <v>4584.3</v>
      </c>
      <c r="AC11" s="93">
        <f t="shared" si="6"/>
        <v>-0.1000000000003638</v>
      </c>
      <c r="AI11" s="94"/>
    </row>
    <row r="12" spans="2:35" ht="12.75" customHeight="1">
      <c r="B12" s="385" t="str">
        <f>'Comp.1'!B12</f>
        <v>Galapagos NV</v>
      </c>
      <c r="D12" s="386">
        <f>'Beta Calc'!K12</f>
        <v>5773</v>
      </c>
      <c r="E12" s="386" t="str">
        <f>'Beta Calc'!L12</f>
        <v xml:space="preserve"> -   </v>
      </c>
      <c r="F12" s="386" t="str">
        <f>'Beta Calc'!M12</f>
        <v xml:space="preserve"> n/a </v>
      </c>
      <c r="G12" s="386" t="str">
        <f>'Beta Calc'!N12</f>
        <v xml:space="preserve"> n/a </v>
      </c>
      <c r="H12" s="386">
        <f t="shared" si="7"/>
        <v>0</v>
      </c>
      <c r="I12" s="386">
        <f t="shared" si="8"/>
        <v>5773</v>
      </c>
      <c r="J12" s="386">
        <f>'Beta Calc'!Q12</f>
        <v>1365.3</v>
      </c>
      <c r="K12" s="386">
        <f t="shared" si="9"/>
        <v>4407.7</v>
      </c>
      <c r="M12" s="54">
        <f>IFERROR('Capital IQ Sheet-GPC'!AT15,"n/a")</f>
        <v>0</v>
      </c>
      <c r="N12" s="386">
        <f t="shared" si="0"/>
        <v>1.4191780821917808</v>
      </c>
      <c r="O12" s="206">
        <f t="shared" si="0"/>
        <v>2.5264109589041094E-2</v>
      </c>
      <c r="P12" s="207"/>
      <c r="Q12" s="208">
        <f>IFERROR(HLOOKUP($Q$6,'Equity Vol'!$B$8:$I12,ROWS('Equity Vol'!$C$8:$C12),FALSE),"n/a")</f>
        <v>0.30599999999999999</v>
      </c>
      <c r="R12" s="44"/>
      <c r="S12" s="209">
        <f t="shared" si="10"/>
        <v>9.3635999999999997E-2</v>
      </c>
      <c r="T12" s="209">
        <f t="shared" si="1"/>
        <v>0</v>
      </c>
      <c r="U12" s="210">
        <f t="shared" si="2"/>
        <v>0</v>
      </c>
      <c r="V12" s="210">
        <f t="shared" si="3"/>
        <v>0</v>
      </c>
      <c r="W12" s="210">
        <f t="shared" si="4"/>
        <v>0</v>
      </c>
      <c r="X12" s="91">
        <f t="shared" si="5"/>
        <v>0</v>
      </c>
      <c r="Y12" s="208">
        <f t="shared" si="11"/>
        <v>0.30599999999999999</v>
      </c>
      <c r="AA12" s="92" t="str">
        <f>IF('MASTER PubCo Inputs'!B30=0,"",'MASTER PubCo Inputs'!B30)</f>
        <v>ENXTAM:GLPG</v>
      </c>
      <c r="AB12" s="386">
        <f>'Beta Calc'!Z12</f>
        <v>4474.8999999999996</v>
      </c>
      <c r="AC12" s="93">
        <f t="shared" si="6"/>
        <v>-67.199999999999818</v>
      </c>
      <c r="AI12" s="94"/>
    </row>
    <row r="13" spans="2:35" ht="12.75" customHeight="1">
      <c r="B13" s="385" t="str">
        <f>'Comp.1'!B13</f>
        <v>Madrigal Pharmaceuticals, Inc.</v>
      </c>
      <c r="D13" s="386">
        <f>'Beta Calc'!K13</f>
        <v>3964.4</v>
      </c>
      <c r="E13" s="386" t="str">
        <f>'Beta Calc'!L13</f>
        <v xml:space="preserve"> -   </v>
      </c>
      <c r="F13" s="386" t="str">
        <f>'Beta Calc'!M13</f>
        <v xml:space="preserve"> n/a </v>
      </c>
      <c r="G13" s="386" t="str">
        <f>'Beta Calc'!N13</f>
        <v xml:space="preserve"> n/a </v>
      </c>
      <c r="H13" s="386">
        <f t="shared" si="7"/>
        <v>0</v>
      </c>
      <c r="I13" s="386">
        <f t="shared" si="8"/>
        <v>3964.4</v>
      </c>
      <c r="J13" s="386">
        <f>'Beta Calc'!Q13</f>
        <v>182.8</v>
      </c>
      <c r="K13" s="386">
        <f t="shared" si="9"/>
        <v>3781.6</v>
      </c>
      <c r="M13" s="54">
        <f>IFERROR('Capital IQ Sheet-GPC'!AT16,"n/a")</f>
        <v>0</v>
      </c>
      <c r="N13" s="386">
        <f t="shared" si="0"/>
        <v>1.4191780821917808</v>
      </c>
      <c r="O13" s="206">
        <f t="shared" si="0"/>
        <v>2.5264109589041094E-2</v>
      </c>
      <c r="P13" s="207"/>
      <c r="Q13" s="208">
        <f>IFERROR(HLOOKUP($Q$6,'Equity Vol'!$B$8:$I13,ROWS('Equity Vol'!$C$8:$C13),FALSE),"n/a")</f>
        <v>1.35</v>
      </c>
      <c r="R13" s="44"/>
      <c r="S13" s="209">
        <f t="shared" si="10"/>
        <v>1.8225000000000002</v>
      </c>
      <c r="T13" s="209">
        <f t="shared" si="1"/>
        <v>0</v>
      </c>
      <c r="U13" s="210">
        <f t="shared" si="2"/>
        <v>0</v>
      </c>
      <c r="V13" s="210">
        <f t="shared" si="3"/>
        <v>0</v>
      </c>
      <c r="W13" s="210">
        <f t="shared" si="4"/>
        <v>0</v>
      </c>
      <c r="X13" s="91">
        <f t="shared" si="5"/>
        <v>0</v>
      </c>
      <c r="Y13" s="208">
        <f t="shared" si="11"/>
        <v>1.35</v>
      </c>
      <c r="AA13" s="92" t="str">
        <f>IF('MASTER PubCo Inputs'!B31=0,"",'MASTER PubCo Inputs'!B31)</f>
        <v>NasdaqCM:MDGL</v>
      </c>
      <c r="AB13" s="386">
        <f>'Beta Calc'!Z13</f>
        <v>3781.5</v>
      </c>
      <c r="AC13" s="93">
        <f t="shared" si="6"/>
        <v>9.9999999999909051E-2</v>
      </c>
      <c r="AI13" s="94"/>
    </row>
    <row r="14" spans="2:35" ht="12.75" customHeight="1">
      <c r="B14" s="385" t="str">
        <f>'Comp.1'!B14</f>
        <v>Intercept Pharmaceuticals, Inc.</v>
      </c>
      <c r="D14" s="386">
        <f>'Beta Calc'!K14</f>
        <v>2630.5</v>
      </c>
      <c r="E14" s="386">
        <f>'Beta Calc'!L14</f>
        <v>359.4</v>
      </c>
      <c r="F14" s="386" t="str">
        <f>'Beta Calc'!M14</f>
        <v xml:space="preserve"> n/a </v>
      </c>
      <c r="G14" s="386" t="str">
        <f>'Beta Calc'!N14</f>
        <v xml:space="preserve"> n/a </v>
      </c>
      <c r="H14" s="386">
        <f t="shared" si="7"/>
        <v>359.4</v>
      </c>
      <c r="I14" s="386">
        <f t="shared" si="8"/>
        <v>2989.9</v>
      </c>
      <c r="J14" s="386">
        <f>'Beta Calc'!Q14</f>
        <v>326.10000000000002</v>
      </c>
      <c r="K14" s="386">
        <f t="shared" si="9"/>
        <v>2663.8</v>
      </c>
      <c r="M14" s="54">
        <f>IFERROR('Capital IQ Sheet-GPC'!AT17,"n/a")</f>
        <v>0</v>
      </c>
      <c r="N14" s="386">
        <f t="shared" si="0"/>
        <v>1.4191780821917808</v>
      </c>
      <c r="O14" s="206">
        <f t="shared" si="0"/>
        <v>2.5264109589041094E-2</v>
      </c>
      <c r="P14" s="207"/>
      <c r="Q14" s="208">
        <f>IFERROR(HLOOKUP($Q$6,'Equity Vol'!$B$8:$I14,ROWS('Equity Vol'!$C$8:$C14),FALSE),"n/a")</f>
        <v>0.626</v>
      </c>
      <c r="R14" s="44"/>
      <c r="S14" s="209">
        <f t="shared" si="10"/>
        <v>0.391876</v>
      </c>
      <c r="T14" s="209">
        <f t="shared" si="1"/>
        <v>3.1069403046796848</v>
      </c>
      <c r="U14" s="210">
        <f t="shared" si="2"/>
        <v>2.3611911309376108</v>
      </c>
      <c r="V14" s="210">
        <f t="shared" si="3"/>
        <v>0.99905482716591576</v>
      </c>
      <c r="W14" s="210">
        <f t="shared" si="4"/>
        <v>0.99089183033094974</v>
      </c>
      <c r="X14" s="91">
        <f t="shared" si="5"/>
        <v>2317.6981874961461</v>
      </c>
      <c r="Y14" s="208">
        <f t="shared" si="11"/>
        <v>0.54518045432172813</v>
      </c>
      <c r="AA14" s="92" t="str">
        <f>IF('MASTER PubCo Inputs'!B32=0,"",'MASTER PubCo Inputs'!B32)</f>
        <v>NasdaqGS:ICPT</v>
      </c>
      <c r="AB14" s="386">
        <f>'Beta Calc'!Z14</f>
        <v>2663.9</v>
      </c>
      <c r="AC14" s="93">
        <f t="shared" si="6"/>
        <v>-9.9999999999909051E-2</v>
      </c>
      <c r="AI14" s="94"/>
    </row>
    <row r="15" spans="2:35" ht="12.75" customHeight="1">
      <c r="B15" s="385" t="str">
        <f>'Comp.1'!B15</f>
        <v>Insmed Incorporated</v>
      </c>
      <c r="D15" s="386">
        <f>'Beta Calc'!K15</f>
        <v>1863.5</v>
      </c>
      <c r="E15" s="386">
        <f>'Beta Calc'!L15</f>
        <v>302.7</v>
      </c>
      <c r="F15" s="386" t="str">
        <f>'Beta Calc'!M15</f>
        <v xml:space="preserve"> n/a </v>
      </c>
      <c r="G15" s="386" t="str">
        <f>'Beta Calc'!N15</f>
        <v xml:space="preserve"> n/a </v>
      </c>
      <c r="H15" s="386">
        <f t="shared" si="7"/>
        <v>302.7</v>
      </c>
      <c r="I15" s="386">
        <f t="shared" si="8"/>
        <v>2166.1999999999998</v>
      </c>
      <c r="J15" s="386">
        <f>'Beta Calc'!Q15</f>
        <v>686.6</v>
      </c>
      <c r="K15" s="386">
        <f t="shared" si="9"/>
        <v>1479.6</v>
      </c>
      <c r="M15" s="54">
        <f>IFERROR('Capital IQ Sheet-GPC'!AT18,"n/a")</f>
        <v>0</v>
      </c>
      <c r="N15" s="386">
        <f t="shared" si="0"/>
        <v>1.4191780821917808</v>
      </c>
      <c r="O15" s="206">
        <f t="shared" si="0"/>
        <v>2.5264109589041094E-2</v>
      </c>
      <c r="P15" s="207"/>
      <c r="Q15" s="208">
        <f>IFERROR(HLOOKUP($Q$6,'Equity Vol'!$B$8:$I15,ROWS('Equity Vol'!$C$8:$C15),FALSE),"n/a")</f>
        <v>0.94599999999999995</v>
      </c>
      <c r="R15" s="44"/>
      <c r="S15" s="209">
        <f t="shared" si="10"/>
        <v>0.89491599999999993</v>
      </c>
      <c r="T15" s="209">
        <f t="shared" si="1"/>
        <v>2.0033151786676759</v>
      </c>
      <c r="U15" s="210">
        <f t="shared" si="2"/>
        <v>0.87635236978588349</v>
      </c>
      <c r="V15" s="210">
        <f t="shared" si="3"/>
        <v>0.97742826535245664</v>
      </c>
      <c r="W15" s="210">
        <f t="shared" si="4"/>
        <v>0.80958074839759731</v>
      </c>
      <c r="X15" s="91">
        <f t="shared" si="5"/>
        <v>1209.773569637114</v>
      </c>
      <c r="Y15" s="208">
        <f t="shared" si="11"/>
        <v>0.7913452720986629</v>
      </c>
      <c r="AA15" s="92" t="str">
        <f>IF('MASTER PubCo Inputs'!B33=0,"",'MASTER PubCo Inputs'!B33)</f>
        <v>NasdaqGS:INSM</v>
      </c>
      <c r="AB15" s="386">
        <f>'Beta Calc'!Z15</f>
        <v>1479.6</v>
      </c>
      <c r="AC15" s="93">
        <f t="shared" si="6"/>
        <v>0</v>
      </c>
      <c r="AI15" s="94"/>
    </row>
    <row r="16" spans="2:35" ht="12.75" customHeight="1">
      <c r="B16" s="385" t="str">
        <f>'Comp.1'!B16</f>
        <v>Genfit SA</v>
      </c>
      <c r="D16" s="386">
        <f>'Beta Calc'!K16</f>
        <v>882.5</v>
      </c>
      <c r="E16" s="386">
        <f>'Beta Calc'!L16</f>
        <v>196.6</v>
      </c>
      <c r="F16" s="386" t="str">
        <f>'Beta Calc'!M16</f>
        <v xml:space="preserve"> n/a </v>
      </c>
      <c r="G16" s="386" t="str">
        <f>'Beta Calc'!N16</f>
        <v xml:space="preserve"> n/a </v>
      </c>
      <c r="H16" s="386">
        <f t="shared" si="7"/>
        <v>196.6</v>
      </c>
      <c r="I16" s="386">
        <f t="shared" si="8"/>
        <v>1079.0999999999999</v>
      </c>
      <c r="J16" s="386">
        <f>'Beta Calc'!Q16</f>
        <v>328.8</v>
      </c>
      <c r="K16" s="386">
        <f t="shared" si="9"/>
        <v>750.3</v>
      </c>
      <c r="M16" s="54">
        <f>IFERROR('Capital IQ Sheet-GPC'!AT19,"n/a")</f>
        <v>0</v>
      </c>
      <c r="N16" s="386">
        <f t="shared" si="0"/>
        <v>1.4191780821917808</v>
      </c>
      <c r="O16" s="206">
        <f t="shared" si="0"/>
        <v>2.5264109589041094E-2</v>
      </c>
      <c r="P16" s="207"/>
      <c r="Q16" s="208">
        <f>IFERROR(HLOOKUP($Q$6,'Equity Vol'!$B$8:$I16,ROWS('Equity Vol'!$C$8:$C16),FALSE),"n/a")</f>
        <v>0.36099999999999999</v>
      </c>
      <c r="R16" s="44"/>
      <c r="S16" s="209">
        <f t="shared" si="10"/>
        <v>0.13032099999999999</v>
      </c>
      <c r="T16" s="209">
        <f t="shared" si="1"/>
        <v>3.412644831328993</v>
      </c>
      <c r="U16" s="210">
        <f t="shared" si="2"/>
        <v>2.9825881991869982</v>
      </c>
      <c r="V16" s="210">
        <f t="shared" si="3"/>
        <v>0.99967832134771417</v>
      </c>
      <c r="W16" s="210">
        <f t="shared" si="4"/>
        <v>0.99857088859588705</v>
      </c>
      <c r="X16" s="91">
        <f t="shared" si="5"/>
        <v>560.65379148509555</v>
      </c>
      <c r="Y16" s="208">
        <f t="shared" si="11"/>
        <v>0.26984025876949858</v>
      </c>
      <c r="AA16" s="92" t="str">
        <f>IF('MASTER PubCo Inputs'!B34=0,"",'MASTER PubCo Inputs'!B34)</f>
        <v>ENXTPA:GNFT</v>
      </c>
      <c r="AB16" s="386">
        <f>'Beta Calc'!Z16</f>
        <v>753.6</v>
      </c>
      <c r="AC16" s="93">
        <f t="shared" si="6"/>
        <v>-3.3000000000000682</v>
      </c>
      <c r="AI16" s="94"/>
    </row>
    <row r="17" spans="2:35" ht="12.75" customHeight="1">
      <c r="B17" s="385" t="str">
        <f>'Comp.1'!B17</f>
        <v>Kadmon Holdings, Inc.</v>
      </c>
      <c r="D17" s="386">
        <f>'Beta Calc'!K17</f>
        <v>365.5</v>
      </c>
      <c r="E17" s="386">
        <f>'Beta Calc'!L17</f>
        <v>33.1</v>
      </c>
      <c r="F17" s="386">
        <f>'Beta Calc'!M17</f>
        <v>40.700000000000003</v>
      </c>
      <c r="G17" s="386" t="str">
        <f>'Beta Calc'!N17</f>
        <v xml:space="preserve"> n/a </v>
      </c>
      <c r="H17" s="386">
        <f t="shared" si="7"/>
        <v>73.800000000000011</v>
      </c>
      <c r="I17" s="386">
        <f t="shared" si="8"/>
        <v>439.3</v>
      </c>
      <c r="J17" s="386">
        <f>'Beta Calc'!Q17</f>
        <v>49.2</v>
      </c>
      <c r="K17" s="386">
        <f t="shared" si="9"/>
        <v>390.1</v>
      </c>
      <c r="M17" s="54">
        <f>IFERROR('Capital IQ Sheet-GPC'!AT20,"n/a")</f>
        <v>0</v>
      </c>
      <c r="N17" s="386">
        <f t="shared" si="0"/>
        <v>1.4191780821917808</v>
      </c>
      <c r="O17" s="206">
        <f t="shared" si="0"/>
        <v>2.5264109589041094E-2</v>
      </c>
      <c r="P17" s="207"/>
      <c r="Q17" s="208">
        <f>IFERROR(HLOOKUP($Q$6,'Equity Vol'!$B$8:$I17,ROWS('Equity Vol'!$C$8:$C17),FALSE),"n/a")</f>
        <v>0.60399999999999998</v>
      </c>
      <c r="R17" s="44"/>
      <c r="S17" s="209">
        <f t="shared" si="10"/>
        <v>0.36481599999999997</v>
      </c>
      <c r="T17" s="209">
        <f t="shared" si="1"/>
        <v>2.7236374428549097</v>
      </c>
      <c r="U17" s="210">
        <f t="shared" si="2"/>
        <v>2.0040967065286912</v>
      </c>
      <c r="V17" s="210">
        <f t="shared" si="3"/>
        <v>0.99677163282470815</v>
      </c>
      <c r="W17" s="210">
        <f t="shared" si="4"/>
        <v>0.97747014892100392</v>
      </c>
      <c r="X17" s="91">
        <f t="shared" si="5"/>
        <v>319.24392908053937</v>
      </c>
      <c r="Y17" s="208">
        <f t="shared" si="11"/>
        <v>0.49589298607074606</v>
      </c>
      <c r="AA17" s="92" t="str">
        <f>IF('MASTER PubCo Inputs'!B35=0,"",'MASTER PubCo Inputs'!B35)</f>
        <v>NYSE:KDMN</v>
      </c>
      <c r="AB17" s="386">
        <f>'Beta Calc'!Z17</f>
        <v>390.1</v>
      </c>
      <c r="AC17" s="93">
        <f t="shared" si="6"/>
        <v>0</v>
      </c>
      <c r="AI17" s="94"/>
    </row>
    <row r="18" spans="2:35" ht="12.75" customHeight="1">
      <c r="B18" s="385" t="str">
        <f>'Comp.1'!B18</f>
        <v>MediciNova, Inc.</v>
      </c>
      <c r="D18" s="386">
        <f>'Beta Calc'!K18</f>
        <v>398.7</v>
      </c>
      <c r="E18" s="386" t="str">
        <f>'Beta Calc'!L18</f>
        <v xml:space="preserve"> -   </v>
      </c>
      <c r="F18" s="386" t="str">
        <f>'Beta Calc'!M18</f>
        <v xml:space="preserve"> n/a </v>
      </c>
      <c r="G18" s="386" t="str">
        <f>'Beta Calc'!N18</f>
        <v xml:space="preserve"> n/a </v>
      </c>
      <c r="H18" s="386">
        <f t="shared" si="7"/>
        <v>0</v>
      </c>
      <c r="I18" s="386">
        <f t="shared" si="8"/>
        <v>398.7</v>
      </c>
      <c r="J18" s="386">
        <f>'Beta Calc'!Q18</f>
        <v>64.2</v>
      </c>
      <c r="K18" s="386">
        <f t="shared" si="9"/>
        <v>334.5</v>
      </c>
      <c r="M18" s="54">
        <f>IFERROR('Capital IQ Sheet-GPC'!AT21,"n/a")</f>
        <v>0</v>
      </c>
      <c r="N18" s="386">
        <f t="shared" si="0"/>
        <v>1.4191780821917808</v>
      </c>
      <c r="O18" s="206">
        <f t="shared" si="0"/>
        <v>2.5264109589041094E-2</v>
      </c>
      <c r="P18" s="207"/>
      <c r="Q18" s="208">
        <f>IFERROR(HLOOKUP($Q$6,'Equity Vol'!$B$8:$I18,ROWS('Equity Vol'!$C$8:$C18),FALSE),"n/a")</f>
        <v>0.65900000000000003</v>
      </c>
      <c r="R18" s="44"/>
      <c r="S18" s="209">
        <f t="shared" si="10"/>
        <v>0.43428100000000003</v>
      </c>
      <c r="T18" s="209">
        <f t="shared" si="1"/>
        <v>0</v>
      </c>
      <c r="U18" s="210">
        <f t="shared" si="2"/>
        <v>0</v>
      </c>
      <c r="V18" s="210">
        <f t="shared" si="3"/>
        <v>0</v>
      </c>
      <c r="W18" s="210">
        <f t="shared" si="4"/>
        <v>0</v>
      </c>
      <c r="X18" s="91">
        <f t="shared" si="5"/>
        <v>0</v>
      </c>
      <c r="Y18" s="208">
        <f t="shared" si="11"/>
        <v>0.65900000000000003</v>
      </c>
      <c r="AA18" s="92" t="str">
        <f>IF('MASTER PubCo Inputs'!B36=0,"",'MASTER PubCo Inputs'!B36)</f>
        <v>NasdaqGM:MNOV</v>
      </c>
      <c r="AB18" s="386">
        <f>'Beta Calc'!Z18</f>
        <v>334.5</v>
      </c>
      <c r="AC18" s="93">
        <f t="shared" si="6"/>
        <v>0</v>
      </c>
      <c r="AI18" s="94"/>
    </row>
    <row r="19" spans="2:35" ht="12.75" customHeight="1">
      <c r="B19" s="385" t="str">
        <f>'Comp.1'!B19</f>
        <v>Savara Inc.</v>
      </c>
      <c r="D19" s="386">
        <f>'Beta Calc'!K19</f>
        <v>393.3</v>
      </c>
      <c r="E19" s="386">
        <f>'Beta Calc'!L19</f>
        <v>15.2</v>
      </c>
      <c r="F19" s="386" t="str">
        <f>'Beta Calc'!M19</f>
        <v xml:space="preserve"> n/a </v>
      </c>
      <c r="G19" s="386" t="str">
        <f>'Beta Calc'!N19</f>
        <v xml:space="preserve"> n/a </v>
      </c>
      <c r="H19" s="386">
        <f t="shared" si="7"/>
        <v>15.2</v>
      </c>
      <c r="I19" s="386">
        <f t="shared" si="8"/>
        <v>408.5</v>
      </c>
      <c r="J19" s="386">
        <f>'Beta Calc'!Q19</f>
        <v>85.2</v>
      </c>
      <c r="K19" s="386">
        <f t="shared" si="9"/>
        <v>323.3</v>
      </c>
      <c r="M19" s="54">
        <f>IFERROR('Capital IQ Sheet-GPC'!AT22,"n/a")</f>
        <v>0</v>
      </c>
      <c r="N19" s="386">
        <f t="shared" si="0"/>
        <v>1.4191780821917808</v>
      </c>
      <c r="O19" s="206">
        <f t="shared" si="0"/>
        <v>2.5264109589041094E-2</v>
      </c>
      <c r="P19" s="207"/>
      <c r="Q19" s="208">
        <f>IFERROR(HLOOKUP($Q$6,'Equity Vol'!$B$8:$I19,ROWS('Equity Vol'!$C$8:$C19),FALSE),"n/a")</f>
        <v>0.59</v>
      </c>
      <c r="R19" s="44"/>
      <c r="S19" s="209">
        <f t="shared" si="10"/>
        <v>0.34809999999999997</v>
      </c>
      <c r="T19" s="209">
        <f t="shared" si="1"/>
        <v>4.7522051729522792</v>
      </c>
      <c r="U19" s="210">
        <f t="shared" si="2"/>
        <v>4.0493425331634239</v>
      </c>
      <c r="V19" s="210">
        <f t="shared" si="3"/>
        <v>0.99999899394979785</v>
      </c>
      <c r="W19" s="210">
        <f t="shared" si="4"/>
        <v>0.99997431913840062</v>
      </c>
      <c r="X19" s="91">
        <f t="shared" si="5"/>
        <v>308.63538196653542</v>
      </c>
      <c r="Y19" s="208">
        <f t="shared" si="11"/>
        <v>0.56323865931650585</v>
      </c>
      <c r="AA19" s="92" t="str">
        <f>IF('MASTER PubCo Inputs'!B37=0,"",'MASTER PubCo Inputs'!B37)</f>
        <v>NasdaqGS:SVRA</v>
      </c>
      <c r="AB19" s="386">
        <f>'Beta Calc'!Z19</f>
        <v>323.39999999999998</v>
      </c>
      <c r="AC19" s="93">
        <f t="shared" si="6"/>
        <v>-9.9999999999965894E-2</v>
      </c>
      <c r="AI19" s="94"/>
    </row>
    <row r="20" spans="2:35" ht="12.75" customHeight="1">
      <c r="B20" s="385" t="str">
        <f>'Comp.1'!B20</f>
        <v>Galmed Pharmaceuticals Ltd.</v>
      </c>
      <c r="D20" s="386">
        <f>'Beta Calc'!K20</f>
        <v>289.7</v>
      </c>
      <c r="E20" s="386" t="str">
        <f>'Beta Calc'!L20</f>
        <v xml:space="preserve"> -   </v>
      </c>
      <c r="F20" s="386" t="str">
        <f>'Beta Calc'!M20</f>
        <v xml:space="preserve"> n/a </v>
      </c>
      <c r="G20" s="386" t="str">
        <f>'Beta Calc'!N20</f>
        <v xml:space="preserve"> n/a </v>
      </c>
      <c r="H20" s="386">
        <f t="shared" si="7"/>
        <v>0</v>
      </c>
      <c r="I20" s="386">
        <f t="shared" si="8"/>
        <v>289.7</v>
      </c>
      <c r="J20" s="386">
        <f>'Beta Calc'!Q20</f>
        <v>15.5</v>
      </c>
      <c r="K20" s="386">
        <f t="shared" si="9"/>
        <v>274.2</v>
      </c>
      <c r="M20" s="54">
        <f>IFERROR('Capital IQ Sheet-GPC'!AT23,"n/a")</f>
        <v>0</v>
      </c>
      <c r="N20" s="386">
        <f t="shared" si="0"/>
        <v>1.4191780821917808</v>
      </c>
      <c r="O20" s="206">
        <f t="shared" si="0"/>
        <v>2.5264109589041094E-2</v>
      </c>
      <c r="P20" s="207"/>
      <c r="Q20" s="208">
        <f>IFERROR(HLOOKUP($Q$6,'Equity Vol'!$B$8:$I20,ROWS('Equity Vol'!$C$8:$C20),FALSE),"n/a")</f>
        <v>1.2969999999999999</v>
      </c>
      <c r="R20" s="44"/>
      <c r="S20" s="209">
        <f t="shared" si="10"/>
        <v>1.6822089999999998</v>
      </c>
      <c r="T20" s="209">
        <f t="shared" si="1"/>
        <v>0</v>
      </c>
      <c r="U20" s="210">
        <f t="shared" si="2"/>
        <v>0</v>
      </c>
      <c r="V20" s="210">
        <f t="shared" si="3"/>
        <v>0</v>
      </c>
      <c r="W20" s="210">
        <f t="shared" si="4"/>
        <v>0</v>
      </c>
      <c r="X20" s="91">
        <f t="shared" si="5"/>
        <v>0</v>
      </c>
      <c r="Y20" s="208">
        <f t="shared" si="11"/>
        <v>1.2969999999999999</v>
      </c>
      <c r="AA20" s="92" t="str">
        <f>IF('MASTER PubCo Inputs'!B38=0,"",'MASTER PubCo Inputs'!B38)</f>
        <v>NasdaqCM:GLMD</v>
      </c>
      <c r="AB20" s="386">
        <f>'Beta Calc'!Z20</f>
        <v>274.2</v>
      </c>
      <c r="AC20" s="93">
        <f t="shared" si="6"/>
        <v>0</v>
      </c>
      <c r="AI20" s="94"/>
    </row>
    <row r="21" spans="2:35" ht="12.75" customHeight="1">
      <c r="B21" s="385" t="str">
        <f>'Comp.1'!B21</f>
        <v>Galectin Therapeutics, Inc.</v>
      </c>
      <c r="D21" s="386">
        <f>'Beta Calc'!K21</f>
        <v>202.3</v>
      </c>
      <c r="E21" s="386" t="str">
        <f>'Beta Calc'!L21</f>
        <v xml:space="preserve"> -   </v>
      </c>
      <c r="F21" s="386">
        <f>'Beta Calc'!M21</f>
        <v>9</v>
      </c>
      <c r="G21" s="386" t="str">
        <f>'Beta Calc'!N21</f>
        <v xml:space="preserve"> n/a </v>
      </c>
      <c r="H21" s="386">
        <f t="shared" si="7"/>
        <v>9</v>
      </c>
      <c r="I21" s="386">
        <f t="shared" si="8"/>
        <v>211.3</v>
      </c>
      <c r="J21" s="386">
        <f>'Beta Calc'!Q21</f>
        <v>4</v>
      </c>
      <c r="K21" s="386">
        <f t="shared" si="9"/>
        <v>207.3</v>
      </c>
      <c r="M21" s="54">
        <f>IFERROR('Capital IQ Sheet-GPC'!AT24,"n/a")</f>
        <v>0</v>
      </c>
      <c r="N21" s="386">
        <f t="shared" si="0"/>
        <v>1.4191780821917808</v>
      </c>
      <c r="O21" s="206">
        <f t="shared" si="0"/>
        <v>2.5264109589041094E-2</v>
      </c>
      <c r="P21" s="207"/>
      <c r="Q21" s="208">
        <f>IFERROR(HLOOKUP($Q$6,'Equity Vol'!$B$8:$I21,ROWS('Equity Vol'!$C$8:$C21),FALSE),"n/a")</f>
        <v>1.1259999999999999</v>
      </c>
      <c r="R21" s="44"/>
      <c r="S21" s="209">
        <f t="shared" si="10"/>
        <v>1.2678759999999998</v>
      </c>
      <c r="T21" s="209">
        <f t="shared" si="1"/>
        <v>3.0359932567193981</v>
      </c>
      <c r="U21" s="210">
        <f t="shared" si="2"/>
        <v>1.694597778071514</v>
      </c>
      <c r="V21" s="210">
        <f t="shared" si="3"/>
        <v>0.99880127636953198</v>
      </c>
      <c r="W21" s="210">
        <f t="shared" si="4"/>
        <v>0.95492412556406525</v>
      </c>
      <c r="X21" s="91">
        <f t="shared" si="5"/>
        <v>198.75987174607835</v>
      </c>
      <c r="Y21" s="208">
        <f t="shared" si="11"/>
        <v>1.0809079413730358</v>
      </c>
      <c r="AA21" s="92" t="str">
        <f>IF('MASTER PubCo Inputs'!B39=0,"",'MASTER PubCo Inputs'!B39)</f>
        <v>NasdaqCM:GALT</v>
      </c>
      <c r="AB21" s="386">
        <f>'Beta Calc'!Z21</f>
        <v>207.3</v>
      </c>
      <c r="AC21" s="93">
        <f t="shared" si="6"/>
        <v>0</v>
      </c>
      <c r="AI21" s="94"/>
    </row>
    <row r="22" spans="2:35" ht="12.75" customHeight="1">
      <c r="B22" s="385" t="str">
        <f>'Comp.1'!B22</f>
        <v>Corbus Pharmaceuticals Holdings, Inc.</v>
      </c>
      <c r="D22" s="386">
        <f>'Beta Calc'!K22</f>
        <v>274.3</v>
      </c>
      <c r="E22" s="386">
        <f>'Beta Calc'!L22</f>
        <v>0.2</v>
      </c>
      <c r="F22" s="386" t="str">
        <f>'Beta Calc'!M22</f>
        <v xml:space="preserve"> n/a </v>
      </c>
      <c r="G22" s="386" t="str">
        <f>'Beta Calc'!N22</f>
        <v xml:space="preserve"> n/a </v>
      </c>
      <c r="H22" s="386">
        <f t="shared" si="7"/>
        <v>0.2</v>
      </c>
      <c r="I22" s="386">
        <f t="shared" si="8"/>
        <v>274.5</v>
      </c>
      <c r="J22" s="386">
        <f>'Beta Calc'!Q22</f>
        <v>71</v>
      </c>
      <c r="K22" s="386">
        <f t="shared" si="9"/>
        <v>203.5</v>
      </c>
      <c r="M22" s="54">
        <f>IFERROR('Capital IQ Sheet-GPC'!AT25,"n/a")</f>
        <v>0</v>
      </c>
      <c r="N22" s="386">
        <f t="shared" si="0"/>
        <v>1.4191780821917808</v>
      </c>
      <c r="O22" s="206">
        <f t="shared" si="0"/>
        <v>2.5264109589041094E-2</v>
      </c>
      <c r="P22" s="207"/>
      <c r="Q22" s="208">
        <f>IFERROR(HLOOKUP($Q$6,'Equity Vol'!$B$8:$I22,ROWS('Equity Vol'!$C$8:$C22),FALSE),"n/a")</f>
        <v>0.56799999999999995</v>
      </c>
      <c r="R22" s="44"/>
      <c r="S22" s="209">
        <f t="shared" si="10"/>
        <v>0.32262399999999997</v>
      </c>
      <c r="T22" s="209">
        <f t="shared" si="1"/>
        <v>10.625646922004574</v>
      </c>
      <c r="U22" s="210">
        <f t="shared" si="2"/>
        <v>9.9489927196315744</v>
      </c>
      <c r="V22" s="210">
        <f t="shared" si="3"/>
        <v>1</v>
      </c>
      <c r="W22" s="210">
        <f t="shared" si="4"/>
        <v>1</v>
      </c>
      <c r="X22" s="91">
        <f t="shared" si="5"/>
        <v>203.30704382396343</v>
      </c>
      <c r="Y22" s="208">
        <f t="shared" si="11"/>
        <v>0.56746142944477262</v>
      </c>
      <c r="AA22" s="92" t="str">
        <f>IF('MASTER PubCo Inputs'!B40=0,"",'MASTER PubCo Inputs'!B40)</f>
        <v>NasdaqGM:CRBP</v>
      </c>
      <c r="AB22" s="386">
        <f>'Beta Calc'!Z22</f>
        <v>203.5</v>
      </c>
      <c r="AC22" s="93">
        <f t="shared" si="6"/>
        <v>0</v>
      </c>
      <c r="AI22" s="94"/>
    </row>
    <row r="23" spans="2:35" ht="12.75" customHeight="1">
      <c r="B23" s="385" t="str">
        <f>'Comp.1'!B23</f>
        <v>ProQR Therapeutics N.V.</v>
      </c>
      <c r="D23" s="386">
        <f>'Beta Calc'!K23</f>
        <v>212.3</v>
      </c>
      <c r="E23" s="386">
        <f>'Beta Calc'!L23</f>
        <v>8.6999999999999993</v>
      </c>
      <c r="F23" s="386" t="str">
        <f>'Beta Calc'!M23</f>
        <v xml:space="preserve"> n/a </v>
      </c>
      <c r="G23" s="386">
        <f>'Beta Calc'!N23</f>
        <v>0</v>
      </c>
      <c r="H23" s="386">
        <f t="shared" si="7"/>
        <v>8.6999999999999993</v>
      </c>
      <c r="I23" s="386">
        <f t="shared" si="8"/>
        <v>221</v>
      </c>
      <c r="J23" s="386">
        <f>'Beta Calc'!Q23</f>
        <v>57.8</v>
      </c>
      <c r="K23" s="386">
        <f t="shared" si="9"/>
        <v>163.19999999999999</v>
      </c>
      <c r="M23" s="54">
        <f>IFERROR('Capital IQ Sheet-GPC'!AT26,"n/a")</f>
        <v>0</v>
      </c>
      <c r="N23" s="386">
        <f t="shared" si="0"/>
        <v>1.4191780821917808</v>
      </c>
      <c r="O23" s="206">
        <f t="shared" si="0"/>
        <v>2.5264109589041094E-2</v>
      </c>
      <c r="P23" s="207"/>
      <c r="Q23" s="208">
        <f>IFERROR(HLOOKUP($Q$6,'Equity Vol'!$B$8:$I23,ROWS('Equity Vol'!$C$8:$C23),FALSE),"n/a")</f>
        <v>0.63100000000000001</v>
      </c>
      <c r="R23" s="44"/>
      <c r="S23" s="209">
        <f t="shared" si="10"/>
        <v>0.39816099999999999</v>
      </c>
      <c r="T23" s="209">
        <f t="shared" si="1"/>
        <v>4.3235519471821631</v>
      </c>
      <c r="U23" s="210">
        <f t="shared" si="2"/>
        <v>3.571846310391031</v>
      </c>
      <c r="V23" s="210">
        <f t="shared" si="3"/>
        <v>0.99999232315178488</v>
      </c>
      <c r="W23" s="210">
        <f t="shared" si="4"/>
        <v>0.99982276328972519</v>
      </c>
      <c r="X23" s="91">
        <f t="shared" si="5"/>
        <v>154.80664113370796</v>
      </c>
      <c r="Y23" s="208">
        <f t="shared" si="11"/>
        <v>0.59855233124153373</v>
      </c>
      <c r="AA23" s="92" t="str">
        <f>IF('MASTER PubCo Inputs'!B41=0,"",'MASTER PubCo Inputs'!B41)</f>
        <v>NasdaqGM:PRQR</v>
      </c>
      <c r="AB23" s="386">
        <f>'Beta Calc'!Z23</f>
        <v>174.9</v>
      </c>
      <c r="AC23" s="93">
        <f t="shared" si="6"/>
        <v>-11.700000000000017</v>
      </c>
      <c r="AI23" s="94"/>
    </row>
    <row r="24" spans="2:35" ht="12.75" customHeight="1">
      <c r="B24" s="385" t="str">
        <f>'Comp.1'!B24</f>
        <v>Miragen Therapeutics, Inc.</v>
      </c>
      <c r="D24" s="386">
        <f>'Beta Calc'!K24</f>
        <v>194.7</v>
      </c>
      <c r="E24" s="386">
        <f>'Beta Calc'!L24</f>
        <v>10</v>
      </c>
      <c r="F24" s="386" t="str">
        <f>'Beta Calc'!M24</f>
        <v xml:space="preserve"> n/a </v>
      </c>
      <c r="G24" s="386" t="str">
        <f>'Beta Calc'!N24</f>
        <v xml:space="preserve"> n/a </v>
      </c>
      <c r="H24" s="386">
        <f t="shared" si="7"/>
        <v>10</v>
      </c>
      <c r="I24" s="386">
        <f t="shared" si="8"/>
        <v>204.7</v>
      </c>
      <c r="J24" s="386">
        <f>'Beta Calc'!Q24</f>
        <v>78.099999999999994</v>
      </c>
      <c r="K24" s="386">
        <f t="shared" si="9"/>
        <v>126.6</v>
      </c>
      <c r="M24" s="54">
        <f>IFERROR('Capital IQ Sheet-GPC'!AT27,"n/a")</f>
        <v>0</v>
      </c>
      <c r="N24" s="386">
        <f t="shared" si="0"/>
        <v>1.4191780821917808</v>
      </c>
      <c r="O24" s="206">
        <f t="shared" si="0"/>
        <v>2.5264109589041094E-2</v>
      </c>
      <c r="P24" s="207"/>
      <c r="Q24" s="208">
        <f>IFERROR(HLOOKUP($Q$6,'Equity Vol'!$B$8:$I24,ROWS('Equity Vol'!$C$8:$C24),FALSE),"n/a")</f>
        <v>0.64500000000000002</v>
      </c>
      <c r="R24" s="44"/>
      <c r="S24" s="209">
        <f t="shared" si="10"/>
        <v>0.41602500000000003</v>
      </c>
      <c r="T24" s="209">
        <f t="shared" si="1"/>
        <v>3.7344732113245436</v>
      </c>
      <c r="U24" s="210">
        <f t="shared" si="2"/>
        <v>2.9660894779960487</v>
      </c>
      <c r="V24" s="210">
        <f t="shared" si="3"/>
        <v>0.99990594574417802</v>
      </c>
      <c r="W24" s="210">
        <f t="shared" si="4"/>
        <v>0.99849193637655087</v>
      </c>
      <c r="X24" s="91">
        <f t="shared" si="5"/>
        <v>116.95483343888468</v>
      </c>
      <c r="Y24" s="208">
        <f t="shared" si="11"/>
        <v>0.59591598183136485</v>
      </c>
      <c r="AA24" s="92" t="str">
        <f>IF('MASTER PubCo Inputs'!B42=0,"",'MASTER PubCo Inputs'!B42)</f>
        <v>NasdaqCM:MGEN</v>
      </c>
      <c r="AB24" s="386">
        <f>'Beta Calc'!Z24</f>
        <v>126.7</v>
      </c>
      <c r="AC24" s="93">
        <f t="shared" si="6"/>
        <v>-0.10000000000000853</v>
      </c>
      <c r="AI24" s="94"/>
    </row>
    <row r="25" spans="2:35" ht="12.75" customHeight="1">
      <c r="B25" s="385" t="str">
        <f>'Comp.1'!B25</f>
        <v>Conatus Pharmaceuticals Inc.</v>
      </c>
      <c r="D25" s="386">
        <f>'Beta Calc'!K25</f>
        <v>115.7</v>
      </c>
      <c r="E25" s="386">
        <f>'Beta Calc'!L25</f>
        <v>13.3</v>
      </c>
      <c r="F25" s="386" t="str">
        <f>'Beta Calc'!M25</f>
        <v xml:space="preserve"> n/a </v>
      </c>
      <c r="G25" s="386" t="str">
        <f>'Beta Calc'!N25</f>
        <v xml:space="preserve"> n/a </v>
      </c>
      <c r="H25" s="386">
        <f t="shared" si="7"/>
        <v>13.3</v>
      </c>
      <c r="I25" s="386">
        <f t="shared" si="8"/>
        <v>129</v>
      </c>
      <c r="J25" s="386">
        <f>'Beta Calc'!Q25</f>
        <v>66.8</v>
      </c>
      <c r="K25" s="386">
        <f t="shared" si="9"/>
        <v>62.2</v>
      </c>
      <c r="M25" s="54">
        <f>IFERROR('Capital IQ Sheet-GPC'!AT28,"n/a")</f>
        <v>0</v>
      </c>
      <c r="N25" s="386">
        <f t="shared" si="0"/>
        <v>1.4191780821917808</v>
      </c>
      <c r="O25" s="206">
        <f t="shared" si="0"/>
        <v>2.5264109589041094E-2</v>
      </c>
      <c r="P25" s="207"/>
      <c r="Q25" s="208">
        <f>IFERROR(HLOOKUP($Q$6,'Equity Vol'!$B$8:$I25,ROWS('Equity Vol'!$C$8:$C25),FALSE),"n/a")</f>
        <v>0.70399999999999996</v>
      </c>
      <c r="R25" s="44"/>
      <c r="S25" s="209">
        <f t="shared" si="10"/>
        <v>0.49561599999999995</v>
      </c>
      <c r="T25" s="209">
        <f t="shared" si="1"/>
        <v>2.3014164373363819</v>
      </c>
      <c r="U25" s="210">
        <f t="shared" si="2"/>
        <v>1.4627464400290013</v>
      </c>
      <c r="V25" s="210">
        <f t="shared" si="3"/>
        <v>0.98931594815249824</v>
      </c>
      <c r="W25" s="210">
        <f t="shared" si="4"/>
        <v>0.92823161319322722</v>
      </c>
      <c r="X25" s="91">
        <f t="shared" si="5"/>
        <v>49.62476847497723</v>
      </c>
      <c r="Y25" s="208">
        <f t="shared" si="11"/>
        <v>0.56773511666947485</v>
      </c>
      <c r="AA25" s="92" t="str">
        <f>IF('MASTER PubCo Inputs'!B43=0,"",'MASTER PubCo Inputs'!B43)</f>
        <v>NasdaqGM:CNAT</v>
      </c>
      <c r="AB25" s="386">
        <f>'Beta Calc'!Z25</f>
        <v>62.3</v>
      </c>
      <c r="AC25" s="93">
        <f t="shared" si="6"/>
        <v>-9.9999999999994316E-2</v>
      </c>
      <c r="AI25" s="94"/>
    </row>
    <row r="26" spans="2:35" ht="12.75" customHeight="1">
      <c r="B26" s="385" t="str">
        <f>'Comp.1'!B26</f>
        <v>Immuron Limited</v>
      </c>
      <c r="D26" s="386">
        <f>'Beta Calc'!K26</f>
        <v>39.700000000000003</v>
      </c>
      <c r="E26" s="386">
        <f>'Beta Calc'!L26</f>
        <v>0</v>
      </c>
      <c r="F26" s="386" t="str">
        <f>'Beta Calc'!M26</f>
        <v xml:space="preserve"> n/a </v>
      </c>
      <c r="G26" s="386" t="str">
        <f>'Beta Calc'!N26</f>
        <v xml:space="preserve"> n/a </v>
      </c>
      <c r="H26" s="386">
        <f t="shared" si="7"/>
        <v>0</v>
      </c>
      <c r="I26" s="386">
        <f t="shared" si="8"/>
        <v>39.700000000000003</v>
      </c>
      <c r="J26" s="386">
        <f>'Beta Calc'!Q26</f>
        <v>0.5</v>
      </c>
      <c r="K26" s="386">
        <f t="shared" si="9"/>
        <v>39.200000000000003</v>
      </c>
      <c r="M26" s="54">
        <f>IFERROR('Capital IQ Sheet-GPC'!AT29,"n/a")</f>
        <v>0</v>
      </c>
      <c r="N26" s="386">
        <f t="shared" si="0"/>
        <v>1.4191780821917808</v>
      </c>
      <c r="O26" s="206">
        <f t="shared" si="0"/>
        <v>2.5264109589041094E-2</v>
      </c>
      <c r="P26" s="207"/>
      <c r="Q26" s="208">
        <f>IFERROR(HLOOKUP($Q$6,'Equity Vol'!$B$8:$I26,ROWS('Equity Vol'!$C$8:$C26),FALSE),"n/a")</f>
        <v>0.89</v>
      </c>
      <c r="R26" s="44"/>
      <c r="S26" s="209">
        <f t="shared" si="10"/>
        <v>0.79210000000000003</v>
      </c>
      <c r="T26" s="209">
        <f t="shared" si="1"/>
        <v>0</v>
      </c>
      <c r="U26" s="210">
        <f t="shared" si="2"/>
        <v>0</v>
      </c>
      <c r="V26" s="210">
        <f t="shared" si="3"/>
        <v>0</v>
      </c>
      <c r="W26" s="210">
        <f t="shared" si="4"/>
        <v>0</v>
      </c>
      <c r="X26" s="91">
        <f t="shared" si="5"/>
        <v>0</v>
      </c>
      <c r="Y26" s="208">
        <f t="shared" si="11"/>
        <v>0.89</v>
      </c>
      <c r="AA26" s="92" t="str">
        <f>IF('MASTER PubCo Inputs'!B44=0,"",'MASTER PubCo Inputs'!B44)</f>
        <v>ASX:IMC</v>
      </c>
      <c r="AB26" s="386">
        <f>'Beta Calc'!Z26</f>
        <v>39.299999999999997</v>
      </c>
      <c r="AC26" s="93">
        <f t="shared" si="6"/>
        <v>-9.9999999999994316E-2</v>
      </c>
      <c r="AI26" s="94"/>
    </row>
    <row r="27" spans="2:35" ht="12.75" customHeight="1">
      <c r="B27" s="385" t="str">
        <f>'Comp.1'!B27</f>
        <v>AdAlta Limited</v>
      </c>
      <c r="D27" s="386">
        <f>'Beta Calc'!K27</f>
        <v>25.2</v>
      </c>
      <c r="E27" s="386" t="str">
        <f>'Beta Calc'!L27</f>
        <v xml:space="preserve"> -   </v>
      </c>
      <c r="F27" s="386" t="str">
        <f>'Beta Calc'!M27</f>
        <v xml:space="preserve"> n/a </v>
      </c>
      <c r="G27" s="386" t="str">
        <f>'Beta Calc'!N27</f>
        <v xml:space="preserve"> n/a </v>
      </c>
      <c r="H27" s="386">
        <f t="shared" si="7"/>
        <v>0</v>
      </c>
      <c r="I27" s="386">
        <f t="shared" si="8"/>
        <v>25.2</v>
      </c>
      <c r="J27" s="386">
        <f>'Beta Calc'!Q27</f>
        <v>4.0999999999999996</v>
      </c>
      <c r="K27" s="386">
        <f t="shared" si="9"/>
        <v>21.1</v>
      </c>
      <c r="M27" s="54">
        <f>IFERROR('Capital IQ Sheet-GPC'!AT30,"n/a")</f>
        <v>0</v>
      </c>
      <c r="N27" s="386">
        <f t="shared" si="0"/>
        <v>1.4191780821917808</v>
      </c>
      <c r="O27" s="206">
        <f t="shared" si="0"/>
        <v>2.5264109589041094E-2</v>
      </c>
      <c r="P27" s="207"/>
      <c r="Q27" s="208">
        <f>IFERROR(HLOOKUP($Q$6,'Equity Vol'!$B$8:$I27,ROWS('Equity Vol'!$C$8:$C27),FALSE),"n/a")</f>
        <v>0.64400000000000002</v>
      </c>
      <c r="R27" s="44"/>
      <c r="S27" s="209">
        <f t="shared" si="10"/>
        <v>0.41473600000000005</v>
      </c>
      <c r="T27" s="209">
        <f t="shared" si="1"/>
        <v>0</v>
      </c>
      <c r="U27" s="210">
        <f t="shared" si="2"/>
        <v>0</v>
      </c>
      <c r="V27" s="210">
        <f t="shared" si="3"/>
        <v>0</v>
      </c>
      <c r="W27" s="210">
        <f t="shared" si="4"/>
        <v>0</v>
      </c>
      <c r="X27" s="91">
        <f t="shared" si="5"/>
        <v>0</v>
      </c>
      <c r="Y27" s="208">
        <f t="shared" si="11"/>
        <v>0.64400000000000002</v>
      </c>
      <c r="AA27" s="92" t="str">
        <f>IF('MASTER PubCo Inputs'!B45=0,"",'MASTER PubCo Inputs'!B45)</f>
        <v>ASX:1AD</v>
      </c>
      <c r="AB27" s="386">
        <f>'Beta Calc'!Z27</f>
        <v>21.3</v>
      </c>
      <c r="AC27" s="93">
        <f t="shared" si="6"/>
        <v>-0.19999999999999929</v>
      </c>
      <c r="AI27" s="94"/>
    </row>
    <row r="28" spans="2:35" ht="12.75" customHeight="1">
      <c r="B28" s="385" t="str">
        <f>'Comp.1'!B28</f>
        <v>Pulmatrix, Inc.</v>
      </c>
      <c r="D28" s="386">
        <f>'Beta Calc'!K28</f>
        <v>19.3</v>
      </c>
      <c r="E28" s="386">
        <f>'Beta Calc'!L28</f>
        <v>2.5</v>
      </c>
      <c r="F28" s="386" t="str">
        <f>'Beta Calc'!M28</f>
        <v xml:space="preserve"> n/a </v>
      </c>
      <c r="G28" s="386" t="str">
        <f>'Beta Calc'!N28</f>
        <v xml:space="preserve"> n/a </v>
      </c>
      <c r="H28" s="386">
        <f t="shared" si="7"/>
        <v>2.5</v>
      </c>
      <c r="I28" s="386">
        <f t="shared" si="8"/>
        <v>21.8</v>
      </c>
      <c r="J28" s="386">
        <f>'Beta Calc'!Q28</f>
        <v>1.6</v>
      </c>
      <c r="K28" s="386">
        <f t="shared" si="9"/>
        <v>20.2</v>
      </c>
      <c r="M28" s="54">
        <f>IFERROR('Capital IQ Sheet-GPC'!AT31,"n/a")</f>
        <v>0</v>
      </c>
      <c r="N28" s="386">
        <f t="shared" si="0"/>
        <v>1.4191780821917808</v>
      </c>
      <c r="O28" s="206">
        <f t="shared" si="0"/>
        <v>2.5264109589041094E-2</v>
      </c>
      <c r="P28" s="207"/>
      <c r="Q28" s="208">
        <f>IFERROR(HLOOKUP($Q$6,'Equity Vol'!$B$8:$I28,ROWS('Equity Vol'!$C$8:$C28),FALSE),"n/a")</f>
        <v>0.88200000000000001</v>
      </c>
      <c r="R28" s="44"/>
      <c r="S28" s="209">
        <f t="shared" si="10"/>
        <v>0.77792400000000006</v>
      </c>
      <c r="T28" s="209">
        <f t="shared" si="1"/>
        <v>2.5480168644056977</v>
      </c>
      <c r="U28" s="210">
        <f t="shared" si="2"/>
        <v>1.4972967825518488</v>
      </c>
      <c r="V28" s="210">
        <f t="shared" si="3"/>
        <v>0.99458313831663192</v>
      </c>
      <c r="W28" s="210">
        <f t="shared" si="4"/>
        <v>0.93284197414785608</v>
      </c>
      <c r="X28" s="91">
        <f t="shared" si="5"/>
        <v>17.840609141771324</v>
      </c>
      <c r="Y28" s="208">
        <f t="shared" si="11"/>
        <v>0.78322366689657597</v>
      </c>
      <c r="AA28" s="92" t="str">
        <f>IF('MASTER PubCo Inputs'!B46=0,"",'MASTER PubCo Inputs'!B46)</f>
        <v>NasdaqGM:PULM</v>
      </c>
      <c r="AB28" s="386">
        <f>'Beta Calc'!Z28</f>
        <v>20.3</v>
      </c>
      <c r="AC28" s="93">
        <f t="shared" si="6"/>
        <v>-0.10000000000000142</v>
      </c>
      <c r="AI28" s="94"/>
    </row>
    <row r="29" spans="2:35" ht="12.75" customHeight="1">
      <c r="B29" s="385" t="str">
        <f>'Comp.1'!B29</f>
        <v>AmpliPhi Biosciences Corporation</v>
      </c>
      <c r="D29" s="386">
        <f>'Beta Calc'!K29</f>
        <v>16.5</v>
      </c>
      <c r="E29" s="386" t="str">
        <f>'Beta Calc'!L29</f>
        <v xml:space="preserve"> -   </v>
      </c>
      <c r="F29" s="386" t="str">
        <f>'Beta Calc'!M29</f>
        <v xml:space="preserve"> n/a </v>
      </c>
      <c r="G29" s="386" t="str">
        <f>'Beta Calc'!N29</f>
        <v xml:space="preserve"> n/a </v>
      </c>
      <c r="H29" s="386">
        <f t="shared" si="7"/>
        <v>0</v>
      </c>
      <c r="I29" s="386">
        <f t="shared" si="8"/>
        <v>16.5</v>
      </c>
      <c r="J29" s="386">
        <f>'Beta Calc'!Q29</f>
        <v>8.1999999999999993</v>
      </c>
      <c r="K29" s="386">
        <f t="shared" si="9"/>
        <v>8.3000000000000007</v>
      </c>
      <c r="M29" s="54">
        <f>IFERROR('Capital IQ Sheet-GPC'!AT32,"n/a")</f>
        <v>0</v>
      </c>
      <c r="N29" s="386">
        <f t="shared" si="0"/>
        <v>1.4191780821917808</v>
      </c>
      <c r="O29" s="206">
        <f t="shared" si="0"/>
        <v>2.5264109589041094E-2</v>
      </c>
      <c r="P29" s="207"/>
      <c r="Q29" s="208">
        <f>IFERROR(HLOOKUP($Q$6,'Equity Vol'!$B$8:$I29,ROWS('Equity Vol'!$C$8:$C29),FALSE),"n/a")</f>
        <v>0.88100000000000001</v>
      </c>
      <c r="R29" s="44"/>
      <c r="S29" s="209">
        <f t="shared" si="10"/>
        <v>0.77616099999999999</v>
      </c>
      <c r="T29" s="209">
        <f t="shared" si="1"/>
        <v>0</v>
      </c>
      <c r="U29" s="210">
        <f t="shared" si="2"/>
        <v>0</v>
      </c>
      <c r="V29" s="210">
        <f t="shared" si="3"/>
        <v>0</v>
      </c>
      <c r="W29" s="210">
        <f t="shared" si="4"/>
        <v>0</v>
      </c>
      <c r="X29" s="91">
        <f t="shared" si="5"/>
        <v>0</v>
      </c>
      <c r="Y29" s="208">
        <f t="shared" si="11"/>
        <v>0.88100000000000001</v>
      </c>
      <c r="AA29" s="92" t="str">
        <f>IF('MASTER PubCo Inputs'!B47=0,"",'MASTER PubCo Inputs'!B47)</f>
        <v>AMEX:APHB</v>
      </c>
      <c r="AB29" s="386">
        <f>'Beta Calc'!Z29</f>
        <v>8.3000000000000007</v>
      </c>
      <c r="AC29" s="93">
        <f t="shared" si="6"/>
        <v>0</v>
      </c>
      <c r="AI29" s="94"/>
    </row>
    <row r="30" spans="2:35" ht="12.75" hidden="1" customHeight="1" outlineLevel="1">
      <c r="D30" s="386"/>
      <c r="E30" s="386"/>
      <c r="F30" s="386"/>
      <c r="G30" s="386"/>
      <c r="H30" s="386"/>
      <c r="I30" s="386"/>
      <c r="J30" s="386"/>
      <c r="K30" s="386"/>
      <c r="M30" s="54"/>
      <c r="N30" s="386"/>
      <c r="O30" s="206"/>
      <c r="P30" s="207"/>
      <c r="Q30" s="208"/>
      <c r="R30" s="44"/>
      <c r="S30" s="209"/>
      <c r="T30" s="209"/>
      <c r="U30" s="210"/>
      <c r="V30" s="210"/>
      <c r="W30" s="210"/>
      <c r="X30" s="91"/>
      <c r="Y30" s="208"/>
      <c r="AA30" s="92"/>
      <c r="AB30" s="386"/>
      <c r="AC30" s="93"/>
      <c r="AI30" s="94"/>
    </row>
    <row r="31" spans="2:35" ht="12.75" hidden="1" customHeight="1" outlineLevel="1">
      <c r="D31" s="386"/>
      <c r="E31" s="386"/>
      <c r="F31" s="386"/>
      <c r="G31" s="386"/>
      <c r="H31" s="386"/>
      <c r="I31" s="386"/>
      <c r="J31" s="386"/>
      <c r="K31" s="386"/>
      <c r="M31" s="54"/>
      <c r="N31" s="386"/>
      <c r="O31" s="206"/>
      <c r="P31" s="207"/>
      <c r="Q31" s="208"/>
      <c r="R31" s="44"/>
      <c r="S31" s="209"/>
      <c r="T31" s="209"/>
      <c r="U31" s="210"/>
      <c r="V31" s="210"/>
      <c r="W31" s="210"/>
      <c r="X31" s="91"/>
      <c r="Y31" s="208"/>
      <c r="AA31" s="92"/>
      <c r="AB31" s="386"/>
      <c r="AC31" s="93"/>
      <c r="AI31" s="94"/>
    </row>
    <row r="32" spans="2:35" ht="12.75" hidden="1" customHeight="1" outlineLevel="1">
      <c r="D32" s="386"/>
      <c r="E32" s="386"/>
      <c r="F32" s="386"/>
      <c r="G32" s="386"/>
      <c r="H32" s="386"/>
      <c r="I32" s="386"/>
      <c r="J32" s="386"/>
      <c r="K32" s="386"/>
      <c r="M32" s="54"/>
      <c r="N32" s="386"/>
      <c r="O32" s="206"/>
      <c r="P32" s="207"/>
      <c r="Q32" s="208"/>
      <c r="R32" s="44"/>
      <c r="S32" s="209"/>
      <c r="T32" s="209"/>
      <c r="U32" s="210"/>
      <c r="V32" s="210"/>
      <c r="W32" s="210"/>
      <c r="X32" s="386"/>
      <c r="Y32" s="208"/>
      <c r="AA32" s="92"/>
      <c r="AB32" s="386"/>
      <c r="AC32" s="93"/>
      <c r="AI32" s="94"/>
    </row>
    <row r="33" spans="2:35" ht="12.75" hidden="1" customHeight="1" outlineLevel="1">
      <c r="D33" s="386"/>
      <c r="E33" s="386"/>
      <c r="F33" s="386"/>
      <c r="G33" s="386"/>
      <c r="H33" s="386"/>
      <c r="I33" s="386"/>
      <c r="J33" s="386"/>
      <c r="K33" s="386"/>
      <c r="M33" s="54"/>
      <c r="N33" s="386"/>
      <c r="O33" s="206"/>
      <c r="P33" s="207"/>
      <c r="Q33" s="208"/>
      <c r="R33" s="44"/>
      <c r="S33" s="209"/>
      <c r="T33" s="209"/>
      <c r="U33" s="210"/>
      <c r="V33" s="210"/>
      <c r="W33" s="210"/>
      <c r="X33" s="386"/>
      <c r="Y33" s="208"/>
      <c r="AA33" s="92"/>
      <c r="AB33" s="386"/>
      <c r="AC33" s="93"/>
      <c r="AI33" s="94"/>
    </row>
    <row r="34" spans="2:35" ht="12.75" hidden="1" customHeight="1" outlineLevel="1">
      <c r="D34" s="386"/>
      <c r="E34" s="386"/>
      <c r="F34" s="386"/>
      <c r="G34" s="386"/>
      <c r="H34" s="386"/>
      <c r="I34" s="386"/>
      <c r="J34" s="386"/>
      <c r="K34" s="386"/>
      <c r="M34" s="54"/>
      <c r="N34" s="386"/>
      <c r="O34" s="206"/>
      <c r="P34" s="207"/>
      <c r="Q34" s="208"/>
      <c r="R34" s="44"/>
      <c r="S34" s="209"/>
      <c r="T34" s="209"/>
      <c r="U34" s="210"/>
      <c r="V34" s="210"/>
      <c r="W34" s="210"/>
      <c r="X34" s="386"/>
      <c r="Y34" s="208"/>
      <c r="AA34" s="92"/>
      <c r="AB34" s="386"/>
      <c r="AC34" s="93"/>
      <c r="AI34" s="94"/>
    </row>
    <row r="35" spans="2:35" ht="12.75" hidden="1" customHeight="1" outlineLevel="1">
      <c r="D35" s="386"/>
      <c r="E35" s="386"/>
      <c r="F35" s="386"/>
      <c r="G35" s="386"/>
      <c r="H35" s="386"/>
      <c r="I35" s="386"/>
      <c r="J35" s="386"/>
      <c r="K35" s="386"/>
      <c r="M35" s="54"/>
      <c r="N35" s="386"/>
      <c r="O35" s="206"/>
      <c r="P35" s="207"/>
      <c r="Q35" s="208"/>
      <c r="R35" s="44"/>
      <c r="S35" s="209"/>
      <c r="T35" s="209"/>
      <c r="U35" s="210"/>
      <c r="V35" s="210"/>
      <c r="W35" s="210"/>
      <c r="X35" s="386"/>
      <c r="Y35" s="208"/>
      <c r="AA35" s="92"/>
      <c r="AB35" s="386"/>
      <c r="AC35" s="93"/>
      <c r="AI35" s="94"/>
    </row>
    <row r="36" spans="2:35" ht="12.75" hidden="1" customHeight="1" outlineLevel="1">
      <c r="D36" s="386"/>
      <c r="E36" s="386"/>
      <c r="F36" s="386"/>
      <c r="G36" s="386"/>
      <c r="H36" s="386"/>
      <c r="I36" s="386"/>
      <c r="J36" s="386"/>
      <c r="K36" s="386"/>
      <c r="M36" s="54"/>
      <c r="N36" s="386"/>
      <c r="O36" s="206"/>
      <c r="P36" s="207"/>
      <c r="Q36" s="208"/>
      <c r="R36" s="44"/>
      <c r="S36" s="209"/>
      <c r="T36" s="209"/>
      <c r="U36" s="210"/>
      <c r="V36" s="210"/>
      <c r="W36" s="210"/>
      <c r="X36" s="386"/>
      <c r="Y36" s="208"/>
      <c r="AA36" s="92" t="str">
        <f>IF('MASTER PubCo Inputs'!B54=0,"",'MASTER PubCo Inputs'!B54)</f>
        <v/>
      </c>
      <c r="AB36" s="386">
        <f>'Beta Calc'!Z36</f>
        <v>0</v>
      </c>
      <c r="AC36" s="93">
        <f t="shared" si="6"/>
        <v>0</v>
      </c>
      <c r="AI36" s="94"/>
    </row>
    <row r="37" spans="2:35" ht="12.75" hidden="1" customHeight="1" outlineLevel="1">
      <c r="D37" s="386"/>
      <c r="E37" s="386"/>
      <c r="F37" s="386"/>
      <c r="G37" s="386"/>
      <c r="H37" s="386"/>
      <c r="I37" s="386"/>
      <c r="J37" s="386"/>
      <c r="K37" s="386"/>
      <c r="M37" s="54"/>
      <c r="N37" s="386"/>
      <c r="O37" s="206"/>
      <c r="P37" s="207"/>
      <c r="Q37" s="208"/>
      <c r="R37" s="44"/>
      <c r="S37" s="209"/>
      <c r="T37" s="209"/>
      <c r="U37" s="210"/>
      <c r="V37" s="210"/>
      <c r="W37" s="210"/>
      <c r="X37" s="386"/>
      <c r="Y37" s="208"/>
      <c r="AA37" s="92" t="str">
        <f>IF('MASTER PubCo Inputs'!B55=0,"",'MASTER PubCo Inputs'!B55)</f>
        <v/>
      </c>
      <c r="AB37" s="386">
        <f>'Beta Calc'!Z37</f>
        <v>0</v>
      </c>
      <c r="AC37" s="93">
        <f t="shared" si="6"/>
        <v>0</v>
      </c>
      <c r="AI37" s="94"/>
    </row>
    <row r="38" spans="2:35" ht="12.75" hidden="1" customHeight="1" outlineLevel="1">
      <c r="D38" s="386"/>
      <c r="E38" s="386"/>
      <c r="F38" s="386"/>
      <c r="G38" s="386"/>
      <c r="H38" s="386"/>
      <c r="I38" s="386"/>
      <c r="J38" s="386"/>
      <c r="K38" s="386"/>
      <c r="M38" s="54"/>
      <c r="N38" s="386"/>
      <c r="O38" s="206"/>
      <c r="P38" s="207"/>
      <c r="Q38" s="208"/>
      <c r="R38" s="44"/>
      <c r="S38" s="209"/>
      <c r="T38" s="209"/>
      <c r="U38" s="210"/>
      <c r="V38" s="210"/>
      <c r="W38" s="210"/>
      <c r="X38" s="386"/>
      <c r="Y38" s="208"/>
      <c r="AA38" s="92" t="str">
        <f>IF('MASTER PubCo Inputs'!B56=0,"",'MASTER PubCo Inputs'!B56)</f>
        <v/>
      </c>
      <c r="AB38" s="386">
        <f>'Beta Calc'!Z38</f>
        <v>0</v>
      </c>
      <c r="AC38" s="93">
        <f t="shared" si="6"/>
        <v>0</v>
      </c>
      <c r="AI38" s="94"/>
    </row>
    <row r="39" spans="2:35" ht="12.75" hidden="1" customHeight="1" outlineLevel="1">
      <c r="D39" s="386"/>
      <c r="E39" s="386"/>
      <c r="F39" s="386"/>
      <c r="G39" s="386"/>
      <c r="H39" s="386"/>
      <c r="I39" s="386"/>
      <c r="J39" s="386"/>
      <c r="K39" s="386"/>
      <c r="M39" s="54"/>
      <c r="N39" s="386"/>
      <c r="O39" s="206"/>
      <c r="P39" s="207"/>
      <c r="Q39" s="208"/>
      <c r="R39" s="44"/>
      <c r="S39" s="209"/>
      <c r="T39" s="209"/>
      <c r="U39" s="210"/>
      <c r="V39" s="210"/>
      <c r="W39" s="210"/>
      <c r="X39" s="386"/>
      <c r="Y39" s="208"/>
      <c r="AA39" s="92" t="str">
        <f>IF('MASTER PubCo Inputs'!B57=0,"",'MASTER PubCo Inputs'!B57)</f>
        <v/>
      </c>
      <c r="AB39" s="386">
        <f>'Beta Calc'!Z39</f>
        <v>0</v>
      </c>
      <c r="AC39" s="93">
        <f t="shared" si="6"/>
        <v>0</v>
      </c>
      <c r="AI39" s="94"/>
    </row>
    <row r="40" spans="2:35" ht="12.75" customHeight="1" collapsed="1">
      <c r="D40" s="386"/>
      <c r="E40" s="386"/>
      <c r="F40" s="386"/>
      <c r="G40" s="386"/>
      <c r="H40" s="386"/>
      <c r="I40" s="386"/>
      <c r="J40" s="386"/>
      <c r="K40" s="386"/>
      <c r="R40" s="20"/>
    </row>
    <row r="41" spans="2:35" ht="12.75" customHeight="1">
      <c r="B41" s="753" t="s">
        <v>46</v>
      </c>
      <c r="C41" s="769"/>
      <c r="D41" s="768">
        <f>MAX(D10:D39)</f>
        <v>44574.8</v>
      </c>
      <c r="E41" s="768">
        <f t="shared" ref="E41:K41" si="12">MAX(E10:E39)</f>
        <v>592.70000000000005</v>
      </c>
      <c r="F41" s="768">
        <f t="shared" si="12"/>
        <v>40.700000000000003</v>
      </c>
      <c r="G41" s="768">
        <f t="shared" si="12"/>
        <v>28.7</v>
      </c>
      <c r="H41" s="768">
        <f t="shared" si="12"/>
        <v>621.40000000000009</v>
      </c>
      <c r="I41" s="768">
        <f t="shared" si="12"/>
        <v>45196.2</v>
      </c>
      <c r="J41" s="768">
        <f t="shared" si="12"/>
        <v>2767.8</v>
      </c>
      <c r="K41" s="768">
        <f t="shared" si="12"/>
        <v>42428.399999999994</v>
      </c>
      <c r="L41" s="769"/>
      <c r="M41" s="773">
        <f t="shared" ref="M41:O41" si="13">MAX(M10:M39)</f>
        <v>0</v>
      </c>
      <c r="N41" s="768">
        <f t="shared" si="13"/>
        <v>1.4191780821917808</v>
      </c>
      <c r="O41" s="775">
        <f t="shared" si="13"/>
        <v>2.5264109589041094E-2</v>
      </c>
      <c r="P41" s="776"/>
      <c r="Q41" s="777">
        <f>MAX(Q10:Q39)</f>
        <v>1.35</v>
      </c>
      <c r="R41" s="778"/>
      <c r="S41" s="779">
        <f t="shared" ref="S41:W41" si="14">MAX(S10:S40)</f>
        <v>1.8225000000000002</v>
      </c>
      <c r="T41" s="779">
        <f t="shared" si="14"/>
        <v>11.942550357181123</v>
      </c>
      <c r="U41" s="780">
        <f t="shared" si="14"/>
        <v>11.58039740379839</v>
      </c>
      <c r="V41" s="780">
        <f t="shared" si="14"/>
        <v>1</v>
      </c>
      <c r="W41" s="780">
        <f t="shared" si="14"/>
        <v>1</v>
      </c>
      <c r="X41" s="768">
        <f t="shared" ref="X41:Y41" si="15">MAX(X10:X39)</f>
        <v>41828.885161054386</v>
      </c>
      <c r="Y41" s="781">
        <f t="shared" si="15"/>
        <v>1.35</v>
      </c>
      <c r="AB41" s="817">
        <f>+'Asset Vol_Early'!Y49</f>
        <v>0.78250445694741178</v>
      </c>
      <c r="AC41" s="818" t="s">
        <v>1112</v>
      </c>
      <c r="AD41" s="818"/>
      <c r="AE41" s="818"/>
      <c r="AF41" s="792"/>
    </row>
    <row r="42" spans="2:35" ht="12.75" customHeight="1">
      <c r="B42" s="339" t="s">
        <v>50</v>
      </c>
      <c r="C42" s="75"/>
      <c r="D42" s="99">
        <f t="shared" ref="D42:K42" si="16">QUARTILE(D10:D39,3)</f>
        <v>2055.25</v>
      </c>
      <c r="E42" s="99">
        <f t="shared" si="16"/>
        <v>196.6</v>
      </c>
      <c r="F42" s="99">
        <f t="shared" si="16"/>
        <v>32.775000000000006</v>
      </c>
      <c r="G42" s="99">
        <f t="shared" si="16"/>
        <v>24</v>
      </c>
      <c r="H42" s="99">
        <f t="shared" si="16"/>
        <v>89.025000000000006</v>
      </c>
      <c r="I42" s="99">
        <f t="shared" si="16"/>
        <v>2372.125</v>
      </c>
      <c r="J42" s="99">
        <f t="shared" si="16"/>
        <v>326.77500000000003</v>
      </c>
      <c r="K42" s="99">
        <f t="shared" si="16"/>
        <v>1775.65</v>
      </c>
      <c r="L42" s="75"/>
      <c r="M42" s="139">
        <f>QUARTILE(M10:M39,3)</f>
        <v>0</v>
      </c>
      <c r="N42" s="99">
        <f>QUARTILE(N10:N39,3)</f>
        <v>1.4191780821917808</v>
      </c>
      <c r="O42" s="211">
        <f>QUARTILE(O10:O39,3)</f>
        <v>2.5264109589041094E-2</v>
      </c>
      <c r="P42" s="212"/>
      <c r="Q42" s="213">
        <f>QUARTILE(Q10:Q39,3)</f>
        <v>0.88400000000000001</v>
      </c>
      <c r="R42" s="214"/>
      <c r="S42" s="215">
        <f>QUARTILE(S10:S40,3)</f>
        <v>0.78146800000000005</v>
      </c>
      <c r="T42" s="215">
        <f>QUARTILE(T10:T40,3)</f>
        <v>3.8817428952889483</v>
      </c>
      <c r="U42" s="216">
        <f>QUARTILE(U10:U40,3)</f>
        <v>3.1299027269880062</v>
      </c>
      <c r="V42" s="216">
        <f>QUARTILE(V10:V40,3)</f>
        <v>0.99992754009607976</v>
      </c>
      <c r="W42" s="216">
        <f>QUARTILE(W10:W40,3)</f>
        <v>0.99888385726934659</v>
      </c>
      <c r="X42" s="99">
        <f>QUARTILE(X10:X39,3)</f>
        <v>379.59639468167842</v>
      </c>
      <c r="Y42" s="217">
        <f>QUARTILE(Y10:Y39,3)</f>
        <v>0.81375895407399712</v>
      </c>
      <c r="AB42" s="819">
        <f>+'Asset Vol_Early'!Y51</f>
        <v>0.78250445694741178</v>
      </c>
      <c r="AC42" s="16" t="s">
        <v>1113</v>
      </c>
      <c r="AD42" s="16"/>
      <c r="AE42" s="16"/>
      <c r="AF42" s="197"/>
    </row>
    <row r="43" spans="2:35" ht="12.75" customHeight="1">
      <c r="B43" s="339" t="s">
        <v>48</v>
      </c>
      <c r="C43" s="75"/>
      <c r="D43" s="99">
        <f>AVERAGE(D10:D39)</f>
        <v>3369.4600000000005</v>
      </c>
      <c r="E43" s="99">
        <f t="shared" ref="E43:K43" si="17">AVERAGE(E10:E39)</f>
        <v>126.9076923076923</v>
      </c>
      <c r="F43" s="99">
        <f t="shared" si="17"/>
        <v>24.85</v>
      </c>
      <c r="G43" s="99">
        <f t="shared" si="17"/>
        <v>16</v>
      </c>
      <c r="H43" s="99">
        <f t="shared" si="17"/>
        <v>87.375</v>
      </c>
      <c r="I43" s="99">
        <f t="shared" si="17"/>
        <v>3456.835</v>
      </c>
      <c r="J43" s="99">
        <f t="shared" si="17"/>
        <v>343.37000000000012</v>
      </c>
      <c r="K43" s="99">
        <f t="shared" si="17"/>
        <v>3113.4649999999992</v>
      </c>
      <c r="L43" s="75"/>
      <c r="M43" s="139">
        <f t="shared" ref="M43:O43" si="18">AVERAGE(M10:M39)</f>
        <v>0</v>
      </c>
      <c r="N43" s="99">
        <f t="shared" si="18"/>
        <v>1.4191780821917808</v>
      </c>
      <c r="O43" s="211">
        <f t="shared" si="18"/>
        <v>2.5264109589041083E-2</v>
      </c>
      <c r="P43" s="212"/>
      <c r="Q43" s="213">
        <f>AVERAGE(Q10:Q39)</f>
        <v>0.73099999999999998</v>
      </c>
      <c r="R43" s="214"/>
      <c r="S43" s="215">
        <f t="shared" ref="S43:W43" si="19">AVERAGE(S10:S40)</f>
        <v>0.6141764999999999</v>
      </c>
      <c r="T43" s="215">
        <f t="shared" si="19"/>
        <v>2.9903511651158619</v>
      </c>
      <c r="U43" s="216">
        <f t="shared" si="19"/>
        <v>2.4785122953103</v>
      </c>
      <c r="V43" s="216">
        <f t="shared" si="19"/>
        <v>0.6477765306697989</v>
      </c>
      <c r="W43" s="216">
        <f t="shared" si="19"/>
        <v>0.62953989817663769</v>
      </c>
      <c r="X43" s="99">
        <f t="shared" ref="X43:Y43" si="20">AVERAGE(X10:X39)</f>
        <v>2587.0213921707959</v>
      </c>
      <c r="Y43" s="217">
        <f t="shared" si="20"/>
        <v>0.68874096556765552</v>
      </c>
      <c r="AB43" s="819">
        <f>+'Asset Vol_Early'!Y47</f>
        <v>0.78250445694741178</v>
      </c>
      <c r="AC43" s="16" t="s">
        <v>1111</v>
      </c>
      <c r="AD43" s="16"/>
      <c r="AE43" s="16"/>
      <c r="AF43" s="820" t="s">
        <v>1242</v>
      </c>
    </row>
    <row r="44" spans="2:35" ht="12.75" customHeight="1">
      <c r="B44" s="339" t="s">
        <v>3</v>
      </c>
      <c r="C44" s="75"/>
      <c r="D44" s="99">
        <f>MEDIAN(D10:D39)</f>
        <v>327.60000000000002</v>
      </c>
      <c r="E44" s="99">
        <f t="shared" ref="E44:K44" si="21">MEDIAN(E10:E39)</f>
        <v>15.2</v>
      </c>
      <c r="F44" s="99">
        <f t="shared" si="21"/>
        <v>24.85</v>
      </c>
      <c r="G44" s="99">
        <f t="shared" si="21"/>
        <v>19.3</v>
      </c>
      <c r="H44" s="99">
        <f t="shared" si="21"/>
        <v>8.85</v>
      </c>
      <c r="I44" s="99">
        <f t="shared" si="21"/>
        <v>344.2</v>
      </c>
      <c r="J44" s="99">
        <f t="shared" si="21"/>
        <v>68.900000000000006</v>
      </c>
      <c r="K44" s="99">
        <f t="shared" si="21"/>
        <v>298.75</v>
      </c>
      <c r="L44" s="75"/>
      <c r="M44" s="139">
        <f t="shared" ref="M44:O44" si="22">MEDIAN(M10:M39)</f>
        <v>0</v>
      </c>
      <c r="N44" s="99">
        <f t="shared" si="22"/>
        <v>1.4191780821917808</v>
      </c>
      <c r="O44" s="211">
        <f t="shared" si="22"/>
        <v>2.5264109589041094E-2</v>
      </c>
      <c r="P44" s="212"/>
      <c r="Q44" s="213">
        <f>MEDIAN(Q10:Q39)</f>
        <v>0.64450000000000007</v>
      </c>
      <c r="R44" s="214"/>
      <c r="S44" s="215">
        <f t="shared" ref="S44:W44" si="23">MEDIAN(S10:S40)</f>
        <v>0.41538050000000004</v>
      </c>
      <c r="T44" s="215">
        <f t="shared" si="23"/>
        <v>2.635827153630304</v>
      </c>
      <c r="U44" s="216">
        <f t="shared" si="23"/>
        <v>1.5959472803116814</v>
      </c>
      <c r="V44" s="216">
        <f t="shared" si="23"/>
        <v>0.99567738557066998</v>
      </c>
      <c r="W44" s="216">
        <f t="shared" si="23"/>
        <v>0.94388304985596072</v>
      </c>
      <c r="X44" s="99">
        <f t="shared" ref="X44:Y44" si="24">MEDIAN(X10:X39)</f>
        <v>135.88073728629632</v>
      </c>
      <c r="Y44" s="217">
        <f t="shared" si="24"/>
        <v>0.59723415653644929</v>
      </c>
      <c r="AB44" s="821" t="str">
        <f>IF(ROUND(AB41,3)=ROUND(AB43,3),"","Update Volatility - OPM")</f>
        <v/>
      </c>
      <c r="AC44" s="16"/>
      <c r="AD44" s="16"/>
      <c r="AE44" s="16"/>
      <c r="AF44" s="197"/>
    </row>
    <row r="45" spans="2:35" ht="12.75" customHeight="1">
      <c r="B45" s="339" t="s">
        <v>49</v>
      </c>
      <c r="C45" s="75"/>
      <c r="D45" s="99">
        <f>QUARTILE(D10:D39,1)</f>
        <v>174.95</v>
      </c>
      <c r="E45" s="99">
        <f t="shared" ref="E45:K45" si="25">QUARTILE(E10:E39,1)</f>
        <v>8.6999999999999993</v>
      </c>
      <c r="F45" s="99">
        <f t="shared" si="25"/>
        <v>16.925000000000001</v>
      </c>
      <c r="G45" s="99">
        <f t="shared" si="25"/>
        <v>9.65</v>
      </c>
      <c r="H45" s="99">
        <f t="shared" si="25"/>
        <v>0</v>
      </c>
      <c r="I45" s="99">
        <f t="shared" si="25"/>
        <v>185.77499999999998</v>
      </c>
      <c r="J45" s="99">
        <f t="shared" si="25"/>
        <v>13.675000000000001</v>
      </c>
      <c r="K45" s="99">
        <f t="shared" si="25"/>
        <v>110.5</v>
      </c>
      <c r="L45" s="75"/>
      <c r="M45" s="139">
        <f t="shared" ref="M45:O45" si="26">QUARTILE(M10:M39,1)</f>
        <v>0</v>
      </c>
      <c r="N45" s="99">
        <f t="shared" si="26"/>
        <v>1.4191780821917808</v>
      </c>
      <c r="O45" s="211">
        <f t="shared" si="26"/>
        <v>2.5264109589041094E-2</v>
      </c>
      <c r="P45" s="212"/>
      <c r="Q45" s="213">
        <f>QUARTILE(Q10:Q39,1)</f>
        <v>0.60050000000000003</v>
      </c>
      <c r="R45" s="214"/>
      <c r="S45" s="215">
        <f t="shared" ref="S45:W45" si="27">QUARTILE(S10:S40,1)</f>
        <v>0.36063699999999999</v>
      </c>
      <c r="T45" s="215">
        <f t="shared" si="27"/>
        <v>0</v>
      </c>
      <c r="U45" s="216">
        <f t="shared" si="27"/>
        <v>0</v>
      </c>
      <c r="V45" s="216">
        <f t="shared" si="27"/>
        <v>0</v>
      </c>
      <c r="W45" s="216">
        <f t="shared" si="27"/>
        <v>0</v>
      </c>
      <c r="X45" s="99">
        <f t="shared" ref="X45:Y45" si="28">QUARTILE(X10:X39,1)</f>
        <v>0</v>
      </c>
      <c r="Y45" s="217">
        <f t="shared" si="28"/>
        <v>0.55872410806781136</v>
      </c>
      <c r="AB45" s="822" t="str">
        <f>IF(ROUND(AB42,3)=ROUND(AB43,3),"","Update Volatility - DLOM")</f>
        <v/>
      </c>
      <c r="AC45" s="5"/>
      <c r="AD45" s="5"/>
      <c r="AE45" s="5"/>
      <c r="AF45" s="427"/>
    </row>
    <row r="46" spans="2:35" ht="12.75" customHeight="1">
      <c r="B46" s="101" t="s">
        <v>47</v>
      </c>
      <c r="C46" s="68"/>
      <c r="D46" s="71">
        <f t="shared" ref="D46:K46" si="29">MIN(D10:D39)</f>
        <v>16.5</v>
      </c>
      <c r="E46" s="71">
        <f t="shared" si="29"/>
        <v>0</v>
      </c>
      <c r="F46" s="71">
        <f t="shared" si="29"/>
        <v>9</v>
      </c>
      <c r="G46" s="71">
        <f t="shared" si="29"/>
        <v>0</v>
      </c>
      <c r="H46" s="71">
        <f t="shared" si="29"/>
        <v>0</v>
      </c>
      <c r="I46" s="71">
        <f t="shared" si="29"/>
        <v>16.5</v>
      </c>
      <c r="J46" s="71">
        <f t="shared" si="29"/>
        <v>0.5</v>
      </c>
      <c r="K46" s="71">
        <f t="shared" si="29"/>
        <v>8.3000000000000007</v>
      </c>
      <c r="L46" s="68"/>
      <c r="M46" s="141">
        <f>MIN(M10:M39)</f>
        <v>0</v>
      </c>
      <c r="N46" s="71">
        <f>MIN(N10:N39)</f>
        <v>1.4191780821917808</v>
      </c>
      <c r="O46" s="782">
        <f>MIN(O10:O39)</f>
        <v>2.5264109589041094E-2</v>
      </c>
      <c r="P46" s="783"/>
      <c r="Q46" s="784">
        <f>MIN(Q10:Q39)</f>
        <v>0.30399999999999999</v>
      </c>
      <c r="R46" s="785"/>
      <c r="S46" s="786">
        <f>MIN(S10:S40)</f>
        <v>9.2415999999999998E-2</v>
      </c>
      <c r="T46" s="786">
        <f>MIN(T10:T40)</f>
        <v>0</v>
      </c>
      <c r="U46" s="787">
        <f>MIN(U10:U40)</f>
        <v>0</v>
      </c>
      <c r="V46" s="787">
        <f>MIN(V10:V40)</f>
        <v>0</v>
      </c>
      <c r="W46" s="787">
        <f>MIN(W10:W40)</f>
        <v>0</v>
      </c>
      <c r="X46" s="71">
        <f>MIN(X10:X39)</f>
        <v>0</v>
      </c>
      <c r="Y46" s="788">
        <f>MIN(Y10:Y39)</f>
        <v>0.26984025876949858</v>
      </c>
      <c r="AB46" s="496" t="str">
        <f>IF(K49&lt;&gt;K51,"Check","")</f>
        <v/>
      </c>
    </row>
    <row r="47" spans="2:35" ht="12.75" customHeight="1">
      <c r="B47" s="2039" t="s">
        <v>147</v>
      </c>
      <c r="C47" s="2040"/>
      <c r="D47" s="2041"/>
      <c r="E47" s="2041"/>
      <c r="F47" s="2041"/>
      <c r="G47" s="2041"/>
      <c r="H47" s="2041"/>
      <c r="I47" s="2041"/>
      <c r="J47" s="2041"/>
      <c r="K47" s="2041"/>
      <c r="L47" s="2040"/>
      <c r="M47" s="2042"/>
      <c r="N47" s="2041"/>
      <c r="O47" s="2043"/>
      <c r="P47" s="2044"/>
      <c r="Q47" s="2045"/>
      <c r="R47" s="2046"/>
      <c r="S47" s="2047"/>
      <c r="T47" s="2047"/>
      <c r="U47" s="2048"/>
      <c r="V47" s="2048"/>
      <c r="W47" s="2048"/>
      <c r="X47" s="2041"/>
      <c r="Y47" s="2049">
        <f>QUARTILE(Y42:Y43,3)</f>
        <v>0.78250445694741178</v>
      </c>
      <c r="Z47" s="2157">
        <f>A56</f>
        <v>3</v>
      </c>
      <c r="AB47" s="496"/>
    </row>
    <row r="48" spans="2:35" ht="12.75" customHeight="1">
      <c r="AB48" s="962" t="str">
        <f>IF(AND(AB44=$AF$45,AB46=$AF$45,AB45=$AF$45),"","Check")</f>
        <v/>
      </c>
    </row>
    <row r="49" spans="1:25" ht="12.75" hidden="1" customHeight="1" outlineLevel="1">
      <c r="B49" s="218" t="str">
        <f>B2</f>
        <v>Pliant Therapeutics, Inc.</v>
      </c>
      <c r="C49" s="459" t="s">
        <v>132</v>
      </c>
      <c r="D49" s="1732">
        <f>'Val Summ'!$D$9/1000</f>
        <v>147.69999999999999</v>
      </c>
      <c r="E49" s="1398">
        <f>'Hist BS'!H52/1000</f>
        <v>0</v>
      </c>
      <c r="F49" s="219"/>
      <c r="G49" s="219"/>
      <c r="H49" s="220">
        <f>SUM(E49:G49)+0.0000000001</f>
        <v>1E-10</v>
      </c>
      <c r="I49" s="222">
        <f>SUM(D49:G49)</f>
        <v>147.69999999999999</v>
      </c>
      <c r="J49" s="220">
        <f>'Hist BS'!H50/1000</f>
        <v>0</v>
      </c>
      <c r="K49" s="229">
        <f t="shared" ref="K49" si="30">I49-J49</f>
        <v>147.69999999999999</v>
      </c>
      <c r="L49" s="219"/>
      <c r="M49" s="221">
        <f>'PWERM DLOM'!D17</f>
        <v>0</v>
      </c>
      <c r="N49" s="222">
        <f>N$6</f>
        <v>1.4191780821917808</v>
      </c>
      <c r="O49" s="223">
        <f>O$6</f>
        <v>2.5264109589041094E-2</v>
      </c>
      <c r="P49" s="224"/>
      <c r="Q49" s="2180">
        <f ca="1">Y49*((K49/X49)*V49)</f>
        <v>0.78250445694792292</v>
      </c>
      <c r="R49" s="219"/>
      <c r="S49" s="226">
        <f ca="1">IF(Q49="n/a","n/a",Q49^2)</f>
        <v>0.61231322514336373</v>
      </c>
      <c r="T49" s="226">
        <f ca="1">IF(OR(K49="n/a",S49="n/a"),"n/a",IF(H49=0,0,IF(M49=0,(LN(K49/H49)+((O49+(S49/2))*N49))/((S49*N49)^0.5),(LN(K49/H49)+((O49-M49+(S49/2))*N49))/((S49*N49)^0.5))))</f>
        <v>30.563860201607817</v>
      </c>
      <c r="U49" s="227">
        <f ca="1">IF(T49="n/a","n/a",IF(H49=0,0,T49-(S49*N49)^0.5))</f>
        <v>29.6316684249011</v>
      </c>
      <c r="V49" s="227">
        <f ca="1">IF(OR(T49="n/a",S49="n/a"),"n/a",IF(H49=0,0,NORMSDIST(T49)))</f>
        <v>1</v>
      </c>
      <c r="W49" s="227">
        <f ca="1">IF(OR(U49="n/a",S49="n/a"),"n/a",IF(H49=0,0,NORMSDIST(U49)))</f>
        <v>1</v>
      </c>
      <c r="X49" s="227">
        <f ca="1">IF(OR(K49="n/a",S49="n/a"),"n/a",IF(M49=0,(K49*V49)-((H49*EXP(1)^(-O49*N49))*W49),(K49*(2.718^(-M49*N49))*V49)-(H49*(2.718^(-O49*N49))*W49)))</f>
        <v>147.6999999999035</v>
      </c>
      <c r="Y49" s="228">
        <f>+Y47</f>
        <v>0.78250445694741178</v>
      </c>
    </row>
    <row r="50" spans="1:25" ht="12.75" hidden="1" customHeight="1" outlineLevel="1">
      <c r="C50" s="74"/>
      <c r="D50" s="74"/>
      <c r="E50" s="74"/>
      <c r="F50" s="74"/>
      <c r="G50" s="74"/>
      <c r="H50" s="74"/>
      <c r="I50" s="74"/>
      <c r="J50" s="74"/>
    </row>
    <row r="51" spans="1:25" ht="12.75" customHeight="1" collapsed="1">
      <c r="B51" s="218" t="str">
        <f>B49</f>
        <v>Pliant Therapeutics, Inc.</v>
      </c>
      <c r="C51" s="2164">
        <f>A55</f>
        <v>2</v>
      </c>
      <c r="D51" s="222">
        <f>D49</f>
        <v>147.69999999999999</v>
      </c>
      <c r="E51" s="1528">
        <f>PWERM_2!B120/1000+E49</f>
        <v>98.138979441863043</v>
      </c>
      <c r="F51" s="219"/>
      <c r="G51" s="219"/>
      <c r="H51" s="229">
        <f>SUM(E51:G51)</f>
        <v>98.138979441863043</v>
      </c>
      <c r="I51" s="222">
        <f>I49</f>
        <v>147.69999999999999</v>
      </c>
      <c r="J51" s="222">
        <f>J49</f>
        <v>0</v>
      </c>
      <c r="K51" s="229">
        <f>K49</f>
        <v>147.69999999999999</v>
      </c>
      <c r="L51" s="219"/>
      <c r="M51" s="230">
        <f>M49</f>
        <v>0</v>
      </c>
      <c r="N51" s="222">
        <f>N$6</f>
        <v>1.4191780821917808</v>
      </c>
      <c r="O51" s="223">
        <f>O$6</f>
        <v>2.5264109589041094E-2</v>
      </c>
      <c r="P51" s="224"/>
      <c r="Q51" s="2203">
        <f ca="1">Y51*((K51/X51)*V51)</f>
        <v>1.098221030314132</v>
      </c>
      <c r="R51" s="2204"/>
      <c r="S51" s="2205">
        <f ca="1">IF(Q51="n/a","n/a",Q51^2)</f>
        <v>1.2060894314242336</v>
      </c>
      <c r="T51" s="2205">
        <f ca="1">IF(OR(K51="n/a",S51="n/a"),"n/a",IF(H51=0,0,IF(M51=0,(LN(K51/H51)+((O51+(S51/2))*N51))/((S51*N51)^0.5),(LN(K51/H51)+((O51-M51+(S51/2))*N51))/((S51*N51)^0.5))))</f>
        <v>0.99402131760556178</v>
      </c>
      <c r="U51" s="2206">
        <f ca="1">IF(T51="n/a","n/a",IF(H51=0,0,T51-(S51*N51)^0.5))</f>
        <v>-0.31428127974736675</v>
      </c>
      <c r="V51" s="2206">
        <f ca="1">IF(OR(T51="n/a",S51="n/a"),"n/a",IF(H51=0,0,NORMSDIST(T51)))</f>
        <v>0.83989375540508182</v>
      </c>
      <c r="W51" s="2206">
        <f ca="1">IF(OR(U51="n/a",S51="n/a"),"n/a",IF(H51=0,0,NORMSDIST(U51)))</f>
        <v>0.37665370751836169</v>
      </c>
      <c r="X51" s="2206">
        <f ca="1">IF(OR(K51="n/a",S51="n/a"),"n/a",IF(M51=0,(K51*V51)-((H51*EXP(1)^(-O51*N51))*W51),(K51*(2.718^(-M51*N51))*V51)-(H51*(2.718^(-O51*N51))*W51)))</f>
        <v>88.389751215405823</v>
      </c>
      <c r="Y51" s="2049">
        <f>Y47</f>
        <v>0.78250445694741178</v>
      </c>
    </row>
    <row r="52" spans="1:25" ht="12.75" customHeight="1"/>
    <row r="53" spans="1:25" ht="12.75" customHeight="1">
      <c r="B53" s="8" t="s">
        <v>21</v>
      </c>
    </row>
    <row r="54" spans="1:25" ht="12.75" customHeight="1">
      <c r="A54" s="2124">
        <v>1</v>
      </c>
      <c r="B54" s="17" t="s">
        <v>708</v>
      </c>
    </row>
    <row r="55" spans="1:25" s="74" customFormat="1" ht="12.75" customHeight="1">
      <c r="A55" s="2124">
        <f>+A54+1</f>
        <v>2</v>
      </c>
      <c r="B55" s="320" t="s">
        <v>2306</v>
      </c>
      <c r="P55" s="20"/>
    </row>
    <row r="56" spans="1:25" s="74" customFormat="1" ht="26.1" customHeight="1">
      <c r="A56" s="2124">
        <f>+A55+1</f>
        <v>3</v>
      </c>
      <c r="B56" s="2300" t="s">
        <v>2873</v>
      </c>
      <c r="C56" s="2300"/>
      <c r="D56" s="2300"/>
      <c r="E56" s="2300"/>
      <c r="F56" s="2300"/>
      <c r="G56" s="2300"/>
      <c r="H56" s="2300"/>
      <c r="I56" s="2300"/>
      <c r="J56" s="2300"/>
      <c r="K56" s="2300"/>
      <c r="L56" s="2300"/>
      <c r="M56" s="2300"/>
      <c r="N56" s="2300"/>
      <c r="O56" s="2300"/>
      <c r="P56" s="2300"/>
      <c r="Q56" s="2300"/>
      <c r="R56" s="2300"/>
      <c r="S56" s="2300"/>
      <c r="T56" s="2300"/>
      <c r="U56" s="2300"/>
      <c r="V56" s="2300"/>
      <c r="W56" s="2300"/>
      <c r="X56" s="2300"/>
      <c r="Y56" s="2300"/>
    </row>
    <row r="57" spans="1:25" s="74" customFormat="1">
      <c r="A57" s="1945"/>
      <c r="B57" s="2050"/>
      <c r="C57" s="2050"/>
      <c r="D57" s="2050"/>
      <c r="E57" s="2050"/>
      <c r="F57" s="2050"/>
      <c r="G57" s="2050"/>
      <c r="H57" s="2050"/>
      <c r="I57" s="2050"/>
      <c r="J57" s="2050"/>
      <c r="K57" s="2050"/>
      <c r="L57" s="2050"/>
      <c r="M57" s="2050"/>
      <c r="N57" s="2050"/>
      <c r="O57" s="2050"/>
      <c r="P57" s="2050"/>
      <c r="Q57" s="2050"/>
      <c r="R57" s="2050"/>
      <c r="S57" s="2050"/>
      <c r="T57" s="2050"/>
      <c r="U57" s="2050"/>
      <c r="V57" s="2050"/>
      <c r="W57" s="2050"/>
      <c r="X57" s="2050"/>
      <c r="Y57" s="2050"/>
    </row>
    <row r="58" spans="1:25" ht="12.75" customHeight="1">
      <c r="B58" s="8" t="s">
        <v>51</v>
      </c>
    </row>
    <row r="59" spans="1:25" ht="12.75" customHeight="1"/>
    <row r="60" spans="1:25" ht="12.75" customHeight="1"/>
  </sheetData>
  <mergeCells count="1">
    <mergeCell ref="B56:Y56"/>
  </mergeCells>
  <conditionalFormatting sqref="B10:B39">
    <cfRule type="cellIs" dxfId="203" priority="8" operator="equal">
      <formula>"(Invalid Identifier)"</formula>
    </cfRule>
  </conditionalFormatting>
  <conditionalFormatting sqref="B4:I4">
    <cfRule type="cellIs" dxfId="202" priority="7" stopIfTrue="1" operator="equal">
      <formula>"input"</formula>
    </cfRule>
  </conditionalFormatting>
  <conditionalFormatting sqref="J4">
    <cfRule type="cellIs" dxfId="201" priority="5" stopIfTrue="1" operator="equal">
      <formula>"input"</formula>
    </cfRule>
  </conditionalFormatting>
  <conditionalFormatting sqref="J4">
    <cfRule type="cellIs" dxfId="200" priority="6" stopIfTrue="1" operator="equal">
      <formula>"input"</formula>
    </cfRule>
  </conditionalFormatting>
  <conditionalFormatting sqref="K4:X4">
    <cfRule type="cellIs" dxfId="199" priority="3" stopIfTrue="1" operator="equal">
      <formula>"input"</formula>
    </cfRule>
  </conditionalFormatting>
  <conditionalFormatting sqref="K4:X4">
    <cfRule type="cellIs" dxfId="198" priority="4" stopIfTrue="1" operator="equal">
      <formula>"input"</formula>
    </cfRule>
  </conditionalFormatting>
  <conditionalFormatting sqref="Y4">
    <cfRule type="cellIs" dxfId="197" priority="1" stopIfTrue="1" operator="equal">
      <formula>"input"</formula>
    </cfRule>
  </conditionalFormatting>
  <conditionalFormatting sqref="Y4">
    <cfRule type="cellIs" dxfId="196"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AI73"/>
  <sheetViews>
    <sheetView showGridLines="0" view="pageBreakPreview" zoomScaleNormal="100" zoomScaleSheetLayoutView="100" workbookViewId="0"/>
  </sheetViews>
  <sheetFormatPr defaultRowHeight="12.75" outlineLevelRow="1" outlineLevelCol="1"/>
  <cols>
    <col min="1" max="1" width="4.5" style="385" customWidth="1"/>
    <col min="2" max="2" width="44.1640625" style="385" customWidth="1"/>
    <col min="3" max="3" width="3.5" style="385" bestFit="1" customWidth="1"/>
    <col min="4" max="4" width="11" style="385" customWidth="1"/>
    <col min="5" max="5" width="10.83203125" style="385" hidden="1" customWidth="1" outlineLevel="1"/>
    <col min="6" max="7" width="9.83203125" style="385" hidden="1" customWidth="1" outlineLevel="1"/>
    <col min="8" max="8" width="11" style="385" bestFit="1" customWidth="1" collapsed="1"/>
    <col min="9" max="9" width="10.5" style="385" bestFit="1" customWidth="1"/>
    <col min="10" max="10" width="10.6640625" style="385" bestFit="1" customWidth="1"/>
    <col min="11" max="11" width="10.5" style="385" bestFit="1" customWidth="1"/>
    <col min="12" max="12" width="2.83203125" style="385" customWidth="1"/>
    <col min="13" max="13" width="10" style="385" bestFit="1" customWidth="1"/>
    <col min="14" max="14" width="8.6640625" style="385" customWidth="1"/>
    <col min="15" max="15" width="10.5" style="385" bestFit="1" customWidth="1"/>
    <col min="16" max="16" width="2.83203125" style="20" customWidth="1"/>
    <col min="17" max="17" width="9.83203125" style="385" customWidth="1"/>
    <col min="18" max="18" width="2.83203125" style="385" customWidth="1"/>
    <col min="19" max="19" width="11.6640625" style="385" hidden="1" customWidth="1" outlineLevel="1"/>
    <col min="20" max="23" width="8.83203125" style="385" hidden="1" customWidth="1" outlineLevel="1"/>
    <col min="24" max="24" width="10.1640625" style="385" customWidth="1" collapsed="1"/>
    <col min="25" max="25" width="10.1640625" style="385" customWidth="1"/>
    <col min="26" max="26" width="4.5" style="385" customWidth="1"/>
    <col min="27" max="27" width="17.5" style="385" bestFit="1" customWidth="1"/>
    <col min="28" max="28" width="12.33203125" style="385" bestFit="1" customWidth="1"/>
    <col min="29" max="29" width="9.5" style="385" bestFit="1" customWidth="1"/>
    <col min="30" max="30" width="10.1640625" style="385" bestFit="1" customWidth="1"/>
    <col min="31" max="16384" width="9.33203125" style="385"/>
  </cols>
  <sheetData>
    <row r="1" spans="2:35" ht="10.7" customHeight="1" thickBot="1">
      <c r="P1" s="385"/>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0" t="s">
        <v>22</v>
      </c>
      <c r="AB2" s="271">
        <f>+'Comp.1'!$AM$2</f>
        <v>43312</v>
      </c>
    </row>
    <row r="3" spans="2:35" ht="15.75" customHeight="1">
      <c r="B3" s="11" t="str">
        <f>VLOOKUP(B4,Outline!$E$8:$G$69,COLUMNS(Outline!$E$8:$G$8),FALSE)</f>
        <v>Exhibit H.3</v>
      </c>
      <c r="C3" s="11"/>
      <c r="D3" s="11"/>
      <c r="E3" s="11"/>
      <c r="F3" s="11"/>
      <c r="G3" s="11"/>
      <c r="H3" s="11"/>
      <c r="I3" s="11"/>
      <c r="J3" s="11"/>
      <c r="K3" s="11"/>
      <c r="L3" s="11"/>
      <c r="M3" s="11"/>
      <c r="N3" s="11"/>
      <c r="O3" s="11"/>
      <c r="P3" s="11"/>
      <c r="Q3" s="11"/>
      <c r="R3" s="11"/>
      <c r="S3" s="11"/>
      <c r="T3" s="11"/>
      <c r="U3" s="11"/>
      <c r="V3" s="11"/>
      <c r="W3" s="11"/>
      <c r="X3" s="11"/>
      <c r="Y3" s="11"/>
      <c r="AA3" s="194" t="s">
        <v>299</v>
      </c>
      <c r="AB3" s="275" t="str">
        <f>+'Comp.1'!$AM$3</f>
        <v>F</v>
      </c>
    </row>
    <row r="4" spans="2:35" ht="16.5" customHeight="1" thickBot="1">
      <c r="B4" s="12" t="str">
        <f>"Asset Volatility - "&amp;TEXT('PWERM DLOM'!E13,"")</f>
        <v>Asset Volatility - Late Exit</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4" t="s">
        <v>300</v>
      </c>
      <c r="AB4" s="275" t="str">
        <f>+'Comp.1'!$AM$4</f>
        <v>USD</v>
      </c>
    </row>
    <row r="5" spans="2:35" ht="12.75" customHeight="1" thickTop="1">
      <c r="B5" s="20"/>
      <c r="AA5" s="78" t="s">
        <v>24</v>
      </c>
      <c r="AB5" s="274" t="str">
        <f>+'Comp.1'!$AM$5</f>
        <v>H</v>
      </c>
    </row>
    <row r="6" spans="2:35" ht="12.75" hidden="1" customHeight="1" outlineLevel="1">
      <c r="N6" s="202">
        <f>'PWERM DLOM'!E15</f>
        <v>2.9178082191780823</v>
      </c>
      <c r="O6" s="203">
        <f>'Risk-Free Rates'!E34</f>
        <v>2.7609589041095891E-2</v>
      </c>
      <c r="Q6" s="204">
        <f>HLOOKUP(ROUND(N6,0),'Equity Vol'!$D$8:$I$8,1,TRUE)</f>
        <v>3</v>
      </c>
    </row>
    <row r="7" spans="2:35" ht="25.5" collapsed="1">
      <c r="D7" s="190" t="s">
        <v>26</v>
      </c>
      <c r="E7" s="191"/>
      <c r="F7" s="191"/>
      <c r="G7" s="191"/>
      <c r="H7" s="191"/>
      <c r="I7" s="191"/>
      <c r="J7" s="191"/>
      <c r="K7" s="192"/>
      <c r="M7" s="190" t="s">
        <v>27</v>
      </c>
      <c r="N7" s="191"/>
      <c r="O7" s="191"/>
      <c r="P7" s="205"/>
      <c r="Q7" s="192"/>
      <c r="S7" s="190" t="s">
        <v>28</v>
      </c>
      <c r="T7" s="191"/>
      <c r="U7" s="191"/>
      <c r="V7" s="191"/>
      <c r="W7" s="191"/>
      <c r="X7" s="995" t="s">
        <v>28</v>
      </c>
      <c r="Y7" s="996"/>
    </row>
    <row r="8" spans="2:35" s="6" customFormat="1" ht="29.25" customHeight="1">
      <c r="B8" s="460" t="s">
        <v>519</v>
      </c>
      <c r="D8" s="595" t="s">
        <v>29</v>
      </c>
      <c r="E8" s="596" t="s">
        <v>30</v>
      </c>
      <c r="F8" s="596" t="s">
        <v>31</v>
      </c>
      <c r="G8" s="596" t="s">
        <v>32</v>
      </c>
      <c r="H8" s="596" t="s">
        <v>33</v>
      </c>
      <c r="I8" s="596" t="s">
        <v>34</v>
      </c>
      <c r="J8" s="596" t="s">
        <v>35</v>
      </c>
      <c r="K8" s="597" t="s">
        <v>36</v>
      </c>
      <c r="L8" s="298"/>
      <c r="M8" s="595" t="s">
        <v>8</v>
      </c>
      <c r="N8" s="596" t="s">
        <v>37</v>
      </c>
      <c r="O8" s="597" t="s">
        <v>7</v>
      </c>
      <c r="P8" s="580"/>
      <c r="Q8" s="598" t="s">
        <v>38</v>
      </c>
      <c r="R8" s="580"/>
      <c r="S8" s="595" t="s">
        <v>39</v>
      </c>
      <c r="T8" s="596" t="s">
        <v>19</v>
      </c>
      <c r="U8" s="596" t="s">
        <v>20</v>
      </c>
      <c r="V8" s="596" t="s">
        <v>40</v>
      </c>
      <c r="W8" s="596" t="s">
        <v>41</v>
      </c>
      <c r="X8" s="599" t="s">
        <v>42</v>
      </c>
      <c r="Y8" s="597" t="s">
        <v>2875</v>
      </c>
      <c r="AA8" s="86" t="s">
        <v>43</v>
      </c>
      <c r="AB8" s="87" t="s">
        <v>44</v>
      </c>
      <c r="AC8" s="87" t="s">
        <v>45</v>
      </c>
      <c r="AD8" s="88"/>
    </row>
    <row r="9" spans="2:35" ht="12.75" customHeight="1">
      <c r="Y9" s="2160">
        <f>A54</f>
        <v>1</v>
      </c>
    </row>
    <row r="10" spans="2:35" ht="12.75" customHeight="1">
      <c r="B10" s="385" t="str">
        <f>'Comp.1'!B10</f>
        <v>Vertex Pharmaceuticals Incorporated</v>
      </c>
      <c r="D10" s="386">
        <f>'Beta Calc'!K10</f>
        <v>44574.8</v>
      </c>
      <c r="E10" s="386">
        <f>'Beta Calc'!L10</f>
        <v>592.70000000000005</v>
      </c>
      <c r="F10" s="386" t="str">
        <f>'Beta Calc'!M10</f>
        <v xml:space="preserve"> n/a </v>
      </c>
      <c r="G10" s="386">
        <f>'Beta Calc'!N10</f>
        <v>28.7</v>
      </c>
      <c r="H10" s="386">
        <f>SUM(E10:G10)</f>
        <v>621.40000000000009</v>
      </c>
      <c r="I10" s="386">
        <f>SUM(D10:G10)</f>
        <v>45196.2</v>
      </c>
      <c r="J10" s="386">
        <f>'Beta Calc'!Q10</f>
        <v>2767.8</v>
      </c>
      <c r="K10" s="386">
        <f>I10-J10</f>
        <v>42428.399999999994</v>
      </c>
      <c r="M10" s="54">
        <f>IFERROR('Capital IQ Sheet-GPC'!AT13,"n/a")</f>
        <v>0</v>
      </c>
      <c r="N10" s="386">
        <f t="shared" ref="N10:O29" si="0">N$6</f>
        <v>2.9178082191780823</v>
      </c>
      <c r="O10" s="206">
        <f t="shared" si="0"/>
        <v>2.7609589041095891E-2</v>
      </c>
      <c r="P10" s="207"/>
      <c r="Q10" s="208">
        <f>IFERROR(HLOOKUP($Q$6,'Equity Vol'!$B$8:$I10,ROWS('Equity Vol'!$C$8:$C10),FALSE),"n/a")</f>
        <v>0.40100000000000002</v>
      </c>
      <c r="R10" s="44"/>
      <c r="S10" s="209">
        <f>IFERROR(IF(Q10="n/a","n/a",Q10^2),"n/a")</f>
        <v>0.16080100000000003</v>
      </c>
      <c r="T10" s="209">
        <f t="shared" ref="T10:T29" si="1">IF(OR(K10="n/a",S10="n/a"),"n/a",IF(H10=0,0,IF(M10=0,(LN(K10/H10)+((O10+(S10/2))*N10))/((S10*N10)^0.5),(LN(K10/H10)+((O10-M10+(S10/2))*N10))/((S10*N10)^0.5))))</f>
        <v>6.6261857962834201</v>
      </c>
      <c r="U10" s="210">
        <f t="shared" ref="U10:U29" si="2">IF(T10="n/a","n/a",IF(H10=0,0,T10-(S10*N10)^0.5))</f>
        <v>5.9412139140487881</v>
      </c>
      <c r="V10" s="210">
        <f t="shared" ref="V10:V29" si="3">IF(OR(T10="n/a",S10="n/a"),"n/a",IF(H10=0,0,NORMSDIST(T10)))</f>
        <v>0.99999999998277644</v>
      </c>
      <c r="W10" s="210">
        <f t="shared" ref="W10:W29" si="4">IF(OR(U10="n/a",S10="n/a"),"n/a",IF(H10=0,0,NORMSDIST(U10)))</f>
        <v>0.99999999858540434</v>
      </c>
      <c r="X10" s="91">
        <f t="shared" ref="X10:X29" si="5">IF(OR(K10="n/a",S10="n/a"),"n/a",IF(M10=0,(K10*V10)-((H10*EXP(1)^(-O10*N10))*W10),(K10*(2.718^(-M10*N10))*V10)-(H10*(2.718^(-O10*N10))*W10)))</f>
        <v>41855.096347452534</v>
      </c>
      <c r="Y10" s="208">
        <f>IFERROR(IF(LEN(B10)&gt;0,IF(H10=0,Q10,IF(ISERROR(Q10/((K10/X10)*V10)),"n/a",Q10/((K10/X10)*V10)))),"n/a")</f>
        <v>0.39558158298728086</v>
      </c>
      <c r="AA10" s="92" t="str">
        <f>IF('MASTER PubCo Inputs'!B28=0,"",'MASTER PubCo Inputs'!B28)</f>
        <v>NasdaqGS:VRTX</v>
      </c>
      <c r="AB10" s="386">
        <f>'Beta Calc'!Z10</f>
        <v>42428.4</v>
      </c>
      <c r="AC10" s="93">
        <f t="shared" ref="AC10:AC29" si="6">K10-AB10</f>
        <v>0</v>
      </c>
      <c r="AI10" s="94"/>
    </row>
    <row r="11" spans="2:35" ht="12.75" customHeight="1">
      <c r="B11" s="385" t="str">
        <f>'Comp.1'!B11</f>
        <v>FibroGen, Inc.</v>
      </c>
      <c r="D11" s="386">
        <f>'Beta Calc'!K11</f>
        <v>5153.3</v>
      </c>
      <c r="E11" s="386">
        <f>'Beta Calc'!L11</f>
        <v>115.4</v>
      </c>
      <c r="F11" s="386" t="str">
        <f>'Beta Calc'!M11</f>
        <v xml:space="preserve"> n/a </v>
      </c>
      <c r="G11" s="386">
        <f>'Beta Calc'!N11</f>
        <v>19.3</v>
      </c>
      <c r="H11" s="386">
        <f t="shared" ref="H11:H29" si="7">SUM(E11:G11)</f>
        <v>134.70000000000002</v>
      </c>
      <c r="I11" s="386">
        <f t="shared" ref="I11:I29" si="8">SUM(D11:G11)</f>
        <v>5288</v>
      </c>
      <c r="J11" s="386">
        <f>'Beta Calc'!Q11</f>
        <v>703.8</v>
      </c>
      <c r="K11" s="386">
        <f t="shared" ref="K11:K29" si="9">I11-J11</f>
        <v>4584.2</v>
      </c>
      <c r="M11" s="54">
        <f>IFERROR('Capital IQ Sheet-GPC'!AT14,"n/a")</f>
        <v>0</v>
      </c>
      <c r="N11" s="386">
        <f t="shared" si="0"/>
        <v>2.9178082191780823</v>
      </c>
      <c r="O11" s="206">
        <f t="shared" si="0"/>
        <v>2.7609589041095891E-2</v>
      </c>
      <c r="P11" s="207"/>
      <c r="Q11" s="208">
        <f>IFERROR(HLOOKUP($Q$6,'Equity Vol'!$B$8:$I11,ROWS('Equity Vol'!$C$8:$C11),FALSE),"n/a")</f>
        <v>0.60099999999999998</v>
      </c>
      <c r="R11" s="44"/>
      <c r="S11" s="209">
        <f t="shared" ref="S11:S29" si="10">IFERROR(IF(Q11="n/a","n/a",Q11^2),"n/a")</f>
        <v>0.36120099999999999</v>
      </c>
      <c r="T11" s="209">
        <f t="shared" si="1"/>
        <v>4.0276863770906477</v>
      </c>
      <c r="U11" s="210">
        <f t="shared" si="2"/>
        <v>3.0010826333923584</v>
      </c>
      <c r="V11" s="210">
        <f t="shared" si="3"/>
        <v>0.9999718357941354</v>
      </c>
      <c r="W11" s="210">
        <f t="shared" si="4"/>
        <v>0.99865489225112292</v>
      </c>
      <c r="X11" s="91">
        <f t="shared" si="5"/>
        <v>4459.963829130179</v>
      </c>
      <c r="Y11" s="208">
        <f t="shared" ref="Y11:Y29" si="11">IFERROR(IF(LEN(B11)&gt;0,IF(H11=0,Q11,IF(ISERROR(Q11/((K11/X11)*V11)),"n/a",Q11/((K11/X11)*V11)))),"n/a")</f>
        <v>0.58472879801240796</v>
      </c>
      <c r="AA11" s="92" t="str">
        <f>IF('MASTER PubCo Inputs'!B29=0,"",'MASTER PubCo Inputs'!B29)</f>
        <v>NasdaqGS:FGEN</v>
      </c>
      <c r="AB11" s="386">
        <f>'Beta Calc'!Z11</f>
        <v>4584.3</v>
      </c>
      <c r="AC11" s="93">
        <f t="shared" si="6"/>
        <v>-0.1000000000003638</v>
      </c>
      <c r="AI11" s="94"/>
    </row>
    <row r="12" spans="2:35" ht="12.75" customHeight="1">
      <c r="B12" s="385" t="str">
        <f>'Comp.1'!B12</f>
        <v>Galapagos NV</v>
      </c>
      <c r="D12" s="386">
        <f>'Beta Calc'!K12</f>
        <v>5773</v>
      </c>
      <c r="E12" s="386" t="str">
        <f>'Beta Calc'!L12</f>
        <v xml:space="preserve"> -   </v>
      </c>
      <c r="F12" s="386" t="str">
        <f>'Beta Calc'!M12</f>
        <v xml:space="preserve"> n/a </v>
      </c>
      <c r="G12" s="386" t="str">
        <f>'Beta Calc'!N12</f>
        <v xml:space="preserve"> n/a </v>
      </c>
      <c r="H12" s="386">
        <f t="shared" si="7"/>
        <v>0</v>
      </c>
      <c r="I12" s="386">
        <f t="shared" si="8"/>
        <v>5773</v>
      </c>
      <c r="J12" s="386">
        <f>'Beta Calc'!Q12</f>
        <v>1365.3</v>
      </c>
      <c r="K12" s="386">
        <f t="shared" si="9"/>
        <v>4407.7</v>
      </c>
      <c r="M12" s="54">
        <f>IFERROR('Capital IQ Sheet-GPC'!AT15,"n/a")</f>
        <v>0</v>
      </c>
      <c r="N12" s="386">
        <f t="shared" si="0"/>
        <v>2.9178082191780823</v>
      </c>
      <c r="O12" s="206">
        <f t="shared" si="0"/>
        <v>2.7609589041095891E-2</v>
      </c>
      <c r="P12" s="207"/>
      <c r="Q12" s="208">
        <f>IFERROR(HLOOKUP($Q$6,'Equity Vol'!$B$8:$I12,ROWS('Equity Vol'!$C$8:$C12),FALSE),"n/a")</f>
        <v>0.40200000000000002</v>
      </c>
      <c r="R12" s="44"/>
      <c r="S12" s="209">
        <f t="shared" si="10"/>
        <v>0.16160400000000003</v>
      </c>
      <c r="T12" s="209">
        <f t="shared" si="1"/>
        <v>0</v>
      </c>
      <c r="U12" s="210">
        <f t="shared" si="2"/>
        <v>0</v>
      </c>
      <c r="V12" s="210">
        <f t="shared" si="3"/>
        <v>0</v>
      </c>
      <c r="W12" s="210">
        <f t="shared" si="4"/>
        <v>0</v>
      </c>
      <c r="X12" s="91">
        <f t="shared" si="5"/>
        <v>0</v>
      </c>
      <c r="Y12" s="208">
        <f t="shared" si="11"/>
        <v>0.40200000000000002</v>
      </c>
      <c r="AA12" s="92" t="str">
        <f>IF('MASTER PubCo Inputs'!B30=0,"",'MASTER PubCo Inputs'!B30)</f>
        <v>ENXTAM:GLPG</v>
      </c>
      <c r="AB12" s="386">
        <f>'Beta Calc'!Z12</f>
        <v>4474.8999999999996</v>
      </c>
      <c r="AC12" s="93">
        <f t="shared" si="6"/>
        <v>-67.199999999999818</v>
      </c>
      <c r="AI12" s="94"/>
    </row>
    <row r="13" spans="2:35" ht="12.75" customHeight="1">
      <c r="B13" s="385" t="str">
        <f>'Comp.1'!B13</f>
        <v>Madrigal Pharmaceuticals, Inc.</v>
      </c>
      <c r="D13" s="386">
        <f>'Beta Calc'!K13</f>
        <v>3964.4</v>
      </c>
      <c r="E13" s="386" t="str">
        <f>'Beta Calc'!L13</f>
        <v xml:space="preserve"> -   </v>
      </c>
      <c r="F13" s="386" t="str">
        <f>'Beta Calc'!M13</f>
        <v xml:space="preserve"> n/a </v>
      </c>
      <c r="G13" s="386" t="str">
        <f>'Beta Calc'!N13</f>
        <v xml:space="preserve"> n/a </v>
      </c>
      <c r="H13" s="386">
        <f t="shared" si="7"/>
        <v>0</v>
      </c>
      <c r="I13" s="386">
        <f t="shared" si="8"/>
        <v>3964.4</v>
      </c>
      <c r="J13" s="386">
        <f>'Beta Calc'!Q13</f>
        <v>182.8</v>
      </c>
      <c r="K13" s="386">
        <f t="shared" si="9"/>
        <v>3781.6</v>
      </c>
      <c r="M13" s="54">
        <f>IFERROR('Capital IQ Sheet-GPC'!AT16,"n/a")</f>
        <v>0</v>
      </c>
      <c r="N13" s="386">
        <f t="shared" si="0"/>
        <v>2.9178082191780823</v>
      </c>
      <c r="O13" s="206">
        <f t="shared" si="0"/>
        <v>2.7609589041095891E-2</v>
      </c>
      <c r="P13" s="207"/>
      <c r="Q13" s="208">
        <f>IFERROR(HLOOKUP($Q$6,'Equity Vol'!$B$8:$I13,ROWS('Equity Vol'!$C$8:$C13),FALSE),"n/a")</f>
        <v>1.016</v>
      </c>
      <c r="R13" s="44"/>
      <c r="S13" s="209">
        <f t="shared" si="10"/>
        <v>1.0322560000000001</v>
      </c>
      <c r="T13" s="209">
        <f t="shared" si="1"/>
        <v>0</v>
      </c>
      <c r="U13" s="210">
        <f t="shared" si="2"/>
        <v>0</v>
      </c>
      <c r="V13" s="210">
        <f t="shared" si="3"/>
        <v>0</v>
      </c>
      <c r="W13" s="210">
        <f t="shared" si="4"/>
        <v>0</v>
      </c>
      <c r="X13" s="91">
        <f t="shared" si="5"/>
        <v>0</v>
      </c>
      <c r="Y13" s="208">
        <f t="shared" si="11"/>
        <v>1.016</v>
      </c>
      <c r="AA13" s="92" t="str">
        <f>IF('MASTER PubCo Inputs'!B31=0,"",'MASTER PubCo Inputs'!B31)</f>
        <v>NasdaqCM:MDGL</v>
      </c>
      <c r="AB13" s="386">
        <f>'Beta Calc'!Z13</f>
        <v>3781.5</v>
      </c>
      <c r="AC13" s="93">
        <f t="shared" si="6"/>
        <v>9.9999999999909051E-2</v>
      </c>
      <c r="AI13" s="94"/>
    </row>
    <row r="14" spans="2:35" ht="12.75" customHeight="1">
      <c r="B14" s="385" t="str">
        <f>'Comp.1'!B14</f>
        <v>Intercept Pharmaceuticals, Inc.</v>
      </c>
      <c r="D14" s="386">
        <f>'Beta Calc'!K14</f>
        <v>2630.5</v>
      </c>
      <c r="E14" s="386">
        <f>'Beta Calc'!L14</f>
        <v>359.4</v>
      </c>
      <c r="F14" s="386" t="str">
        <f>'Beta Calc'!M14</f>
        <v xml:space="preserve"> n/a </v>
      </c>
      <c r="G14" s="386" t="str">
        <f>'Beta Calc'!N14</f>
        <v xml:space="preserve"> n/a </v>
      </c>
      <c r="H14" s="386">
        <f t="shared" si="7"/>
        <v>359.4</v>
      </c>
      <c r="I14" s="386">
        <f t="shared" si="8"/>
        <v>2989.9</v>
      </c>
      <c r="J14" s="386">
        <f>'Beta Calc'!Q14</f>
        <v>326.10000000000002</v>
      </c>
      <c r="K14" s="386">
        <f t="shared" si="9"/>
        <v>2663.8</v>
      </c>
      <c r="M14" s="54">
        <f>IFERROR('Capital IQ Sheet-GPC'!AT17,"n/a")</f>
        <v>0</v>
      </c>
      <c r="N14" s="386">
        <f t="shared" si="0"/>
        <v>2.9178082191780823</v>
      </c>
      <c r="O14" s="206">
        <f t="shared" si="0"/>
        <v>2.7609589041095891E-2</v>
      </c>
      <c r="P14" s="207"/>
      <c r="Q14" s="208">
        <f>IFERROR(HLOOKUP($Q$6,'Equity Vol'!$B$8:$I14,ROWS('Equity Vol'!$C$8:$C14),FALSE),"n/a")</f>
        <v>0.6</v>
      </c>
      <c r="R14" s="44"/>
      <c r="S14" s="209">
        <f t="shared" si="10"/>
        <v>0.36</v>
      </c>
      <c r="T14" s="209">
        <f t="shared" si="1"/>
        <v>2.5454670548239591</v>
      </c>
      <c r="U14" s="210">
        <f t="shared" si="2"/>
        <v>1.5205714704329882</v>
      </c>
      <c r="V14" s="210">
        <f t="shared" si="3"/>
        <v>0.9945434169355104</v>
      </c>
      <c r="W14" s="210">
        <f t="shared" si="4"/>
        <v>0.93581629462066818</v>
      </c>
      <c r="X14" s="91">
        <f t="shared" si="5"/>
        <v>2338.9644968360044</v>
      </c>
      <c r="Y14" s="208">
        <f t="shared" si="11"/>
        <v>0.52972383978057525</v>
      </c>
      <c r="AA14" s="92" t="str">
        <f>IF('MASTER PubCo Inputs'!B32=0,"",'MASTER PubCo Inputs'!B32)</f>
        <v>NasdaqGS:ICPT</v>
      </c>
      <c r="AB14" s="386">
        <f>'Beta Calc'!Z14</f>
        <v>2663.9</v>
      </c>
      <c r="AC14" s="93">
        <f t="shared" si="6"/>
        <v>-9.9999999999909051E-2</v>
      </c>
      <c r="AI14" s="94"/>
    </row>
    <row r="15" spans="2:35" ht="12.75" customHeight="1">
      <c r="B15" s="385" t="str">
        <f>'Comp.1'!B15</f>
        <v>Insmed Incorporated</v>
      </c>
      <c r="D15" s="386">
        <f>'Beta Calc'!K15</f>
        <v>1863.5</v>
      </c>
      <c r="E15" s="386">
        <f>'Beta Calc'!L15</f>
        <v>302.7</v>
      </c>
      <c r="F15" s="386" t="str">
        <f>'Beta Calc'!M15</f>
        <v xml:space="preserve"> n/a </v>
      </c>
      <c r="G15" s="386" t="str">
        <f>'Beta Calc'!N15</f>
        <v xml:space="preserve"> n/a </v>
      </c>
      <c r="H15" s="386">
        <f t="shared" si="7"/>
        <v>302.7</v>
      </c>
      <c r="I15" s="386">
        <f t="shared" si="8"/>
        <v>2166.1999999999998</v>
      </c>
      <c r="J15" s="386">
        <f>'Beta Calc'!Q15</f>
        <v>686.6</v>
      </c>
      <c r="K15" s="386">
        <f t="shared" si="9"/>
        <v>1479.6</v>
      </c>
      <c r="M15" s="54">
        <f>IFERROR('Capital IQ Sheet-GPC'!AT18,"n/a")</f>
        <v>0</v>
      </c>
      <c r="N15" s="386">
        <f t="shared" si="0"/>
        <v>2.9178082191780823</v>
      </c>
      <c r="O15" s="206">
        <f t="shared" si="0"/>
        <v>2.7609589041095891E-2</v>
      </c>
      <c r="P15" s="207"/>
      <c r="Q15" s="208">
        <f>IFERROR(HLOOKUP($Q$6,'Equity Vol'!$B$8:$I15,ROWS('Equity Vol'!$C$8:$C15),FALSE),"n/a")</f>
        <v>0.69899999999999995</v>
      </c>
      <c r="R15" s="44"/>
      <c r="S15" s="209">
        <f t="shared" si="10"/>
        <v>0.48860099999999995</v>
      </c>
      <c r="T15" s="209">
        <f t="shared" si="1"/>
        <v>1.9934335402152807</v>
      </c>
      <c r="U15" s="210">
        <f t="shared" si="2"/>
        <v>0.79943018439979974</v>
      </c>
      <c r="V15" s="210">
        <f t="shared" si="3"/>
        <v>0.97689300288599268</v>
      </c>
      <c r="W15" s="210">
        <f t="shared" si="4"/>
        <v>0.78797949302985282</v>
      </c>
      <c r="X15" s="91">
        <f t="shared" si="5"/>
        <v>1225.3510454655077</v>
      </c>
      <c r="Y15" s="208">
        <f t="shared" si="11"/>
        <v>0.59257916793236476</v>
      </c>
      <c r="AA15" s="92" t="str">
        <f>IF('MASTER PubCo Inputs'!B33=0,"",'MASTER PubCo Inputs'!B33)</f>
        <v>NasdaqGS:INSM</v>
      </c>
      <c r="AB15" s="386">
        <f>'Beta Calc'!Z15</f>
        <v>1479.6</v>
      </c>
      <c r="AC15" s="93">
        <f t="shared" si="6"/>
        <v>0</v>
      </c>
      <c r="AI15" s="94"/>
    </row>
    <row r="16" spans="2:35" ht="12.75" customHeight="1">
      <c r="B16" s="385" t="str">
        <f>'Comp.1'!B16</f>
        <v>Genfit SA</v>
      </c>
      <c r="D16" s="386">
        <f>'Beta Calc'!K16</f>
        <v>882.5</v>
      </c>
      <c r="E16" s="386">
        <f>'Beta Calc'!L16</f>
        <v>196.6</v>
      </c>
      <c r="F16" s="386" t="str">
        <f>'Beta Calc'!M16</f>
        <v xml:space="preserve"> n/a </v>
      </c>
      <c r="G16" s="386" t="str">
        <f>'Beta Calc'!N16</f>
        <v xml:space="preserve"> n/a </v>
      </c>
      <c r="H16" s="386">
        <f t="shared" si="7"/>
        <v>196.6</v>
      </c>
      <c r="I16" s="386">
        <f t="shared" si="8"/>
        <v>1079.0999999999999</v>
      </c>
      <c r="J16" s="386">
        <f>'Beta Calc'!Q16</f>
        <v>328.8</v>
      </c>
      <c r="K16" s="386">
        <f t="shared" si="9"/>
        <v>750.3</v>
      </c>
      <c r="M16" s="54">
        <f>IFERROR('Capital IQ Sheet-GPC'!AT19,"n/a")</f>
        <v>0</v>
      </c>
      <c r="N16" s="386">
        <f t="shared" si="0"/>
        <v>2.9178082191780823</v>
      </c>
      <c r="O16" s="206">
        <f t="shared" si="0"/>
        <v>2.7609589041095891E-2</v>
      </c>
      <c r="P16" s="207"/>
      <c r="Q16" s="208">
        <f>IFERROR(HLOOKUP($Q$6,'Equity Vol'!$B$8:$I16,ROWS('Equity Vol'!$C$8:$C16),FALSE),"n/a")</f>
        <v>0.48599999999999999</v>
      </c>
      <c r="R16" s="44"/>
      <c r="S16" s="209">
        <f t="shared" si="10"/>
        <v>0.23619599999999999</v>
      </c>
      <c r="T16" s="209">
        <f t="shared" si="1"/>
        <v>2.1254182240028574</v>
      </c>
      <c r="U16" s="210">
        <f t="shared" si="2"/>
        <v>1.295252800646171</v>
      </c>
      <c r="V16" s="210">
        <f t="shared" si="3"/>
        <v>0.9832241345172319</v>
      </c>
      <c r="W16" s="210">
        <f t="shared" si="4"/>
        <v>0.90238348217806541</v>
      </c>
      <c r="X16" s="91">
        <f t="shared" si="5"/>
        <v>574.03589699383531</v>
      </c>
      <c r="Y16" s="208">
        <f t="shared" si="11"/>
        <v>0.37817067094505175</v>
      </c>
      <c r="AA16" s="92" t="str">
        <f>IF('MASTER PubCo Inputs'!B34=0,"",'MASTER PubCo Inputs'!B34)</f>
        <v>ENXTPA:GNFT</v>
      </c>
      <c r="AB16" s="386">
        <f>'Beta Calc'!Z16</f>
        <v>753.6</v>
      </c>
      <c r="AC16" s="93">
        <f t="shared" si="6"/>
        <v>-3.3000000000000682</v>
      </c>
      <c r="AI16" s="94"/>
    </row>
    <row r="17" spans="2:35" ht="12.75" customHeight="1">
      <c r="B17" s="385" t="str">
        <f>'Comp.1'!B17</f>
        <v>Kadmon Holdings, Inc.</v>
      </c>
      <c r="D17" s="386">
        <f>'Beta Calc'!K17</f>
        <v>365.5</v>
      </c>
      <c r="E17" s="386">
        <f>'Beta Calc'!L17</f>
        <v>33.1</v>
      </c>
      <c r="F17" s="386">
        <f>'Beta Calc'!M17</f>
        <v>40.700000000000003</v>
      </c>
      <c r="G17" s="386" t="str">
        <f>'Beta Calc'!N17</f>
        <v xml:space="preserve"> n/a </v>
      </c>
      <c r="H17" s="386">
        <f t="shared" si="7"/>
        <v>73.800000000000011</v>
      </c>
      <c r="I17" s="386">
        <f t="shared" si="8"/>
        <v>439.3</v>
      </c>
      <c r="J17" s="386">
        <f>'Beta Calc'!Q17</f>
        <v>49.2</v>
      </c>
      <c r="K17" s="386">
        <f t="shared" si="9"/>
        <v>390.1</v>
      </c>
      <c r="M17" s="54">
        <f>IFERROR('Capital IQ Sheet-GPC'!AT20,"n/a")</f>
        <v>0</v>
      </c>
      <c r="N17" s="386">
        <f t="shared" si="0"/>
        <v>2.9178082191780823</v>
      </c>
      <c r="O17" s="206">
        <f t="shared" si="0"/>
        <v>2.7609589041095891E-2</v>
      </c>
      <c r="P17" s="207"/>
      <c r="Q17" s="208">
        <f>IFERROR(HLOOKUP($Q$6,'Equity Vol'!$B$8:$I17,ROWS('Equity Vol'!$C$8:$C17),FALSE),"n/a")</f>
        <v>0.67200000000000004</v>
      </c>
      <c r="R17" s="44"/>
      <c r="S17" s="209">
        <f t="shared" si="10"/>
        <v>0.45158400000000004</v>
      </c>
      <c r="T17" s="209">
        <f t="shared" si="1"/>
        <v>2.0946573038948997</v>
      </c>
      <c r="U17" s="210">
        <f t="shared" si="2"/>
        <v>0.94677424937701216</v>
      </c>
      <c r="V17" s="210">
        <f t="shared" si="3"/>
        <v>0.98189926637393687</v>
      </c>
      <c r="W17" s="210">
        <f t="shared" si="4"/>
        <v>0.82812308696119996</v>
      </c>
      <c r="X17" s="91">
        <f t="shared" si="5"/>
        <v>326.65375720027981</v>
      </c>
      <c r="Y17" s="208">
        <f t="shared" si="11"/>
        <v>0.5730784070592887</v>
      </c>
      <c r="AA17" s="92" t="str">
        <f>IF('MASTER PubCo Inputs'!B35=0,"",'MASTER PubCo Inputs'!B35)</f>
        <v>NYSE:KDMN</v>
      </c>
      <c r="AB17" s="386">
        <f>'Beta Calc'!Z17</f>
        <v>390.1</v>
      </c>
      <c r="AC17" s="93">
        <f t="shared" si="6"/>
        <v>0</v>
      </c>
      <c r="AI17" s="94"/>
    </row>
    <row r="18" spans="2:35" ht="12.75" customHeight="1">
      <c r="B18" s="385" t="str">
        <f>'Comp.1'!B18</f>
        <v>MediciNova, Inc.</v>
      </c>
      <c r="D18" s="386">
        <f>'Beta Calc'!K18</f>
        <v>398.7</v>
      </c>
      <c r="E18" s="386" t="str">
        <f>'Beta Calc'!L18</f>
        <v xml:space="preserve"> -   </v>
      </c>
      <c r="F18" s="386" t="str">
        <f>'Beta Calc'!M18</f>
        <v xml:space="preserve"> n/a </v>
      </c>
      <c r="G18" s="386" t="str">
        <f>'Beta Calc'!N18</f>
        <v xml:space="preserve"> n/a </v>
      </c>
      <c r="H18" s="386">
        <f t="shared" si="7"/>
        <v>0</v>
      </c>
      <c r="I18" s="386">
        <f t="shared" si="8"/>
        <v>398.7</v>
      </c>
      <c r="J18" s="386">
        <f>'Beta Calc'!Q18</f>
        <v>64.2</v>
      </c>
      <c r="K18" s="386">
        <f t="shared" si="9"/>
        <v>334.5</v>
      </c>
      <c r="M18" s="54">
        <f>IFERROR('Capital IQ Sheet-GPC'!AT21,"n/a")</f>
        <v>0</v>
      </c>
      <c r="N18" s="386">
        <f t="shared" si="0"/>
        <v>2.9178082191780823</v>
      </c>
      <c r="O18" s="206">
        <f t="shared" si="0"/>
        <v>2.7609589041095891E-2</v>
      </c>
      <c r="P18" s="207"/>
      <c r="Q18" s="208">
        <f>IFERROR(HLOOKUP($Q$6,'Equity Vol'!$B$8:$I18,ROWS('Equity Vol'!$C$8:$C18),FALSE),"n/a")</f>
        <v>0.54200000000000004</v>
      </c>
      <c r="R18" s="44"/>
      <c r="S18" s="209">
        <f t="shared" si="10"/>
        <v>0.29376400000000003</v>
      </c>
      <c r="T18" s="209">
        <f t="shared" si="1"/>
        <v>0</v>
      </c>
      <c r="U18" s="210">
        <f t="shared" si="2"/>
        <v>0</v>
      </c>
      <c r="V18" s="210">
        <f t="shared" si="3"/>
        <v>0</v>
      </c>
      <c r="W18" s="210">
        <f t="shared" si="4"/>
        <v>0</v>
      </c>
      <c r="X18" s="91">
        <f t="shared" si="5"/>
        <v>0</v>
      </c>
      <c r="Y18" s="208">
        <f t="shared" si="11"/>
        <v>0.54200000000000004</v>
      </c>
      <c r="AA18" s="92" t="str">
        <f>IF('MASTER PubCo Inputs'!B36=0,"",'MASTER PubCo Inputs'!B36)</f>
        <v>NasdaqGM:MNOV</v>
      </c>
      <c r="AB18" s="386">
        <f>'Beta Calc'!Z18</f>
        <v>334.5</v>
      </c>
      <c r="AC18" s="93">
        <f t="shared" si="6"/>
        <v>0</v>
      </c>
      <c r="AI18" s="94"/>
    </row>
    <row r="19" spans="2:35" ht="12.75" customHeight="1">
      <c r="B19" s="385" t="str">
        <f>'Comp.1'!B19</f>
        <v>Savara Inc.</v>
      </c>
      <c r="D19" s="386">
        <f>'Beta Calc'!K19</f>
        <v>393.3</v>
      </c>
      <c r="E19" s="386">
        <f>'Beta Calc'!L19</f>
        <v>15.2</v>
      </c>
      <c r="F19" s="386" t="str">
        <f>'Beta Calc'!M19</f>
        <v xml:space="preserve"> n/a </v>
      </c>
      <c r="G19" s="386" t="str">
        <f>'Beta Calc'!N19</f>
        <v xml:space="preserve"> n/a </v>
      </c>
      <c r="H19" s="386">
        <f t="shared" si="7"/>
        <v>15.2</v>
      </c>
      <c r="I19" s="386">
        <f t="shared" si="8"/>
        <v>408.5</v>
      </c>
      <c r="J19" s="386">
        <f>'Beta Calc'!Q19</f>
        <v>85.2</v>
      </c>
      <c r="K19" s="386">
        <f t="shared" si="9"/>
        <v>323.3</v>
      </c>
      <c r="M19" s="54">
        <f>IFERROR('Capital IQ Sheet-GPC'!AT22,"n/a")</f>
        <v>0</v>
      </c>
      <c r="N19" s="386">
        <f t="shared" si="0"/>
        <v>2.9178082191780823</v>
      </c>
      <c r="O19" s="206">
        <f t="shared" si="0"/>
        <v>2.7609589041095891E-2</v>
      </c>
      <c r="P19" s="207"/>
      <c r="Q19" s="208">
        <f>IFERROR(HLOOKUP($Q$6,'Equity Vol'!$B$8:$I19,ROWS('Equity Vol'!$C$8:$C19),FALSE),"n/a")</f>
        <v>0.628</v>
      </c>
      <c r="R19" s="44"/>
      <c r="S19" s="209">
        <f t="shared" si="10"/>
        <v>0.39438400000000001</v>
      </c>
      <c r="T19" s="209">
        <f t="shared" si="1"/>
        <v>3.461480329810088</v>
      </c>
      <c r="U19" s="210">
        <f t="shared" si="2"/>
        <v>2.388756284814205</v>
      </c>
      <c r="V19" s="210">
        <f t="shared" si="3"/>
        <v>0.99973139331177663</v>
      </c>
      <c r="W19" s="210">
        <f t="shared" si="4"/>
        <v>0.99154724363216373</v>
      </c>
      <c r="X19" s="91">
        <f t="shared" si="5"/>
        <v>309.30817654940324</v>
      </c>
      <c r="Y19" s="208">
        <f t="shared" si="11"/>
        <v>0.60098275453555094</v>
      </c>
      <c r="AA19" s="92" t="str">
        <f>IF('MASTER PubCo Inputs'!B37=0,"",'MASTER PubCo Inputs'!B37)</f>
        <v>NasdaqGS:SVRA</v>
      </c>
      <c r="AB19" s="386">
        <f>'Beta Calc'!Z19</f>
        <v>323.39999999999998</v>
      </c>
      <c r="AC19" s="93">
        <f t="shared" si="6"/>
        <v>-9.9999999999965894E-2</v>
      </c>
      <c r="AI19" s="94"/>
    </row>
    <row r="20" spans="2:35" ht="12.75" customHeight="1">
      <c r="B20" s="385" t="str">
        <f>'Comp.1'!B20</f>
        <v>Galmed Pharmaceuticals Ltd.</v>
      </c>
      <c r="D20" s="386">
        <f>'Beta Calc'!K20</f>
        <v>289.7</v>
      </c>
      <c r="E20" s="386" t="str">
        <f>'Beta Calc'!L20</f>
        <v xml:space="preserve"> -   </v>
      </c>
      <c r="F20" s="386" t="str">
        <f>'Beta Calc'!M20</f>
        <v xml:space="preserve"> n/a </v>
      </c>
      <c r="G20" s="386" t="str">
        <f>'Beta Calc'!N20</f>
        <v xml:space="preserve"> n/a </v>
      </c>
      <c r="H20" s="386">
        <f t="shared" si="7"/>
        <v>0</v>
      </c>
      <c r="I20" s="386">
        <f t="shared" si="8"/>
        <v>289.7</v>
      </c>
      <c r="J20" s="386">
        <f>'Beta Calc'!Q20</f>
        <v>15.5</v>
      </c>
      <c r="K20" s="386">
        <f t="shared" si="9"/>
        <v>274.2</v>
      </c>
      <c r="M20" s="54">
        <f>IFERROR('Capital IQ Sheet-GPC'!AT23,"n/a")</f>
        <v>0</v>
      </c>
      <c r="N20" s="386">
        <f t="shared" si="0"/>
        <v>2.9178082191780823</v>
      </c>
      <c r="O20" s="206">
        <f t="shared" si="0"/>
        <v>2.7609589041095891E-2</v>
      </c>
      <c r="P20" s="207"/>
      <c r="Q20" s="208">
        <f>IFERROR(HLOOKUP($Q$6,'Equity Vol'!$B$8:$I20,ROWS('Equity Vol'!$C$8:$C20),FALSE),"n/a")</f>
        <v>0.97699999999999998</v>
      </c>
      <c r="R20" s="44"/>
      <c r="S20" s="209">
        <f t="shared" si="10"/>
        <v>0.95452899999999996</v>
      </c>
      <c r="T20" s="209">
        <f t="shared" si="1"/>
        <v>0</v>
      </c>
      <c r="U20" s="210">
        <f t="shared" si="2"/>
        <v>0</v>
      </c>
      <c r="V20" s="210">
        <f t="shared" si="3"/>
        <v>0</v>
      </c>
      <c r="W20" s="210">
        <f t="shared" si="4"/>
        <v>0</v>
      </c>
      <c r="X20" s="91">
        <f t="shared" si="5"/>
        <v>0</v>
      </c>
      <c r="Y20" s="208">
        <f t="shared" si="11"/>
        <v>0.97699999999999998</v>
      </c>
      <c r="AA20" s="92" t="str">
        <f>IF('MASTER PubCo Inputs'!B38=0,"",'MASTER PubCo Inputs'!B38)</f>
        <v>NasdaqCM:GLMD</v>
      </c>
      <c r="AB20" s="386">
        <f>'Beta Calc'!Z20</f>
        <v>274.2</v>
      </c>
      <c r="AC20" s="93">
        <f t="shared" si="6"/>
        <v>0</v>
      </c>
      <c r="AI20" s="94"/>
    </row>
    <row r="21" spans="2:35" ht="12.75" customHeight="1">
      <c r="B21" s="385" t="str">
        <f>'Comp.1'!B21</f>
        <v>Galectin Therapeutics, Inc.</v>
      </c>
      <c r="D21" s="386">
        <f>'Beta Calc'!K21</f>
        <v>202.3</v>
      </c>
      <c r="E21" s="386" t="str">
        <f>'Beta Calc'!L21</f>
        <v xml:space="preserve"> -   </v>
      </c>
      <c r="F21" s="386">
        <f>'Beta Calc'!M21</f>
        <v>9</v>
      </c>
      <c r="G21" s="386" t="str">
        <f>'Beta Calc'!N21</f>
        <v xml:space="preserve"> n/a </v>
      </c>
      <c r="H21" s="386">
        <f t="shared" si="7"/>
        <v>9</v>
      </c>
      <c r="I21" s="386">
        <f t="shared" si="8"/>
        <v>211.3</v>
      </c>
      <c r="J21" s="386">
        <f>'Beta Calc'!Q21</f>
        <v>4</v>
      </c>
      <c r="K21" s="386">
        <f t="shared" si="9"/>
        <v>207.3</v>
      </c>
      <c r="M21" s="54">
        <f>IFERROR('Capital IQ Sheet-GPC'!AT24,"n/a")</f>
        <v>0</v>
      </c>
      <c r="N21" s="386">
        <f t="shared" si="0"/>
        <v>2.9178082191780823</v>
      </c>
      <c r="O21" s="206">
        <f t="shared" si="0"/>
        <v>2.7609589041095891E-2</v>
      </c>
      <c r="P21" s="207"/>
      <c r="Q21" s="208">
        <f>IFERROR(HLOOKUP($Q$6,'Equity Vol'!$B$8:$I21,ROWS('Equity Vol'!$C$8:$C21),FALSE),"n/a")</f>
        <v>1.0489999999999999</v>
      </c>
      <c r="R21" s="44"/>
      <c r="S21" s="209">
        <f t="shared" si="10"/>
        <v>1.100401</v>
      </c>
      <c r="T21" s="209">
        <f t="shared" si="1"/>
        <v>2.6915517146571837</v>
      </c>
      <c r="U21" s="210">
        <f t="shared" si="2"/>
        <v>0.89969260128030304</v>
      </c>
      <c r="V21" s="210">
        <f t="shared" si="3"/>
        <v>0.99644397645162242</v>
      </c>
      <c r="W21" s="210">
        <f t="shared" si="4"/>
        <v>0.81585806907378278</v>
      </c>
      <c r="X21" s="91">
        <f t="shared" si="5"/>
        <v>199.78844027846006</v>
      </c>
      <c r="Y21" s="208">
        <f t="shared" si="11"/>
        <v>1.0145971927352664</v>
      </c>
      <c r="AA21" s="92" t="str">
        <f>IF('MASTER PubCo Inputs'!B39=0,"",'MASTER PubCo Inputs'!B39)</f>
        <v>NasdaqCM:GALT</v>
      </c>
      <c r="AB21" s="386">
        <f>'Beta Calc'!Z21</f>
        <v>207.3</v>
      </c>
      <c r="AC21" s="93">
        <f t="shared" si="6"/>
        <v>0</v>
      </c>
      <c r="AI21" s="94"/>
    </row>
    <row r="22" spans="2:35" ht="12.75" customHeight="1">
      <c r="B22" s="385" t="str">
        <f>'Comp.1'!B22</f>
        <v>Corbus Pharmaceuticals Holdings, Inc.</v>
      </c>
      <c r="D22" s="386">
        <f>'Beta Calc'!K22</f>
        <v>274.3</v>
      </c>
      <c r="E22" s="386">
        <f>'Beta Calc'!L22</f>
        <v>0.2</v>
      </c>
      <c r="F22" s="386" t="str">
        <f>'Beta Calc'!M22</f>
        <v xml:space="preserve"> n/a </v>
      </c>
      <c r="G22" s="386" t="str">
        <f>'Beta Calc'!N22</f>
        <v xml:space="preserve"> n/a </v>
      </c>
      <c r="H22" s="386">
        <f t="shared" si="7"/>
        <v>0.2</v>
      </c>
      <c r="I22" s="386">
        <f t="shared" si="8"/>
        <v>274.5</v>
      </c>
      <c r="J22" s="386">
        <f>'Beta Calc'!Q22</f>
        <v>71</v>
      </c>
      <c r="K22" s="386">
        <f t="shared" si="9"/>
        <v>203.5</v>
      </c>
      <c r="M22" s="54">
        <f>IFERROR('Capital IQ Sheet-GPC'!AT25,"n/a")</f>
        <v>0</v>
      </c>
      <c r="N22" s="386">
        <f t="shared" si="0"/>
        <v>2.9178082191780823</v>
      </c>
      <c r="O22" s="206">
        <f t="shared" si="0"/>
        <v>2.7609589041095891E-2</v>
      </c>
      <c r="P22" s="207"/>
      <c r="Q22" s="208">
        <f>IFERROR(HLOOKUP($Q$6,'Equity Vol'!$B$8:$I22,ROWS('Equity Vol'!$C$8:$C22),FALSE),"n/a")</f>
        <v>0.79900000000000004</v>
      </c>
      <c r="R22" s="44"/>
      <c r="S22" s="209">
        <f t="shared" si="10"/>
        <v>0.63840100000000011</v>
      </c>
      <c r="T22" s="209">
        <f t="shared" si="1"/>
        <v>5.8154433512539718</v>
      </c>
      <c r="U22" s="210">
        <f t="shared" si="2"/>
        <v>4.4506240647066626</v>
      </c>
      <c r="V22" s="210">
        <f t="shared" si="3"/>
        <v>0.99999999697633046</v>
      </c>
      <c r="W22" s="210">
        <f t="shared" si="4"/>
        <v>0.99999571894439632</v>
      </c>
      <c r="X22" s="91">
        <f t="shared" si="5"/>
        <v>203.31548017055937</v>
      </c>
      <c r="Y22" s="208">
        <f t="shared" si="11"/>
        <v>0.79827552406618796</v>
      </c>
      <c r="AA22" s="92" t="str">
        <f>IF('MASTER PubCo Inputs'!B40=0,"",'MASTER PubCo Inputs'!B40)</f>
        <v>NasdaqGM:CRBP</v>
      </c>
      <c r="AB22" s="386">
        <f>'Beta Calc'!Z22</f>
        <v>203.5</v>
      </c>
      <c r="AC22" s="93">
        <f t="shared" si="6"/>
        <v>0</v>
      </c>
      <c r="AI22" s="94"/>
    </row>
    <row r="23" spans="2:35" ht="12.75" customHeight="1">
      <c r="B23" s="385" t="str">
        <f>'Comp.1'!B23</f>
        <v>ProQR Therapeutics N.V.</v>
      </c>
      <c r="D23" s="386">
        <f>'Beta Calc'!K23</f>
        <v>212.3</v>
      </c>
      <c r="E23" s="386">
        <f>'Beta Calc'!L23</f>
        <v>8.6999999999999993</v>
      </c>
      <c r="F23" s="386" t="str">
        <f>'Beta Calc'!M23</f>
        <v xml:space="preserve"> n/a </v>
      </c>
      <c r="G23" s="386">
        <f>'Beta Calc'!N23</f>
        <v>0</v>
      </c>
      <c r="H23" s="386">
        <f t="shared" si="7"/>
        <v>8.6999999999999993</v>
      </c>
      <c r="I23" s="386">
        <f t="shared" si="8"/>
        <v>221</v>
      </c>
      <c r="J23" s="386">
        <f>'Beta Calc'!Q23</f>
        <v>57.8</v>
      </c>
      <c r="K23" s="386">
        <f t="shared" si="9"/>
        <v>163.19999999999999</v>
      </c>
      <c r="M23" s="54">
        <f>IFERROR('Capital IQ Sheet-GPC'!AT26,"n/a")</f>
        <v>0</v>
      </c>
      <c r="N23" s="386">
        <f t="shared" si="0"/>
        <v>2.9178082191780823</v>
      </c>
      <c r="O23" s="206">
        <f t="shared" si="0"/>
        <v>2.7609589041095891E-2</v>
      </c>
      <c r="P23" s="207"/>
      <c r="Q23" s="208">
        <f>IFERROR(HLOOKUP($Q$6,'Equity Vol'!$B$8:$I23,ROWS('Equity Vol'!$C$8:$C23),FALSE),"n/a")</f>
        <v>0.73199999999999998</v>
      </c>
      <c r="R23" s="44"/>
      <c r="S23" s="209">
        <f t="shared" si="10"/>
        <v>0.53582399999999997</v>
      </c>
      <c r="T23" s="209">
        <f t="shared" si="1"/>
        <v>3.0342385133867813</v>
      </c>
      <c r="U23" s="210">
        <f t="shared" si="2"/>
        <v>1.783865900429797</v>
      </c>
      <c r="V23" s="210">
        <f t="shared" si="3"/>
        <v>0.99879428150544081</v>
      </c>
      <c r="W23" s="210">
        <f t="shared" si="4"/>
        <v>0.96277727098533539</v>
      </c>
      <c r="X23" s="91">
        <f t="shared" si="5"/>
        <v>155.27537927263668</v>
      </c>
      <c r="Y23" s="208">
        <f t="shared" si="11"/>
        <v>0.69729648853939652</v>
      </c>
      <c r="AA23" s="92" t="str">
        <f>IF('MASTER PubCo Inputs'!B41=0,"",'MASTER PubCo Inputs'!B41)</f>
        <v>NasdaqGM:PRQR</v>
      </c>
      <c r="AB23" s="386">
        <f>'Beta Calc'!Z23</f>
        <v>174.9</v>
      </c>
      <c r="AC23" s="93">
        <f t="shared" si="6"/>
        <v>-11.700000000000017</v>
      </c>
      <c r="AI23" s="94"/>
    </row>
    <row r="24" spans="2:35" ht="12.75" customHeight="1">
      <c r="B24" s="385" t="str">
        <f>'Comp.1'!B24</f>
        <v>Miragen Therapeutics, Inc.</v>
      </c>
      <c r="D24" s="386">
        <f>'Beta Calc'!K24</f>
        <v>194.7</v>
      </c>
      <c r="E24" s="386">
        <f>'Beta Calc'!L24</f>
        <v>10</v>
      </c>
      <c r="F24" s="386" t="str">
        <f>'Beta Calc'!M24</f>
        <v xml:space="preserve"> n/a </v>
      </c>
      <c r="G24" s="386" t="str">
        <f>'Beta Calc'!N24</f>
        <v xml:space="preserve"> n/a </v>
      </c>
      <c r="H24" s="386">
        <f t="shared" si="7"/>
        <v>10</v>
      </c>
      <c r="I24" s="386">
        <f t="shared" si="8"/>
        <v>204.7</v>
      </c>
      <c r="J24" s="386">
        <f>'Beta Calc'!Q24</f>
        <v>78.099999999999994</v>
      </c>
      <c r="K24" s="386">
        <f t="shared" si="9"/>
        <v>126.6</v>
      </c>
      <c r="M24" s="54">
        <f>IFERROR('Capital IQ Sheet-GPC'!AT27,"n/a")</f>
        <v>0</v>
      </c>
      <c r="N24" s="386">
        <f t="shared" si="0"/>
        <v>2.9178082191780823</v>
      </c>
      <c r="O24" s="206">
        <f t="shared" si="0"/>
        <v>2.7609589041095891E-2</v>
      </c>
      <c r="P24" s="207"/>
      <c r="Q24" s="208">
        <f>IFERROR(HLOOKUP($Q$6,'Equity Vol'!$B$8:$I24,ROWS('Equity Vol'!$C$8:$C24),FALSE),"n/a")</f>
        <v>0.69599999999999995</v>
      </c>
      <c r="R24" s="44"/>
      <c r="S24" s="209">
        <f t="shared" si="10"/>
        <v>0.48441599999999996</v>
      </c>
      <c r="T24" s="209">
        <f t="shared" si="1"/>
        <v>2.7973609907104429</v>
      </c>
      <c r="U24" s="210">
        <f t="shared" si="2"/>
        <v>1.6084821128169169</v>
      </c>
      <c r="V24" s="210">
        <f t="shared" si="3"/>
        <v>0.99742390337666398</v>
      </c>
      <c r="W24" s="210">
        <f t="shared" si="4"/>
        <v>0.94613518468057423</v>
      </c>
      <c r="X24" s="91">
        <f t="shared" si="5"/>
        <v>117.54482276135521</v>
      </c>
      <c r="Y24" s="208">
        <f t="shared" si="11"/>
        <v>0.64788700247279551</v>
      </c>
      <c r="AA24" s="92" t="str">
        <f>IF('MASTER PubCo Inputs'!B42=0,"",'MASTER PubCo Inputs'!B42)</f>
        <v>NasdaqCM:MGEN</v>
      </c>
      <c r="AB24" s="386">
        <f>'Beta Calc'!Z24</f>
        <v>126.7</v>
      </c>
      <c r="AC24" s="93">
        <f t="shared" si="6"/>
        <v>-0.10000000000000853</v>
      </c>
      <c r="AI24" s="94"/>
    </row>
    <row r="25" spans="2:35" ht="12.75" customHeight="1">
      <c r="B25" s="385" t="str">
        <f>'Comp.1'!B25</f>
        <v>Conatus Pharmaceuticals Inc.</v>
      </c>
      <c r="D25" s="386">
        <f>'Beta Calc'!K25</f>
        <v>115.7</v>
      </c>
      <c r="E25" s="386">
        <f>'Beta Calc'!L25</f>
        <v>13.3</v>
      </c>
      <c r="F25" s="386" t="str">
        <f>'Beta Calc'!M25</f>
        <v xml:space="preserve"> n/a </v>
      </c>
      <c r="G25" s="386" t="str">
        <f>'Beta Calc'!N25</f>
        <v xml:space="preserve"> n/a </v>
      </c>
      <c r="H25" s="386">
        <f t="shared" si="7"/>
        <v>13.3</v>
      </c>
      <c r="I25" s="386">
        <f t="shared" si="8"/>
        <v>129</v>
      </c>
      <c r="J25" s="386">
        <f>'Beta Calc'!Q25</f>
        <v>66.8</v>
      </c>
      <c r="K25" s="386">
        <f t="shared" si="9"/>
        <v>62.2</v>
      </c>
      <c r="M25" s="54">
        <f>IFERROR('Capital IQ Sheet-GPC'!AT28,"n/a")</f>
        <v>0</v>
      </c>
      <c r="N25" s="386">
        <f t="shared" si="0"/>
        <v>2.9178082191780823</v>
      </c>
      <c r="O25" s="206">
        <f t="shared" si="0"/>
        <v>2.7609589041095891E-2</v>
      </c>
      <c r="P25" s="207"/>
      <c r="Q25" s="208">
        <f>IFERROR(HLOOKUP($Q$6,'Equity Vol'!$B$8:$I25,ROWS('Equity Vol'!$C$8:$C25),FALSE),"n/a")</f>
        <v>0.93</v>
      </c>
      <c r="R25" s="44"/>
      <c r="S25" s="209">
        <f t="shared" si="10"/>
        <v>0.86490000000000011</v>
      </c>
      <c r="T25" s="209">
        <f t="shared" si="1"/>
        <v>1.8160506889021089</v>
      </c>
      <c r="U25" s="210">
        <f t="shared" si="2"/>
        <v>0.22746253309610398</v>
      </c>
      <c r="V25" s="210">
        <f t="shared" si="3"/>
        <v>0.96531870154414456</v>
      </c>
      <c r="W25" s="210">
        <f t="shared" si="4"/>
        <v>0.58996795003010971</v>
      </c>
      <c r="X25" s="91">
        <f t="shared" si="5"/>
        <v>52.803574148312336</v>
      </c>
      <c r="Y25" s="208">
        <f t="shared" si="11"/>
        <v>0.81787166744100792</v>
      </c>
      <c r="AA25" s="92" t="str">
        <f>IF('MASTER PubCo Inputs'!B43=0,"",'MASTER PubCo Inputs'!B43)</f>
        <v>NasdaqGM:CNAT</v>
      </c>
      <c r="AB25" s="386">
        <f>'Beta Calc'!Z25</f>
        <v>62.3</v>
      </c>
      <c r="AC25" s="93">
        <f t="shared" si="6"/>
        <v>-9.9999999999994316E-2</v>
      </c>
      <c r="AI25" s="94"/>
    </row>
    <row r="26" spans="2:35" ht="12.75" customHeight="1">
      <c r="B26" s="385" t="str">
        <f>'Comp.1'!B26</f>
        <v>Immuron Limited</v>
      </c>
      <c r="D26" s="386">
        <f>'Beta Calc'!K26</f>
        <v>39.700000000000003</v>
      </c>
      <c r="E26" s="386">
        <f>'Beta Calc'!L26</f>
        <v>0</v>
      </c>
      <c r="F26" s="386" t="str">
        <f>'Beta Calc'!M26</f>
        <v xml:space="preserve"> n/a </v>
      </c>
      <c r="G26" s="386" t="str">
        <f>'Beta Calc'!N26</f>
        <v xml:space="preserve"> n/a </v>
      </c>
      <c r="H26" s="386">
        <f t="shared" si="7"/>
        <v>0</v>
      </c>
      <c r="I26" s="386">
        <f t="shared" si="8"/>
        <v>39.700000000000003</v>
      </c>
      <c r="J26" s="386">
        <f>'Beta Calc'!Q26</f>
        <v>0.5</v>
      </c>
      <c r="K26" s="386">
        <f t="shared" si="9"/>
        <v>39.200000000000003</v>
      </c>
      <c r="M26" s="54">
        <f>IFERROR('Capital IQ Sheet-GPC'!AT29,"n/a")</f>
        <v>0</v>
      </c>
      <c r="N26" s="386">
        <f t="shared" si="0"/>
        <v>2.9178082191780823</v>
      </c>
      <c r="O26" s="206">
        <f t="shared" si="0"/>
        <v>2.7609589041095891E-2</v>
      </c>
      <c r="P26" s="207"/>
      <c r="Q26" s="208">
        <f>IFERROR(HLOOKUP($Q$6,'Equity Vol'!$B$8:$I26,ROWS('Equity Vol'!$C$8:$C26),FALSE),"n/a")</f>
        <v>0.96199999999999997</v>
      </c>
      <c r="R26" s="44"/>
      <c r="S26" s="209">
        <f t="shared" si="10"/>
        <v>0.92544399999999993</v>
      </c>
      <c r="T26" s="209">
        <f t="shared" si="1"/>
        <v>0</v>
      </c>
      <c r="U26" s="210">
        <f t="shared" si="2"/>
        <v>0</v>
      </c>
      <c r="V26" s="210">
        <f t="shared" si="3"/>
        <v>0</v>
      </c>
      <c r="W26" s="210">
        <f t="shared" si="4"/>
        <v>0</v>
      </c>
      <c r="X26" s="91">
        <f t="shared" si="5"/>
        <v>0</v>
      </c>
      <c r="Y26" s="208">
        <f t="shared" si="11"/>
        <v>0.96199999999999997</v>
      </c>
      <c r="AA26" s="92" t="str">
        <f>IF('MASTER PubCo Inputs'!B44=0,"",'MASTER PubCo Inputs'!B44)</f>
        <v>ASX:IMC</v>
      </c>
      <c r="AB26" s="386">
        <f>'Beta Calc'!Z26</f>
        <v>39.299999999999997</v>
      </c>
      <c r="AC26" s="93">
        <f t="shared" si="6"/>
        <v>-9.9999999999994316E-2</v>
      </c>
      <c r="AI26" s="94"/>
    </row>
    <row r="27" spans="2:35" ht="12.75" customHeight="1">
      <c r="B27" s="385" t="str">
        <f>'Comp.1'!B27</f>
        <v>AdAlta Limited</v>
      </c>
      <c r="D27" s="386">
        <f>'Beta Calc'!K27</f>
        <v>25.2</v>
      </c>
      <c r="E27" s="386" t="str">
        <f>'Beta Calc'!L27</f>
        <v xml:space="preserve"> -   </v>
      </c>
      <c r="F27" s="386" t="str">
        <f>'Beta Calc'!M27</f>
        <v xml:space="preserve"> n/a </v>
      </c>
      <c r="G27" s="386" t="str">
        <f>'Beta Calc'!N27</f>
        <v xml:space="preserve"> n/a </v>
      </c>
      <c r="H27" s="386">
        <f t="shared" si="7"/>
        <v>0</v>
      </c>
      <c r="I27" s="386">
        <f t="shared" si="8"/>
        <v>25.2</v>
      </c>
      <c r="J27" s="386">
        <f>'Beta Calc'!Q27</f>
        <v>4.0999999999999996</v>
      </c>
      <c r="K27" s="386">
        <f t="shared" si="9"/>
        <v>21.1</v>
      </c>
      <c r="M27" s="54">
        <f>IFERROR('Capital IQ Sheet-GPC'!AT30,"n/a")</f>
        <v>0</v>
      </c>
      <c r="N27" s="386">
        <f t="shared" si="0"/>
        <v>2.9178082191780823</v>
      </c>
      <c r="O27" s="206">
        <f t="shared" si="0"/>
        <v>2.7609589041095891E-2</v>
      </c>
      <c r="P27" s="207"/>
      <c r="Q27" s="208">
        <f>IFERROR(HLOOKUP($Q$6,'Equity Vol'!$B$8:$I27,ROWS('Equity Vol'!$C$8:$C27),FALSE),"n/a")</f>
        <v>0.89800000000000002</v>
      </c>
      <c r="R27" s="44"/>
      <c r="S27" s="209">
        <f t="shared" si="10"/>
        <v>0.80640400000000001</v>
      </c>
      <c r="T27" s="209">
        <f t="shared" si="1"/>
        <v>0</v>
      </c>
      <c r="U27" s="210">
        <f t="shared" si="2"/>
        <v>0</v>
      </c>
      <c r="V27" s="210">
        <f t="shared" si="3"/>
        <v>0</v>
      </c>
      <c r="W27" s="210">
        <f t="shared" si="4"/>
        <v>0</v>
      </c>
      <c r="X27" s="91">
        <f t="shared" si="5"/>
        <v>0</v>
      </c>
      <c r="Y27" s="208">
        <f t="shared" si="11"/>
        <v>0.89800000000000002</v>
      </c>
      <c r="AA27" s="92" t="str">
        <f>IF('MASTER PubCo Inputs'!B45=0,"",'MASTER PubCo Inputs'!B45)</f>
        <v>ASX:1AD</v>
      </c>
      <c r="AB27" s="386">
        <f>'Beta Calc'!Z27</f>
        <v>21.3</v>
      </c>
      <c r="AC27" s="93">
        <f t="shared" si="6"/>
        <v>-0.19999999999999929</v>
      </c>
      <c r="AI27" s="94"/>
    </row>
    <row r="28" spans="2:35" ht="12.75" customHeight="1">
      <c r="B28" s="385" t="str">
        <f>'Comp.1'!B28</f>
        <v>Pulmatrix, Inc.</v>
      </c>
      <c r="D28" s="386">
        <f>'Beta Calc'!K28</f>
        <v>19.3</v>
      </c>
      <c r="E28" s="386">
        <f>'Beta Calc'!L28</f>
        <v>2.5</v>
      </c>
      <c r="F28" s="386" t="str">
        <f>'Beta Calc'!M28</f>
        <v xml:space="preserve"> n/a </v>
      </c>
      <c r="G28" s="386" t="str">
        <f>'Beta Calc'!N28</f>
        <v xml:space="preserve"> n/a </v>
      </c>
      <c r="H28" s="386">
        <f t="shared" si="7"/>
        <v>2.5</v>
      </c>
      <c r="I28" s="386">
        <f t="shared" si="8"/>
        <v>21.8</v>
      </c>
      <c r="J28" s="386">
        <f>'Beta Calc'!Q28</f>
        <v>1.6</v>
      </c>
      <c r="K28" s="386">
        <f t="shared" si="9"/>
        <v>20.2</v>
      </c>
      <c r="M28" s="54">
        <f>IFERROR('Capital IQ Sheet-GPC'!AT31,"n/a")</f>
        <v>0</v>
      </c>
      <c r="N28" s="386">
        <f t="shared" si="0"/>
        <v>2.9178082191780823</v>
      </c>
      <c r="O28" s="206">
        <f t="shared" si="0"/>
        <v>2.7609589041095891E-2</v>
      </c>
      <c r="P28" s="207"/>
      <c r="Q28" s="208">
        <f>IFERROR(HLOOKUP($Q$6,'Equity Vol'!$B$8:$I28,ROWS('Equity Vol'!$C$8:$C28),FALSE),"n/a")</f>
        <v>1.226</v>
      </c>
      <c r="R28" s="44"/>
      <c r="S28" s="209">
        <f t="shared" si="10"/>
        <v>1.5030759999999999</v>
      </c>
      <c r="T28" s="209">
        <f t="shared" si="1"/>
        <v>2.0832719962519604</v>
      </c>
      <c r="U28" s="210">
        <f t="shared" si="2"/>
        <v>-1.0931314520256308E-2</v>
      </c>
      <c r="V28" s="210">
        <f t="shared" si="3"/>
        <v>0.98138678109847777</v>
      </c>
      <c r="W28" s="210">
        <f t="shared" si="4"/>
        <v>0.49563912330717946</v>
      </c>
      <c r="X28" s="91">
        <f t="shared" si="5"/>
        <v>18.680821315101095</v>
      </c>
      <c r="Y28" s="208">
        <f t="shared" si="11"/>
        <v>1.1553002390339389</v>
      </c>
      <c r="AA28" s="92" t="str">
        <f>IF('MASTER PubCo Inputs'!B46=0,"",'MASTER PubCo Inputs'!B46)</f>
        <v>NasdaqGM:PULM</v>
      </c>
      <c r="AB28" s="386">
        <f>'Beta Calc'!Z28</f>
        <v>20.3</v>
      </c>
      <c r="AC28" s="93">
        <f t="shared" si="6"/>
        <v>-0.10000000000000142</v>
      </c>
      <c r="AI28" s="94"/>
    </row>
    <row r="29" spans="2:35" ht="12.75" customHeight="1">
      <c r="B29" s="385" t="str">
        <f>'Comp.1'!B29</f>
        <v>AmpliPhi Biosciences Corporation</v>
      </c>
      <c r="D29" s="386">
        <f>'Beta Calc'!K29</f>
        <v>16.5</v>
      </c>
      <c r="E29" s="386" t="str">
        <f>'Beta Calc'!L29</f>
        <v xml:space="preserve"> -   </v>
      </c>
      <c r="F29" s="386" t="str">
        <f>'Beta Calc'!M29</f>
        <v xml:space="preserve"> n/a </v>
      </c>
      <c r="G29" s="386" t="str">
        <f>'Beta Calc'!N29</f>
        <v xml:space="preserve"> n/a </v>
      </c>
      <c r="H29" s="386">
        <f t="shared" si="7"/>
        <v>0</v>
      </c>
      <c r="I29" s="386">
        <f t="shared" si="8"/>
        <v>16.5</v>
      </c>
      <c r="J29" s="386">
        <f>'Beta Calc'!Q29</f>
        <v>8.1999999999999993</v>
      </c>
      <c r="K29" s="386">
        <f t="shared" si="9"/>
        <v>8.3000000000000007</v>
      </c>
      <c r="M29" s="54">
        <f>IFERROR('Capital IQ Sheet-GPC'!AT32,"n/a")</f>
        <v>0</v>
      </c>
      <c r="N29" s="386">
        <f t="shared" si="0"/>
        <v>2.9178082191780823</v>
      </c>
      <c r="O29" s="206">
        <f t="shared" si="0"/>
        <v>2.7609589041095891E-2</v>
      </c>
      <c r="P29" s="207"/>
      <c r="Q29" s="208">
        <f>IFERROR(HLOOKUP($Q$6,'Equity Vol'!$B$8:$I29,ROWS('Equity Vol'!$C$8:$C29),FALSE),"n/a")</f>
        <v>1.2470000000000001</v>
      </c>
      <c r="R29" s="44"/>
      <c r="S29" s="209">
        <f t="shared" si="10"/>
        <v>1.5550090000000003</v>
      </c>
      <c r="T29" s="209">
        <f t="shared" si="1"/>
        <v>0</v>
      </c>
      <c r="U29" s="210">
        <f t="shared" si="2"/>
        <v>0</v>
      </c>
      <c r="V29" s="210">
        <f t="shared" si="3"/>
        <v>0</v>
      </c>
      <c r="W29" s="210">
        <f t="shared" si="4"/>
        <v>0</v>
      </c>
      <c r="X29" s="91">
        <f t="shared" si="5"/>
        <v>0</v>
      </c>
      <c r="Y29" s="208">
        <f t="shared" si="11"/>
        <v>1.2470000000000001</v>
      </c>
      <c r="AA29" s="92" t="str">
        <f>IF('MASTER PubCo Inputs'!B47=0,"",'MASTER PubCo Inputs'!B47)</f>
        <v>AMEX:APHB</v>
      </c>
      <c r="AB29" s="386">
        <f>'Beta Calc'!Z29</f>
        <v>8.3000000000000007</v>
      </c>
      <c r="AC29" s="93">
        <f t="shared" si="6"/>
        <v>0</v>
      </c>
      <c r="AI29" s="94"/>
    </row>
    <row r="30" spans="2:35" ht="12.75" hidden="1" customHeight="1" outlineLevel="1">
      <c r="D30" s="386"/>
      <c r="E30" s="386"/>
      <c r="F30" s="386"/>
      <c r="G30" s="386"/>
      <c r="H30" s="386"/>
      <c r="I30" s="386"/>
      <c r="J30" s="386"/>
      <c r="K30" s="386"/>
      <c r="M30" s="54"/>
      <c r="N30" s="386"/>
      <c r="O30" s="206"/>
      <c r="P30" s="207"/>
      <c r="Q30" s="208"/>
      <c r="R30" s="44"/>
      <c r="S30" s="209"/>
      <c r="T30" s="209"/>
      <c r="U30" s="210"/>
      <c r="V30" s="210"/>
      <c r="W30" s="210"/>
      <c r="X30" s="91"/>
      <c r="Y30" s="208"/>
      <c r="AA30" s="92"/>
      <c r="AB30" s="386"/>
      <c r="AC30" s="93"/>
      <c r="AI30" s="94"/>
    </row>
    <row r="31" spans="2:35" ht="12.75" hidden="1" customHeight="1" outlineLevel="1">
      <c r="D31" s="386"/>
      <c r="E31" s="386"/>
      <c r="F31" s="386"/>
      <c r="G31" s="386"/>
      <c r="H31" s="386"/>
      <c r="I31" s="386"/>
      <c r="J31" s="386"/>
      <c r="K31" s="386"/>
      <c r="M31" s="54"/>
      <c r="N31" s="386"/>
      <c r="O31" s="206"/>
      <c r="P31" s="207"/>
      <c r="Q31" s="208"/>
      <c r="R31" s="44"/>
      <c r="S31" s="209"/>
      <c r="T31" s="209"/>
      <c r="U31" s="210"/>
      <c r="V31" s="210"/>
      <c r="W31" s="210"/>
      <c r="X31" s="91"/>
      <c r="Y31" s="208"/>
      <c r="AA31" s="92"/>
      <c r="AB31" s="386"/>
      <c r="AC31" s="93"/>
      <c r="AI31" s="94"/>
    </row>
    <row r="32" spans="2:35" ht="12.75" hidden="1" customHeight="1" outlineLevel="1">
      <c r="D32" s="386"/>
      <c r="E32" s="386"/>
      <c r="F32" s="386"/>
      <c r="G32" s="386"/>
      <c r="H32" s="386"/>
      <c r="I32" s="386"/>
      <c r="J32" s="386"/>
      <c r="K32" s="386"/>
      <c r="M32" s="54"/>
      <c r="N32" s="386"/>
      <c r="O32" s="206"/>
      <c r="P32" s="207"/>
      <c r="Q32" s="208"/>
      <c r="R32" s="44"/>
      <c r="S32" s="209"/>
      <c r="T32" s="209"/>
      <c r="U32" s="210"/>
      <c r="V32" s="210"/>
      <c r="W32" s="210"/>
      <c r="X32" s="386"/>
      <c r="Y32" s="208"/>
      <c r="AA32" s="92"/>
      <c r="AB32" s="386"/>
      <c r="AC32" s="93"/>
      <c r="AI32" s="94"/>
    </row>
    <row r="33" spans="2:35" ht="12.75" hidden="1" customHeight="1" outlineLevel="1">
      <c r="D33" s="386"/>
      <c r="E33" s="386"/>
      <c r="F33" s="386"/>
      <c r="G33" s="386"/>
      <c r="H33" s="386"/>
      <c r="I33" s="386"/>
      <c r="J33" s="386"/>
      <c r="K33" s="386"/>
      <c r="M33" s="54"/>
      <c r="N33" s="386"/>
      <c r="O33" s="206"/>
      <c r="P33" s="207"/>
      <c r="Q33" s="208"/>
      <c r="R33" s="44"/>
      <c r="S33" s="209"/>
      <c r="T33" s="209"/>
      <c r="U33" s="210"/>
      <c r="V33" s="210"/>
      <c r="W33" s="210"/>
      <c r="X33" s="386"/>
      <c r="Y33" s="208"/>
      <c r="AA33" s="92"/>
      <c r="AB33" s="386"/>
      <c r="AC33" s="93"/>
      <c r="AI33" s="94"/>
    </row>
    <row r="34" spans="2:35" ht="12.75" hidden="1" customHeight="1" outlineLevel="1">
      <c r="D34" s="386"/>
      <c r="E34" s="386"/>
      <c r="F34" s="386"/>
      <c r="G34" s="386"/>
      <c r="H34" s="386"/>
      <c r="I34" s="386"/>
      <c r="J34" s="386"/>
      <c r="K34" s="386"/>
      <c r="M34" s="54"/>
      <c r="N34" s="386"/>
      <c r="O34" s="206"/>
      <c r="P34" s="207"/>
      <c r="Q34" s="208"/>
      <c r="R34" s="44"/>
      <c r="S34" s="209"/>
      <c r="T34" s="209"/>
      <c r="U34" s="210"/>
      <c r="V34" s="210"/>
      <c r="W34" s="210"/>
      <c r="X34" s="386"/>
      <c r="Y34" s="208"/>
      <c r="AA34" s="92"/>
      <c r="AB34" s="386"/>
      <c r="AC34" s="93"/>
      <c r="AI34" s="94"/>
    </row>
    <row r="35" spans="2:35" ht="12.75" hidden="1" customHeight="1" outlineLevel="1">
      <c r="D35" s="386"/>
      <c r="E35" s="386"/>
      <c r="F35" s="386"/>
      <c r="G35" s="386"/>
      <c r="H35" s="386"/>
      <c r="I35" s="386"/>
      <c r="J35" s="386"/>
      <c r="K35" s="386"/>
      <c r="M35" s="54"/>
      <c r="N35" s="386"/>
      <c r="O35" s="206"/>
      <c r="P35" s="207"/>
      <c r="Q35" s="208"/>
      <c r="R35" s="44"/>
      <c r="S35" s="209"/>
      <c r="T35" s="209"/>
      <c r="U35" s="210"/>
      <c r="V35" s="210"/>
      <c r="W35" s="210"/>
      <c r="X35" s="386"/>
      <c r="Y35" s="208"/>
      <c r="AA35" s="92"/>
      <c r="AB35" s="386"/>
      <c r="AC35" s="93"/>
      <c r="AI35" s="94"/>
    </row>
    <row r="36" spans="2:35" ht="12.75" hidden="1" customHeight="1" outlineLevel="1">
      <c r="D36" s="386"/>
      <c r="E36" s="386"/>
      <c r="F36" s="386"/>
      <c r="G36" s="386"/>
      <c r="H36" s="386"/>
      <c r="I36" s="386"/>
      <c r="J36" s="386"/>
      <c r="K36" s="386"/>
      <c r="M36" s="54"/>
      <c r="N36" s="386"/>
      <c r="O36" s="206"/>
      <c r="P36" s="207"/>
      <c r="Q36" s="208"/>
      <c r="R36" s="44"/>
      <c r="S36" s="209"/>
      <c r="T36" s="209"/>
      <c r="U36" s="210"/>
      <c r="V36" s="210"/>
      <c r="W36" s="210"/>
      <c r="X36" s="386"/>
      <c r="Y36" s="208"/>
      <c r="AA36" s="92"/>
      <c r="AB36" s="386"/>
      <c r="AC36" s="93"/>
      <c r="AI36" s="94"/>
    </row>
    <row r="37" spans="2:35" ht="12.75" hidden="1" customHeight="1" outlineLevel="1">
      <c r="D37" s="386"/>
      <c r="E37" s="386"/>
      <c r="F37" s="386"/>
      <c r="G37" s="386"/>
      <c r="H37" s="386"/>
      <c r="I37" s="386"/>
      <c r="J37" s="386"/>
      <c r="K37" s="386"/>
      <c r="M37" s="54"/>
      <c r="N37" s="386"/>
      <c r="O37" s="206"/>
      <c r="P37" s="207"/>
      <c r="Q37" s="208"/>
      <c r="R37" s="44"/>
      <c r="S37" s="209"/>
      <c r="T37" s="209"/>
      <c r="U37" s="210"/>
      <c r="V37" s="210"/>
      <c r="W37" s="210"/>
      <c r="X37" s="386"/>
      <c r="Y37" s="208"/>
      <c r="AA37" s="92"/>
      <c r="AB37" s="386"/>
      <c r="AC37" s="93"/>
      <c r="AI37" s="94"/>
    </row>
    <row r="38" spans="2:35" ht="12.75" hidden="1" customHeight="1" outlineLevel="1">
      <c r="D38" s="386"/>
      <c r="E38" s="386"/>
      <c r="F38" s="386"/>
      <c r="G38" s="386"/>
      <c r="H38" s="386"/>
      <c r="I38" s="386"/>
      <c r="J38" s="386"/>
      <c r="K38" s="386"/>
      <c r="M38" s="54"/>
      <c r="N38" s="386"/>
      <c r="O38" s="206"/>
      <c r="P38" s="207"/>
      <c r="Q38" s="208"/>
      <c r="R38" s="44"/>
      <c r="S38" s="209"/>
      <c r="T38" s="209"/>
      <c r="U38" s="210"/>
      <c r="V38" s="210"/>
      <c r="W38" s="210"/>
      <c r="X38" s="386"/>
      <c r="Y38" s="208"/>
      <c r="AA38" s="92"/>
      <c r="AB38" s="386"/>
      <c r="AC38" s="93"/>
      <c r="AI38" s="94"/>
    </row>
    <row r="39" spans="2:35" ht="12.75" hidden="1" customHeight="1" outlineLevel="1">
      <c r="D39" s="386"/>
      <c r="E39" s="386"/>
      <c r="F39" s="386"/>
      <c r="G39" s="386"/>
      <c r="H39" s="386"/>
      <c r="I39" s="386"/>
      <c r="J39" s="386"/>
      <c r="K39" s="386"/>
      <c r="M39" s="54"/>
      <c r="N39" s="386"/>
      <c r="O39" s="206"/>
      <c r="P39" s="207"/>
      <c r="Q39" s="208"/>
      <c r="R39" s="44"/>
      <c r="S39" s="209"/>
      <c r="T39" s="209"/>
      <c r="U39" s="210"/>
      <c r="V39" s="210"/>
      <c r="W39" s="210"/>
      <c r="X39" s="386"/>
      <c r="Y39" s="208"/>
      <c r="AA39" s="92"/>
      <c r="AB39" s="386"/>
      <c r="AC39" s="93"/>
      <c r="AI39" s="94"/>
    </row>
    <row r="40" spans="2:35" ht="12.75" customHeight="1" collapsed="1">
      <c r="D40" s="386"/>
      <c r="E40" s="386"/>
      <c r="F40" s="386"/>
      <c r="G40" s="386"/>
      <c r="H40" s="386"/>
      <c r="I40" s="386"/>
      <c r="J40" s="386"/>
      <c r="K40" s="386"/>
      <c r="R40" s="20"/>
    </row>
    <row r="41" spans="2:35" ht="12.75" customHeight="1">
      <c r="B41" s="753" t="s">
        <v>46</v>
      </c>
      <c r="C41" s="769"/>
      <c r="D41" s="768">
        <f>MAX(D10:D39)</f>
        <v>44574.8</v>
      </c>
      <c r="E41" s="768">
        <f t="shared" ref="E41:K41" si="12">MAX(E10:E39)</f>
        <v>592.70000000000005</v>
      </c>
      <c r="F41" s="768">
        <f t="shared" si="12"/>
        <v>40.700000000000003</v>
      </c>
      <c r="G41" s="768">
        <f t="shared" si="12"/>
        <v>28.7</v>
      </c>
      <c r="H41" s="768">
        <f t="shared" si="12"/>
        <v>621.40000000000009</v>
      </c>
      <c r="I41" s="768">
        <f t="shared" si="12"/>
        <v>45196.2</v>
      </c>
      <c r="J41" s="768">
        <f t="shared" si="12"/>
        <v>2767.8</v>
      </c>
      <c r="K41" s="768">
        <f t="shared" si="12"/>
        <v>42428.399999999994</v>
      </c>
      <c r="L41" s="769"/>
      <c r="M41" s="773">
        <f t="shared" ref="M41:O41" si="13">MAX(M10:M39)</f>
        <v>0</v>
      </c>
      <c r="N41" s="768">
        <f t="shared" si="13"/>
        <v>2.9178082191780823</v>
      </c>
      <c r="O41" s="775">
        <f t="shared" si="13"/>
        <v>2.7609589041095891E-2</v>
      </c>
      <c r="P41" s="776"/>
      <c r="Q41" s="777">
        <f>MAX(Q10:Q39)</f>
        <v>1.2470000000000001</v>
      </c>
      <c r="R41" s="778"/>
      <c r="S41" s="779">
        <f t="shared" ref="S41:W41" si="14">MAX(S10:S40)</f>
        <v>1.5550090000000003</v>
      </c>
      <c r="T41" s="779">
        <f t="shared" si="14"/>
        <v>6.6261857962834201</v>
      </c>
      <c r="U41" s="780">
        <f t="shared" si="14"/>
        <v>5.9412139140487881</v>
      </c>
      <c r="V41" s="780">
        <f t="shared" si="14"/>
        <v>0.99999999998277644</v>
      </c>
      <c r="W41" s="780">
        <f t="shared" si="14"/>
        <v>0.99999999858540434</v>
      </c>
      <c r="X41" s="768">
        <f t="shared" ref="X41:Y41" si="15">MAX(X10:X39)</f>
        <v>41855.096347452534</v>
      </c>
      <c r="Y41" s="781">
        <f t="shared" si="15"/>
        <v>1.2470000000000001</v>
      </c>
      <c r="AB41" s="817">
        <f>+'Asset Vol_Late'!Y49</f>
        <v>0.90968841669426392</v>
      </c>
      <c r="AC41" s="818" t="s">
        <v>1112</v>
      </c>
      <c r="AD41" s="818"/>
      <c r="AE41" s="818"/>
      <c r="AF41" s="792"/>
    </row>
    <row r="42" spans="2:35" ht="12.75" customHeight="1">
      <c r="B42" s="339" t="s">
        <v>50</v>
      </c>
      <c r="C42" s="75"/>
      <c r="D42" s="99">
        <f t="shared" ref="D42:K42" si="16">QUARTILE(D10:D39,3)</f>
        <v>2055.25</v>
      </c>
      <c r="E42" s="99">
        <f t="shared" si="16"/>
        <v>196.6</v>
      </c>
      <c r="F42" s="99">
        <f t="shared" si="16"/>
        <v>32.775000000000006</v>
      </c>
      <c r="G42" s="99">
        <f t="shared" si="16"/>
        <v>24</v>
      </c>
      <c r="H42" s="99">
        <f t="shared" si="16"/>
        <v>89.025000000000006</v>
      </c>
      <c r="I42" s="99">
        <f t="shared" si="16"/>
        <v>2372.125</v>
      </c>
      <c r="J42" s="99">
        <f t="shared" si="16"/>
        <v>326.77500000000003</v>
      </c>
      <c r="K42" s="99">
        <f t="shared" si="16"/>
        <v>1775.65</v>
      </c>
      <c r="L42" s="75"/>
      <c r="M42" s="139">
        <f>QUARTILE(M10:M39,3)</f>
        <v>0</v>
      </c>
      <c r="N42" s="99">
        <f>QUARTILE(N10:N39,3)</f>
        <v>2.9178082191780823</v>
      </c>
      <c r="O42" s="211">
        <f>QUARTILE(O10:O39,3)</f>
        <v>2.7609589041095891E-2</v>
      </c>
      <c r="P42" s="212"/>
      <c r="Q42" s="213">
        <f>QUARTILE(Q10:Q39,3)</f>
        <v>0.96575</v>
      </c>
      <c r="R42" s="214"/>
      <c r="S42" s="215">
        <f>QUARTILE(S10:S40,3)</f>
        <v>0.93271525</v>
      </c>
      <c r="T42" s="215">
        <f>QUARTILE(T10:T40,3)</f>
        <v>2.8565803713795273</v>
      </c>
      <c r="U42" s="216">
        <f>QUARTILE(U10:U40,3)</f>
        <v>1.6523280597201369</v>
      </c>
      <c r="V42" s="216">
        <f>QUARTILE(V10:V40,3)</f>
        <v>0.99776649790885819</v>
      </c>
      <c r="W42" s="216">
        <f>QUARTILE(W10:W40,3)</f>
        <v>0.95029570625676452</v>
      </c>
      <c r="X42" s="99">
        <f>QUARTILE(X10:X39,3)</f>
        <v>388.4992921486687</v>
      </c>
      <c r="Y42" s="217">
        <f>QUARTILE(Y10:Y39,3)</f>
        <v>0.96575</v>
      </c>
      <c r="AB42" s="819">
        <f>+'Asset Vol_Late'!Y51</f>
        <v>0.90968841669426392</v>
      </c>
      <c r="AC42" s="16" t="s">
        <v>1113</v>
      </c>
      <c r="AD42" s="16"/>
      <c r="AE42" s="16"/>
      <c r="AF42" s="197"/>
    </row>
    <row r="43" spans="2:35" ht="12.75" customHeight="1">
      <c r="B43" s="339" t="s">
        <v>48</v>
      </c>
      <c r="C43" s="75"/>
      <c r="D43" s="99">
        <f>AVERAGE(D10:D39)</f>
        <v>3369.4600000000005</v>
      </c>
      <c r="E43" s="99">
        <f t="shared" ref="E43:K43" si="17">AVERAGE(E10:E39)</f>
        <v>126.9076923076923</v>
      </c>
      <c r="F43" s="99">
        <f t="shared" si="17"/>
        <v>24.85</v>
      </c>
      <c r="G43" s="99">
        <f t="shared" si="17"/>
        <v>16</v>
      </c>
      <c r="H43" s="99">
        <f t="shared" si="17"/>
        <v>87.375</v>
      </c>
      <c r="I43" s="99">
        <f t="shared" si="17"/>
        <v>3456.835</v>
      </c>
      <c r="J43" s="99">
        <f t="shared" si="17"/>
        <v>343.37000000000012</v>
      </c>
      <c r="K43" s="99">
        <f t="shared" si="17"/>
        <v>3113.4649999999992</v>
      </c>
      <c r="L43" s="75"/>
      <c r="M43" s="139">
        <f t="shared" ref="M43:O43" si="18">AVERAGE(M10:M39)</f>
        <v>0</v>
      </c>
      <c r="N43" s="99">
        <f t="shared" si="18"/>
        <v>2.9178082191780832</v>
      </c>
      <c r="O43" s="211">
        <f t="shared" si="18"/>
        <v>2.7609589041095887E-2</v>
      </c>
      <c r="P43" s="212"/>
      <c r="Q43" s="213">
        <f>AVERAGE(Q10:Q39)</f>
        <v>0.7781499999999999</v>
      </c>
      <c r="R43" s="214"/>
      <c r="S43" s="215">
        <f t="shared" ref="S43:W43" si="19">AVERAGE(S10:S40)</f>
        <v>0.66543975000000011</v>
      </c>
      <c r="T43" s="215">
        <f t="shared" si="19"/>
        <v>2.0556122940641801</v>
      </c>
      <c r="U43" s="216">
        <f t="shared" si="19"/>
        <v>1.2426138717460424</v>
      </c>
      <c r="V43" s="216">
        <f t="shared" si="19"/>
        <v>0.64378153453770204</v>
      </c>
      <c r="W43" s="216">
        <f t="shared" si="19"/>
        <v>0.56274389041399275</v>
      </c>
      <c r="X43" s="99">
        <f t="shared" ref="X43:Y43" si="20">AVERAGE(X10:X39)</f>
        <v>2591.8391033787088</v>
      </c>
      <c r="Y43" s="217">
        <f t="shared" si="20"/>
        <v>0.74150366677705559</v>
      </c>
      <c r="AB43" s="819">
        <f>+'Asset Vol_Late'!Y47</f>
        <v>0.90968841669426392</v>
      </c>
      <c r="AC43" s="16" t="s">
        <v>1111</v>
      </c>
      <c r="AD43" s="16"/>
      <c r="AE43" s="16"/>
      <c r="AF43" s="820" t="s">
        <v>1242</v>
      </c>
    </row>
    <row r="44" spans="2:35" ht="12.75" customHeight="1">
      <c r="B44" s="339" t="s">
        <v>3</v>
      </c>
      <c r="C44" s="75"/>
      <c r="D44" s="99">
        <f>MEDIAN(D10:D39)</f>
        <v>327.60000000000002</v>
      </c>
      <c r="E44" s="99">
        <f t="shared" ref="E44:K44" si="21">MEDIAN(E10:E39)</f>
        <v>15.2</v>
      </c>
      <c r="F44" s="99">
        <f t="shared" si="21"/>
        <v>24.85</v>
      </c>
      <c r="G44" s="99">
        <f t="shared" si="21"/>
        <v>19.3</v>
      </c>
      <c r="H44" s="99">
        <f t="shared" si="21"/>
        <v>8.85</v>
      </c>
      <c r="I44" s="99">
        <f t="shared" si="21"/>
        <v>344.2</v>
      </c>
      <c r="J44" s="99">
        <f t="shared" si="21"/>
        <v>68.900000000000006</v>
      </c>
      <c r="K44" s="99">
        <f t="shared" si="21"/>
        <v>298.75</v>
      </c>
      <c r="L44" s="75"/>
      <c r="M44" s="139">
        <f t="shared" ref="M44:O44" si="22">MEDIAN(M10:M39)</f>
        <v>0</v>
      </c>
      <c r="N44" s="99">
        <f t="shared" si="22"/>
        <v>2.9178082191780823</v>
      </c>
      <c r="O44" s="211">
        <f t="shared" si="22"/>
        <v>2.7609589041095891E-2</v>
      </c>
      <c r="P44" s="212"/>
      <c r="Q44" s="213">
        <f>MEDIAN(Q10:Q39)</f>
        <v>0.71550000000000002</v>
      </c>
      <c r="R44" s="214"/>
      <c r="S44" s="215">
        <f t="shared" ref="S44:W44" si="23">MEDIAN(S10:S40)</f>
        <v>0.51221249999999996</v>
      </c>
      <c r="T44" s="215">
        <f t="shared" si="23"/>
        <v>2.08896465007343</v>
      </c>
      <c r="U44" s="216">
        <f t="shared" si="23"/>
        <v>0.84956139284005139</v>
      </c>
      <c r="V44" s="216">
        <f t="shared" si="23"/>
        <v>0.98164302373620727</v>
      </c>
      <c r="W44" s="216">
        <f t="shared" si="23"/>
        <v>0.8019187810518178</v>
      </c>
      <c r="X44" s="99">
        <f t="shared" ref="X44:Y44" si="24">MEDIAN(X10:X39)</f>
        <v>136.41010101699595</v>
      </c>
      <c r="Y44" s="217">
        <f t="shared" si="24"/>
        <v>0.67259174550609602</v>
      </c>
      <c r="AB44" s="821" t="str">
        <f>IF(ROUND(AB41,3)=ROUND(AB43,3),"","Update Volatility - OPM")</f>
        <v/>
      </c>
      <c r="AC44" s="16"/>
      <c r="AD44" s="16"/>
      <c r="AE44" s="16"/>
      <c r="AF44" s="197"/>
    </row>
    <row r="45" spans="2:35" ht="12.75" customHeight="1">
      <c r="B45" s="339" t="s">
        <v>49</v>
      </c>
      <c r="C45" s="75"/>
      <c r="D45" s="99">
        <f>QUARTILE(D10:D39,1)</f>
        <v>174.95</v>
      </c>
      <c r="E45" s="99">
        <f t="shared" ref="E45:K45" si="25">QUARTILE(E10:E39,1)</f>
        <v>8.6999999999999993</v>
      </c>
      <c r="F45" s="99">
        <f t="shared" si="25"/>
        <v>16.925000000000001</v>
      </c>
      <c r="G45" s="99">
        <f t="shared" si="25"/>
        <v>9.65</v>
      </c>
      <c r="H45" s="99">
        <f t="shared" si="25"/>
        <v>0</v>
      </c>
      <c r="I45" s="99">
        <f t="shared" si="25"/>
        <v>185.77499999999998</v>
      </c>
      <c r="J45" s="99">
        <f t="shared" si="25"/>
        <v>13.675000000000001</v>
      </c>
      <c r="K45" s="99">
        <f t="shared" si="25"/>
        <v>110.5</v>
      </c>
      <c r="L45" s="75"/>
      <c r="M45" s="139">
        <f t="shared" ref="M45:O45" si="26">QUARTILE(M10:M39,1)</f>
        <v>0</v>
      </c>
      <c r="N45" s="99">
        <f t="shared" si="26"/>
        <v>2.9178082191780823</v>
      </c>
      <c r="O45" s="211">
        <f t="shared" si="26"/>
        <v>2.7609589041095891E-2</v>
      </c>
      <c r="P45" s="212"/>
      <c r="Q45" s="213">
        <f>QUARTILE(Q10:Q39,1)</f>
        <v>0.60075000000000001</v>
      </c>
      <c r="R45" s="214"/>
      <c r="S45" s="215">
        <f t="shared" ref="S45:W45" si="27">QUARTILE(S10:S40,1)</f>
        <v>0.36090074999999999</v>
      </c>
      <c r="T45" s="215">
        <f t="shared" si="27"/>
        <v>0</v>
      </c>
      <c r="U45" s="216">
        <f t="shared" si="27"/>
        <v>0</v>
      </c>
      <c r="V45" s="216">
        <f t="shared" si="27"/>
        <v>0</v>
      </c>
      <c r="W45" s="216">
        <f t="shared" si="27"/>
        <v>0</v>
      </c>
      <c r="X45" s="99">
        <f t="shared" ref="X45:Y45" si="28">QUARTILE(X10:X39,1)</f>
        <v>0</v>
      </c>
      <c r="Y45" s="217">
        <f t="shared" si="28"/>
        <v>0.56530880529446659</v>
      </c>
      <c r="AB45" s="822" t="str">
        <f>IF(ROUND(AB42,3)=ROUND(AB43,3),"","Update Volatility - DLOM")</f>
        <v/>
      </c>
      <c r="AC45" s="5"/>
      <c r="AD45" s="5"/>
      <c r="AE45" s="5"/>
      <c r="AF45" s="427"/>
    </row>
    <row r="46" spans="2:35" ht="12.75" customHeight="1">
      <c r="B46" s="101" t="s">
        <v>47</v>
      </c>
      <c r="C46" s="68"/>
      <c r="D46" s="71">
        <f t="shared" ref="D46:K46" si="29">MIN(D10:D39)</f>
        <v>16.5</v>
      </c>
      <c r="E46" s="71">
        <f t="shared" si="29"/>
        <v>0</v>
      </c>
      <c r="F46" s="71">
        <f t="shared" si="29"/>
        <v>9</v>
      </c>
      <c r="G46" s="71">
        <f t="shared" si="29"/>
        <v>0</v>
      </c>
      <c r="H46" s="71">
        <f t="shared" si="29"/>
        <v>0</v>
      </c>
      <c r="I46" s="71">
        <f t="shared" si="29"/>
        <v>16.5</v>
      </c>
      <c r="J46" s="71">
        <f t="shared" si="29"/>
        <v>0.5</v>
      </c>
      <c r="K46" s="71">
        <f t="shared" si="29"/>
        <v>8.3000000000000007</v>
      </c>
      <c r="L46" s="68"/>
      <c r="M46" s="141">
        <f>MIN(M10:M39)</f>
        <v>0</v>
      </c>
      <c r="N46" s="71">
        <f>MIN(N10:N39)</f>
        <v>2.9178082191780823</v>
      </c>
      <c r="O46" s="782">
        <f>MIN(O10:O39)</f>
        <v>2.7609589041095891E-2</v>
      </c>
      <c r="P46" s="783"/>
      <c r="Q46" s="784">
        <f>MIN(Q10:Q39)</f>
        <v>0.40100000000000002</v>
      </c>
      <c r="R46" s="785"/>
      <c r="S46" s="786">
        <f>MIN(S10:S40)</f>
        <v>0.16080100000000003</v>
      </c>
      <c r="T46" s="786">
        <f>MIN(T10:T40)</f>
        <v>0</v>
      </c>
      <c r="U46" s="787">
        <f>MIN(U10:U40)</f>
        <v>-1.0931314520256308E-2</v>
      </c>
      <c r="V46" s="787">
        <f>MIN(V10:V40)</f>
        <v>0</v>
      </c>
      <c r="W46" s="787">
        <f>MIN(W10:W40)</f>
        <v>0</v>
      </c>
      <c r="X46" s="71">
        <f>MIN(X10:X39)</f>
        <v>0</v>
      </c>
      <c r="Y46" s="788">
        <f>MIN(Y10:Y39)</f>
        <v>0.37817067094505175</v>
      </c>
      <c r="AB46" s="496" t="str">
        <f>IF(K49&lt;&gt;K51,"Check","")</f>
        <v/>
      </c>
    </row>
    <row r="47" spans="2:35" ht="12.75" customHeight="1">
      <c r="B47" s="2039" t="s">
        <v>147</v>
      </c>
      <c r="C47" s="2040"/>
      <c r="D47" s="2041"/>
      <c r="E47" s="2041"/>
      <c r="F47" s="2041"/>
      <c r="G47" s="2041"/>
      <c r="H47" s="2041"/>
      <c r="I47" s="2041"/>
      <c r="J47" s="2041"/>
      <c r="K47" s="2041"/>
      <c r="L47" s="2040"/>
      <c r="M47" s="2042"/>
      <c r="N47" s="2041"/>
      <c r="O47" s="2043"/>
      <c r="P47" s="2044"/>
      <c r="Q47" s="2045"/>
      <c r="R47" s="2046"/>
      <c r="S47" s="2047"/>
      <c r="T47" s="2047"/>
      <c r="U47" s="2048"/>
      <c r="V47" s="2048"/>
      <c r="W47" s="2048"/>
      <c r="X47" s="2041"/>
      <c r="Y47" s="2049">
        <f>QUARTILE(Y42:Y43,3)</f>
        <v>0.90968841669426392</v>
      </c>
      <c r="Z47" s="2157">
        <f>A56</f>
        <v>3</v>
      </c>
      <c r="AB47" s="496"/>
    </row>
    <row r="48" spans="2:35" ht="12.75" customHeight="1">
      <c r="AB48" s="962" t="str">
        <f>IF(AND(AB44=$AF$45,AB46=$AF$45,AB45=$AF$45),"","Check")</f>
        <v/>
      </c>
    </row>
    <row r="49" spans="1:25" ht="12.75" hidden="1" customHeight="1" outlineLevel="1">
      <c r="B49" s="218" t="str">
        <f>B2</f>
        <v>Pliant Therapeutics, Inc.</v>
      </c>
      <c r="C49" s="459" t="s">
        <v>132</v>
      </c>
      <c r="D49" s="1732">
        <f>'Val Summ'!$D$9/1000</f>
        <v>147.69999999999999</v>
      </c>
      <c r="E49" s="1398">
        <f>'Hist BS'!H52</f>
        <v>0</v>
      </c>
      <c r="F49" s="219"/>
      <c r="G49" s="219"/>
      <c r="H49" s="220">
        <f>SUM(E49:G49)+0.0000000001</f>
        <v>1E-10</v>
      </c>
      <c r="I49" s="222">
        <f>SUM(D49:G49)</f>
        <v>147.69999999999999</v>
      </c>
      <c r="J49" s="220">
        <f>'Hist BS'!H50</f>
        <v>0</v>
      </c>
      <c r="K49" s="229">
        <f>I49-J49</f>
        <v>147.69999999999999</v>
      </c>
      <c r="L49" s="219"/>
      <c r="M49" s="221">
        <f>'PWERM DLOM'!D17</f>
        <v>0</v>
      </c>
      <c r="N49" s="222">
        <f>N$6</f>
        <v>2.9178082191780823</v>
      </c>
      <c r="O49" s="223">
        <f>O$6</f>
        <v>2.7609589041095891E-2</v>
      </c>
      <c r="P49" s="224"/>
      <c r="Q49" s="2180">
        <f ca="1">Y49*((K49/X49)*V49)</f>
        <v>0.90968841669483214</v>
      </c>
      <c r="R49" s="219"/>
      <c r="S49" s="226">
        <f ca="1">IF(Q49="n/a","n/a",Q49^2)</f>
        <v>0.82753301546875058</v>
      </c>
      <c r="T49" s="226">
        <f ca="1">IF(OR(K49="n/a",S49="n/a"),"n/a",IF(H49=0,0,IF(M49=0,(LN(K49/H49)+((O49+(S49/2))*N49))/((S49*N49)^0.5),(LN(K49/H49)+((O49-M49+(S49/2))*N49))/((S49*N49)^0.5))))</f>
        <v>18.861588221852827</v>
      </c>
      <c r="U49" s="227">
        <f ca="1">IF(T49="n/a","n/a",IF(H49=0,0,T49-(S49*N49)^0.5))</f>
        <v>17.307695486115914</v>
      </c>
      <c r="V49" s="227">
        <f ca="1">IF(OR(T49="n/a",S49="n/a"),"n/a",IF(H49=0,0,NORMSDIST(T49)))</f>
        <v>1</v>
      </c>
      <c r="W49" s="227">
        <f ca="1">IF(OR(U49="n/a",S49="n/a"),"n/a",IF(H49=0,0,NORMSDIST(U49)))</f>
        <v>1</v>
      </c>
      <c r="X49" s="227">
        <f ca="1">IF(OR(K49="n/a",S49="n/a"),"n/a",IF(M49=0,(K49*V49)-((H49*EXP(1)^(-O49*N49))*W49),(K49*(2.718^(-M49*N49))*V49)-(H49*(2.718^(-O49*N49))*W49)))</f>
        <v>147.69999999990773</v>
      </c>
      <c r="Y49" s="228">
        <f>Y47</f>
        <v>0.90968841669426392</v>
      </c>
    </row>
    <row r="50" spans="1:25" ht="12.75" hidden="1" customHeight="1" outlineLevel="1">
      <c r="C50" s="74"/>
      <c r="D50" s="74"/>
      <c r="E50" s="74"/>
      <c r="F50" s="74"/>
      <c r="G50" s="74"/>
      <c r="H50" s="74"/>
      <c r="I50" s="74"/>
      <c r="J50" s="74"/>
    </row>
    <row r="51" spans="1:25" ht="12.75" customHeight="1" collapsed="1">
      <c r="B51" s="218" t="str">
        <f>B49</f>
        <v>Pliant Therapeutics, Inc.</v>
      </c>
      <c r="C51" s="2164">
        <f>A55</f>
        <v>2</v>
      </c>
      <c r="D51" s="222">
        <f>D49</f>
        <v>147.69999999999999</v>
      </c>
      <c r="E51" s="1528">
        <f>PWERM_2!B120/1000+E49</f>
        <v>98.138979441863043</v>
      </c>
      <c r="F51" s="219"/>
      <c r="G51" s="219"/>
      <c r="H51" s="229">
        <f>SUM(E51:G51)</f>
        <v>98.138979441863043</v>
      </c>
      <c r="I51" s="222">
        <f>I49</f>
        <v>147.69999999999999</v>
      </c>
      <c r="J51" s="222">
        <f>J49</f>
        <v>0</v>
      </c>
      <c r="K51" s="229">
        <f>K49</f>
        <v>147.69999999999999</v>
      </c>
      <c r="L51" s="219"/>
      <c r="M51" s="230">
        <f>M49</f>
        <v>0</v>
      </c>
      <c r="N51" s="222">
        <f>N$6</f>
        <v>2.9178082191780823</v>
      </c>
      <c r="O51" s="223">
        <f>O$6</f>
        <v>2.7609589041095891E-2</v>
      </c>
      <c r="P51" s="224"/>
      <c r="Q51" s="2203">
        <f ca="1">Y51*((K51/X51)*V51)</f>
        <v>1.0991856567355505</v>
      </c>
      <c r="R51" s="2204"/>
      <c r="S51" s="2205">
        <f ca="1">IF(Q51="n/a","n/a",Q51^2)</f>
        <v>1.2082091079731634</v>
      </c>
      <c r="T51" s="2205">
        <f ca="1">IF(OR(K51="n/a",S51="n/a"),"n/a",IF(H51=0,0,IF(M51=0,(LN(K51/H51)+((O51+(S51/2))*N51))/((S51*N51)^0.5),(LN(K51/H51)+((O51-M51+(S51/2))*N51))/((S51*N51)^0.5))))</f>
        <v>1.1994238472006369</v>
      </c>
      <c r="U51" s="2206">
        <f ca="1">IF(T51="n/a","n/a",IF(H51=0,0,T51-(S51*N51)^0.5))</f>
        <v>-0.67816036282295489</v>
      </c>
      <c r="V51" s="2206">
        <f ca="1">IF(OR(T51="n/a",S51="n/a"),"n/a",IF(H51=0,0,NORMSDIST(T51)))</f>
        <v>0.88481841026011887</v>
      </c>
      <c r="W51" s="2206">
        <f ca="1">IF(OR(U51="n/a",S51="n/a"),"n/a",IF(H51=0,0,NORMSDIST(U51)))</f>
        <v>0.24883501064737229</v>
      </c>
      <c r="X51" s="2206">
        <f ca="1">IF(OR(K51="n/a",S51="n/a"),"n/a",IF(M51=0,(K51*V51)-((H51*EXP(1)^(-O51*N51))*W51),(K51*(2.718^(-M51*N51))*V51)-(H51*(2.718^(-O51*N51))*W51)))</f>
        <v>108.15740474798724</v>
      </c>
      <c r="Y51" s="2049">
        <f>Y47</f>
        <v>0.90968841669426392</v>
      </c>
    </row>
    <row r="52" spans="1:25" ht="12.75" customHeight="1"/>
    <row r="53" spans="1:25" ht="12.75" customHeight="1">
      <c r="B53" s="8" t="s">
        <v>21</v>
      </c>
    </row>
    <row r="54" spans="1:25" ht="12.75" customHeight="1">
      <c r="A54" s="2124">
        <v>1</v>
      </c>
      <c r="B54" s="17" t="s">
        <v>708</v>
      </c>
    </row>
    <row r="55" spans="1:25" s="74" customFormat="1" ht="12.75" customHeight="1">
      <c r="A55" s="2124">
        <f>+A54+1</f>
        <v>2</v>
      </c>
      <c r="B55" s="320" t="s">
        <v>2306</v>
      </c>
      <c r="P55" s="20"/>
    </row>
    <row r="56" spans="1:25" s="74" customFormat="1" ht="26.1" customHeight="1">
      <c r="A56" s="2124">
        <f>+A55+1</f>
        <v>3</v>
      </c>
      <c r="B56" s="2300" t="s">
        <v>2873</v>
      </c>
      <c r="C56" s="2300"/>
      <c r="D56" s="2300"/>
      <c r="E56" s="2300"/>
      <c r="F56" s="2300"/>
      <c r="G56" s="2300"/>
      <c r="H56" s="2300"/>
      <c r="I56" s="2300"/>
      <c r="J56" s="2300"/>
      <c r="K56" s="2300"/>
      <c r="L56" s="2300"/>
      <c r="M56" s="2300"/>
      <c r="N56" s="2300"/>
      <c r="O56" s="2300"/>
      <c r="P56" s="2300"/>
      <c r="Q56" s="2300"/>
      <c r="R56" s="2300"/>
      <c r="S56" s="2300"/>
      <c r="T56" s="2300"/>
      <c r="U56" s="2300"/>
      <c r="V56" s="2300"/>
      <c r="W56" s="2300"/>
      <c r="X56" s="2300"/>
      <c r="Y56" s="2300"/>
    </row>
    <row r="57" spans="1:25" s="74" customFormat="1">
      <c r="A57" s="1945"/>
      <c r="B57" s="2139"/>
      <c r="C57" s="2139"/>
      <c r="D57" s="2139"/>
      <c r="E57" s="2139"/>
      <c r="F57" s="2139"/>
      <c r="G57" s="2139"/>
      <c r="H57" s="2139"/>
      <c r="I57" s="2139"/>
      <c r="J57" s="2139"/>
      <c r="K57" s="2139"/>
      <c r="L57" s="2139"/>
      <c r="M57" s="2139"/>
      <c r="N57" s="2139"/>
      <c r="O57" s="2139"/>
      <c r="P57" s="2139"/>
      <c r="Q57" s="2139"/>
      <c r="R57" s="2139"/>
      <c r="S57" s="2139"/>
      <c r="T57" s="2139"/>
      <c r="U57" s="2139"/>
      <c r="V57" s="2139"/>
      <c r="W57" s="2139"/>
      <c r="X57" s="2139"/>
      <c r="Y57" s="2139"/>
    </row>
    <row r="58" spans="1:25" ht="12.75" customHeight="1">
      <c r="B58" s="8" t="s">
        <v>51</v>
      </c>
    </row>
    <row r="59" spans="1:25" ht="12.75" customHeight="1"/>
    <row r="60" spans="1:25" ht="12.75" customHeight="1">
      <c r="B60" s="385" t="s">
        <v>1137</v>
      </c>
    </row>
    <row r="61" spans="1:25">
      <c r="B61" s="385" t="s">
        <v>1138</v>
      </c>
    </row>
    <row r="62" spans="1:25">
      <c r="B62" s="385" t="s">
        <v>1139</v>
      </c>
    </row>
    <row r="63" spans="1:25">
      <c r="B63" s="385" t="s">
        <v>1140</v>
      </c>
    </row>
    <row r="64" spans="1:25">
      <c r="B64" s="385" t="s">
        <v>1141</v>
      </c>
    </row>
    <row r="65" spans="2:2">
      <c r="B65" s="385" t="s">
        <v>1142</v>
      </c>
    </row>
    <row r="66" spans="2:2">
      <c r="B66" s="385" t="s">
        <v>1143</v>
      </c>
    </row>
    <row r="68" spans="2:2">
      <c r="B68" s="385" t="s">
        <v>1144</v>
      </c>
    </row>
    <row r="69" spans="2:2">
      <c r="B69" s="385" t="s">
        <v>1145</v>
      </c>
    </row>
    <row r="70" spans="2:2">
      <c r="B70" s="385" t="s">
        <v>1146</v>
      </c>
    </row>
    <row r="71" spans="2:2">
      <c r="B71" s="385" t="s">
        <v>1147</v>
      </c>
    </row>
    <row r="72" spans="2:2">
      <c r="B72" s="385" t="s">
        <v>1148</v>
      </c>
    </row>
    <row r="73" spans="2:2">
      <c r="B73" s="385" t="s">
        <v>1149</v>
      </c>
    </row>
  </sheetData>
  <mergeCells count="1">
    <mergeCell ref="B56:Y56"/>
  </mergeCells>
  <conditionalFormatting sqref="B10:B39">
    <cfRule type="cellIs" dxfId="195" priority="8" operator="equal">
      <formula>"(Invalid Identifier)"</formula>
    </cfRule>
  </conditionalFormatting>
  <conditionalFormatting sqref="B4:I4">
    <cfRule type="cellIs" dxfId="194" priority="7" stopIfTrue="1" operator="equal">
      <formula>"input"</formula>
    </cfRule>
  </conditionalFormatting>
  <conditionalFormatting sqref="J4">
    <cfRule type="cellIs" dxfId="193" priority="5" stopIfTrue="1" operator="equal">
      <formula>"input"</formula>
    </cfRule>
  </conditionalFormatting>
  <conditionalFormatting sqref="J4">
    <cfRule type="cellIs" dxfId="192" priority="6" stopIfTrue="1" operator="equal">
      <formula>"input"</formula>
    </cfRule>
  </conditionalFormatting>
  <conditionalFormatting sqref="K4:X4">
    <cfRule type="cellIs" dxfId="191" priority="3" stopIfTrue="1" operator="equal">
      <formula>"input"</formula>
    </cfRule>
  </conditionalFormatting>
  <conditionalFormatting sqref="K4:X4">
    <cfRule type="cellIs" dxfId="190" priority="4" stopIfTrue="1" operator="equal">
      <formula>"input"</formula>
    </cfRule>
  </conditionalFormatting>
  <conditionalFormatting sqref="Y4">
    <cfRule type="cellIs" dxfId="189" priority="1" stopIfTrue="1" operator="equal">
      <formula>"input"</formula>
    </cfRule>
  </conditionalFormatting>
  <conditionalFormatting sqref="Y4">
    <cfRule type="cellIs" dxfId="188"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I73"/>
  <sheetViews>
    <sheetView showGridLines="0" view="pageBreakPreview" zoomScaleNormal="100" zoomScaleSheetLayoutView="100" workbookViewId="0"/>
  </sheetViews>
  <sheetFormatPr defaultRowHeight="12.75" outlineLevelRow="1" outlineLevelCol="1"/>
  <cols>
    <col min="1" max="1" width="4.5" style="385" customWidth="1"/>
    <col min="2" max="2" width="44.1640625" style="385" customWidth="1"/>
    <col min="3" max="3" width="3.5" style="385" bestFit="1" customWidth="1"/>
    <col min="4" max="4" width="11" style="385" customWidth="1"/>
    <col min="5" max="5" width="10.83203125" style="385" hidden="1" customWidth="1" outlineLevel="1"/>
    <col min="6" max="7" width="9.83203125" style="385" hidden="1" customWidth="1" outlineLevel="1"/>
    <col min="8" max="8" width="11" style="385" bestFit="1" customWidth="1" collapsed="1"/>
    <col min="9" max="9" width="10.5" style="385" bestFit="1" customWidth="1"/>
    <col min="10" max="10" width="10.6640625" style="385" bestFit="1" customWidth="1"/>
    <col min="11" max="11" width="10.5" style="385" bestFit="1" customWidth="1"/>
    <col min="12" max="12" width="2.83203125" style="385" customWidth="1"/>
    <col min="13" max="13" width="10" style="385" bestFit="1" customWidth="1"/>
    <col min="14" max="14" width="8.6640625" style="385" customWidth="1"/>
    <col min="15" max="15" width="10.5" style="385" bestFit="1" customWidth="1"/>
    <col min="16" max="16" width="2.83203125" style="20" customWidth="1"/>
    <col min="17" max="17" width="9.83203125" style="385" customWidth="1"/>
    <col min="18" max="18" width="2.83203125" style="385" customWidth="1"/>
    <col min="19" max="19" width="11.6640625" style="385" hidden="1" customWidth="1" outlineLevel="1"/>
    <col min="20" max="23" width="8.83203125" style="385" hidden="1" customWidth="1" outlineLevel="1"/>
    <col min="24" max="24" width="10.1640625" style="385" customWidth="1" collapsed="1"/>
    <col min="25" max="25" width="10.1640625" style="385" customWidth="1"/>
    <col min="26" max="26" width="4.5" style="385" customWidth="1"/>
    <col min="27" max="27" width="17.5" style="385" bestFit="1" customWidth="1"/>
    <col min="28" max="28" width="12.33203125" style="385" bestFit="1" customWidth="1"/>
    <col min="29" max="29" width="9.5" style="385" bestFit="1" customWidth="1"/>
    <col min="30" max="30" width="10.1640625" style="385" bestFit="1" customWidth="1"/>
    <col min="31" max="16384" width="9.33203125" style="385"/>
  </cols>
  <sheetData>
    <row r="1" spans="2:35" ht="10.7" customHeight="1" thickBot="1">
      <c r="P1" s="385"/>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0" t="s">
        <v>22</v>
      </c>
      <c r="AB2" s="271">
        <f>+'Comp.1'!$AM$2</f>
        <v>43312</v>
      </c>
    </row>
    <row r="3" spans="2:35" ht="15.75" customHeight="1">
      <c r="B3" s="11" t="str">
        <f>VLOOKUP(B4,Outline!$E$8:$G$69,COLUMNS(Outline!$E$8:$G$8),FALSE)</f>
        <v>Exhibit H.4</v>
      </c>
      <c r="C3" s="11"/>
      <c r="D3" s="11"/>
      <c r="E3" s="11"/>
      <c r="F3" s="11"/>
      <c r="G3" s="11"/>
      <c r="H3" s="11"/>
      <c r="I3" s="11"/>
      <c r="J3" s="11"/>
      <c r="K3" s="11"/>
      <c r="L3" s="11"/>
      <c r="M3" s="11"/>
      <c r="N3" s="11"/>
      <c r="O3" s="11"/>
      <c r="P3" s="11"/>
      <c r="Q3" s="11"/>
      <c r="R3" s="11"/>
      <c r="S3" s="11"/>
      <c r="T3" s="11"/>
      <c r="U3" s="11"/>
      <c r="V3" s="11"/>
      <c r="W3" s="11"/>
      <c r="X3" s="11"/>
      <c r="Y3" s="11"/>
      <c r="AA3" s="194" t="s">
        <v>299</v>
      </c>
      <c r="AB3" s="275" t="str">
        <f>+'Comp.1'!$AM$3</f>
        <v>F</v>
      </c>
    </row>
    <row r="4" spans="2:35" ht="16.5" customHeight="1" thickBot="1">
      <c r="B4" s="12" t="str">
        <f>"Asset Volatility - "&amp;TEXT('PWERM DLOM'!F13,"")</f>
        <v>Asset Volatility - Structured Exit</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4" t="s">
        <v>300</v>
      </c>
      <c r="AB4" s="275" t="str">
        <f>+'Comp.1'!$AM$4</f>
        <v>USD</v>
      </c>
    </row>
    <row r="5" spans="2:35" ht="12.75" customHeight="1" thickTop="1">
      <c r="B5" s="20"/>
      <c r="AA5" s="78" t="s">
        <v>24</v>
      </c>
      <c r="AB5" s="274" t="str">
        <f>+'Comp.1'!$AM$5</f>
        <v>H</v>
      </c>
    </row>
    <row r="6" spans="2:35" ht="12.75" hidden="1" customHeight="1" outlineLevel="1">
      <c r="N6" s="202">
        <f>'PWERM DLOM'!F15</f>
        <v>5.9178082191780828</v>
      </c>
      <c r="O6" s="203">
        <f>'Risk-Free Rates'!E50</f>
        <v>2.8913013698630138E-2</v>
      </c>
      <c r="Q6" s="204">
        <f>HLOOKUP(ROUND(N6,0),'Equity Vol'!$D$8:$I$8,1,TRUE)</f>
        <v>6</v>
      </c>
    </row>
    <row r="7" spans="2:35" ht="25.5" collapsed="1">
      <c r="D7" s="190" t="s">
        <v>26</v>
      </c>
      <c r="E7" s="191"/>
      <c r="F7" s="191"/>
      <c r="G7" s="191"/>
      <c r="H7" s="191"/>
      <c r="I7" s="191"/>
      <c r="J7" s="191"/>
      <c r="K7" s="192"/>
      <c r="M7" s="190" t="s">
        <v>27</v>
      </c>
      <c r="N7" s="191"/>
      <c r="O7" s="191"/>
      <c r="P7" s="205"/>
      <c r="Q7" s="192"/>
      <c r="S7" s="190" t="s">
        <v>28</v>
      </c>
      <c r="T7" s="191"/>
      <c r="U7" s="191"/>
      <c r="V7" s="191"/>
      <c r="W7" s="191"/>
      <c r="X7" s="995" t="s">
        <v>28</v>
      </c>
      <c r="Y7" s="996"/>
    </row>
    <row r="8" spans="2:35" s="6" customFormat="1" ht="29.25" customHeight="1">
      <c r="B8" s="460" t="s">
        <v>519</v>
      </c>
      <c r="D8" s="595" t="s">
        <v>29</v>
      </c>
      <c r="E8" s="596" t="s">
        <v>30</v>
      </c>
      <c r="F8" s="596" t="s">
        <v>31</v>
      </c>
      <c r="G8" s="596" t="s">
        <v>32</v>
      </c>
      <c r="H8" s="596" t="s">
        <v>33</v>
      </c>
      <c r="I8" s="596" t="s">
        <v>34</v>
      </c>
      <c r="J8" s="596" t="s">
        <v>35</v>
      </c>
      <c r="K8" s="597" t="s">
        <v>36</v>
      </c>
      <c r="L8" s="298"/>
      <c r="M8" s="595" t="s">
        <v>8</v>
      </c>
      <c r="N8" s="596" t="s">
        <v>37</v>
      </c>
      <c r="O8" s="597" t="s">
        <v>7</v>
      </c>
      <c r="P8" s="580"/>
      <c r="Q8" s="598" t="s">
        <v>38</v>
      </c>
      <c r="R8" s="580"/>
      <c r="S8" s="595" t="s">
        <v>39</v>
      </c>
      <c r="T8" s="596" t="s">
        <v>19</v>
      </c>
      <c r="U8" s="596" t="s">
        <v>20</v>
      </c>
      <c r="V8" s="596" t="s">
        <v>40</v>
      </c>
      <c r="W8" s="596" t="s">
        <v>41</v>
      </c>
      <c r="X8" s="599" t="s">
        <v>42</v>
      </c>
      <c r="Y8" s="597" t="s">
        <v>2875</v>
      </c>
      <c r="AA8" s="86" t="s">
        <v>43</v>
      </c>
      <c r="AB8" s="87" t="s">
        <v>44</v>
      </c>
      <c r="AC8" s="87" t="s">
        <v>45</v>
      </c>
      <c r="AD8" s="88"/>
    </row>
    <row r="9" spans="2:35" ht="12.75" customHeight="1">
      <c r="Y9" s="2160">
        <f>A54</f>
        <v>1</v>
      </c>
    </row>
    <row r="10" spans="2:35" ht="12.75" customHeight="1">
      <c r="B10" s="385" t="str">
        <f>'Comp.1'!B10</f>
        <v>Vertex Pharmaceuticals Incorporated</v>
      </c>
      <c r="D10" s="386">
        <f>'Beta Calc'!K10</f>
        <v>44574.8</v>
      </c>
      <c r="E10" s="386">
        <f>'Beta Calc'!L10</f>
        <v>592.70000000000005</v>
      </c>
      <c r="F10" s="386" t="str">
        <f>'Beta Calc'!M10</f>
        <v xml:space="preserve"> n/a </v>
      </c>
      <c r="G10" s="386">
        <f>'Beta Calc'!N10</f>
        <v>28.7</v>
      </c>
      <c r="H10" s="386">
        <f>SUM(E10:G10)</f>
        <v>621.40000000000009</v>
      </c>
      <c r="I10" s="386">
        <f>SUM(D10:G10)</f>
        <v>45196.2</v>
      </c>
      <c r="J10" s="386">
        <f>'Beta Calc'!Q10</f>
        <v>2767.8</v>
      </c>
      <c r="K10" s="386">
        <f>I10-J10</f>
        <v>42428.399999999994</v>
      </c>
      <c r="M10" s="54">
        <f>IFERROR('Capital IQ Sheet-GPC'!AT13,"n/a")</f>
        <v>0</v>
      </c>
      <c r="N10" s="386">
        <f t="shared" ref="N10:O29" si="0">N$6</f>
        <v>5.9178082191780828</v>
      </c>
      <c r="O10" s="206">
        <f t="shared" si="0"/>
        <v>2.8913013698630138E-2</v>
      </c>
      <c r="P10" s="207"/>
      <c r="Q10" s="208">
        <f>IFERROR(HLOOKUP($Q$6,'Equity Vol'!$B$8:$I10,ROWS('Equity Vol'!$C$8:$C10),FALSE),"n/a")</f>
        <v>0.44900000000000001</v>
      </c>
      <c r="R10" s="44"/>
      <c r="S10" s="209">
        <f>IFERROR(IF(Q10="n/a","n/a",Q10^2),"n/a")</f>
        <v>0.201601</v>
      </c>
      <c r="T10" s="209">
        <f t="shared" ref="T10:T29" si="1">IF(OR(K10="n/a",S10="n/a"),"n/a",IF(H10=0,0,IF(M10=0,(LN(K10/H10)+((O10+(S10/2))*N10))/((S10*N10)^0.5),(LN(K10/H10)+((O10-M10+(S10/2))*N10))/((S10*N10)^0.5))))</f>
        <v>4.5696164408633804</v>
      </c>
      <c r="U10" s="210">
        <f t="shared" ref="U10:U29" si="2">IF(T10="n/a","n/a",IF(H10=0,0,T10-(S10*N10)^0.5))</f>
        <v>3.4773545424184515</v>
      </c>
      <c r="V10" s="210">
        <f t="shared" ref="V10:V29" si="3">IF(OR(T10="n/a",S10="n/a"),"n/a",IF(H10=0,0,NORMSDIST(T10)))</f>
        <v>0.99999755691183667</v>
      </c>
      <c r="W10" s="210">
        <f t="shared" ref="W10:W29" si="4">IF(OR(U10="n/a",S10="n/a"),"n/a",IF(H10=0,0,NORMSDIST(U10)))</f>
        <v>0.9997468061358562</v>
      </c>
      <c r="X10" s="91">
        <f t="shared" ref="X10:X29" si="5">IF(OR(K10="n/a",S10="n/a"),"n/a",IF(M10=0,(K10*V10)-((H10*EXP(1)^(-O10*N10))*W10),(K10*(2.718^(-M10*N10))*V10)-(H10*(2.718^(-O10*N10))*W10)))</f>
        <v>41904.752854403181</v>
      </c>
      <c r="Y10" s="208">
        <f>IFERROR(IF(LEN(B10)&gt;0,IF(H10=0,Q10,IF(ISERROR(Q10/((K10/X10)*V10)),"n/a",Q10/((K10/X10)*V10)))),"n/a")</f>
        <v>0.44345956951039606</v>
      </c>
      <c r="AA10" s="92" t="str">
        <f>IF('MASTER PubCo Inputs'!B28=0,"",'MASTER PubCo Inputs'!B28)</f>
        <v>NasdaqGS:VRTX</v>
      </c>
      <c r="AB10" s="386">
        <f>'Beta Calc'!Z10</f>
        <v>42428.4</v>
      </c>
      <c r="AC10" s="93">
        <f t="shared" ref="AC10:AC29" si="6">K10-AB10</f>
        <v>0</v>
      </c>
      <c r="AI10" s="94"/>
    </row>
    <row r="11" spans="2:35" ht="12.75" customHeight="1">
      <c r="B11" s="385" t="str">
        <f>'Comp.1'!B11</f>
        <v>FibroGen, Inc.</v>
      </c>
      <c r="D11" s="386">
        <f>'Beta Calc'!K11</f>
        <v>5153.3</v>
      </c>
      <c r="E11" s="386">
        <f>'Beta Calc'!L11</f>
        <v>115.4</v>
      </c>
      <c r="F11" s="386" t="str">
        <f>'Beta Calc'!M11</f>
        <v xml:space="preserve"> n/a </v>
      </c>
      <c r="G11" s="386">
        <f>'Beta Calc'!N11</f>
        <v>19.3</v>
      </c>
      <c r="H11" s="386">
        <f t="shared" ref="H11:H29" si="7">SUM(E11:G11)</f>
        <v>134.70000000000002</v>
      </c>
      <c r="I11" s="386">
        <f t="shared" ref="I11:I29" si="8">SUM(D11:G11)</f>
        <v>5288</v>
      </c>
      <c r="J11" s="386">
        <f>'Beta Calc'!Q11</f>
        <v>703.8</v>
      </c>
      <c r="K11" s="386">
        <f t="shared" ref="K11:K29" si="9">I11-J11</f>
        <v>4584.2</v>
      </c>
      <c r="M11" s="54">
        <f>IFERROR('Capital IQ Sheet-GPC'!AT14,"n/a")</f>
        <v>0</v>
      </c>
      <c r="N11" s="386">
        <f t="shared" si="0"/>
        <v>5.9178082191780828</v>
      </c>
      <c r="O11" s="206">
        <f t="shared" si="0"/>
        <v>2.8913013698630138E-2</v>
      </c>
      <c r="P11" s="207"/>
      <c r="Q11" s="208">
        <f>IFERROR(HLOOKUP($Q$6,'Equity Vol'!$B$8:$I11,ROWS('Equity Vol'!$C$8:$C11),FALSE),"n/a")</f>
        <v>0.59599999999999997</v>
      </c>
      <c r="R11" s="44"/>
      <c r="S11" s="209">
        <f t="shared" ref="S11:S29" si="10">IFERROR(IF(Q11="n/a","n/a",Q11^2),"n/a")</f>
        <v>0.35521599999999998</v>
      </c>
      <c r="T11" s="209">
        <f t="shared" si="1"/>
        <v>3.2758098123915262</v>
      </c>
      <c r="U11" s="210">
        <f t="shared" si="2"/>
        <v>1.8259476932975893</v>
      </c>
      <c r="V11" s="210">
        <f t="shared" si="3"/>
        <v>0.9994732025740668</v>
      </c>
      <c r="W11" s="210">
        <f t="shared" si="4"/>
        <v>0.96607092941375239</v>
      </c>
      <c r="X11" s="91">
        <f t="shared" si="5"/>
        <v>4472.1200412769449</v>
      </c>
      <c r="Y11" s="208">
        <f t="shared" ref="Y11:Y29" si="11">IFERROR(IF(LEN(B11)&gt;0,IF(H11=0,Q11,IF(ISERROR(Q11/((K11/X11)*V11)),"n/a",Q11/((K11/X11)*V11)))),"n/a")</f>
        <v>0.58173474147434034</v>
      </c>
      <c r="AA11" s="92" t="str">
        <f>IF('MASTER PubCo Inputs'!B29=0,"",'MASTER PubCo Inputs'!B29)</f>
        <v>NasdaqGS:FGEN</v>
      </c>
      <c r="AB11" s="386">
        <f>'Beta Calc'!Z11</f>
        <v>4584.3</v>
      </c>
      <c r="AC11" s="93">
        <f t="shared" si="6"/>
        <v>-0.1000000000003638</v>
      </c>
      <c r="AI11" s="94"/>
    </row>
    <row r="12" spans="2:35" ht="12.75" customHeight="1">
      <c r="B12" s="385" t="str">
        <f>'Comp.1'!B12</f>
        <v>Galapagos NV</v>
      </c>
      <c r="D12" s="386">
        <f>'Beta Calc'!K12</f>
        <v>5773</v>
      </c>
      <c r="E12" s="386" t="str">
        <f>'Beta Calc'!L12</f>
        <v xml:space="preserve"> -   </v>
      </c>
      <c r="F12" s="386" t="str">
        <f>'Beta Calc'!M12</f>
        <v xml:space="preserve"> n/a </v>
      </c>
      <c r="G12" s="386" t="str">
        <f>'Beta Calc'!N12</f>
        <v xml:space="preserve"> n/a </v>
      </c>
      <c r="H12" s="386">
        <f t="shared" si="7"/>
        <v>0</v>
      </c>
      <c r="I12" s="386">
        <f t="shared" si="8"/>
        <v>5773</v>
      </c>
      <c r="J12" s="386">
        <f>'Beta Calc'!Q12</f>
        <v>1365.3</v>
      </c>
      <c r="K12" s="386">
        <f t="shared" si="9"/>
        <v>4407.7</v>
      </c>
      <c r="M12" s="54">
        <f>IFERROR('Capital IQ Sheet-GPC'!AT15,"n/a")</f>
        <v>0</v>
      </c>
      <c r="N12" s="386">
        <f t="shared" si="0"/>
        <v>5.9178082191780828</v>
      </c>
      <c r="O12" s="206">
        <f t="shared" si="0"/>
        <v>2.8913013698630138E-2</v>
      </c>
      <c r="P12" s="207"/>
      <c r="Q12" s="208">
        <f>IFERROR(HLOOKUP($Q$6,'Equity Vol'!$B$8:$I12,ROWS('Equity Vol'!$C$8:$C12),FALSE),"n/a")</f>
        <v>0.41599999999999998</v>
      </c>
      <c r="R12" s="44"/>
      <c r="S12" s="209">
        <f t="shared" si="10"/>
        <v>0.17305599999999999</v>
      </c>
      <c r="T12" s="209">
        <f t="shared" si="1"/>
        <v>0</v>
      </c>
      <c r="U12" s="210">
        <f t="shared" si="2"/>
        <v>0</v>
      </c>
      <c r="V12" s="210">
        <f t="shared" si="3"/>
        <v>0</v>
      </c>
      <c r="W12" s="210">
        <f t="shared" si="4"/>
        <v>0</v>
      </c>
      <c r="X12" s="91">
        <f t="shared" si="5"/>
        <v>0</v>
      </c>
      <c r="Y12" s="208">
        <f t="shared" si="11"/>
        <v>0.41599999999999998</v>
      </c>
      <c r="AA12" s="92" t="str">
        <f>IF('MASTER PubCo Inputs'!B30=0,"",'MASTER PubCo Inputs'!B30)</f>
        <v>ENXTAM:GLPG</v>
      </c>
      <c r="AB12" s="386">
        <f>'Beta Calc'!Z12</f>
        <v>4474.8999999999996</v>
      </c>
      <c r="AC12" s="93">
        <f t="shared" si="6"/>
        <v>-67.199999999999818</v>
      </c>
      <c r="AI12" s="94"/>
    </row>
    <row r="13" spans="2:35" ht="12.75" customHeight="1">
      <c r="B13" s="385" t="str">
        <f>'Comp.1'!B13</f>
        <v>Madrigal Pharmaceuticals, Inc.</v>
      </c>
      <c r="D13" s="386">
        <f>'Beta Calc'!K13</f>
        <v>3964.4</v>
      </c>
      <c r="E13" s="386" t="str">
        <f>'Beta Calc'!L13</f>
        <v xml:space="preserve"> -   </v>
      </c>
      <c r="F13" s="386" t="str">
        <f>'Beta Calc'!M13</f>
        <v xml:space="preserve"> n/a </v>
      </c>
      <c r="G13" s="386" t="str">
        <f>'Beta Calc'!N13</f>
        <v xml:space="preserve"> n/a </v>
      </c>
      <c r="H13" s="386">
        <f t="shared" si="7"/>
        <v>0</v>
      </c>
      <c r="I13" s="386">
        <f t="shared" si="8"/>
        <v>3964.4</v>
      </c>
      <c r="J13" s="386">
        <f>'Beta Calc'!Q13</f>
        <v>182.8</v>
      </c>
      <c r="K13" s="386">
        <f t="shared" si="9"/>
        <v>3781.6</v>
      </c>
      <c r="M13" s="54">
        <f>IFERROR('Capital IQ Sheet-GPC'!AT16,"n/a")</f>
        <v>0</v>
      </c>
      <c r="N13" s="386">
        <f t="shared" si="0"/>
        <v>5.9178082191780828</v>
      </c>
      <c r="O13" s="206">
        <f t="shared" si="0"/>
        <v>2.8913013698630138E-2</v>
      </c>
      <c r="P13" s="207"/>
      <c r="Q13" s="208">
        <f>IFERROR(HLOOKUP($Q$6,'Equity Vol'!$B$8:$I13,ROWS('Equity Vol'!$C$8:$C13),FALSE),"n/a")</f>
        <v>1.016</v>
      </c>
      <c r="R13" s="44"/>
      <c r="S13" s="209">
        <f t="shared" si="10"/>
        <v>1.0322560000000001</v>
      </c>
      <c r="T13" s="209">
        <f t="shared" si="1"/>
        <v>0</v>
      </c>
      <c r="U13" s="210">
        <f t="shared" si="2"/>
        <v>0</v>
      </c>
      <c r="V13" s="210">
        <f t="shared" si="3"/>
        <v>0</v>
      </c>
      <c r="W13" s="210">
        <f t="shared" si="4"/>
        <v>0</v>
      </c>
      <c r="X13" s="91">
        <f t="shared" si="5"/>
        <v>0</v>
      </c>
      <c r="Y13" s="208">
        <f t="shared" si="11"/>
        <v>1.016</v>
      </c>
      <c r="AA13" s="92" t="str">
        <f>IF('MASTER PubCo Inputs'!B31=0,"",'MASTER PubCo Inputs'!B31)</f>
        <v>NasdaqCM:MDGL</v>
      </c>
      <c r="AB13" s="386">
        <f>'Beta Calc'!Z13</f>
        <v>3781.5</v>
      </c>
      <c r="AC13" s="93">
        <f t="shared" si="6"/>
        <v>9.9999999999909051E-2</v>
      </c>
      <c r="AI13" s="94"/>
    </row>
    <row r="14" spans="2:35" ht="12.75" customHeight="1">
      <c r="B14" s="385" t="str">
        <f>'Comp.1'!B14</f>
        <v>Intercept Pharmaceuticals, Inc.</v>
      </c>
      <c r="D14" s="386">
        <f>'Beta Calc'!K14</f>
        <v>2630.5</v>
      </c>
      <c r="E14" s="386">
        <f>'Beta Calc'!L14</f>
        <v>359.4</v>
      </c>
      <c r="F14" s="386" t="str">
        <f>'Beta Calc'!M14</f>
        <v xml:space="preserve"> n/a </v>
      </c>
      <c r="G14" s="386" t="str">
        <f>'Beta Calc'!N14</f>
        <v xml:space="preserve"> n/a </v>
      </c>
      <c r="H14" s="386">
        <f t="shared" si="7"/>
        <v>359.4</v>
      </c>
      <c r="I14" s="386">
        <f t="shared" si="8"/>
        <v>2989.9</v>
      </c>
      <c r="J14" s="386">
        <f>'Beta Calc'!Q14</f>
        <v>326.10000000000002</v>
      </c>
      <c r="K14" s="386">
        <f t="shared" si="9"/>
        <v>2663.8</v>
      </c>
      <c r="M14" s="54">
        <f>IFERROR('Capital IQ Sheet-GPC'!AT17,"n/a")</f>
        <v>0</v>
      </c>
      <c r="N14" s="386">
        <f t="shared" si="0"/>
        <v>5.9178082191780828</v>
      </c>
      <c r="O14" s="206">
        <f t="shared" si="0"/>
        <v>2.8913013698630138E-2</v>
      </c>
      <c r="P14" s="207"/>
      <c r="Q14" s="208">
        <f>IFERROR(HLOOKUP($Q$6,'Equity Vol'!$B$8:$I14,ROWS('Equity Vol'!$C$8:$C14),FALSE),"n/a")</f>
        <v>0.874</v>
      </c>
      <c r="R14" s="44"/>
      <c r="S14" s="209">
        <f t="shared" si="10"/>
        <v>0.763876</v>
      </c>
      <c r="T14" s="209">
        <f t="shared" si="1"/>
        <v>2.0856624224472617</v>
      </c>
      <c r="U14" s="210">
        <f t="shared" si="2"/>
        <v>-4.0477664948880943E-2</v>
      </c>
      <c r="V14" s="210">
        <f t="shared" si="3"/>
        <v>0.98149539370068573</v>
      </c>
      <c r="W14" s="210">
        <f t="shared" si="4"/>
        <v>0.48385615661708381</v>
      </c>
      <c r="X14" s="91">
        <f t="shared" si="5"/>
        <v>2467.9574262848028</v>
      </c>
      <c r="Y14" s="208">
        <f t="shared" si="11"/>
        <v>0.82501000610562947</v>
      </c>
      <c r="AA14" s="92" t="str">
        <f>IF('MASTER PubCo Inputs'!B32=0,"",'MASTER PubCo Inputs'!B32)</f>
        <v>NasdaqGS:ICPT</v>
      </c>
      <c r="AB14" s="386">
        <f>'Beta Calc'!Z14</f>
        <v>2663.9</v>
      </c>
      <c r="AC14" s="93">
        <f t="shared" si="6"/>
        <v>-9.9999999999909051E-2</v>
      </c>
      <c r="AI14" s="94"/>
    </row>
    <row r="15" spans="2:35" ht="12.75" customHeight="1">
      <c r="B15" s="385" t="str">
        <f>'Comp.1'!B15</f>
        <v>Insmed Incorporated</v>
      </c>
      <c r="D15" s="386">
        <f>'Beta Calc'!K15</f>
        <v>1863.5</v>
      </c>
      <c r="E15" s="386">
        <f>'Beta Calc'!L15</f>
        <v>302.7</v>
      </c>
      <c r="F15" s="386" t="str">
        <f>'Beta Calc'!M15</f>
        <v xml:space="preserve"> n/a </v>
      </c>
      <c r="G15" s="386" t="str">
        <f>'Beta Calc'!N15</f>
        <v xml:space="preserve"> n/a </v>
      </c>
      <c r="H15" s="386">
        <f t="shared" si="7"/>
        <v>302.7</v>
      </c>
      <c r="I15" s="386">
        <f t="shared" si="8"/>
        <v>2166.1999999999998</v>
      </c>
      <c r="J15" s="386">
        <f>'Beta Calc'!Q15</f>
        <v>686.6</v>
      </c>
      <c r="K15" s="386">
        <f t="shared" si="9"/>
        <v>1479.6</v>
      </c>
      <c r="M15" s="54">
        <f>IFERROR('Capital IQ Sheet-GPC'!AT18,"n/a")</f>
        <v>0</v>
      </c>
      <c r="N15" s="386">
        <f t="shared" si="0"/>
        <v>5.9178082191780828</v>
      </c>
      <c r="O15" s="206">
        <f t="shared" si="0"/>
        <v>2.8913013698630138E-2</v>
      </c>
      <c r="P15" s="207"/>
      <c r="Q15" s="208">
        <f>IFERROR(HLOOKUP($Q$6,'Equity Vol'!$B$8:$I15,ROWS('Equity Vol'!$C$8:$C15),FALSE),"n/a")</f>
        <v>0.65100000000000002</v>
      </c>
      <c r="R15" s="44"/>
      <c r="S15" s="209">
        <f t="shared" si="10"/>
        <v>0.42380100000000004</v>
      </c>
      <c r="T15" s="209">
        <f t="shared" si="1"/>
        <v>1.9018454782103693</v>
      </c>
      <c r="U15" s="210">
        <f t="shared" si="2"/>
        <v>0.31818735819333388</v>
      </c>
      <c r="V15" s="210">
        <f t="shared" si="3"/>
        <v>0.97140432061979398</v>
      </c>
      <c r="W15" s="210">
        <f t="shared" si="4"/>
        <v>0.62482858922438322</v>
      </c>
      <c r="X15" s="91">
        <f t="shared" si="5"/>
        <v>1277.8984631946812</v>
      </c>
      <c r="Y15" s="208">
        <f t="shared" si="11"/>
        <v>0.57880594474492342</v>
      </c>
      <c r="AA15" s="92" t="str">
        <f>IF('MASTER PubCo Inputs'!B33=0,"",'MASTER PubCo Inputs'!B33)</f>
        <v>NasdaqGS:INSM</v>
      </c>
      <c r="AB15" s="386">
        <f>'Beta Calc'!Z15</f>
        <v>1479.6</v>
      </c>
      <c r="AC15" s="93">
        <f t="shared" si="6"/>
        <v>0</v>
      </c>
      <c r="AI15" s="94"/>
    </row>
    <row r="16" spans="2:35" ht="12.75" customHeight="1">
      <c r="B16" s="385" t="str">
        <f>'Comp.1'!B16</f>
        <v>Genfit SA</v>
      </c>
      <c r="D16" s="386">
        <f>'Beta Calc'!K16</f>
        <v>882.5</v>
      </c>
      <c r="E16" s="386">
        <f>'Beta Calc'!L16</f>
        <v>196.6</v>
      </c>
      <c r="F16" s="386" t="str">
        <f>'Beta Calc'!M16</f>
        <v xml:space="preserve"> n/a </v>
      </c>
      <c r="G16" s="386" t="str">
        <f>'Beta Calc'!N16</f>
        <v xml:space="preserve"> n/a </v>
      </c>
      <c r="H16" s="386">
        <f t="shared" si="7"/>
        <v>196.6</v>
      </c>
      <c r="I16" s="386">
        <f t="shared" si="8"/>
        <v>1079.0999999999999</v>
      </c>
      <c r="J16" s="386">
        <f>'Beta Calc'!Q16</f>
        <v>328.8</v>
      </c>
      <c r="K16" s="386">
        <f t="shared" si="9"/>
        <v>750.3</v>
      </c>
      <c r="M16" s="54">
        <f>IFERROR('Capital IQ Sheet-GPC'!AT19,"n/a")</f>
        <v>0</v>
      </c>
      <c r="N16" s="386">
        <f t="shared" si="0"/>
        <v>5.9178082191780828</v>
      </c>
      <c r="O16" s="206">
        <f t="shared" si="0"/>
        <v>2.8913013698630138E-2</v>
      </c>
      <c r="P16" s="207"/>
      <c r="Q16" s="208">
        <f>IFERROR(HLOOKUP($Q$6,'Equity Vol'!$B$8:$I16,ROWS('Equity Vol'!$C$8:$C16),FALSE),"n/a")</f>
        <v>0.68200000000000005</v>
      </c>
      <c r="R16" s="44"/>
      <c r="S16" s="209">
        <f t="shared" si="10"/>
        <v>0.46512400000000009</v>
      </c>
      <c r="T16" s="209">
        <f t="shared" si="1"/>
        <v>1.7399266987694699</v>
      </c>
      <c r="U16" s="210">
        <f t="shared" si="2"/>
        <v>8.0856287323051834E-2</v>
      </c>
      <c r="V16" s="210">
        <f t="shared" si="3"/>
        <v>0.95906405505076053</v>
      </c>
      <c r="W16" s="210">
        <f t="shared" si="4"/>
        <v>0.53222187812441613</v>
      </c>
      <c r="X16" s="91">
        <f t="shared" si="5"/>
        <v>631.40624150468216</v>
      </c>
      <c r="Y16" s="208">
        <f t="shared" si="11"/>
        <v>0.59842631739160046</v>
      </c>
      <c r="AA16" s="92" t="str">
        <f>IF('MASTER PubCo Inputs'!B34=0,"",'MASTER PubCo Inputs'!B34)</f>
        <v>ENXTPA:GNFT</v>
      </c>
      <c r="AB16" s="386">
        <f>'Beta Calc'!Z16</f>
        <v>753.6</v>
      </c>
      <c r="AC16" s="93">
        <f t="shared" si="6"/>
        <v>-3.3000000000000682</v>
      </c>
      <c r="AI16" s="94"/>
    </row>
    <row r="17" spans="2:35" ht="12.75" customHeight="1">
      <c r="B17" s="385" t="str">
        <f>'Comp.1'!B17</f>
        <v>Kadmon Holdings, Inc.</v>
      </c>
      <c r="D17" s="386">
        <f>'Beta Calc'!K17</f>
        <v>365.5</v>
      </c>
      <c r="E17" s="386">
        <f>'Beta Calc'!L17</f>
        <v>33.1</v>
      </c>
      <c r="F17" s="386">
        <f>'Beta Calc'!M17</f>
        <v>40.700000000000003</v>
      </c>
      <c r="G17" s="386" t="str">
        <f>'Beta Calc'!N17</f>
        <v xml:space="preserve"> n/a </v>
      </c>
      <c r="H17" s="386">
        <f t="shared" si="7"/>
        <v>73.800000000000011</v>
      </c>
      <c r="I17" s="386">
        <f t="shared" si="8"/>
        <v>439.3</v>
      </c>
      <c r="J17" s="386">
        <f>'Beta Calc'!Q17</f>
        <v>49.2</v>
      </c>
      <c r="K17" s="386">
        <f t="shared" si="9"/>
        <v>390.1</v>
      </c>
      <c r="M17" s="54">
        <f>IFERROR('Capital IQ Sheet-GPC'!AT20,"n/a")</f>
        <v>0</v>
      </c>
      <c r="N17" s="386">
        <f t="shared" si="0"/>
        <v>5.9178082191780828</v>
      </c>
      <c r="O17" s="206">
        <f t="shared" si="0"/>
        <v>2.8913013698630138E-2</v>
      </c>
      <c r="P17" s="207"/>
      <c r="Q17" s="208">
        <f>IFERROR(HLOOKUP($Q$6,'Equity Vol'!$B$8:$I17,ROWS('Equity Vol'!$C$8:$C17),FALSE),"n/a")</f>
        <v>0.67200000000000004</v>
      </c>
      <c r="R17" s="44"/>
      <c r="S17" s="209">
        <f t="shared" si="10"/>
        <v>0.45158400000000004</v>
      </c>
      <c r="T17" s="209">
        <f t="shared" si="1"/>
        <v>1.9405730003083392</v>
      </c>
      <c r="U17" s="210">
        <f t="shared" si="2"/>
        <v>0.30582913448430271</v>
      </c>
      <c r="V17" s="210">
        <f t="shared" si="3"/>
        <v>0.97384495417290073</v>
      </c>
      <c r="W17" s="210">
        <f t="shared" si="4"/>
        <v>0.62013262774951095</v>
      </c>
      <c r="X17" s="91">
        <f t="shared" si="5"/>
        <v>341.32844469028674</v>
      </c>
      <c r="Y17" s="208">
        <f t="shared" si="11"/>
        <v>0.60377619505553326</v>
      </c>
      <c r="AA17" s="92" t="str">
        <f>IF('MASTER PubCo Inputs'!B35=0,"",'MASTER PubCo Inputs'!B35)</f>
        <v>NYSE:KDMN</v>
      </c>
      <c r="AB17" s="386">
        <f>'Beta Calc'!Z17</f>
        <v>390.1</v>
      </c>
      <c r="AC17" s="93">
        <f t="shared" si="6"/>
        <v>0</v>
      </c>
      <c r="AI17" s="94"/>
    </row>
    <row r="18" spans="2:35" ht="12.75" customHeight="1">
      <c r="B18" s="385" t="str">
        <f>'Comp.1'!B18</f>
        <v>MediciNova, Inc.</v>
      </c>
      <c r="D18" s="386">
        <f>'Beta Calc'!K18</f>
        <v>398.7</v>
      </c>
      <c r="E18" s="386" t="str">
        <f>'Beta Calc'!L18</f>
        <v xml:space="preserve"> -   </v>
      </c>
      <c r="F18" s="386" t="str">
        <f>'Beta Calc'!M18</f>
        <v xml:space="preserve"> n/a </v>
      </c>
      <c r="G18" s="386" t="str">
        <f>'Beta Calc'!N18</f>
        <v xml:space="preserve"> n/a </v>
      </c>
      <c r="H18" s="386">
        <f t="shared" si="7"/>
        <v>0</v>
      </c>
      <c r="I18" s="386">
        <f t="shared" si="8"/>
        <v>398.7</v>
      </c>
      <c r="J18" s="386">
        <f>'Beta Calc'!Q18</f>
        <v>64.2</v>
      </c>
      <c r="K18" s="386">
        <f t="shared" si="9"/>
        <v>334.5</v>
      </c>
      <c r="M18" s="54">
        <f>IFERROR('Capital IQ Sheet-GPC'!AT21,"n/a")</f>
        <v>0</v>
      </c>
      <c r="N18" s="386">
        <f t="shared" si="0"/>
        <v>5.9178082191780828</v>
      </c>
      <c r="O18" s="206">
        <f t="shared" si="0"/>
        <v>2.8913013698630138E-2</v>
      </c>
      <c r="P18" s="207"/>
      <c r="Q18" s="208">
        <f>IFERROR(HLOOKUP($Q$6,'Equity Vol'!$B$8:$I18,ROWS('Equity Vol'!$C$8:$C18),FALSE),"n/a")</f>
        <v>0.65500000000000003</v>
      </c>
      <c r="R18" s="44"/>
      <c r="S18" s="209">
        <f t="shared" si="10"/>
        <v>0.42902500000000005</v>
      </c>
      <c r="T18" s="209">
        <f t="shared" si="1"/>
        <v>0</v>
      </c>
      <c r="U18" s="210">
        <f t="shared" si="2"/>
        <v>0</v>
      </c>
      <c r="V18" s="210">
        <f t="shared" si="3"/>
        <v>0</v>
      </c>
      <c r="W18" s="210">
        <f t="shared" si="4"/>
        <v>0</v>
      </c>
      <c r="X18" s="91">
        <f t="shared" si="5"/>
        <v>0</v>
      </c>
      <c r="Y18" s="208">
        <f t="shared" si="11"/>
        <v>0.65500000000000003</v>
      </c>
      <c r="AA18" s="92" t="str">
        <f>IF('MASTER PubCo Inputs'!B36=0,"",'MASTER PubCo Inputs'!B36)</f>
        <v>NasdaqGM:MNOV</v>
      </c>
      <c r="AB18" s="386">
        <f>'Beta Calc'!Z18</f>
        <v>334.5</v>
      </c>
      <c r="AC18" s="93">
        <f t="shared" si="6"/>
        <v>0</v>
      </c>
      <c r="AI18" s="94"/>
    </row>
    <row r="19" spans="2:35" ht="12.75" customHeight="1">
      <c r="B19" s="385" t="str">
        <f>'Comp.1'!B19</f>
        <v>Savara Inc.</v>
      </c>
      <c r="D19" s="386">
        <f>'Beta Calc'!K19</f>
        <v>393.3</v>
      </c>
      <c r="E19" s="386">
        <f>'Beta Calc'!L19</f>
        <v>15.2</v>
      </c>
      <c r="F19" s="386" t="str">
        <f>'Beta Calc'!M19</f>
        <v xml:space="preserve"> n/a </v>
      </c>
      <c r="G19" s="386" t="str">
        <f>'Beta Calc'!N19</f>
        <v xml:space="preserve"> n/a </v>
      </c>
      <c r="H19" s="386">
        <f t="shared" si="7"/>
        <v>15.2</v>
      </c>
      <c r="I19" s="386">
        <f t="shared" si="8"/>
        <v>408.5</v>
      </c>
      <c r="J19" s="386">
        <f>'Beta Calc'!Q19</f>
        <v>85.2</v>
      </c>
      <c r="K19" s="386">
        <f t="shared" si="9"/>
        <v>323.3</v>
      </c>
      <c r="M19" s="54">
        <f>IFERROR('Capital IQ Sheet-GPC'!AT22,"n/a")</f>
        <v>0</v>
      </c>
      <c r="N19" s="386">
        <f t="shared" si="0"/>
        <v>5.9178082191780828</v>
      </c>
      <c r="O19" s="206">
        <f t="shared" si="0"/>
        <v>2.8913013698630138E-2</v>
      </c>
      <c r="P19" s="207"/>
      <c r="Q19" s="208">
        <f>IFERROR(HLOOKUP($Q$6,'Equity Vol'!$B$8:$I19,ROWS('Equity Vol'!$C$8:$C19),FALSE),"n/a")</f>
        <v>0.628</v>
      </c>
      <c r="R19" s="44"/>
      <c r="S19" s="209">
        <f t="shared" si="10"/>
        <v>0.39438400000000001</v>
      </c>
      <c r="T19" s="209">
        <f t="shared" si="1"/>
        <v>2.8770773309843447</v>
      </c>
      <c r="U19" s="210">
        <f t="shared" si="2"/>
        <v>1.3493702658987869</v>
      </c>
      <c r="V19" s="210">
        <f t="shared" si="3"/>
        <v>0.99799311390385814</v>
      </c>
      <c r="W19" s="210">
        <f t="shared" si="4"/>
        <v>0.9113909667749821</v>
      </c>
      <c r="X19" s="91">
        <f t="shared" si="5"/>
        <v>310.97663321353104</v>
      </c>
      <c r="Y19" s="208">
        <f t="shared" si="11"/>
        <v>0.60527697266174418</v>
      </c>
      <c r="AA19" s="92" t="str">
        <f>IF('MASTER PubCo Inputs'!B37=0,"",'MASTER PubCo Inputs'!B37)</f>
        <v>NasdaqGS:SVRA</v>
      </c>
      <c r="AB19" s="386">
        <f>'Beta Calc'!Z19</f>
        <v>323.39999999999998</v>
      </c>
      <c r="AC19" s="93">
        <f t="shared" si="6"/>
        <v>-9.9999999999965894E-2</v>
      </c>
      <c r="AI19" s="94"/>
    </row>
    <row r="20" spans="2:35" ht="12.75" customHeight="1">
      <c r="B20" s="385" t="str">
        <f>'Comp.1'!B20</f>
        <v>Galmed Pharmaceuticals Ltd.</v>
      </c>
      <c r="D20" s="386">
        <f>'Beta Calc'!K20</f>
        <v>289.7</v>
      </c>
      <c r="E20" s="386" t="str">
        <f>'Beta Calc'!L20</f>
        <v xml:space="preserve"> -   </v>
      </c>
      <c r="F20" s="386" t="str">
        <f>'Beta Calc'!M20</f>
        <v xml:space="preserve"> n/a </v>
      </c>
      <c r="G20" s="386" t="str">
        <f>'Beta Calc'!N20</f>
        <v xml:space="preserve"> n/a </v>
      </c>
      <c r="H20" s="386">
        <f t="shared" si="7"/>
        <v>0</v>
      </c>
      <c r="I20" s="386">
        <f t="shared" si="8"/>
        <v>289.7</v>
      </c>
      <c r="J20" s="386">
        <f>'Beta Calc'!Q20</f>
        <v>15.5</v>
      </c>
      <c r="K20" s="386">
        <f t="shared" si="9"/>
        <v>274.2</v>
      </c>
      <c r="M20" s="54">
        <f>IFERROR('Capital IQ Sheet-GPC'!AT23,"n/a")</f>
        <v>0</v>
      </c>
      <c r="N20" s="386">
        <f t="shared" si="0"/>
        <v>5.9178082191780828</v>
      </c>
      <c r="O20" s="206">
        <f t="shared" si="0"/>
        <v>2.8913013698630138E-2</v>
      </c>
      <c r="P20" s="207"/>
      <c r="Q20" s="208">
        <f>IFERROR(HLOOKUP($Q$6,'Equity Vol'!$B$8:$I20,ROWS('Equity Vol'!$C$8:$C20),FALSE),"n/a")</f>
        <v>0.92100000000000004</v>
      </c>
      <c r="R20" s="44"/>
      <c r="S20" s="209">
        <f t="shared" si="10"/>
        <v>0.84824100000000002</v>
      </c>
      <c r="T20" s="209">
        <f t="shared" si="1"/>
        <v>0</v>
      </c>
      <c r="U20" s="210">
        <f t="shared" si="2"/>
        <v>0</v>
      </c>
      <c r="V20" s="210">
        <f t="shared" si="3"/>
        <v>0</v>
      </c>
      <c r="W20" s="210">
        <f t="shared" si="4"/>
        <v>0</v>
      </c>
      <c r="X20" s="91">
        <f t="shared" si="5"/>
        <v>0</v>
      </c>
      <c r="Y20" s="208">
        <f t="shared" si="11"/>
        <v>0.92100000000000004</v>
      </c>
      <c r="AA20" s="92" t="str">
        <f>IF('MASTER PubCo Inputs'!B38=0,"",'MASTER PubCo Inputs'!B38)</f>
        <v>NasdaqCM:GLMD</v>
      </c>
      <c r="AB20" s="386">
        <f>'Beta Calc'!Z20</f>
        <v>274.2</v>
      </c>
      <c r="AC20" s="93">
        <f t="shared" si="6"/>
        <v>0</v>
      </c>
      <c r="AI20" s="94"/>
    </row>
    <row r="21" spans="2:35" ht="12.75" customHeight="1">
      <c r="B21" s="385" t="str">
        <f>'Comp.1'!B21</f>
        <v>Galectin Therapeutics, Inc.</v>
      </c>
      <c r="D21" s="386">
        <f>'Beta Calc'!K21</f>
        <v>202.3</v>
      </c>
      <c r="E21" s="386" t="str">
        <f>'Beta Calc'!L21</f>
        <v xml:space="preserve"> -   </v>
      </c>
      <c r="F21" s="386">
        <f>'Beta Calc'!M21</f>
        <v>9</v>
      </c>
      <c r="G21" s="386" t="str">
        <f>'Beta Calc'!N21</f>
        <v xml:space="preserve"> n/a </v>
      </c>
      <c r="H21" s="386">
        <f t="shared" si="7"/>
        <v>9</v>
      </c>
      <c r="I21" s="386">
        <f t="shared" si="8"/>
        <v>211.3</v>
      </c>
      <c r="J21" s="386">
        <f>'Beta Calc'!Q21</f>
        <v>4</v>
      </c>
      <c r="K21" s="386">
        <f t="shared" si="9"/>
        <v>207.3</v>
      </c>
      <c r="M21" s="54">
        <f>IFERROR('Capital IQ Sheet-GPC'!AT24,"n/a")</f>
        <v>0</v>
      </c>
      <c r="N21" s="386">
        <f t="shared" si="0"/>
        <v>5.9178082191780828</v>
      </c>
      <c r="O21" s="206">
        <f t="shared" si="0"/>
        <v>2.8913013698630138E-2</v>
      </c>
      <c r="P21" s="207"/>
      <c r="Q21" s="208">
        <f>IFERROR(HLOOKUP($Q$6,'Equity Vol'!$B$8:$I21,ROWS('Equity Vol'!$C$8:$C21),FALSE),"n/a")</f>
        <v>1.0229999999999999</v>
      </c>
      <c r="R21" s="44"/>
      <c r="S21" s="209">
        <f t="shared" si="10"/>
        <v>1.0465289999999998</v>
      </c>
      <c r="T21" s="209">
        <f t="shared" si="1"/>
        <v>2.5735789660399364</v>
      </c>
      <c r="U21" s="210">
        <f t="shared" si="2"/>
        <v>8.4973348870309717E-2</v>
      </c>
      <c r="V21" s="210">
        <f t="shared" si="3"/>
        <v>0.99496736623620596</v>
      </c>
      <c r="W21" s="210">
        <f t="shared" si="4"/>
        <v>0.53385871070993229</v>
      </c>
      <c r="X21" s="91">
        <f t="shared" si="5"/>
        <v>202.2076179687088</v>
      </c>
      <c r="Y21" s="208">
        <f t="shared" si="11"/>
        <v>1.0029170352239067</v>
      </c>
      <c r="AA21" s="92" t="str">
        <f>IF('MASTER PubCo Inputs'!B39=0,"",'MASTER PubCo Inputs'!B39)</f>
        <v>NasdaqCM:GALT</v>
      </c>
      <c r="AB21" s="386">
        <f>'Beta Calc'!Z21</f>
        <v>207.3</v>
      </c>
      <c r="AC21" s="93">
        <f t="shared" si="6"/>
        <v>0</v>
      </c>
      <c r="AI21" s="94"/>
    </row>
    <row r="22" spans="2:35" ht="12.75" customHeight="1">
      <c r="B22" s="385" t="str">
        <f>'Comp.1'!B22</f>
        <v>Corbus Pharmaceuticals Holdings, Inc.</v>
      </c>
      <c r="D22" s="386">
        <f>'Beta Calc'!K22</f>
        <v>274.3</v>
      </c>
      <c r="E22" s="386">
        <f>'Beta Calc'!L22</f>
        <v>0.2</v>
      </c>
      <c r="F22" s="386" t="str">
        <f>'Beta Calc'!M22</f>
        <v xml:space="preserve"> n/a </v>
      </c>
      <c r="G22" s="386" t="str">
        <f>'Beta Calc'!N22</f>
        <v xml:space="preserve"> n/a </v>
      </c>
      <c r="H22" s="386">
        <f t="shared" si="7"/>
        <v>0.2</v>
      </c>
      <c r="I22" s="386">
        <f t="shared" si="8"/>
        <v>274.5</v>
      </c>
      <c r="J22" s="386">
        <f>'Beta Calc'!Q22</f>
        <v>71</v>
      </c>
      <c r="K22" s="386">
        <f t="shared" si="9"/>
        <v>203.5</v>
      </c>
      <c r="M22" s="54">
        <f>IFERROR('Capital IQ Sheet-GPC'!AT25,"n/a")</f>
        <v>0</v>
      </c>
      <c r="N22" s="386">
        <f t="shared" si="0"/>
        <v>5.9178082191780828</v>
      </c>
      <c r="O22" s="206">
        <f t="shared" si="0"/>
        <v>2.8913013698630138E-2</v>
      </c>
      <c r="P22" s="207"/>
      <c r="Q22" s="208">
        <f>IFERROR(HLOOKUP($Q$6,'Equity Vol'!$B$8:$I22,ROWS('Equity Vol'!$C$8:$C22),FALSE),"n/a")</f>
        <v>0.90400000000000003</v>
      </c>
      <c r="R22" s="44"/>
      <c r="S22" s="209">
        <f t="shared" si="10"/>
        <v>0.81721600000000005</v>
      </c>
      <c r="T22" s="209">
        <f t="shared" si="1"/>
        <v>4.3263989965043601</v>
      </c>
      <c r="U22" s="210">
        <f t="shared" si="2"/>
        <v>2.1272792722410729</v>
      </c>
      <c r="V22" s="210">
        <f t="shared" si="3"/>
        <v>0.99999242166145541</v>
      </c>
      <c r="W22" s="210">
        <f t="shared" si="4"/>
        <v>0.98330155703399547</v>
      </c>
      <c r="X22" s="91">
        <f t="shared" si="5"/>
        <v>203.33272510592502</v>
      </c>
      <c r="Y22" s="208">
        <f t="shared" si="11"/>
        <v>0.90326376659368568</v>
      </c>
      <c r="AA22" s="92" t="str">
        <f>IF('MASTER PubCo Inputs'!B40=0,"",'MASTER PubCo Inputs'!B40)</f>
        <v>NasdaqGM:CRBP</v>
      </c>
      <c r="AB22" s="386">
        <f>'Beta Calc'!Z22</f>
        <v>203.5</v>
      </c>
      <c r="AC22" s="93">
        <f t="shared" si="6"/>
        <v>0</v>
      </c>
      <c r="AI22" s="94"/>
    </row>
    <row r="23" spans="2:35" ht="12.75" customHeight="1">
      <c r="B23" s="385" t="str">
        <f>'Comp.1'!B23</f>
        <v>ProQR Therapeutics N.V.</v>
      </c>
      <c r="D23" s="386">
        <f>'Beta Calc'!K23</f>
        <v>212.3</v>
      </c>
      <c r="E23" s="386">
        <f>'Beta Calc'!L23</f>
        <v>8.6999999999999993</v>
      </c>
      <c r="F23" s="386" t="str">
        <f>'Beta Calc'!M23</f>
        <v xml:space="preserve"> n/a </v>
      </c>
      <c r="G23" s="386">
        <f>'Beta Calc'!N23</f>
        <v>0</v>
      </c>
      <c r="H23" s="386">
        <f t="shared" si="7"/>
        <v>8.6999999999999993</v>
      </c>
      <c r="I23" s="386">
        <f t="shared" si="8"/>
        <v>221</v>
      </c>
      <c r="J23" s="386">
        <f>'Beta Calc'!Q23</f>
        <v>57.8</v>
      </c>
      <c r="K23" s="386">
        <f t="shared" si="9"/>
        <v>163.19999999999999</v>
      </c>
      <c r="M23" s="54">
        <f>IFERROR('Capital IQ Sheet-GPC'!AT26,"n/a")</f>
        <v>0</v>
      </c>
      <c r="N23" s="386">
        <f t="shared" si="0"/>
        <v>5.9178082191780828</v>
      </c>
      <c r="O23" s="206">
        <f t="shared" si="0"/>
        <v>2.8913013698630138E-2</v>
      </c>
      <c r="P23" s="207"/>
      <c r="Q23" s="208">
        <f>IFERROR(HLOOKUP($Q$6,'Equity Vol'!$B$8:$I23,ROWS('Equity Vol'!$C$8:$C23),FALSE),"n/a")</f>
        <v>0.71199999999999997</v>
      </c>
      <c r="R23" s="44"/>
      <c r="S23" s="209">
        <f t="shared" si="10"/>
        <v>0.50694399999999995</v>
      </c>
      <c r="T23" s="209">
        <f t="shared" si="1"/>
        <v>2.6574022941135453</v>
      </c>
      <c r="U23" s="210">
        <f t="shared" si="2"/>
        <v>0.92535224579998299</v>
      </c>
      <c r="V23" s="210">
        <f t="shared" si="3"/>
        <v>0.99606272936920581</v>
      </c>
      <c r="W23" s="210">
        <f t="shared" si="4"/>
        <v>0.82260864481049134</v>
      </c>
      <c r="X23" s="91">
        <f t="shared" si="5"/>
        <v>156.52623353974843</v>
      </c>
      <c r="Y23" s="208">
        <f t="shared" si="11"/>
        <v>0.68558338541844743</v>
      </c>
      <c r="AA23" s="92" t="str">
        <f>IF('MASTER PubCo Inputs'!B41=0,"",'MASTER PubCo Inputs'!B41)</f>
        <v>NasdaqGM:PRQR</v>
      </c>
      <c r="AB23" s="386">
        <f>'Beta Calc'!Z23</f>
        <v>174.9</v>
      </c>
      <c r="AC23" s="93">
        <f t="shared" si="6"/>
        <v>-11.700000000000017</v>
      </c>
      <c r="AI23" s="94"/>
    </row>
    <row r="24" spans="2:35" ht="12.75" customHeight="1">
      <c r="B24" s="385" t="str">
        <f>'Comp.1'!B24</f>
        <v>Miragen Therapeutics, Inc.</v>
      </c>
      <c r="D24" s="386">
        <f>'Beta Calc'!K24</f>
        <v>194.7</v>
      </c>
      <c r="E24" s="386">
        <f>'Beta Calc'!L24</f>
        <v>10</v>
      </c>
      <c r="F24" s="386" t="str">
        <f>'Beta Calc'!M24</f>
        <v xml:space="preserve"> n/a </v>
      </c>
      <c r="G24" s="386" t="str">
        <f>'Beta Calc'!N24</f>
        <v xml:space="preserve"> n/a </v>
      </c>
      <c r="H24" s="386">
        <f t="shared" si="7"/>
        <v>10</v>
      </c>
      <c r="I24" s="386">
        <f t="shared" si="8"/>
        <v>204.7</v>
      </c>
      <c r="J24" s="386">
        <f>'Beta Calc'!Q24</f>
        <v>78.099999999999994</v>
      </c>
      <c r="K24" s="386">
        <f t="shared" si="9"/>
        <v>126.6</v>
      </c>
      <c r="M24" s="54">
        <f>IFERROR('Capital IQ Sheet-GPC'!AT27,"n/a")</f>
        <v>0</v>
      </c>
      <c r="N24" s="386">
        <f t="shared" si="0"/>
        <v>5.9178082191780828</v>
      </c>
      <c r="O24" s="206">
        <f t="shared" si="0"/>
        <v>2.8913013698630138E-2</v>
      </c>
      <c r="P24" s="207"/>
      <c r="Q24" s="208">
        <f>IFERROR(HLOOKUP($Q$6,'Equity Vol'!$B$8:$I24,ROWS('Equity Vol'!$C$8:$C24),FALSE),"n/a")</f>
        <v>0.69599999999999995</v>
      </c>
      <c r="R24" s="44"/>
      <c r="S24" s="209">
        <f t="shared" si="10"/>
        <v>0.48441599999999996</v>
      </c>
      <c r="T24" s="209">
        <f t="shared" si="1"/>
        <v>2.4468856572702</v>
      </c>
      <c r="U24" s="210">
        <f t="shared" si="2"/>
        <v>0.75375808195244809</v>
      </c>
      <c r="V24" s="210">
        <f t="shared" si="3"/>
        <v>0.99279517274789464</v>
      </c>
      <c r="W24" s="210">
        <f t="shared" si="4"/>
        <v>0.7745027507294483</v>
      </c>
      <c r="X24" s="91">
        <f t="shared" si="5"/>
        <v>119.16085623541262</v>
      </c>
      <c r="Y24" s="208">
        <f t="shared" si="11"/>
        <v>0.65985648961639587</v>
      </c>
      <c r="AA24" s="92" t="str">
        <f>IF('MASTER PubCo Inputs'!B42=0,"",'MASTER PubCo Inputs'!B42)</f>
        <v>NasdaqCM:MGEN</v>
      </c>
      <c r="AB24" s="386">
        <f>'Beta Calc'!Z24</f>
        <v>126.7</v>
      </c>
      <c r="AC24" s="93">
        <f t="shared" si="6"/>
        <v>-0.10000000000000853</v>
      </c>
      <c r="AI24" s="94"/>
    </row>
    <row r="25" spans="2:35" ht="12.75" customHeight="1">
      <c r="B25" s="385" t="str">
        <f>'Comp.1'!B25</f>
        <v>Conatus Pharmaceuticals Inc.</v>
      </c>
      <c r="D25" s="386">
        <f>'Beta Calc'!K25</f>
        <v>115.7</v>
      </c>
      <c r="E25" s="386">
        <f>'Beta Calc'!L25</f>
        <v>13.3</v>
      </c>
      <c r="F25" s="386" t="str">
        <f>'Beta Calc'!M25</f>
        <v xml:space="preserve"> n/a </v>
      </c>
      <c r="G25" s="386" t="str">
        <f>'Beta Calc'!N25</f>
        <v xml:space="preserve"> n/a </v>
      </c>
      <c r="H25" s="386">
        <f t="shared" si="7"/>
        <v>13.3</v>
      </c>
      <c r="I25" s="386">
        <f t="shared" si="8"/>
        <v>129</v>
      </c>
      <c r="J25" s="386">
        <f>'Beta Calc'!Q25</f>
        <v>66.8</v>
      </c>
      <c r="K25" s="386">
        <f t="shared" si="9"/>
        <v>62.2</v>
      </c>
      <c r="M25" s="54">
        <f>IFERROR('Capital IQ Sheet-GPC'!AT28,"n/a")</f>
        <v>0</v>
      </c>
      <c r="N25" s="386">
        <f t="shared" si="0"/>
        <v>5.9178082191780828</v>
      </c>
      <c r="O25" s="206">
        <f t="shared" si="0"/>
        <v>2.8913013698630138E-2</v>
      </c>
      <c r="P25" s="207"/>
      <c r="Q25" s="208">
        <f>IFERROR(HLOOKUP($Q$6,'Equity Vol'!$B$8:$I25,ROWS('Equity Vol'!$C$8:$C25),FALSE),"n/a")</f>
        <v>0.93300000000000005</v>
      </c>
      <c r="R25" s="44"/>
      <c r="S25" s="209">
        <f t="shared" si="10"/>
        <v>0.87048900000000007</v>
      </c>
      <c r="T25" s="209">
        <f t="shared" si="1"/>
        <v>1.8898748885302756</v>
      </c>
      <c r="U25" s="210">
        <f t="shared" si="2"/>
        <v>-0.37979181803791806</v>
      </c>
      <c r="V25" s="210">
        <f t="shared" si="3"/>
        <v>0.97061265262994723</v>
      </c>
      <c r="W25" s="210">
        <f t="shared" si="4"/>
        <v>0.35204997817448369</v>
      </c>
      <c r="X25" s="91">
        <f t="shared" si="5"/>
        <v>56.426194485266883</v>
      </c>
      <c r="Y25" s="208">
        <f t="shared" si="11"/>
        <v>0.87201924988886004</v>
      </c>
      <c r="AA25" s="92" t="str">
        <f>IF('MASTER PubCo Inputs'!B43=0,"",'MASTER PubCo Inputs'!B43)</f>
        <v>NasdaqGM:CNAT</v>
      </c>
      <c r="AB25" s="386">
        <f>'Beta Calc'!Z25</f>
        <v>62.3</v>
      </c>
      <c r="AC25" s="93">
        <f t="shared" si="6"/>
        <v>-9.9999999999994316E-2</v>
      </c>
      <c r="AI25" s="94"/>
    </row>
    <row r="26" spans="2:35" ht="12.75" customHeight="1">
      <c r="B26" s="385" t="str">
        <f>'Comp.1'!B26</f>
        <v>Immuron Limited</v>
      </c>
      <c r="D26" s="386">
        <f>'Beta Calc'!K26</f>
        <v>39.700000000000003</v>
      </c>
      <c r="E26" s="386">
        <f>'Beta Calc'!L26</f>
        <v>0</v>
      </c>
      <c r="F26" s="386" t="str">
        <f>'Beta Calc'!M26</f>
        <v xml:space="preserve"> n/a </v>
      </c>
      <c r="G26" s="386" t="str">
        <f>'Beta Calc'!N26</f>
        <v xml:space="preserve"> n/a </v>
      </c>
      <c r="H26" s="386">
        <f t="shared" si="7"/>
        <v>0</v>
      </c>
      <c r="I26" s="386">
        <f t="shared" si="8"/>
        <v>39.700000000000003</v>
      </c>
      <c r="J26" s="386">
        <f>'Beta Calc'!Q26</f>
        <v>0.5</v>
      </c>
      <c r="K26" s="386">
        <f t="shared" si="9"/>
        <v>39.200000000000003</v>
      </c>
      <c r="M26" s="54">
        <f>IFERROR('Capital IQ Sheet-GPC'!AT29,"n/a")</f>
        <v>0</v>
      </c>
      <c r="N26" s="386">
        <f t="shared" si="0"/>
        <v>5.9178082191780828</v>
      </c>
      <c r="O26" s="206">
        <f t="shared" si="0"/>
        <v>2.8913013698630138E-2</v>
      </c>
      <c r="P26" s="207"/>
      <c r="Q26" s="208">
        <f>IFERROR(HLOOKUP($Q$6,'Equity Vol'!$B$8:$I26,ROWS('Equity Vol'!$C$8:$C26),FALSE),"n/a")</f>
        <v>1.431</v>
      </c>
      <c r="R26" s="44"/>
      <c r="S26" s="209">
        <f t="shared" si="10"/>
        <v>2.0477609999999999</v>
      </c>
      <c r="T26" s="209">
        <f t="shared" si="1"/>
        <v>0</v>
      </c>
      <c r="U26" s="210">
        <f t="shared" si="2"/>
        <v>0</v>
      </c>
      <c r="V26" s="210">
        <f t="shared" si="3"/>
        <v>0</v>
      </c>
      <c r="W26" s="210">
        <f t="shared" si="4"/>
        <v>0</v>
      </c>
      <c r="X26" s="91">
        <f t="shared" si="5"/>
        <v>0</v>
      </c>
      <c r="Y26" s="208">
        <f t="shared" si="11"/>
        <v>1.431</v>
      </c>
      <c r="AA26" s="92" t="str">
        <f>IF('MASTER PubCo Inputs'!B44=0,"",'MASTER PubCo Inputs'!B44)</f>
        <v>ASX:IMC</v>
      </c>
      <c r="AB26" s="386">
        <f>'Beta Calc'!Z26</f>
        <v>39.299999999999997</v>
      </c>
      <c r="AC26" s="93">
        <f t="shared" si="6"/>
        <v>-9.9999999999994316E-2</v>
      </c>
      <c r="AI26" s="94"/>
    </row>
    <row r="27" spans="2:35" ht="12.75" customHeight="1">
      <c r="B27" s="385" t="str">
        <f>'Comp.1'!B27</f>
        <v>AdAlta Limited</v>
      </c>
      <c r="D27" s="386">
        <f>'Beta Calc'!K27</f>
        <v>25.2</v>
      </c>
      <c r="E27" s="386" t="str">
        <f>'Beta Calc'!L27</f>
        <v xml:space="preserve"> -   </v>
      </c>
      <c r="F27" s="386" t="str">
        <f>'Beta Calc'!M27</f>
        <v xml:space="preserve"> n/a </v>
      </c>
      <c r="G27" s="386" t="str">
        <f>'Beta Calc'!N27</f>
        <v xml:space="preserve"> n/a </v>
      </c>
      <c r="H27" s="386">
        <f t="shared" si="7"/>
        <v>0</v>
      </c>
      <c r="I27" s="386">
        <f t="shared" si="8"/>
        <v>25.2</v>
      </c>
      <c r="J27" s="386">
        <f>'Beta Calc'!Q27</f>
        <v>4.0999999999999996</v>
      </c>
      <c r="K27" s="386">
        <f t="shared" si="9"/>
        <v>21.1</v>
      </c>
      <c r="M27" s="54">
        <f>IFERROR('Capital IQ Sheet-GPC'!AT30,"n/a")</f>
        <v>0</v>
      </c>
      <c r="N27" s="386">
        <f t="shared" si="0"/>
        <v>5.9178082191780828</v>
      </c>
      <c r="O27" s="206">
        <f t="shared" si="0"/>
        <v>2.8913013698630138E-2</v>
      </c>
      <c r="P27" s="207"/>
      <c r="Q27" s="208">
        <f>IFERROR(HLOOKUP($Q$6,'Equity Vol'!$B$8:$I27,ROWS('Equity Vol'!$C$8:$C27),FALSE),"n/a")</f>
        <v>0.89800000000000002</v>
      </c>
      <c r="R27" s="44"/>
      <c r="S27" s="209">
        <f t="shared" si="10"/>
        <v>0.80640400000000001</v>
      </c>
      <c r="T27" s="209">
        <f t="shared" si="1"/>
        <v>0</v>
      </c>
      <c r="U27" s="210">
        <f t="shared" si="2"/>
        <v>0</v>
      </c>
      <c r="V27" s="210">
        <f t="shared" si="3"/>
        <v>0</v>
      </c>
      <c r="W27" s="210">
        <f t="shared" si="4"/>
        <v>0</v>
      </c>
      <c r="X27" s="91">
        <f t="shared" si="5"/>
        <v>0</v>
      </c>
      <c r="Y27" s="208">
        <f t="shared" si="11"/>
        <v>0.89800000000000002</v>
      </c>
      <c r="AA27" s="92" t="str">
        <f>IF('MASTER PubCo Inputs'!B45=0,"",'MASTER PubCo Inputs'!B45)</f>
        <v>ASX:1AD</v>
      </c>
      <c r="AB27" s="386">
        <f>'Beta Calc'!Z27</f>
        <v>21.3</v>
      </c>
      <c r="AC27" s="93">
        <f t="shared" si="6"/>
        <v>-0.19999999999999929</v>
      </c>
      <c r="AI27" s="94"/>
    </row>
    <row r="28" spans="2:35" ht="12.75" customHeight="1">
      <c r="B28" s="385" t="str">
        <f>'Comp.1'!B28</f>
        <v>Pulmatrix, Inc.</v>
      </c>
      <c r="D28" s="386">
        <f>'Beta Calc'!K28</f>
        <v>19.3</v>
      </c>
      <c r="E28" s="386">
        <f>'Beta Calc'!L28</f>
        <v>2.5</v>
      </c>
      <c r="F28" s="386" t="str">
        <f>'Beta Calc'!M28</f>
        <v xml:space="preserve"> n/a </v>
      </c>
      <c r="G28" s="386" t="str">
        <f>'Beta Calc'!N28</f>
        <v xml:space="preserve"> n/a </v>
      </c>
      <c r="H28" s="386">
        <f t="shared" si="7"/>
        <v>2.5</v>
      </c>
      <c r="I28" s="386">
        <f t="shared" si="8"/>
        <v>21.8</v>
      </c>
      <c r="J28" s="386">
        <f>'Beta Calc'!Q28</f>
        <v>1.6</v>
      </c>
      <c r="K28" s="386">
        <f t="shared" si="9"/>
        <v>20.2</v>
      </c>
      <c r="M28" s="54">
        <f>IFERROR('Capital IQ Sheet-GPC'!AT31,"n/a")</f>
        <v>0</v>
      </c>
      <c r="N28" s="386">
        <f t="shared" si="0"/>
        <v>5.9178082191780828</v>
      </c>
      <c r="O28" s="206">
        <f t="shared" si="0"/>
        <v>2.8913013698630138E-2</v>
      </c>
      <c r="P28" s="207"/>
      <c r="Q28" s="208">
        <f>IFERROR(HLOOKUP($Q$6,'Equity Vol'!$B$8:$I28,ROWS('Equity Vol'!$C$8:$C28),FALSE),"n/a")</f>
        <v>1.212</v>
      </c>
      <c r="R28" s="44"/>
      <c r="S28" s="209">
        <f t="shared" si="10"/>
        <v>1.468944</v>
      </c>
      <c r="T28" s="209">
        <f t="shared" si="1"/>
        <v>2.2408793864479764</v>
      </c>
      <c r="U28" s="210">
        <f t="shared" si="2"/>
        <v>-0.70749794298466062</v>
      </c>
      <c r="V28" s="210">
        <f t="shared" si="3"/>
        <v>0.98748305558208327</v>
      </c>
      <c r="W28" s="210">
        <f t="shared" si="4"/>
        <v>0.23962854527734762</v>
      </c>
      <c r="X28" s="91">
        <f t="shared" si="5"/>
        <v>19.442298785481217</v>
      </c>
      <c r="Y28" s="208">
        <f t="shared" si="11"/>
        <v>1.1813245002378738</v>
      </c>
      <c r="AA28" s="92" t="str">
        <f>IF('MASTER PubCo Inputs'!B46=0,"",'MASTER PubCo Inputs'!B46)</f>
        <v>NasdaqGM:PULM</v>
      </c>
      <c r="AB28" s="386">
        <f>'Beta Calc'!Z28</f>
        <v>20.3</v>
      </c>
      <c r="AC28" s="93">
        <f t="shared" si="6"/>
        <v>-0.10000000000000142</v>
      </c>
      <c r="AI28" s="94"/>
    </row>
    <row r="29" spans="2:35" ht="12.75" customHeight="1">
      <c r="B29" s="385" t="str">
        <f>'Comp.1'!B29</f>
        <v>AmpliPhi Biosciences Corporation</v>
      </c>
      <c r="D29" s="386">
        <f>'Beta Calc'!K29</f>
        <v>16.5</v>
      </c>
      <c r="E29" s="386" t="str">
        <f>'Beta Calc'!L29</f>
        <v xml:space="preserve"> -   </v>
      </c>
      <c r="F29" s="386" t="str">
        <f>'Beta Calc'!M29</f>
        <v xml:space="preserve"> n/a </v>
      </c>
      <c r="G29" s="386" t="str">
        <f>'Beta Calc'!N29</f>
        <v xml:space="preserve"> n/a </v>
      </c>
      <c r="H29" s="386">
        <f t="shared" si="7"/>
        <v>0</v>
      </c>
      <c r="I29" s="386">
        <f t="shared" si="8"/>
        <v>16.5</v>
      </c>
      <c r="J29" s="386">
        <f>'Beta Calc'!Q29</f>
        <v>8.1999999999999993</v>
      </c>
      <c r="K29" s="386">
        <f t="shared" si="9"/>
        <v>8.3000000000000007</v>
      </c>
      <c r="M29" s="54">
        <f>IFERROR('Capital IQ Sheet-GPC'!AT32,"n/a")</f>
        <v>0</v>
      </c>
      <c r="N29" s="386">
        <f t="shared" si="0"/>
        <v>5.9178082191780828</v>
      </c>
      <c r="O29" s="206">
        <f t="shared" si="0"/>
        <v>2.8913013698630138E-2</v>
      </c>
      <c r="P29" s="207"/>
      <c r="Q29" s="208">
        <f>IFERROR(HLOOKUP($Q$6,'Equity Vol'!$B$8:$I29,ROWS('Equity Vol'!$C$8:$C29),FALSE),"n/a")</f>
        <v>1.28</v>
      </c>
      <c r="R29" s="44"/>
      <c r="S29" s="209">
        <f t="shared" si="10"/>
        <v>1.6384000000000001</v>
      </c>
      <c r="T29" s="209">
        <f t="shared" si="1"/>
        <v>0</v>
      </c>
      <c r="U29" s="210">
        <f t="shared" si="2"/>
        <v>0</v>
      </c>
      <c r="V29" s="210">
        <f t="shared" si="3"/>
        <v>0</v>
      </c>
      <c r="W29" s="210">
        <f t="shared" si="4"/>
        <v>0</v>
      </c>
      <c r="X29" s="91">
        <f t="shared" si="5"/>
        <v>0</v>
      </c>
      <c r="Y29" s="208">
        <f t="shared" si="11"/>
        <v>1.28</v>
      </c>
      <c r="AA29" s="92" t="str">
        <f>IF('MASTER PubCo Inputs'!B47=0,"",'MASTER PubCo Inputs'!B47)</f>
        <v>AMEX:APHB</v>
      </c>
      <c r="AB29" s="386">
        <f>'Beta Calc'!Z29</f>
        <v>8.3000000000000007</v>
      </c>
      <c r="AC29" s="93">
        <f t="shared" si="6"/>
        <v>0</v>
      </c>
      <c r="AI29" s="94"/>
    </row>
    <row r="30" spans="2:35" ht="12.75" hidden="1" customHeight="1" outlineLevel="1">
      <c r="D30" s="386"/>
      <c r="E30" s="386"/>
      <c r="F30" s="386"/>
      <c r="G30" s="386"/>
      <c r="H30" s="386"/>
      <c r="I30" s="386"/>
      <c r="J30" s="386"/>
      <c r="K30" s="386"/>
      <c r="M30" s="54"/>
      <c r="N30" s="386"/>
      <c r="O30" s="206"/>
      <c r="P30" s="207"/>
      <c r="Q30" s="208"/>
      <c r="R30" s="44"/>
      <c r="S30" s="209"/>
      <c r="T30" s="209"/>
      <c r="U30" s="210"/>
      <c r="V30" s="210"/>
      <c r="W30" s="210"/>
      <c r="X30" s="91"/>
      <c r="Y30" s="208"/>
      <c r="AA30" s="92"/>
      <c r="AB30" s="386"/>
      <c r="AC30" s="93"/>
      <c r="AI30" s="94"/>
    </row>
    <row r="31" spans="2:35" ht="12.75" hidden="1" customHeight="1" outlineLevel="1">
      <c r="D31" s="386"/>
      <c r="E31" s="386"/>
      <c r="F31" s="386"/>
      <c r="G31" s="386"/>
      <c r="H31" s="386"/>
      <c r="I31" s="386"/>
      <c r="J31" s="386"/>
      <c r="K31" s="386"/>
      <c r="M31" s="54"/>
      <c r="N31" s="386"/>
      <c r="O31" s="206"/>
      <c r="P31" s="207"/>
      <c r="Q31" s="208"/>
      <c r="R31" s="44"/>
      <c r="S31" s="209"/>
      <c r="T31" s="209"/>
      <c r="U31" s="210"/>
      <c r="V31" s="210"/>
      <c r="W31" s="210"/>
      <c r="X31" s="91"/>
      <c r="Y31" s="208"/>
      <c r="AA31" s="92"/>
      <c r="AB31" s="386"/>
      <c r="AC31" s="93"/>
      <c r="AI31" s="94"/>
    </row>
    <row r="32" spans="2:35" ht="12.75" hidden="1" customHeight="1" outlineLevel="1">
      <c r="D32" s="386"/>
      <c r="E32" s="386"/>
      <c r="F32" s="386"/>
      <c r="G32" s="386"/>
      <c r="H32" s="386"/>
      <c r="I32" s="386"/>
      <c r="J32" s="386"/>
      <c r="K32" s="386"/>
      <c r="M32" s="54"/>
      <c r="N32" s="386"/>
      <c r="O32" s="206"/>
      <c r="P32" s="207"/>
      <c r="Q32" s="208"/>
      <c r="R32" s="44"/>
      <c r="S32" s="209"/>
      <c r="T32" s="209"/>
      <c r="U32" s="210"/>
      <c r="V32" s="210"/>
      <c r="W32" s="210"/>
      <c r="X32" s="386"/>
      <c r="Y32" s="208"/>
      <c r="AA32" s="92"/>
      <c r="AB32" s="386"/>
      <c r="AC32" s="93"/>
      <c r="AI32" s="94"/>
    </row>
    <row r="33" spans="2:35" ht="12.75" hidden="1" customHeight="1" outlineLevel="1">
      <c r="D33" s="386"/>
      <c r="E33" s="386"/>
      <c r="F33" s="386"/>
      <c r="G33" s="386"/>
      <c r="H33" s="386"/>
      <c r="I33" s="386"/>
      <c r="J33" s="386"/>
      <c r="K33" s="386"/>
      <c r="M33" s="54"/>
      <c r="N33" s="386"/>
      <c r="O33" s="206"/>
      <c r="P33" s="207"/>
      <c r="Q33" s="208"/>
      <c r="R33" s="44"/>
      <c r="S33" s="209"/>
      <c r="T33" s="209"/>
      <c r="U33" s="210"/>
      <c r="V33" s="210"/>
      <c r="W33" s="210"/>
      <c r="X33" s="386"/>
      <c r="Y33" s="208"/>
      <c r="AA33" s="92"/>
      <c r="AB33" s="386"/>
      <c r="AC33" s="93"/>
      <c r="AI33" s="94"/>
    </row>
    <row r="34" spans="2:35" ht="12.75" hidden="1" customHeight="1" outlineLevel="1">
      <c r="D34" s="386"/>
      <c r="E34" s="386"/>
      <c r="F34" s="386"/>
      <c r="G34" s="386"/>
      <c r="H34" s="386"/>
      <c r="I34" s="386"/>
      <c r="J34" s="386"/>
      <c r="K34" s="386"/>
      <c r="M34" s="54"/>
      <c r="N34" s="386"/>
      <c r="O34" s="206"/>
      <c r="P34" s="207"/>
      <c r="Q34" s="208"/>
      <c r="R34" s="44"/>
      <c r="S34" s="209"/>
      <c r="T34" s="209"/>
      <c r="U34" s="210"/>
      <c r="V34" s="210"/>
      <c r="W34" s="210"/>
      <c r="X34" s="386"/>
      <c r="Y34" s="208"/>
      <c r="AA34" s="92"/>
      <c r="AB34" s="386"/>
      <c r="AC34" s="93"/>
      <c r="AI34" s="94"/>
    </row>
    <row r="35" spans="2:35" ht="12.75" hidden="1" customHeight="1" outlineLevel="1">
      <c r="D35" s="386"/>
      <c r="E35" s="386"/>
      <c r="F35" s="386"/>
      <c r="G35" s="386"/>
      <c r="H35" s="386"/>
      <c r="I35" s="386"/>
      <c r="J35" s="386"/>
      <c r="K35" s="386"/>
      <c r="M35" s="54"/>
      <c r="N35" s="386"/>
      <c r="O35" s="206"/>
      <c r="P35" s="207"/>
      <c r="Q35" s="208"/>
      <c r="R35" s="44"/>
      <c r="S35" s="209"/>
      <c r="T35" s="209"/>
      <c r="U35" s="210"/>
      <c r="V35" s="210"/>
      <c r="W35" s="210"/>
      <c r="X35" s="386"/>
      <c r="Y35" s="208"/>
      <c r="AA35" s="92"/>
      <c r="AB35" s="386"/>
      <c r="AC35" s="93"/>
      <c r="AI35" s="94"/>
    </row>
    <row r="36" spans="2:35" ht="12.75" hidden="1" customHeight="1" outlineLevel="1">
      <c r="D36" s="386"/>
      <c r="E36" s="386"/>
      <c r="F36" s="386"/>
      <c r="G36" s="386"/>
      <c r="H36" s="386"/>
      <c r="I36" s="386"/>
      <c r="J36" s="386"/>
      <c r="K36" s="386"/>
      <c r="M36" s="54"/>
      <c r="N36" s="386"/>
      <c r="O36" s="206"/>
      <c r="P36" s="207"/>
      <c r="Q36" s="208"/>
      <c r="R36" s="44"/>
      <c r="S36" s="209"/>
      <c r="T36" s="209"/>
      <c r="U36" s="210"/>
      <c r="V36" s="210"/>
      <c r="W36" s="210"/>
      <c r="X36" s="386"/>
      <c r="Y36" s="208"/>
      <c r="AA36" s="92"/>
      <c r="AB36" s="386"/>
      <c r="AC36" s="93"/>
      <c r="AI36" s="94"/>
    </row>
    <row r="37" spans="2:35" ht="12.75" hidden="1" customHeight="1" outlineLevel="1">
      <c r="D37" s="386"/>
      <c r="E37" s="386"/>
      <c r="F37" s="386"/>
      <c r="G37" s="386"/>
      <c r="H37" s="386"/>
      <c r="I37" s="386"/>
      <c r="J37" s="386"/>
      <c r="K37" s="386"/>
      <c r="M37" s="54"/>
      <c r="N37" s="386"/>
      <c r="O37" s="206"/>
      <c r="P37" s="207"/>
      <c r="Q37" s="208"/>
      <c r="R37" s="44"/>
      <c r="S37" s="209"/>
      <c r="T37" s="209"/>
      <c r="U37" s="210"/>
      <c r="V37" s="210"/>
      <c r="W37" s="210"/>
      <c r="X37" s="386"/>
      <c r="Y37" s="208"/>
      <c r="AA37" s="92"/>
      <c r="AB37" s="386"/>
      <c r="AC37" s="93"/>
      <c r="AI37" s="94"/>
    </row>
    <row r="38" spans="2:35" ht="12.75" hidden="1" customHeight="1" outlineLevel="1">
      <c r="D38" s="386"/>
      <c r="E38" s="386"/>
      <c r="F38" s="386"/>
      <c r="G38" s="386"/>
      <c r="H38" s="386"/>
      <c r="I38" s="386"/>
      <c r="J38" s="386"/>
      <c r="K38" s="386"/>
      <c r="M38" s="54"/>
      <c r="N38" s="386"/>
      <c r="O38" s="206"/>
      <c r="P38" s="207"/>
      <c r="Q38" s="208"/>
      <c r="R38" s="44"/>
      <c r="S38" s="209"/>
      <c r="T38" s="209"/>
      <c r="U38" s="210"/>
      <c r="V38" s="210"/>
      <c r="W38" s="210"/>
      <c r="X38" s="386"/>
      <c r="Y38" s="208"/>
      <c r="AA38" s="92"/>
      <c r="AB38" s="386"/>
      <c r="AC38" s="93"/>
      <c r="AI38" s="94"/>
    </row>
    <row r="39" spans="2:35" ht="12.75" hidden="1" customHeight="1" outlineLevel="1">
      <c r="D39" s="386"/>
      <c r="E39" s="386"/>
      <c r="F39" s="386"/>
      <c r="G39" s="386"/>
      <c r="H39" s="386"/>
      <c r="I39" s="386"/>
      <c r="J39" s="386"/>
      <c r="K39" s="386"/>
      <c r="M39" s="54"/>
      <c r="N39" s="386"/>
      <c r="O39" s="206"/>
      <c r="P39" s="207"/>
      <c r="Q39" s="208"/>
      <c r="R39" s="44"/>
      <c r="S39" s="209"/>
      <c r="T39" s="209"/>
      <c r="U39" s="210"/>
      <c r="V39" s="210"/>
      <c r="W39" s="210"/>
      <c r="X39" s="386"/>
      <c r="Y39" s="208"/>
      <c r="AA39" s="92"/>
      <c r="AB39" s="386"/>
      <c r="AC39" s="93"/>
      <c r="AI39" s="94"/>
    </row>
    <row r="40" spans="2:35" ht="12.75" customHeight="1" collapsed="1">
      <c r="D40" s="386"/>
      <c r="E40" s="386"/>
      <c r="F40" s="386"/>
      <c r="G40" s="386"/>
      <c r="H40" s="386"/>
      <c r="I40" s="386"/>
      <c r="J40" s="386"/>
      <c r="K40" s="386"/>
      <c r="R40" s="20"/>
    </row>
    <row r="41" spans="2:35" ht="12.75" customHeight="1">
      <c r="B41" s="753" t="s">
        <v>46</v>
      </c>
      <c r="C41" s="769"/>
      <c r="D41" s="768">
        <f>MAX(D10:D39)</f>
        <v>44574.8</v>
      </c>
      <c r="E41" s="768">
        <f t="shared" ref="E41:K41" si="12">MAX(E10:E39)</f>
        <v>592.70000000000005</v>
      </c>
      <c r="F41" s="768">
        <f t="shared" si="12"/>
        <v>40.700000000000003</v>
      </c>
      <c r="G41" s="768">
        <f t="shared" si="12"/>
        <v>28.7</v>
      </c>
      <c r="H41" s="768">
        <f t="shared" si="12"/>
        <v>621.40000000000009</v>
      </c>
      <c r="I41" s="768">
        <f t="shared" si="12"/>
        <v>45196.2</v>
      </c>
      <c r="J41" s="768">
        <f t="shared" si="12"/>
        <v>2767.8</v>
      </c>
      <c r="K41" s="768">
        <f t="shared" si="12"/>
        <v>42428.399999999994</v>
      </c>
      <c r="L41" s="769"/>
      <c r="M41" s="773">
        <f t="shared" ref="M41:O41" si="13">MAX(M10:M39)</f>
        <v>0</v>
      </c>
      <c r="N41" s="768">
        <f t="shared" si="13"/>
        <v>5.9178082191780828</v>
      </c>
      <c r="O41" s="775">
        <f t="shared" si="13"/>
        <v>2.8913013698630138E-2</v>
      </c>
      <c r="P41" s="776"/>
      <c r="Q41" s="777">
        <f>MAX(Q10:Q39)</f>
        <v>1.431</v>
      </c>
      <c r="R41" s="778"/>
      <c r="S41" s="779">
        <f t="shared" ref="S41:W41" si="14">MAX(S10:S40)</f>
        <v>2.0477609999999999</v>
      </c>
      <c r="T41" s="779">
        <f t="shared" si="14"/>
        <v>4.5696164408633804</v>
      </c>
      <c r="U41" s="780">
        <f t="shared" si="14"/>
        <v>3.4773545424184515</v>
      </c>
      <c r="V41" s="780">
        <f t="shared" si="14"/>
        <v>0.99999755691183667</v>
      </c>
      <c r="W41" s="780">
        <f t="shared" si="14"/>
        <v>0.9997468061358562</v>
      </c>
      <c r="X41" s="768">
        <f t="shared" ref="X41:Y41" si="15">MAX(X10:X39)</f>
        <v>41904.752854403181</v>
      </c>
      <c r="Y41" s="781">
        <f t="shared" si="15"/>
        <v>1.431</v>
      </c>
      <c r="AB41" s="817">
        <f>+'Asset Vol_Structured'!Y49</f>
        <v>0.90809012127852418</v>
      </c>
      <c r="AC41" s="818" t="s">
        <v>1112</v>
      </c>
      <c r="AD41" s="818"/>
      <c r="AE41" s="818"/>
      <c r="AF41" s="792"/>
    </row>
    <row r="42" spans="2:35" ht="12.75" customHeight="1">
      <c r="B42" s="339" t="s">
        <v>50</v>
      </c>
      <c r="C42" s="75"/>
      <c r="D42" s="99">
        <f t="shared" ref="D42:K42" si="16">QUARTILE(D10:D39,3)</f>
        <v>2055.25</v>
      </c>
      <c r="E42" s="99">
        <f t="shared" si="16"/>
        <v>196.6</v>
      </c>
      <c r="F42" s="99">
        <f t="shared" si="16"/>
        <v>32.775000000000006</v>
      </c>
      <c r="G42" s="99">
        <f t="shared" si="16"/>
        <v>24</v>
      </c>
      <c r="H42" s="99">
        <f t="shared" si="16"/>
        <v>89.025000000000006</v>
      </c>
      <c r="I42" s="99">
        <f t="shared" si="16"/>
        <v>2372.125</v>
      </c>
      <c r="J42" s="99">
        <f t="shared" si="16"/>
        <v>326.77500000000003</v>
      </c>
      <c r="K42" s="99">
        <f t="shared" si="16"/>
        <v>1775.65</v>
      </c>
      <c r="L42" s="75"/>
      <c r="M42" s="139">
        <f>QUARTILE(M10:M39,3)</f>
        <v>0</v>
      </c>
      <c r="N42" s="99">
        <f>QUARTILE(N10:N39,3)</f>
        <v>5.9178082191780828</v>
      </c>
      <c r="O42" s="211">
        <f>QUARTILE(O10:O39,3)</f>
        <v>2.8913013698630138E-2</v>
      </c>
      <c r="P42" s="212"/>
      <c r="Q42" s="213">
        <f>QUARTILE(Q10:Q39,3)</f>
        <v>0.9537500000000001</v>
      </c>
      <c r="R42" s="214"/>
      <c r="S42" s="215">
        <f>QUARTILE(S10:S40,3)</f>
        <v>0.91093075000000012</v>
      </c>
      <c r="T42" s="215">
        <f>QUARTILE(T10:T40,3)</f>
        <v>2.5945347980583389</v>
      </c>
      <c r="U42" s="216">
        <f>QUARTILE(U10:U40,3)</f>
        <v>0.79665662291433181</v>
      </c>
      <c r="V42" s="216">
        <f>QUARTILE(V10:V40,3)</f>
        <v>0.99524120701945595</v>
      </c>
      <c r="W42" s="216">
        <f>QUARTILE(W10:W40,3)</f>
        <v>0.78652922424970906</v>
      </c>
      <c r="X42" s="99">
        <f>QUARTILE(X10:X39,3)</f>
        <v>413.84789389388561</v>
      </c>
      <c r="Y42" s="217">
        <f>QUARTILE(Y10:Y39,3)</f>
        <v>0.94147925880597672</v>
      </c>
      <c r="AB42" s="819">
        <f>+'Asset Vol_Structured'!Y51</f>
        <v>0.90809012127852418</v>
      </c>
      <c r="AC42" s="16" t="s">
        <v>1113</v>
      </c>
      <c r="AD42" s="16"/>
      <c r="AE42" s="16"/>
      <c r="AF42" s="197"/>
    </row>
    <row r="43" spans="2:35" ht="12.75" customHeight="1">
      <c r="B43" s="339" t="s">
        <v>48</v>
      </c>
      <c r="C43" s="75"/>
      <c r="D43" s="99">
        <f>AVERAGE(D10:D39)</f>
        <v>3369.4600000000005</v>
      </c>
      <c r="E43" s="99">
        <f t="shared" ref="E43:K43" si="17">AVERAGE(E10:E39)</f>
        <v>126.9076923076923</v>
      </c>
      <c r="F43" s="99">
        <f t="shared" si="17"/>
        <v>24.85</v>
      </c>
      <c r="G43" s="99">
        <f t="shared" si="17"/>
        <v>16</v>
      </c>
      <c r="H43" s="99">
        <f t="shared" si="17"/>
        <v>87.375</v>
      </c>
      <c r="I43" s="99">
        <f t="shared" si="17"/>
        <v>3456.835</v>
      </c>
      <c r="J43" s="99">
        <f t="shared" si="17"/>
        <v>343.37000000000012</v>
      </c>
      <c r="K43" s="99">
        <f t="shared" si="17"/>
        <v>3113.4649999999992</v>
      </c>
      <c r="L43" s="75"/>
      <c r="M43" s="139">
        <f t="shared" ref="M43:O43" si="18">AVERAGE(M10:M39)</f>
        <v>0</v>
      </c>
      <c r="N43" s="99">
        <f t="shared" si="18"/>
        <v>5.9178082191780836</v>
      </c>
      <c r="O43" s="211">
        <f t="shared" si="18"/>
        <v>2.8913013698630131E-2</v>
      </c>
      <c r="P43" s="212"/>
      <c r="Q43" s="213">
        <f>AVERAGE(Q10:Q39)</f>
        <v>0.83245000000000002</v>
      </c>
      <c r="R43" s="214"/>
      <c r="S43" s="215">
        <f t="shared" ref="S43:W43" si="19">AVERAGE(S10:S40)</f>
        <v>0.76126335000000001</v>
      </c>
      <c r="T43" s="215">
        <f t="shared" si="19"/>
        <v>1.7262765686440491</v>
      </c>
      <c r="U43" s="216">
        <f t="shared" si="19"/>
        <v>0.50605704022539366</v>
      </c>
      <c r="V43" s="216">
        <f t="shared" si="19"/>
        <v>0.64125929975803475</v>
      </c>
      <c r="W43" s="216">
        <f t="shared" si="19"/>
        <v>0.44220990703878404</v>
      </c>
      <c r="X43" s="99">
        <f t="shared" ref="X43:Y43" si="20">AVERAGE(X10:X39)</f>
        <v>2608.1768015344323</v>
      </c>
      <c r="Y43" s="217">
        <f t="shared" si="20"/>
        <v>0.80792270869616678</v>
      </c>
      <c r="AB43" s="819">
        <f>+'Asset Vol_Structured'!Y47</f>
        <v>0.90809012127852418</v>
      </c>
      <c r="AC43" s="16" t="s">
        <v>1111</v>
      </c>
      <c r="AD43" s="16"/>
      <c r="AE43" s="16"/>
      <c r="AF43" s="820" t="s">
        <v>1242</v>
      </c>
    </row>
    <row r="44" spans="2:35" ht="12.75" customHeight="1">
      <c r="B44" s="339" t="s">
        <v>3</v>
      </c>
      <c r="C44" s="75"/>
      <c r="D44" s="99">
        <f>MEDIAN(D10:D39)</f>
        <v>327.60000000000002</v>
      </c>
      <c r="E44" s="99">
        <f t="shared" ref="E44:K44" si="21">MEDIAN(E10:E39)</f>
        <v>15.2</v>
      </c>
      <c r="F44" s="99">
        <f t="shared" si="21"/>
        <v>24.85</v>
      </c>
      <c r="G44" s="99">
        <f t="shared" si="21"/>
        <v>19.3</v>
      </c>
      <c r="H44" s="99">
        <f t="shared" si="21"/>
        <v>8.85</v>
      </c>
      <c r="I44" s="99">
        <f t="shared" si="21"/>
        <v>344.2</v>
      </c>
      <c r="J44" s="99">
        <f t="shared" si="21"/>
        <v>68.900000000000006</v>
      </c>
      <c r="K44" s="99">
        <f t="shared" si="21"/>
        <v>298.75</v>
      </c>
      <c r="L44" s="75"/>
      <c r="M44" s="139">
        <f t="shared" ref="M44:O44" si="22">MEDIAN(M10:M39)</f>
        <v>0</v>
      </c>
      <c r="N44" s="99">
        <f t="shared" si="22"/>
        <v>5.9178082191780828</v>
      </c>
      <c r="O44" s="211">
        <f t="shared" si="22"/>
        <v>2.8913013698630138E-2</v>
      </c>
      <c r="P44" s="212"/>
      <c r="Q44" s="213">
        <f>MEDIAN(Q10:Q39)</f>
        <v>0.79299999999999993</v>
      </c>
      <c r="R44" s="214"/>
      <c r="S44" s="215">
        <f t="shared" ref="S44:W44" si="23">MEDIAN(S10:S40)</f>
        <v>0.63541000000000003</v>
      </c>
      <c r="T44" s="215">
        <f t="shared" si="23"/>
        <v>1.9212092392593543</v>
      </c>
      <c r="U44" s="216">
        <f t="shared" si="23"/>
        <v>4.0428143661525917E-2</v>
      </c>
      <c r="V44" s="216">
        <f t="shared" si="23"/>
        <v>0.97262463739634741</v>
      </c>
      <c r="W44" s="216">
        <f t="shared" si="23"/>
        <v>0.50803901737074997</v>
      </c>
      <c r="X44" s="99">
        <f t="shared" ref="X44:Y44" si="24">MEDIAN(X10:X39)</f>
        <v>137.84354488758052</v>
      </c>
      <c r="Y44" s="217">
        <f t="shared" si="24"/>
        <v>0.75529669576203839</v>
      </c>
      <c r="AB44" s="821" t="str">
        <f>IF(ROUND(AB41,3)=ROUND(AB43,3),"","Update Volatility - OPM")</f>
        <v/>
      </c>
      <c r="AC44" s="16"/>
      <c r="AD44" s="16"/>
      <c r="AE44" s="16"/>
      <c r="AF44" s="197"/>
    </row>
    <row r="45" spans="2:35" ht="12.75" customHeight="1">
      <c r="B45" s="339" t="s">
        <v>49</v>
      </c>
      <c r="C45" s="75"/>
      <c r="D45" s="99">
        <f>QUARTILE(D10:D39,1)</f>
        <v>174.95</v>
      </c>
      <c r="E45" s="99">
        <f t="shared" ref="E45:K45" si="25">QUARTILE(E10:E39,1)</f>
        <v>8.6999999999999993</v>
      </c>
      <c r="F45" s="99">
        <f t="shared" si="25"/>
        <v>16.925000000000001</v>
      </c>
      <c r="G45" s="99">
        <f t="shared" si="25"/>
        <v>9.65</v>
      </c>
      <c r="H45" s="99">
        <f t="shared" si="25"/>
        <v>0</v>
      </c>
      <c r="I45" s="99">
        <f t="shared" si="25"/>
        <v>185.77499999999998</v>
      </c>
      <c r="J45" s="99">
        <f t="shared" si="25"/>
        <v>13.675000000000001</v>
      </c>
      <c r="K45" s="99">
        <f t="shared" si="25"/>
        <v>110.5</v>
      </c>
      <c r="L45" s="75"/>
      <c r="M45" s="139">
        <f t="shared" ref="M45:O45" si="26">QUARTILE(M10:M39,1)</f>
        <v>0</v>
      </c>
      <c r="N45" s="99">
        <f t="shared" si="26"/>
        <v>5.9178082191780828</v>
      </c>
      <c r="O45" s="211">
        <f t="shared" si="26"/>
        <v>2.8913013698630138E-2</v>
      </c>
      <c r="P45" s="212"/>
      <c r="Q45" s="213">
        <f>QUARTILE(Q10:Q39,1)</f>
        <v>0.65400000000000003</v>
      </c>
      <c r="R45" s="214"/>
      <c r="S45" s="215">
        <f t="shared" ref="S45:W45" si="27">QUARTILE(S10:S40,1)</f>
        <v>0.42771900000000007</v>
      </c>
      <c r="T45" s="215">
        <f t="shared" si="27"/>
        <v>0</v>
      </c>
      <c r="U45" s="216">
        <f t="shared" si="27"/>
        <v>0</v>
      </c>
      <c r="V45" s="216">
        <f t="shared" si="27"/>
        <v>0</v>
      </c>
      <c r="W45" s="216">
        <f t="shared" si="27"/>
        <v>0</v>
      </c>
      <c r="X45" s="99">
        <f t="shared" ref="X45:Y45" si="28">QUARTILE(X10:X39,1)</f>
        <v>0</v>
      </c>
      <c r="Y45" s="217">
        <f t="shared" si="28"/>
        <v>0.60243872563955003</v>
      </c>
      <c r="AB45" s="822" t="str">
        <f>IF(ROUND(AB42,3)=ROUND(AB43,3),"","Update Volatility - DLOM")</f>
        <v/>
      </c>
      <c r="AC45" s="5"/>
      <c r="AD45" s="5"/>
      <c r="AE45" s="5"/>
      <c r="AF45" s="427"/>
    </row>
    <row r="46" spans="2:35" ht="12.75" customHeight="1">
      <c r="B46" s="101" t="s">
        <v>47</v>
      </c>
      <c r="C46" s="68"/>
      <c r="D46" s="71">
        <f t="shared" ref="D46:K46" si="29">MIN(D10:D39)</f>
        <v>16.5</v>
      </c>
      <c r="E46" s="71">
        <f t="shared" si="29"/>
        <v>0</v>
      </c>
      <c r="F46" s="71">
        <f t="shared" si="29"/>
        <v>9</v>
      </c>
      <c r="G46" s="71">
        <f t="shared" si="29"/>
        <v>0</v>
      </c>
      <c r="H46" s="71">
        <f t="shared" si="29"/>
        <v>0</v>
      </c>
      <c r="I46" s="71">
        <f t="shared" si="29"/>
        <v>16.5</v>
      </c>
      <c r="J46" s="71">
        <f t="shared" si="29"/>
        <v>0.5</v>
      </c>
      <c r="K46" s="71">
        <f t="shared" si="29"/>
        <v>8.3000000000000007</v>
      </c>
      <c r="L46" s="68"/>
      <c r="M46" s="141">
        <f>MIN(M10:M39)</f>
        <v>0</v>
      </c>
      <c r="N46" s="71">
        <f>MIN(N10:N39)</f>
        <v>5.9178082191780828</v>
      </c>
      <c r="O46" s="782">
        <f>MIN(O10:O39)</f>
        <v>2.8913013698630138E-2</v>
      </c>
      <c r="P46" s="783"/>
      <c r="Q46" s="784">
        <f>MIN(Q10:Q39)</f>
        <v>0.41599999999999998</v>
      </c>
      <c r="R46" s="785"/>
      <c r="S46" s="786">
        <f>MIN(S10:S40)</f>
        <v>0.17305599999999999</v>
      </c>
      <c r="T46" s="786">
        <f>MIN(T10:T40)</f>
        <v>0</v>
      </c>
      <c r="U46" s="787">
        <f>MIN(U10:U40)</f>
        <v>-0.70749794298466062</v>
      </c>
      <c r="V46" s="787">
        <f>MIN(V10:V40)</f>
        <v>0</v>
      </c>
      <c r="W46" s="787">
        <f>MIN(W10:W40)</f>
        <v>0</v>
      </c>
      <c r="X46" s="71">
        <f>MIN(X10:X39)</f>
        <v>0</v>
      </c>
      <c r="Y46" s="788">
        <f>MIN(Y10:Y39)</f>
        <v>0.41599999999999998</v>
      </c>
      <c r="AB46" s="496" t="str">
        <f>IF(K49&lt;&gt;K51,"Check","")</f>
        <v/>
      </c>
    </row>
    <row r="47" spans="2:35" ht="12.75" customHeight="1">
      <c r="B47" s="2039" t="s">
        <v>147</v>
      </c>
      <c r="C47" s="2040"/>
      <c r="D47" s="2041"/>
      <c r="E47" s="2041"/>
      <c r="F47" s="2041"/>
      <c r="G47" s="2041"/>
      <c r="H47" s="2041"/>
      <c r="I47" s="2041"/>
      <c r="J47" s="2041"/>
      <c r="K47" s="2041"/>
      <c r="L47" s="2040"/>
      <c r="M47" s="2042"/>
      <c r="N47" s="2041"/>
      <c r="O47" s="2043"/>
      <c r="P47" s="2044"/>
      <c r="Q47" s="2045"/>
      <c r="R47" s="2046"/>
      <c r="S47" s="2047"/>
      <c r="T47" s="2047"/>
      <c r="U47" s="2048"/>
      <c r="V47" s="2048"/>
      <c r="W47" s="2048"/>
      <c r="X47" s="2041"/>
      <c r="Y47" s="2049">
        <f>QUARTILE(Y42:Y43,3)</f>
        <v>0.90809012127852418</v>
      </c>
      <c r="Z47" s="2157">
        <f>A56</f>
        <v>3</v>
      </c>
      <c r="AB47" s="496"/>
    </row>
    <row r="48" spans="2:35" ht="12.75" customHeight="1">
      <c r="AB48" s="962" t="str">
        <f>IF(AND(AB44=$AF$45,AB46=$AF$45,AB45=$AF$45),"","Check")</f>
        <v/>
      </c>
    </row>
    <row r="49" spans="1:25" ht="12.75" hidden="1" customHeight="1" outlineLevel="1">
      <c r="B49" s="218" t="str">
        <f>B2</f>
        <v>Pliant Therapeutics, Inc.</v>
      </c>
      <c r="C49" s="459" t="s">
        <v>132</v>
      </c>
      <c r="D49" s="1732">
        <f>'Val Summ'!$D$9/1000</f>
        <v>147.69999999999999</v>
      </c>
      <c r="E49" s="1398">
        <f>'Hist BS'!H52</f>
        <v>0</v>
      </c>
      <c r="F49" s="219"/>
      <c r="G49" s="219"/>
      <c r="H49" s="220">
        <f>SUM(E49:G49)+0.0000000001</f>
        <v>1E-10</v>
      </c>
      <c r="I49" s="222">
        <f>SUM(D49:G49)</f>
        <v>147.69999999999999</v>
      </c>
      <c r="J49" s="220">
        <f>'Hist BS'!H50</f>
        <v>0</v>
      </c>
      <c r="K49" s="229">
        <f>I49-J49</f>
        <v>147.69999999999999</v>
      </c>
      <c r="L49" s="219"/>
      <c r="M49" s="221">
        <f>'PWERM DLOM'!D17</f>
        <v>0</v>
      </c>
      <c r="N49" s="222">
        <f>N$6</f>
        <v>5.9178082191780828</v>
      </c>
      <c r="O49" s="223">
        <f>O$6</f>
        <v>2.8913013698630138E-2</v>
      </c>
      <c r="P49" s="224"/>
      <c r="Q49" s="2180">
        <f ca="1">Y49*((K49/X49)*V49)</f>
        <v>0.90809012127904243</v>
      </c>
      <c r="R49" s="219"/>
      <c r="S49" s="226">
        <f ca="1">IF(Q49="n/a","n/a",Q49^2)</f>
        <v>0.82462766836458601</v>
      </c>
      <c r="T49" s="226">
        <f ca="1">IF(OR(K49="n/a",S49="n/a"),"n/a",IF(H49=0,0,IF(M49=0,(LN(K49/H49)+((O49+(S49/2))*N49))/((S49*N49)^0.5),(LN(K49/H49)+((O49-M49+(S49/2))*N49))/((S49*N49)^0.5))))</f>
        <v>13.866530195746989</v>
      </c>
      <c r="U49" s="227">
        <f ca="1">IF(T49="n/a","n/a",IF(H49=0,0,T49-(S49*N49)^0.5))</f>
        <v>11.657460619294133</v>
      </c>
      <c r="V49" s="227">
        <f ca="1">IF(OR(T49="n/a",S49="n/a"),"n/a",IF(H49=0,0,NORMSDIST(T49)))</f>
        <v>1</v>
      </c>
      <c r="W49" s="227">
        <f ca="1">IF(OR(U49="n/a",S49="n/a"),"n/a",IF(H49=0,0,NORMSDIST(U49)))</f>
        <v>1</v>
      </c>
      <c r="X49" s="227">
        <f ca="1">IF(OR(K49="n/a",S49="n/a"),"n/a",IF(M49=0,(K49*V49)-((H49*EXP(1)^(-O49*N49))*W49),(K49*(2.718^(-M49*N49))*V49)-(H49*(2.718^(-O49*N49))*W49)))</f>
        <v>147.69999999991572</v>
      </c>
      <c r="Y49" s="228">
        <f>Y47</f>
        <v>0.90809012127852418</v>
      </c>
    </row>
    <row r="50" spans="1:25" ht="12.75" hidden="1" customHeight="1" outlineLevel="1">
      <c r="C50" s="74"/>
      <c r="D50" s="74"/>
      <c r="E50" s="74"/>
      <c r="F50" s="74"/>
      <c r="G50" s="74"/>
      <c r="H50" s="74"/>
      <c r="I50" s="74"/>
      <c r="J50" s="74"/>
    </row>
    <row r="51" spans="1:25" ht="12.75" customHeight="1" collapsed="1">
      <c r="B51" s="218" t="str">
        <f>B49</f>
        <v>Pliant Therapeutics, Inc.</v>
      </c>
      <c r="C51" s="2164">
        <f>A55</f>
        <v>2</v>
      </c>
      <c r="D51" s="222">
        <f>D49</f>
        <v>147.69999999999999</v>
      </c>
      <c r="E51" s="1528">
        <f>PWERM_2!B120/1000+E49</f>
        <v>98.138979441863043</v>
      </c>
      <c r="F51" s="219"/>
      <c r="G51" s="219"/>
      <c r="H51" s="229">
        <f>SUM(E51:G51)</f>
        <v>98.138979441863043</v>
      </c>
      <c r="I51" s="222">
        <f>I49</f>
        <v>147.69999999999999</v>
      </c>
      <c r="J51" s="222">
        <f>J49</f>
        <v>0</v>
      </c>
      <c r="K51" s="229">
        <f>K49</f>
        <v>147.69999999999999</v>
      </c>
      <c r="L51" s="219"/>
      <c r="M51" s="230">
        <f>M49</f>
        <v>0</v>
      </c>
      <c r="N51" s="222">
        <f>N$6</f>
        <v>5.9178082191780828</v>
      </c>
      <c r="O51" s="223">
        <f>O$6</f>
        <v>2.8913013698630138E-2</v>
      </c>
      <c r="P51" s="224"/>
      <c r="Q51" s="2203">
        <f ca="1">Y51*((K51/X51)*V51)</f>
        <v>1.0063314661571598</v>
      </c>
      <c r="R51" s="2204"/>
      <c r="S51" s="2205">
        <f ca="1">IF(Q51="n/a","n/a",Q51^2)</f>
        <v>1.0127030197780189</v>
      </c>
      <c r="T51" s="2205">
        <f ca="1">IF(OR(K51="n/a",S51="n/a"),"n/a",IF(H51=0,0,IF(M51=0,(LN(K51/H51)+((O51+(S51/2))*N51))/((S51*N51)^0.5),(LN(K51/H51)+((O51-M51+(S51/2))*N51))/((S51*N51)^0.5))))</f>
        <v>1.4609102647899255</v>
      </c>
      <c r="U51" s="2206">
        <f ca="1">IF(T51="n/a","n/a",IF(H51=0,0,T51-(S51*N51)^0.5))</f>
        <v>-0.98714656748109531</v>
      </c>
      <c r="V51" s="2206">
        <f ca="1">IF(OR(T51="n/a",S51="n/a"),"n/a",IF(H51=0,0,NORMSDIST(T51)))</f>
        <v>0.92797996537248584</v>
      </c>
      <c r="W51" s="2206">
        <f ca="1">IF(OR(U51="n/a",S51="n/a"),"n/a",IF(H51=0,0,NORMSDIST(U51)))</f>
        <v>0.16178539583855234</v>
      </c>
      <c r="X51" s="2206">
        <f ca="1">IF(OR(K51="n/a",S51="n/a"),"n/a",IF(M51=0,(K51*V51)-((H51*EXP(1)^(-O51*N51))*W51),(K51*(2.718^(-M51*N51))*V51)-(H51*(2.718^(-O51*N51))*W51)))</f>
        <v>123.68214089516039</v>
      </c>
      <c r="Y51" s="2049">
        <f>Y47</f>
        <v>0.90809012127852418</v>
      </c>
    </row>
    <row r="52" spans="1:25" ht="12.75" customHeight="1"/>
    <row r="53" spans="1:25" ht="12.75" customHeight="1">
      <c r="B53" s="8" t="s">
        <v>21</v>
      </c>
    </row>
    <row r="54" spans="1:25" ht="12.75" customHeight="1">
      <c r="A54" s="2124">
        <v>1</v>
      </c>
      <c r="B54" s="17" t="s">
        <v>708</v>
      </c>
    </row>
    <row r="55" spans="1:25" s="74" customFormat="1" ht="12.75" customHeight="1">
      <c r="A55" s="2124">
        <f>+A54+1</f>
        <v>2</v>
      </c>
      <c r="B55" s="320" t="s">
        <v>2306</v>
      </c>
      <c r="P55" s="20"/>
    </row>
    <row r="56" spans="1:25" s="74" customFormat="1" ht="26.1" customHeight="1">
      <c r="A56" s="2124">
        <f>+A55+1</f>
        <v>3</v>
      </c>
      <c r="B56" s="2300" t="s">
        <v>2873</v>
      </c>
      <c r="C56" s="2300"/>
      <c r="D56" s="2300"/>
      <c r="E56" s="2300"/>
      <c r="F56" s="2300"/>
      <c r="G56" s="2300"/>
      <c r="H56" s="2300"/>
      <c r="I56" s="2300"/>
      <c r="J56" s="2300"/>
      <c r="K56" s="2300"/>
      <c r="L56" s="2300"/>
      <c r="M56" s="2300"/>
      <c r="N56" s="2300"/>
      <c r="O56" s="2300"/>
      <c r="P56" s="2300"/>
      <c r="Q56" s="2300"/>
      <c r="R56" s="2300"/>
      <c r="S56" s="2300"/>
      <c r="T56" s="2300"/>
      <c r="U56" s="2300"/>
      <c r="V56" s="2300"/>
      <c r="W56" s="2300"/>
      <c r="X56" s="2300"/>
      <c r="Y56" s="2300"/>
    </row>
    <row r="57" spans="1:25" s="74" customFormat="1">
      <c r="A57" s="1945"/>
      <c r="B57" s="2139"/>
      <c r="C57" s="2139"/>
      <c r="D57" s="2139"/>
      <c r="E57" s="2139"/>
      <c r="F57" s="2139"/>
      <c r="G57" s="2139"/>
      <c r="H57" s="2139"/>
      <c r="I57" s="2139"/>
      <c r="J57" s="2139"/>
      <c r="K57" s="2139"/>
      <c r="L57" s="2139"/>
      <c r="M57" s="2139"/>
      <c r="N57" s="2139"/>
      <c r="O57" s="2139"/>
      <c r="P57" s="2139"/>
      <c r="Q57" s="2139"/>
      <c r="R57" s="2139"/>
      <c r="S57" s="2139"/>
      <c r="T57" s="2139"/>
      <c r="U57" s="2139"/>
      <c r="V57" s="2139"/>
      <c r="W57" s="2139"/>
      <c r="X57" s="2139"/>
      <c r="Y57" s="2139"/>
    </row>
    <row r="58" spans="1:25" ht="12.75" customHeight="1">
      <c r="B58" s="8" t="s">
        <v>51</v>
      </c>
    </row>
    <row r="59" spans="1:25" ht="12.75" customHeight="1"/>
    <row r="60" spans="1:25" ht="12.75" customHeight="1">
      <c r="B60" s="385" t="s">
        <v>1137</v>
      </c>
    </row>
    <row r="61" spans="1:25">
      <c r="B61" s="385" t="s">
        <v>1138</v>
      </c>
    </row>
    <row r="62" spans="1:25">
      <c r="B62" s="385" t="s">
        <v>1139</v>
      </c>
    </row>
    <row r="63" spans="1:25">
      <c r="B63" s="385" t="s">
        <v>1140</v>
      </c>
    </row>
    <row r="64" spans="1:25">
      <c r="B64" s="385" t="s">
        <v>1141</v>
      </c>
    </row>
    <row r="65" spans="2:2">
      <c r="B65" s="385" t="s">
        <v>1142</v>
      </c>
    </row>
    <row r="66" spans="2:2">
      <c r="B66" s="385" t="s">
        <v>1143</v>
      </c>
    </row>
    <row r="68" spans="2:2">
      <c r="B68" s="385" t="s">
        <v>1144</v>
      </c>
    </row>
    <row r="69" spans="2:2">
      <c r="B69" s="385" t="s">
        <v>1145</v>
      </c>
    </row>
    <row r="70" spans="2:2">
      <c r="B70" s="385" t="s">
        <v>1146</v>
      </c>
    </row>
    <row r="71" spans="2:2">
      <c r="B71" s="385" t="s">
        <v>1147</v>
      </c>
    </row>
    <row r="72" spans="2:2">
      <c r="B72" s="385" t="s">
        <v>1148</v>
      </c>
    </row>
    <row r="73" spans="2:2">
      <c r="B73" s="385" t="s">
        <v>1149</v>
      </c>
    </row>
  </sheetData>
  <mergeCells count="1">
    <mergeCell ref="B56:Y56"/>
  </mergeCells>
  <conditionalFormatting sqref="B10:B39">
    <cfRule type="cellIs" dxfId="187" priority="8" operator="equal">
      <formula>"(Invalid Identifier)"</formula>
    </cfRule>
  </conditionalFormatting>
  <conditionalFormatting sqref="B4:I4">
    <cfRule type="cellIs" dxfId="186" priority="7" stopIfTrue="1" operator="equal">
      <formula>"input"</formula>
    </cfRule>
  </conditionalFormatting>
  <conditionalFormatting sqref="J4">
    <cfRule type="cellIs" dxfId="185" priority="5" stopIfTrue="1" operator="equal">
      <formula>"input"</formula>
    </cfRule>
  </conditionalFormatting>
  <conditionalFormatting sqref="J4">
    <cfRule type="cellIs" dxfId="184" priority="6" stopIfTrue="1" operator="equal">
      <formula>"input"</formula>
    </cfRule>
  </conditionalFormatting>
  <conditionalFormatting sqref="K4:X4">
    <cfRule type="cellIs" dxfId="183" priority="3" stopIfTrue="1" operator="equal">
      <formula>"input"</formula>
    </cfRule>
  </conditionalFormatting>
  <conditionalFormatting sqref="K4:X4">
    <cfRule type="cellIs" dxfId="182" priority="4" stopIfTrue="1" operator="equal">
      <formula>"input"</formula>
    </cfRule>
  </conditionalFormatting>
  <conditionalFormatting sqref="Y4">
    <cfRule type="cellIs" dxfId="181" priority="1" stopIfTrue="1" operator="equal">
      <formula>"input"</formula>
    </cfRule>
  </conditionalFormatting>
  <conditionalFormatting sqref="Y4">
    <cfRule type="cellIs" dxfId="180"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5"/>
  <sheetViews>
    <sheetView showGridLines="0" view="pageBreakPreview" topLeftCell="A16" zoomScaleNormal="100" zoomScaleSheetLayoutView="100" workbookViewId="0"/>
  </sheetViews>
  <sheetFormatPr defaultRowHeight="12.75" outlineLevelRow="1"/>
  <cols>
    <col min="1" max="1" width="4.5" style="385" customWidth="1"/>
    <col min="2" max="2" width="46.5" style="385" customWidth="1"/>
    <col min="3" max="3" width="2.83203125" style="385" customWidth="1"/>
    <col min="4" max="9" width="15.83203125" style="385" customWidth="1"/>
    <col min="10" max="10" width="4.5" style="385" customWidth="1"/>
    <col min="11" max="11" width="9.5" style="385" bestFit="1" customWidth="1"/>
    <col min="12" max="12" width="10.33203125" style="385" bestFit="1" customWidth="1"/>
    <col min="13" max="13" width="14.1640625" style="391" customWidth="1"/>
    <col min="14" max="14" width="9.33203125" style="385"/>
    <col min="15" max="15" width="14.1640625" style="385" bestFit="1" customWidth="1"/>
    <col min="16" max="16384" width="9.33203125" style="385"/>
  </cols>
  <sheetData>
    <row r="1" spans="2:16" ht="10.7" customHeight="1" thickBot="1"/>
    <row r="2" spans="2:16" ht="16.5" customHeight="1" thickTop="1">
      <c r="B2" s="10" t="str">
        <f>'MASTER PubCo Inputs'!$C$5</f>
        <v>Pliant Therapeutics, Inc.</v>
      </c>
      <c r="C2" s="10"/>
      <c r="D2" s="10"/>
      <c r="E2" s="10"/>
      <c r="F2" s="10"/>
      <c r="G2" s="10"/>
      <c r="H2" s="10"/>
      <c r="I2" s="10"/>
    </row>
    <row r="3" spans="2:16" ht="15.75" customHeight="1">
      <c r="B3" s="11" t="str">
        <f>VLOOKUP(B4,Outline!$E$8:$G$69,COLUMNS(Outline!$E$8:$G$8),FALSE)</f>
        <v>Exhibit H.5</v>
      </c>
      <c r="C3" s="11"/>
      <c r="D3" s="11"/>
      <c r="E3" s="11"/>
      <c r="F3" s="11"/>
      <c r="G3" s="11"/>
      <c r="H3" s="11"/>
      <c r="I3" s="11"/>
      <c r="M3" s="738" t="s">
        <v>706</v>
      </c>
      <c r="N3" s="911">
        <v>1.5</v>
      </c>
      <c r="O3" s="738" t="s">
        <v>707</v>
      </c>
      <c r="P3" s="911">
        <v>0</v>
      </c>
    </row>
    <row r="4" spans="2:16" ht="16.5" customHeight="1" thickBot="1">
      <c r="B4" s="12" t="s">
        <v>52</v>
      </c>
      <c r="C4" s="12"/>
      <c r="D4" s="12"/>
      <c r="E4" s="12"/>
      <c r="F4" s="12"/>
      <c r="G4" s="12"/>
      <c r="H4" s="12"/>
      <c r="I4" s="12"/>
    </row>
    <row r="5" spans="2:16" s="16" customFormat="1" ht="12.75" customHeight="1" thickTop="1">
      <c r="B5" s="385"/>
      <c r="C5" s="385"/>
      <c r="D5" s="385"/>
      <c r="E5" s="385"/>
      <c r="F5" s="385"/>
      <c r="G5" s="385"/>
      <c r="H5" s="385"/>
      <c r="I5" s="385"/>
      <c r="J5" s="385"/>
      <c r="M5" s="344"/>
    </row>
    <row r="6" spans="2:16" ht="13.5" customHeight="1">
      <c r="D6" s="231" t="str">
        <f>"Volatility "&amp;TEXT(A49,"(0)")</f>
        <v>Volatility (1)</v>
      </c>
      <c r="E6" s="231"/>
      <c r="F6" s="231"/>
      <c r="G6" s="231"/>
      <c r="H6" s="231"/>
      <c r="I6" s="231"/>
      <c r="K6" s="232" t="s">
        <v>22</v>
      </c>
      <c r="L6" s="233">
        <f>'MASTER PubCo Inputs'!$C$6</f>
        <v>43312</v>
      </c>
    </row>
    <row r="7" spans="2:16" ht="12.75" customHeight="1">
      <c r="D7" s="2168" t="s">
        <v>53</v>
      </c>
      <c r="E7" s="2169"/>
      <c r="F7" s="2169"/>
      <c r="G7" s="2169"/>
      <c r="H7" s="2169"/>
      <c r="I7" s="2170"/>
    </row>
    <row r="8" spans="2:16" ht="12.75" customHeight="1">
      <c r="B8" s="460" t="s">
        <v>519</v>
      </c>
      <c r="D8" s="2165">
        <v>1</v>
      </c>
      <c r="E8" s="2166">
        <f>D8+1</f>
        <v>2</v>
      </c>
      <c r="F8" s="2166">
        <f t="shared" ref="F8:G8" si="0">E8+1</f>
        <v>3</v>
      </c>
      <c r="G8" s="2166">
        <f t="shared" si="0"/>
        <v>4</v>
      </c>
      <c r="H8" s="2166">
        <f t="shared" ref="H8:I8" si="1">G8+1</f>
        <v>5</v>
      </c>
      <c r="I8" s="2167">
        <f t="shared" si="1"/>
        <v>6</v>
      </c>
      <c r="K8" s="87" t="s">
        <v>43</v>
      </c>
      <c r="M8" s="342" t="s">
        <v>1221</v>
      </c>
    </row>
    <row r="9" spans="2:16" ht="12.75" customHeight="1"/>
    <row r="10" spans="2:16" ht="12.75" customHeight="1">
      <c r="B10" s="385" t="str">
        <f>'Comp.1'!B10</f>
        <v>Vertex Pharmaceuticals Incorporated</v>
      </c>
      <c r="D10" s="54">
        <f>IF('Capital IQ Sheet-GPC'!BS13="n/a","n/a",IF('Capital IQ Sheet-GPC'!BS13&gt;'Equity Vol'!$N$3,"NM",IF('Capital IQ Sheet-GPC'!BS13&lt;'Equity Vol'!$P$3,"NM",'Capital IQ Sheet-GPC'!BS13)))</f>
        <v>0.30399999999999999</v>
      </c>
      <c r="E10" s="54">
        <f>IF('Capital IQ Sheet-GPC'!BT13="n/a","n/a",IF('Capital IQ Sheet-GPC'!BT13&gt;'Equity Vol'!$N$3,"NM",IF('Capital IQ Sheet-GPC'!BT13&lt;'Equity Vol'!$P$3,"NM",'Capital IQ Sheet-GPC'!BT13)))</f>
        <v>0.36599999999999999</v>
      </c>
      <c r="F10" s="54">
        <f>IF('Capital IQ Sheet-GPC'!BU13="n/a","n/a",IF('Capital IQ Sheet-GPC'!BU13&gt;'Equity Vol'!$N$3,"NM",IF('Capital IQ Sheet-GPC'!BU13&lt;'Equity Vol'!$P$3,"NM",'Capital IQ Sheet-GPC'!BU13)))</f>
        <v>0.40100000000000002</v>
      </c>
      <c r="G10" s="54">
        <f>IF('Capital IQ Sheet-GPC'!BV13="n/a","n/a",IF('Capital IQ Sheet-GPC'!BV13&gt;'Equity Vol'!$N$3,"NM",IF('Capital IQ Sheet-GPC'!BV13&lt;'Equity Vol'!$P$3,"NM",'Capital IQ Sheet-GPC'!BV13)))</f>
        <v>0.38900000000000001</v>
      </c>
      <c r="H10" s="54">
        <f>IF('Capital IQ Sheet-GPC'!BW13="n/a","n/a",IF('Capital IQ Sheet-GPC'!BW13&gt;'Equity Vol'!$N$3,"NM",IF('Capital IQ Sheet-GPC'!BW13&lt;'Equity Vol'!$P$3,"NM",'Capital IQ Sheet-GPC'!BW13)))</f>
        <v>0.41299999999999998</v>
      </c>
      <c r="I10" s="54">
        <f>IF('Capital IQ Sheet-GPC'!BX13="n/a","n/a",IF('Capital IQ Sheet-GPC'!BX13&gt;'Equity Vol'!$N$3,"NM",IF('Capital IQ Sheet-GPC'!BX13&lt;'Equity Vol'!$P$3,"NM",'Capital IQ Sheet-GPC'!BX13)))</f>
        <v>0.44900000000000001</v>
      </c>
      <c r="K10" s="234" t="str">
        <f>'Asset Vol_Hybrid OPM'!AA10</f>
        <v>NasdaqGS:VRTX</v>
      </c>
      <c r="M10" s="916">
        <f>'Capital IQ Sheet-GPC'!G13</f>
        <v>33443</v>
      </c>
    </row>
    <row r="11" spans="2:16" ht="12.75" customHeight="1">
      <c r="B11" s="385" t="str">
        <f>'Comp.1'!B11</f>
        <v>FibroGen, Inc.</v>
      </c>
      <c r="D11" s="54">
        <f>IF('Capital IQ Sheet-GPC'!BS14="n/a","n/a",IF('Capital IQ Sheet-GPC'!BS14&gt;'Equity Vol'!$N$3,"NM",IF('Capital IQ Sheet-GPC'!BS14&lt;'Equity Vol'!$P$3,"NM",'Capital IQ Sheet-GPC'!BS14)))</f>
        <v>0.60599999999999998</v>
      </c>
      <c r="E11" s="54">
        <f>IF('Capital IQ Sheet-GPC'!BT14="n/a","n/a",IF('Capital IQ Sheet-GPC'!BT14&gt;'Equity Vol'!$N$3,"NM",IF('Capital IQ Sheet-GPC'!BT14&lt;'Equity Vol'!$P$3,"NM",'Capital IQ Sheet-GPC'!BT14)))</f>
        <v>0.57199999999999995</v>
      </c>
      <c r="F11" s="54">
        <f>IF('Capital IQ Sheet-GPC'!BU14="n/a","n/a",IF('Capital IQ Sheet-GPC'!BU14&gt;'Equity Vol'!$N$3,"NM",IF('Capital IQ Sheet-GPC'!BU14&lt;'Equity Vol'!$P$3,"NM",'Capital IQ Sheet-GPC'!BU14)))</f>
        <v>0.60099999999999998</v>
      </c>
      <c r="G11" s="54">
        <f>IF('Capital IQ Sheet-GPC'!BV14="n/a","n/a",IF('Capital IQ Sheet-GPC'!BV14&gt;'Equity Vol'!$N$3,"NM",IF('Capital IQ Sheet-GPC'!BV14&lt;'Equity Vol'!$P$3,"NM",'Capital IQ Sheet-GPC'!BV14)))</f>
        <v>0.59599999999999997</v>
      </c>
      <c r="H11" s="1527">
        <f>G11</f>
        <v>0.59599999999999997</v>
      </c>
      <c r="I11" s="1527">
        <f>H11</f>
        <v>0.59599999999999997</v>
      </c>
      <c r="K11" s="234" t="str">
        <f>'Asset Vol_Hybrid OPM'!AA11</f>
        <v>NasdaqGS:FGEN</v>
      </c>
      <c r="M11" s="916">
        <f>'Capital IQ Sheet-GPC'!G14</f>
        <v>41957</v>
      </c>
    </row>
    <row r="12" spans="2:16" ht="12.75" customHeight="1">
      <c r="B12" s="385" t="str">
        <f>'Comp.1'!B12</f>
        <v>Galapagos NV</v>
      </c>
      <c r="D12" s="54">
        <f>IF('Capital IQ Sheet-GPC'!BS15="n/a","n/a",IF('Capital IQ Sheet-GPC'!BS15&gt;'Equity Vol'!$N$3,"NM",IF('Capital IQ Sheet-GPC'!BS15&lt;'Equity Vol'!$P$3,"NM",'Capital IQ Sheet-GPC'!BS15)))</f>
        <v>0.30599999999999999</v>
      </c>
      <c r="E12" s="54">
        <f>IF('Capital IQ Sheet-GPC'!BT15="n/a","n/a",IF('Capital IQ Sheet-GPC'!BT15&gt;'Equity Vol'!$N$3,"NM",IF('Capital IQ Sheet-GPC'!BT15&lt;'Equity Vol'!$P$3,"NM",'Capital IQ Sheet-GPC'!BT15)))</f>
        <v>0.30399999999999999</v>
      </c>
      <c r="F12" s="54">
        <f>IF('Capital IQ Sheet-GPC'!BU15="n/a","n/a",IF('Capital IQ Sheet-GPC'!BU15&gt;'Equity Vol'!$N$3,"NM",IF('Capital IQ Sheet-GPC'!BU15&lt;'Equity Vol'!$P$3,"NM",'Capital IQ Sheet-GPC'!BU15)))</f>
        <v>0.40200000000000002</v>
      </c>
      <c r="G12" s="54">
        <f>IF('Capital IQ Sheet-GPC'!BV15="n/a","n/a",IF('Capital IQ Sheet-GPC'!BV15&gt;'Equity Vol'!$N$3,"NM",IF('Capital IQ Sheet-GPC'!BV15&lt;'Equity Vol'!$P$3,"NM",'Capital IQ Sheet-GPC'!BV15)))</f>
        <v>0.42199999999999999</v>
      </c>
      <c r="H12" s="54">
        <f>IF('Capital IQ Sheet-GPC'!BW15="n/a","n/a",IF('Capital IQ Sheet-GPC'!BW15&gt;'Equity Vol'!$N$3,"NM",IF('Capital IQ Sheet-GPC'!BW15&lt;'Equity Vol'!$P$3,"NM",'Capital IQ Sheet-GPC'!BW15)))</f>
        <v>0.41599999999999998</v>
      </c>
      <c r="I12" s="1527">
        <f t="shared" ref="I12:I13" si="2">H12</f>
        <v>0.41599999999999998</v>
      </c>
      <c r="K12" s="234" t="str">
        <f>'Asset Vol_Hybrid OPM'!AA12</f>
        <v>ENXTAM:GLPG</v>
      </c>
      <c r="M12" s="916">
        <f>'Capital IQ Sheet-GPC'!G15</f>
        <v>41727</v>
      </c>
    </row>
    <row r="13" spans="2:16" ht="12.75" customHeight="1">
      <c r="B13" s="385" t="str">
        <f>'Comp.1'!B13</f>
        <v>Madrigal Pharmaceuticals, Inc.</v>
      </c>
      <c r="D13" s="54">
        <f>IF('Capital IQ Sheet-GPC'!BS16="n/a","n/a",IF('Capital IQ Sheet-GPC'!BS16&gt;'Equity Vol'!$N$3,"NM",IF('Capital IQ Sheet-GPC'!BS16&lt;'Equity Vol'!$P$3,"NM",'Capital IQ Sheet-GPC'!BS16)))</f>
        <v>1.35</v>
      </c>
      <c r="E13" s="54">
        <f>IF('Capital IQ Sheet-GPC'!BT16="n/a","n/a",IF('Capital IQ Sheet-GPC'!BT16&gt;'Equity Vol'!$N$3,"NM",IF('Capital IQ Sheet-GPC'!BT16&lt;'Equity Vol'!$P$3,"NM",'Capital IQ Sheet-GPC'!BT16)))</f>
        <v>1.006</v>
      </c>
      <c r="F13" s="54">
        <f>IF('Capital IQ Sheet-GPC'!BU16="n/a","n/a",IF('Capital IQ Sheet-GPC'!BU16&gt;'Equity Vol'!$N$3,"NM",IF('Capital IQ Sheet-GPC'!BU16&lt;'Equity Vol'!$P$3,"NM",'Capital IQ Sheet-GPC'!BU16)))</f>
        <v>1.016</v>
      </c>
      <c r="G13" s="1527">
        <f t="shared" ref="G13:H13" si="3">F13</f>
        <v>1.016</v>
      </c>
      <c r="H13" s="1527">
        <f t="shared" si="3"/>
        <v>1.016</v>
      </c>
      <c r="I13" s="1527">
        <f t="shared" si="2"/>
        <v>1.016</v>
      </c>
      <c r="K13" s="234" t="str">
        <f>'Asset Vol_Hybrid OPM'!AA13</f>
        <v>NasdaqCM:MDGL</v>
      </c>
      <c r="M13" s="916">
        <f>'Capital IQ Sheet-GPC'!G16</f>
        <v>42576</v>
      </c>
    </row>
    <row r="14" spans="2:16" ht="12.75" customHeight="1">
      <c r="B14" s="385" t="str">
        <f>'Comp.1'!B14</f>
        <v>Intercept Pharmaceuticals, Inc.</v>
      </c>
      <c r="D14" s="54">
        <f>IF('Capital IQ Sheet-GPC'!BS17="n/a","n/a",IF('Capital IQ Sheet-GPC'!BS17&gt;'Equity Vol'!$N$3,"NM",IF('Capital IQ Sheet-GPC'!BS17&lt;'Equity Vol'!$P$3,"NM",'Capital IQ Sheet-GPC'!BS17)))</f>
        <v>0.626</v>
      </c>
      <c r="E14" s="54">
        <f>IF('Capital IQ Sheet-GPC'!BT17="n/a","n/a",IF('Capital IQ Sheet-GPC'!BT17&gt;'Equity Vol'!$N$3,"NM",IF('Capital IQ Sheet-GPC'!BT17&lt;'Equity Vol'!$P$3,"NM",'Capital IQ Sheet-GPC'!BT17)))</f>
        <v>0.55000000000000004</v>
      </c>
      <c r="F14" s="54">
        <f>IF('Capital IQ Sheet-GPC'!BU17="n/a","n/a",IF('Capital IQ Sheet-GPC'!BU17&gt;'Equity Vol'!$N$3,"NM",IF('Capital IQ Sheet-GPC'!BU17&lt;'Equity Vol'!$P$3,"NM",'Capital IQ Sheet-GPC'!BU17)))</f>
        <v>0.6</v>
      </c>
      <c r="G14" s="54">
        <f>IF('Capital IQ Sheet-GPC'!BV17="n/a","n/a",IF('Capital IQ Sheet-GPC'!BV17&gt;'Equity Vol'!$N$3,"NM",IF('Capital IQ Sheet-GPC'!BV17&lt;'Equity Vol'!$P$3,"NM",'Capital IQ Sheet-GPC'!BV17)))</f>
        <v>0.627</v>
      </c>
      <c r="H14" s="54">
        <f>IF('Capital IQ Sheet-GPC'!BW17="n/a","n/a",IF('Capital IQ Sheet-GPC'!BW17&gt;'Equity Vol'!$N$3,"NM",IF('Capital IQ Sheet-GPC'!BW17&lt;'Equity Vol'!$P$3,"NM",'Capital IQ Sheet-GPC'!BW17)))</f>
        <v>0.91900000000000004</v>
      </c>
      <c r="I14" s="54">
        <f>IF('Capital IQ Sheet-GPC'!BX17="n/a","n/a",IF('Capital IQ Sheet-GPC'!BX17&gt;'Equity Vol'!$N$3,"NM",IF('Capital IQ Sheet-GPC'!BX17&lt;'Equity Vol'!$P$3,"NM",'Capital IQ Sheet-GPC'!BX17)))</f>
        <v>0.874</v>
      </c>
      <c r="K14" s="234" t="str">
        <f>'Asset Vol_Hybrid OPM'!AA14</f>
        <v>NasdaqGS:ICPT</v>
      </c>
      <c r="M14" s="916">
        <f>'Capital IQ Sheet-GPC'!G17</f>
        <v>41193</v>
      </c>
    </row>
    <row r="15" spans="2:16" ht="12.75" customHeight="1">
      <c r="B15" s="385" t="str">
        <f>'Comp.1'!B15</f>
        <v>Insmed Incorporated</v>
      </c>
      <c r="D15" s="54">
        <f>IF('Capital IQ Sheet-GPC'!BS18="n/a","n/a",IF('Capital IQ Sheet-GPC'!BS18&gt;'Equity Vol'!$N$3,"NM",IF('Capital IQ Sheet-GPC'!BS18&lt;'Equity Vol'!$P$3,"NM",'Capital IQ Sheet-GPC'!BS18)))</f>
        <v>0.94599999999999995</v>
      </c>
      <c r="E15" s="54">
        <f>IF('Capital IQ Sheet-GPC'!BT18="n/a","n/a",IF('Capital IQ Sheet-GPC'!BT18&gt;'Equity Vol'!$N$3,"NM",IF('Capital IQ Sheet-GPC'!BT18&lt;'Equity Vol'!$P$3,"NM",'Capital IQ Sheet-GPC'!BT18)))</f>
        <v>0.74299999999999999</v>
      </c>
      <c r="F15" s="54">
        <f>IF('Capital IQ Sheet-GPC'!BU18="n/a","n/a",IF('Capital IQ Sheet-GPC'!BU18&gt;'Equity Vol'!$N$3,"NM",IF('Capital IQ Sheet-GPC'!BU18&lt;'Equity Vol'!$P$3,"NM",'Capital IQ Sheet-GPC'!BU18)))</f>
        <v>0.69899999999999995</v>
      </c>
      <c r="G15" s="54">
        <f>IF('Capital IQ Sheet-GPC'!BV18="n/a","n/a",IF('Capital IQ Sheet-GPC'!BV18&gt;'Equity Vol'!$N$3,"NM",IF('Capital IQ Sheet-GPC'!BV18&lt;'Equity Vol'!$P$3,"NM",'Capital IQ Sheet-GPC'!BV18)))</f>
        <v>0.66200000000000003</v>
      </c>
      <c r="H15" s="54">
        <f>IF('Capital IQ Sheet-GPC'!BW18="n/a","n/a",IF('Capital IQ Sheet-GPC'!BW18&gt;'Equity Vol'!$N$3,"NM",IF('Capital IQ Sheet-GPC'!BW18&lt;'Equity Vol'!$P$3,"NM",'Capital IQ Sheet-GPC'!BW18)))</f>
        <v>0.66400000000000003</v>
      </c>
      <c r="I15" s="54">
        <f>IF('Capital IQ Sheet-GPC'!BX18="n/a","n/a",IF('Capital IQ Sheet-GPC'!BX18&gt;'Equity Vol'!$N$3,"NM",IF('Capital IQ Sheet-GPC'!BX18&lt;'Equity Vol'!$P$3,"NM",'Capital IQ Sheet-GPC'!BX18)))</f>
        <v>0.65100000000000002</v>
      </c>
      <c r="K15" s="234" t="str">
        <f>'Asset Vol_Hybrid OPM'!AA15</f>
        <v>NasdaqGS:INSM</v>
      </c>
      <c r="M15" s="916">
        <f>'Capital IQ Sheet-GPC'!G18</f>
        <v>36678</v>
      </c>
    </row>
    <row r="16" spans="2:16" ht="12.75" customHeight="1">
      <c r="B16" s="385" t="str">
        <f>'Comp.1'!B16</f>
        <v>Genfit SA</v>
      </c>
      <c r="D16" s="54">
        <f>IF('Capital IQ Sheet-GPC'!BS19="n/a","n/a",IF('Capital IQ Sheet-GPC'!BS19&gt;'Equity Vol'!$N$3,"NM",IF('Capital IQ Sheet-GPC'!BS19&lt;'Equity Vol'!$P$3,"NM",'Capital IQ Sheet-GPC'!BS19)))</f>
        <v>0.36099999999999999</v>
      </c>
      <c r="E16" s="54">
        <f>IF('Capital IQ Sheet-GPC'!BT19="n/a","n/a",IF('Capital IQ Sheet-GPC'!BT19&gt;'Equity Vol'!$N$3,"NM",IF('Capital IQ Sheet-GPC'!BT19&lt;'Equity Vol'!$P$3,"NM",'Capital IQ Sheet-GPC'!BT19)))</f>
        <v>0.45200000000000001</v>
      </c>
      <c r="F16" s="54">
        <f>IF('Capital IQ Sheet-GPC'!BU19="n/a","n/a",IF('Capital IQ Sheet-GPC'!BU19&gt;'Equity Vol'!$N$3,"NM",IF('Capital IQ Sheet-GPC'!BU19&lt;'Equity Vol'!$P$3,"NM",'Capital IQ Sheet-GPC'!BU19)))</f>
        <v>0.48599999999999999</v>
      </c>
      <c r="G16" s="54">
        <f>IF('Capital IQ Sheet-GPC'!BV19="n/a","n/a",IF('Capital IQ Sheet-GPC'!BV19&gt;'Equity Vol'!$N$3,"NM",IF('Capital IQ Sheet-GPC'!BV19&lt;'Equity Vol'!$P$3,"NM",'Capital IQ Sheet-GPC'!BV19)))</f>
        <v>0.60399999999999998</v>
      </c>
      <c r="H16" s="54">
        <f>IF('Capital IQ Sheet-GPC'!BW19="n/a","n/a",IF('Capital IQ Sheet-GPC'!BW19&gt;'Equity Vol'!$N$3,"NM",IF('Capital IQ Sheet-GPC'!BW19&lt;'Equity Vol'!$P$3,"NM",'Capital IQ Sheet-GPC'!BW19)))</f>
        <v>0.67100000000000004</v>
      </c>
      <c r="I16" s="54">
        <f>IF('Capital IQ Sheet-GPC'!BX19="n/a","n/a",IF('Capital IQ Sheet-GPC'!BX19&gt;'Equity Vol'!$N$3,"NM",IF('Capital IQ Sheet-GPC'!BX19&lt;'Equity Vol'!$P$3,"NM",'Capital IQ Sheet-GPC'!BX19)))</f>
        <v>0.68200000000000005</v>
      </c>
      <c r="K16" s="234" t="str">
        <f>'Asset Vol_Hybrid OPM'!AA16</f>
        <v>ENXTPA:GNFT</v>
      </c>
      <c r="M16" s="916">
        <f>'Capital IQ Sheet-GPC'!G19</f>
        <v>39071</v>
      </c>
    </row>
    <row r="17" spans="2:13" ht="12.75" customHeight="1">
      <c r="B17" s="385" t="str">
        <f>'Comp.1'!B17</f>
        <v>Kadmon Holdings, Inc.</v>
      </c>
      <c r="D17" s="54">
        <f>IF('Capital IQ Sheet-GPC'!BS20="n/a","n/a",IF('Capital IQ Sheet-GPC'!BS20&gt;'Equity Vol'!$N$3,"NM",IF('Capital IQ Sheet-GPC'!BS20&lt;'Equity Vol'!$P$3,"NM",'Capital IQ Sheet-GPC'!BS20)))</f>
        <v>0.60399999999999998</v>
      </c>
      <c r="E17" s="54">
        <f>IF('Capital IQ Sheet-GPC'!BT20="n/a","n/a",IF('Capital IQ Sheet-GPC'!BT20&gt;'Equity Vol'!$N$3,"NM",IF('Capital IQ Sheet-GPC'!BT20&lt;'Equity Vol'!$P$3,"NM",'Capital IQ Sheet-GPC'!BT20)))</f>
        <v>0.67200000000000004</v>
      </c>
      <c r="F17" s="54">
        <f>IF('Capital IQ Sheet-GPC'!BU20="n/a","n/a",IF('Capital IQ Sheet-GPC'!BU20&gt;'Equity Vol'!$N$3,"NM",IF('Capital IQ Sheet-GPC'!BU20&lt;'Equity Vol'!$P$3,"NM",'Capital IQ Sheet-GPC'!BU20)))</f>
        <v>0.67200000000000004</v>
      </c>
      <c r="G17" s="1527">
        <f t="shared" ref="G17:I17" si="4">F17</f>
        <v>0.67200000000000004</v>
      </c>
      <c r="H17" s="1527">
        <f t="shared" si="4"/>
        <v>0.67200000000000004</v>
      </c>
      <c r="I17" s="1527">
        <f t="shared" si="4"/>
        <v>0.67200000000000004</v>
      </c>
      <c r="K17" s="234" t="str">
        <f>'Asset Vol_Hybrid OPM'!AA17</f>
        <v>NYSE:KDMN</v>
      </c>
      <c r="M17" s="916">
        <f>'Capital IQ Sheet-GPC'!G20</f>
        <v>42578</v>
      </c>
    </row>
    <row r="18" spans="2:13" ht="12.75" customHeight="1">
      <c r="B18" s="385" t="str">
        <f>'Comp.1'!B18</f>
        <v>MediciNova, Inc.</v>
      </c>
      <c r="D18" s="54">
        <f>IF('Capital IQ Sheet-GPC'!BS21="n/a","n/a",IF('Capital IQ Sheet-GPC'!BS21&gt;'Equity Vol'!$N$3,"NM",IF('Capital IQ Sheet-GPC'!BS21&lt;'Equity Vol'!$P$3,"NM",'Capital IQ Sheet-GPC'!BS21)))</f>
        <v>0.65900000000000003</v>
      </c>
      <c r="E18" s="54">
        <f>IF('Capital IQ Sheet-GPC'!BT21="n/a","n/a",IF('Capital IQ Sheet-GPC'!BT21&gt;'Equity Vol'!$N$3,"NM",IF('Capital IQ Sheet-GPC'!BT21&lt;'Equity Vol'!$P$3,"NM",'Capital IQ Sheet-GPC'!BT21)))</f>
        <v>0.53700000000000003</v>
      </c>
      <c r="F18" s="54">
        <f>IF('Capital IQ Sheet-GPC'!BU21="n/a","n/a",IF('Capital IQ Sheet-GPC'!BU21&gt;'Equity Vol'!$N$3,"NM",IF('Capital IQ Sheet-GPC'!BU21&lt;'Equity Vol'!$P$3,"NM",'Capital IQ Sheet-GPC'!BU21)))</f>
        <v>0.54200000000000004</v>
      </c>
      <c r="G18" s="54">
        <f>IF('Capital IQ Sheet-GPC'!BV21="n/a","n/a",IF('Capital IQ Sheet-GPC'!BV21&gt;'Equity Vol'!$N$3,"NM",IF('Capital IQ Sheet-GPC'!BV21&lt;'Equity Vol'!$P$3,"NM",'Capital IQ Sheet-GPC'!BV21)))</f>
        <v>0.62</v>
      </c>
      <c r="H18" s="54">
        <f>IF('Capital IQ Sheet-GPC'!BW21="n/a","n/a",IF('Capital IQ Sheet-GPC'!BW21&gt;'Equity Vol'!$N$3,"NM",IF('Capital IQ Sheet-GPC'!BW21&lt;'Equity Vol'!$P$3,"NM",'Capital IQ Sheet-GPC'!BW21)))</f>
        <v>0.60899999999999999</v>
      </c>
      <c r="I18" s="54">
        <f>IF('Capital IQ Sheet-GPC'!BX21="n/a","n/a",IF('Capital IQ Sheet-GPC'!BX21&gt;'Equity Vol'!$N$3,"NM",IF('Capital IQ Sheet-GPC'!BX21&lt;'Equity Vol'!$P$3,"NM",'Capital IQ Sheet-GPC'!BX21)))</f>
        <v>0.65500000000000003</v>
      </c>
      <c r="K18" s="234" t="str">
        <f>'Asset Vol_Hybrid OPM'!AA18</f>
        <v>NasdaqGM:MNOV</v>
      </c>
      <c r="M18" s="916">
        <f>'Capital IQ Sheet-GPC'!G21</f>
        <v>39058</v>
      </c>
    </row>
    <row r="19" spans="2:13" ht="12.75" customHeight="1">
      <c r="B19" s="385" t="str">
        <f>'Comp.1'!B19</f>
        <v>Savara Inc.</v>
      </c>
      <c r="D19" s="54">
        <f>IF('Capital IQ Sheet-GPC'!BS22="n/a","n/a",IF('Capital IQ Sheet-GPC'!BS22&gt;'Equity Vol'!$N$3,"NM",IF('Capital IQ Sheet-GPC'!BS22&lt;'Equity Vol'!$P$3,"NM",'Capital IQ Sheet-GPC'!BS22)))</f>
        <v>0.59</v>
      </c>
      <c r="E19" s="54">
        <f>IF('Capital IQ Sheet-GPC'!BT22="n/a","n/a",IF('Capital IQ Sheet-GPC'!BT22&gt;'Equity Vol'!$N$3,"NM",IF('Capital IQ Sheet-GPC'!BT22&lt;'Equity Vol'!$P$3,"NM",'Capital IQ Sheet-GPC'!BT22)))</f>
        <v>0.628</v>
      </c>
      <c r="F19" s="1527">
        <f t="shared" ref="F19:I19" si="5">E19</f>
        <v>0.628</v>
      </c>
      <c r="G19" s="1527">
        <f t="shared" si="5"/>
        <v>0.628</v>
      </c>
      <c r="H19" s="1527">
        <f t="shared" si="5"/>
        <v>0.628</v>
      </c>
      <c r="I19" s="1527">
        <f t="shared" si="5"/>
        <v>0.628</v>
      </c>
      <c r="K19" s="234" t="str">
        <f>'Asset Vol_Hybrid OPM'!AA19</f>
        <v>NasdaqGS:SVRA</v>
      </c>
      <c r="M19" s="916">
        <f>'Capital IQ Sheet-GPC'!G22</f>
        <v>42853</v>
      </c>
    </row>
    <row r="20" spans="2:13" ht="12.75" customHeight="1">
      <c r="B20" s="385" t="str">
        <f>'Comp.1'!B20</f>
        <v>Galmed Pharmaceuticals Ltd.</v>
      </c>
      <c r="D20" s="54">
        <f>IF('Capital IQ Sheet-GPC'!BS23="n/a","n/a",IF('Capital IQ Sheet-GPC'!BS23&gt;'Equity Vol'!$N$3,"NM",IF('Capital IQ Sheet-GPC'!BS23&lt;'Equity Vol'!$P$3,"NM",'Capital IQ Sheet-GPC'!BS23)))</f>
        <v>1.2969999999999999</v>
      </c>
      <c r="E20" s="54">
        <f>IF('Capital IQ Sheet-GPC'!BT23="n/a","n/a",IF('Capital IQ Sheet-GPC'!BT23&gt;'Equity Vol'!$N$3,"NM",IF('Capital IQ Sheet-GPC'!BT23&lt;'Equity Vol'!$P$3,"NM",'Capital IQ Sheet-GPC'!BT23)))</f>
        <v>1.0269999999999999</v>
      </c>
      <c r="F20" s="54">
        <f>IF('Capital IQ Sheet-GPC'!BU23="n/a","n/a",IF('Capital IQ Sheet-GPC'!BU23&gt;'Equity Vol'!$N$3,"NM",IF('Capital IQ Sheet-GPC'!BU23&lt;'Equity Vol'!$P$3,"NM",'Capital IQ Sheet-GPC'!BU23)))</f>
        <v>0.97699999999999998</v>
      </c>
      <c r="G20" s="54">
        <f>IF('Capital IQ Sheet-GPC'!BV23="n/a","n/a",IF('Capital IQ Sheet-GPC'!BV23&gt;'Equity Vol'!$N$3,"NM",IF('Capital IQ Sheet-GPC'!BV23&lt;'Equity Vol'!$P$3,"NM",'Capital IQ Sheet-GPC'!BV23)))</f>
        <v>0.93500000000000005</v>
      </c>
      <c r="H20" s="54">
        <f>IF('Capital IQ Sheet-GPC'!BW23="n/a","n/a",IF('Capital IQ Sheet-GPC'!BW23&gt;'Equity Vol'!$N$3,"NM",IF('Capital IQ Sheet-GPC'!BW23&lt;'Equity Vol'!$P$3,"NM",'Capital IQ Sheet-GPC'!BW23)))</f>
        <v>0.92100000000000004</v>
      </c>
      <c r="I20" s="1527">
        <f>H20</f>
        <v>0.92100000000000004</v>
      </c>
      <c r="K20" s="234" t="str">
        <f>'Asset Vol_Hybrid OPM'!AA20</f>
        <v>NasdaqCM:GLMD</v>
      </c>
      <c r="M20" s="916">
        <f>'Capital IQ Sheet-GPC'!G23</f>
        <v>41712</v>
      </c>
    </row>
    <row r="21" spans="2:13" ht="12.75" customHeight="1">
      <c r="B21" s="385" t="str">
        <f>'Comp.1'!B21</f>
        <v>Galectin Therapeutics, Inc.</v>
      </c>
      <c r="D21" s="54">
        <f>IF('Capital IQ Sheet-GPC'!BS24="n/a","n/a",IF('Capital IQ Sheet-GPC'!BS24&gt;'Equity Vol'!$N$3,"NM",IF('Capital IQ Sheet-GPC'!BS24&lt;'Equity Vol'!$P$3,"NM",'Capital IQ Sheet-GPC'!BS24)))</f>
        <v>1.1259999999999999</v>
      </c>
      <c r="E21" s="54">
        <f>IF('Capital IQ Sheet-GPC'!BT24="n/a","n/a",IF('Capital IQ Sheet-GPC'!BT24&gt;'Equity Vol'!$N$3,"NM",IF('Capital IQ Sheet-GPC'!BT24&lt;'Equity Vol'!$P$3,"NM",'Capital IQ Sheet-GPC'!BT24)))</f>
        <v>1.17</v>
      </c>
      <c r="F21" s="54">
        <f>IF('Capital IQ Sheet-GPC'!BU24="n/a","n/a",IF('Capital IQ Sheet-GPC'!BU24&gt;'Equity Vol'!$N$3,"NM",IF('Capital IQ Sheet-GPC'!BU24&lt;'Equity Vol'!$P$3,"NM",'Capital IQ Sheet-GPC'!BU24)))</f>
        <v>1.0489999999999999</v>
      </c>
      <c r="G21" s="54">
        <f>IF('Capital IQ Sheet-GPC'!BV24="n/a","n/a",IF('Capital IQ Sheet-GPC'!BV24&gt;'Equity Vol'!$N$3,"NM",IF('Capital IQ Sheet-GPC'!BV24&lt;'Equity Vol'!$P$3,"NM",'Capital IQ Sheet-GPC'!BV24)))</f>
        <v>0.97699999999999998</v>
      </c>
      <c r="H21" s="54">
        <f>IF('Capital IQ Sheet-GPC'!BW24="n/a","n/a",IF('Capital IQ Sheet-GPC'!BW24&gt;'Equity Vol'!$N$3,"NM",IF('Capital IQ Sheet-GPC'!BW24&lt;'Equity Vol'!$P$3,"NM",'Capital IQ Sheet-GPC'!BW24)))</f>
        <v>1.075</v>
      </c>
      <c r="I21" s="54">
        <f>IF('Capital IQ Sheet-GPC'!BX24="n/a","n/a",IF('Capital IQ Sheet-GPC'!BX24&gt;'Equity Vol'!$N$3,"NM",IF('Capital IQ Sheet-GPC'!BX24&lt;'Equity Vol'!$P$3,"NM",'Capital IQ Sheet-GPC'!BX24)))</f>
        <v>1.0229999999999999</v>
      </c>
      <c r="K21" s="234" t="str">
        <f>'Asset Vol_Hybrid OPM'!AA21</f>
        <v>NasdaqCM:GALT</v>
      </c>
      <c r="M21" s="916">
        <f>'Capital IQ Sheet-GPC'!G24</f>
        <v>37503</v>
      </c>
    </row>
    <row r="22" spans="2:13" ht="12.75" customHeight="1">
      <c r="B22" s="385" t="str">
        <f>'Comp.1'!B22</f>
        <v>Corbus Pharmaceuticals Holdings, Inc.</v>
      </c>
      <c r="D22" s="54">
        <f>IF('Capital IQ Sheet-GPC'!BS25="n/a","n/a",IF('Capital IQ Sheet-GPC'!BS25&gt;'Equity Vol'!$N$3,"NM",IF('Capital IQ Sheet-GPC'!BS25&lt;'Equity Vol'!$P$3,"NM",'Capital IQ Sheet-GPC'!BS25)))</f>
        <v>0.56799999999999995</v>
      </c>
      <c r="E22" s="54">
        <f>IF('Capital IQ Sheet-GPC'!BT25="n/a","n/a",IF('Capital IQ Sheet-GPC'!BT25&gt;'Equity Vol'!$N$3,"NM",IF('Capital IQ Sheet-GPC'!BT25&lt;'Equity Vol'!$P$3,"NM",'Capital IQ Sheet-GPC'!BT25)))</f>
        <v>0.78400000000000003</v>
      </c>
      <c r="F22" s="54">
        <f>IF('Capital IQ Sheet-GPC'!BU25="n/a","n/a",IF('Capital IQ Sheet-GPC'!BU25&gt;'Equity Vol'!$N$3,"NM",IF('Capital IQ Sheet-GPC'!BU25&lt;'Equity Vol'!$P$3,"NM",'Capital IQ Sheet-GPC'!BU25)))</f>
        <v>0.79900000000000004</v>
      </c>
      <c r="G22" s="54">
        <f>IF('Capital IQ Sheet-GPC'!BV25="n/a","n/a",IF('Capital IQ Sheet-GPC'!BV25&gt;'Equity Vol'!$N$3,"NM",IF('Capital IQ Sheet-GPC'!BV25&lt;'Equity Vol'!$P$3,"NM",'Capital IQ Sheet-GPC'!BV25)))</f>
        <v>0.90400000000000003</v>
      </c>
      <c r="H22" s="1527">
        <f t="shared" ref="H22:I22" si="6">G22</f>
        <v>0.90400000000000003</v>
      </c>
      <c r="I22" s="1527">
        <f t="shared" si="6"/>
        <v>0.90400000000000003</v>
      </c>
      <c r="K22" s="234" t="str">
        <f>'Asset Vol_Hybrid OPM'!AA22</f>
        <v>NasdaqGM:CRBP</v>
      </c>
      <c r="M22" s="916">
        <f>'Capital IQ Sheet-GPC'!G25</f>
        <v>41939</v>
      </c>
    </row>
    <row r="23" spans="2:13" ht="12.75" customHeight="1">
      <c r="B23" s="385" t="str">
        <f>'Comp.1'!B23</f>
        <v>ProQR Therapeutics N.V.</v>
      </c>
      <c r="D23" s="54">
        <f>IF('Capital IQ Sheet-GPC'!BS26="n/a","n/a",IF('Capital IQ Sheet-GPC'!BS26&gt;'Equity Vol'!$N$3,"NM",IF('Capital IQ Sheet-GPC'!BS26&lt;'Equity Vol'!$P$3,"NM",'Capital IQ Sheet-GPC'!BS26)))</f>
        <v>0.63100000000000001</v>
      </c>
      <c r="E23" s="54">
        <f>IF('Capital IQ Sheet-GPC'!BT26="n/a","n/a",IF('Capital IQ Sheet-GPC'!BT26&gt;'Equity Vol'!$N$3,"NM",IF('Capital IQ Sheet-GPC'!BT26&lt;'Equity Vol'!$P$3,"NM",'Capital IQ Sheet-GPC'!BT26)))</f>
        <v>0.58099999999999996</v>
      </c>
      <c r="F23" s="54">
        <f>IF('Capital IQ Sheet-GPC'!BU26="n/a","n/a",IF('Capital IQ Sheet-GPC'!BU26&gt;'Equity Vol'!$N$3,"NM",IF('Capital IQ Sheet-GPC'!BU26&lt;'Equity Vol'!$P$3,"NM",'Capital IQ Sheet-GPC'!BU26)))</f>
        <v>0.73199999999999998</v>
      </c>
      <c r="G23" s="54">
        <f>IF('Capital IQ Sheet-GPC'!BV26="n/a","n/a",IF('Capital IQ Sheet-GPC'!BV26&gt;'Equity Vol'!$N$3,"NM",IF('Capital IQ Sheet-GPC'!BV26&lt;'Equity Vol'!$P$3,"NM",'Capital IQ Sheet-GPC'!BV26)))</f>
        <v>0.71199999999999997</v>
      </c>
      <c r="H23" s="1527">
        <f t="shared" ref="H23:I23" si="7">G23</f>
        <v>0.71199999999999997</v>
      </c>
      <c r="I23" s="1527">
        <f t="shared" si="7"/>
        <v>0.71199999999999997</v>
      </c>
      <c r="K23" s="234" t="str">
        <f>'Asset Vol_Hybrid OPM'!AA23</f>
        <v>NasdaqGM:PRQR</v>
      </c>
      <c r="M23" s="916">
        <f>'Capital IQ Sheet-GPC'!G26</f>
        <v>41900</v>
      </c>
    </row>
    <row r="24" spans="2:13" ht="12.75" customHeight="1">
      <c r="B24" s="385" t="str">
        <f>'Comp.1'!B24</f>
        <v>Miragen Therapeutics, Inc.</v>
      </c>
      <c r="D24" s="54">
        <f>IF('Capital IQ Sheet-GPC'!BS27="n/a","n/a",IF('Capital IQ Sheet-GPC'!BS27&gt;'Equity Vol'!$N$3,"NM",IF('Capital IQ Sheet-GPC'!BS27&lt;'Equity Vol'!$P$3,"NM",'Capital IQ Sheet-GPC'!BS27)))</f>
        <v>0.64500000000000002</v>
      </c>
      <c r="E24" s="54">
        <f>IF('Capital IQ Sheet-GPC'!BT27="n/a","n/a",IF('Capital IQ Sheet-GPC'!BT27&gt;'Equity Vol'!$N$3,"NM",IF('Capital IQ Sheet-GPC'!BT27&lt;'Equity Vol'!$P$3,"NM",'Capital IQ Sheet-GPC'!BT27)))</f>
        <v>0.69599999999999995</v>
      </c>
      <c r="F24" s="1527">
        <f t="shared" ref="F24:I24" si="8">E24</f>
        <v>0.69599999999999995</v>
      </c>
      <c r="G24" s="1527">
        <f t="shared" si="8"/>
        <v>0.69599999999999995</v>
      </c>
      <c r="H24" s="1527">
        <f t="shared" si="8"/>
        <v>0.69599999999999995</v>
      </c>
      <c r="I24" s="1527">
        <f t="shared" si="8"/>
        <v>0.69599999999999995</v>
      </c>
      <c r="K24" s="234" t="str">
        <f>'Asset Vol_Hybrid OPM'!AA24</f>
        <v>NasdaqCM:MGEN</v>
      </c>
      <c r="M24" s="916">
        <f>'Capital IQ Sheet-GPC'!G27</f>
        <v>42780</v>
      </c>
    </row>
    <row r="25" spans="2:13" ht="12.75" customHeight="1">
      <c r="B25" s="385" t="str">
        <f>'Comp.1'!B25</f>
        <v>Conatus Pharmaceuticals Inc.</v>
      </c>
      <c r="D25" s="54">
        <f>IF('Capital IQ Sheet-GPC'!BS28="n/a","n/a",IF('Capital IQ Sheet-GPC'!BS28&gt;'Equity Vol'!$N$3,"NM",IF('Capital IQ Sheet-GPC'!BS28&lt;'Equity Vol'!$P$3,"NM",'Capital IQ Sheet-GPC'!BS28)))</f>
        <v>0.70399999999999996</v>
      </c>
      <c r="E25" s="54">
        <f>IF('Capital IQ Sheet-GPC'!BT28="n/a","n/a",IF('Capital IQ Sheet-GPC'!BT28&gt;'Equity Vol'!$N$3,"NM",IF('Capital IQ Sheet-GPC'!BT28&lt;'Equity Vol'!$P$3,"NM",'Capital IQ Sheet-GPC'!BT28)))</f>
        <v>0.98499999999999999</v>
      </c>
      <c r="F25" s="54">
        <f>IF('Capital IQ Sheet-GPC'!BU28="n/a","n/a",IF('Capital IQ Sheet-GPC'!BU28&gt;'Equity Vol'!$N$3,"NM",IF('Capital IQ Sheet-GPC'!BU28&lt;'Equity Vol'!$P$3,"NM",'Capital IQ Sheet-GPC'!BU28)))</f>
        <v>0.93</v>
      </c>
      <c r="G25" s="54">
        <f>IF('Capital IQ Sheet-GPC'!BV28="n/a","n/a",IF('Capital IQ Sheet-GPC'!BV28&gt;'Equity Vol'!$N$3,"NM",IF('Capital IQ Sheet-GPC'!BV28&lt;'Equity Vol'!$P$3,"NM",'Capital IQ Sheet-GPC'!BV28)))</f>
        <v>0.90100000000000002</v>
      </c>
      <c r="H25" s="54">
        <f>IF('Capital IQ Sheet-GPC'!BW28="n/a","n/a",IF('Capital IQ Sheet-GPC'!BW28&gt;'Equity Vol'!$N$3,"NM",IF('Capital IQ Sheet-GPC'!BW28&lt;'Equity Vol'!$P$3,"NM",'Capital IQ Sheet-GPC'!BW28)))</f>
        <v>0.93400000000000005</v>
      </c>
      <c r="I25" s="54">
        <f>IF('Capital IQ Sheet-GPC'!BX28="n/a","n/a",IF('Capital IQ Sheet-GPC'!BX28&gt;'Equity Vol'!$N$3,"NM",IF('Capital IQ Sheet-GPC'!BX28&lt;'Equity Vol'!$P$3,"NM",'Capital IQ Sheet-GPC'!BX28)))</f>
        <v>0.93300000000000005</v>
      </c>
      <c r="K25" s="234" t="str">
        <f>'Asset Vol_Hybrid OPM'!AA25</f>
        <v>NasdaqGM:CNAT</v>
      </c>
      <c r="M25" s="916">
        <f>'Capital IQ Sheet-GPC'!G28</f>
        <v>41480</v>
      </c>
    </row>
    <row r="26" spans="2:13" ht="12.75" customHeight="1">
      <c r="B26" s="385" t="str">
        <f>'Comp.1'!B26</f>
        <v>Immuron Limited</v>
      </c>
      <c r="D26" s="54">
        <f>IF('Capital IQ Sheet-GPC'!BS29="n/a","n/a",IF('Capital IQ Sheet-GPC'!BS29&gt;'Equity Vol'!$N$3,"NM",IF('Capital IQ Sheet-GPC'!BS29&lt;'Equity Vol'!$P$3,"NM",'Capital IQ Sheet-GPC'!BS29)))</f>
        <v>0.89</v>
      </c>
      <c r="E26" s="54">
        <f>IF('Capital IQ Sheet-GPC'!BT29="n/a","n/a",IF('Capital IQ Sheet-GPC'!BT29&gt;'Equity Vol'!$N$3,"NM",IF('Capital IQ Sheet-GPC'!BT29&lt;'Equity Vol'!$P$3,"NM",'Capital IQ Sheet-GPC'!BT29)))</f>
        <v>0.97499999999999998</v>
      </c>
      <c r="F26" s="54">
        <f>IF('Capital IQ Sheet-GPC'!BU29="n/a","n/a",IF('Capital IQ Sheet-GPC'!BU29&gt;'Equity Vol'!$N$3,"NM",IF('Capital IQ Sheet-GPC'!BU29&lt;'Equity Vol'!$P$3,"NM",'Capital IQ Sheet-GPC'!BU29)))</f>
        <v>0.96199999999999997</v>
      </c>
      <c r="G26" s="54">
        <f>IF('Capital IQ Sheet-GPC'!BV29="n/a","n/a",IF('Capital IQ Sheet-GPC'!BV29&gt;'Equity Vol'!$N$3,"NM",IF('Capital IQ Sheet-GPC'!BV29&lt;'Equity Vol'!$P$3,"NM",'Capital IQ Sheet-GPC'!BV29)))</f>
        <v>1.012</v>
      </c>
      <c r="H26" s="54">
        <f>IF('Capital IQ Sheet-GPC'!BW29="n/a","n/a",IF('Capital IQ Sheet-GPC'!BW29&gt;'Equity Vol'!$N$3,"NM",IF('Capital IQ Sheet-GPC'!BW29&lt;'Equity Vol'!$P$3,"NM",'Capital IQ Sheet-GPC'!BW29)))</f>
        <v>1.3120000000000001</v>
      </c>
      <c r="I26" s="54">
        <f>IF('Capital IQ Sheet-GPC'!BX29="n/a","n/a",IF('Capital IQ Sheet-GPC'!BX29&gt;'Equity Vol'!$N$3,"NM",IF('Capital IQ Sheet-GPC'!BX29&lt;'Equity Vol'!$P$3,"NM",'Capital IQ Sheet-GPC'!BX29)))</f>
        <v>1.431</v>
      </c>
      <c r="K26" s="234" t="str">
        <f>'Asset Vol_Hybrid OPM'!AA26</f>
        <v>ASX:IMC</v>
      </c>
      <c r="M26" s="916">
        <f>'Capital IQ Sheet-GPC'!G29</f>
        <v>36280</v>
      </c>
    </row>
    <row r="27" spans="2:13" ht="12.75" customHeight="1">
      <c r="B27" s="385" t="str">
        <f>'Comp.1'!B27</f>
        <v>AdAlta Limited</v>
      </c>
      <c r="D27" s="54">
        <f>IF('Capital IQ Sheet-GPC'!BS30="n/a","n/a",IF('Capital IQ Sheet-GPC'!BS30&gt;'Equity Vol'!$N$3,"NM",IF('Capital IQ Sheet-GPC'!BS30&lt;'Equity Vol'!$P$3,"NM",'Capital IQ Sheet-GPC'!BS30)))</f>
        <v>0.64400000000000002</v>
      </c>
      <c r="E27" s="54">
        <f>IF('Capital IQ Sheet-GPC'!BT30="n/a","n/a",IF('Capital IQ Sheet-GPC'!BT30&gt;'Equity Vol'!$N$3,"NM",IF('Capital IQ Sheet-GPC'!BT30&lt;'Equity Vol'!$P$3,"NM",'Capital IQ Sheet-GPC'!BT30)))</f>
        <v>0.89800000000000002</v>
      </c>
      <c r="F27" s="1527">
        <f t="shared" ref="F27:I27" si="9">E27</f>
        <v>0.89800000000000002</v>
      </c>
      <c r="G27" s="1527">
        <f t="shared" si="9"/>
        <v>0.89800000000000002</v>
      </c>
      <c r="H27" s="1527">
        <f t="shared" si="9"/>
        <v>0.89800000000000002</v>
      </c>
      <c r="I27" s="1527">
        <f t="shared" si="9"/>
        <v>0.89800000000000002</v>
      </c>
      <c r="K27" s="234" t="str">
        <f>'Asset Vol_Hybrid OPM'!AA27</f>
        <v>ASX:1AD</v>
      </c>
      <c r="M27" s="916">
        <f>'Capital IQ Sheet-GPC'!G30</f>
        <v>42604</v>
      </c>
    </row>
    <row r="28" spans="2:13" ht="12.75" customHeight="1">
      <c r="B28" s="385" t="str">
        <f>'Comp.1'!B28</f>
        <v>Pulmatrix, Inc.</v>
      </c>
      <c r="D28" s="54">
        <f>IF('Capital IQ Sheet-GPC'!BS31="n/a","n/a",IF('Capital IQ Sheet-GPC'!BS31&gt;'Equity Vol'!$N$3,"NM",IF('Capital IQ Sheet-GPC'!BS31&lt;'Equity Vol'!$P$3,"NM",'Capital IQ Sheet-GPC'!BS31)))</f>
        <v>0.88200000000000001</v>
      </c>
      <c r="E28" s="54">
        <f>IF('Capital IQ Sheet-GPC'!BT31="n/a","n/a",IF('Capital IQ Sheet-GPC'!BT31&gt;'Equity Vol'!$N$3,"NM",IF('Capital IQ Sheet-GPC'!BT31&lt;'Equity Vol'!$P$3,"NM",'Capital IQ Sheet-GPC'!BT31)))</f>
        <v>1.339</v>
      </c>
      <c r="F28" s="54">
        <f>IF('Capital IQ Sheet-GPC'!BU31="n/a","n/a",IF('Capital IQ Sheet-GPC'!BU31&gt;'Equity Vol'!$N$3,"NM",IF('Capital IQ Sheet-GPC'!BU31&lt;'Equity Vol'!$P$3,"NM",'Capital IQ Sheet-GPC'!BU31)))</f>
        <v>1.226</v>
      </c>
      <c r="G28" s="54">
        <f>IF('Capital IQ Sheet-GPC'!BV31="n/a","n/a",IF('Capital IQ Sheet-GPC'!BV31&gt;'Equity Vol'!$N$3,"NM",IF('Capital IQ Sheet-GPC'!BV31&lt;'Equity Vol'!$P$3,"NM",'Capital IQ Sheet-GPC'!BV31)))</f>
        <v>1.212</v>
      </c>
      <c r="H28" s="1527">
        <f t="shared" ref="H28:I28" si="10">G28</f>
        <v>1.212</v>
      </c>
      <c r="I28" s="1527">
        <f t="shared" si="10"/>
        <v>1.212</v>
      </c>
      <c r="K28" s="234" t="str">
        <f>'Asset Vol_Hybrid OPM'!AA28</f>
        <v>NasdaqGM:PULM</v>
      </c>
      <c r="M28" s="916">
        <f>'Capital IQ Sheet-GPC'!G31</f>
        <v>42171</v>
      </c>
    </row>
    <row r="29" spans="2:13" ht="12.75" customHeight="1">
      <c r="B29" s="385" t="str">
        <f>'Comp.1'!B29</f>
        <v>AmpliPhi Biosciences Corporation</v>
      </c>
      <c r="D29" s="54">
        <f>IF('Capital IQ Sheet-GPC'!BS32="n/a","n/a",IF('Capital IQ Sheet-GPC'!BS32&gt;'Equity Vol'!$N$3,"NM",IF('Capital IQ Sheet-GPC'!BS32&lt;'Equity Vol'!$P$3,"NM",'Capital IQ Sheet-GPC'!BS32)))</f>
        <v>0.88100000000000001</v>
      </c>
      <c r="E29" s="54">
        <f>IF('Capital IQ Sheet-GPC'!BT32="n/a","n/a",IF('Capital IQ Sheet-GPC'!BT32&gt;'Equity Vol'!$N$3,"NM",IF('Capital IQ Sheet-GPC'!BT32&lt;'Equity Vol'!$P$3,"NM",'Capital IQ Sheet-GPC'!BT32)))</f>
        <v>1.214</v>
      </c>
      <c r="F29" s="54">
        <f>IF('Capital IQ Sheet-GPC'!BU32="n/a","n/a",IF('Capital IQ Sheet-GPC'!BU32&gt;'Equity Vol'!$N$3,"NM",IF('Capital IQ Sheet-GPC'!BU32&lt;'Equity Vol'!$P$3,"NM",'Capital IQ Sheet-GPC'!BU32)))</f>
        <v>1.2470000000000001</v>
      </c>
      <c r="G29" s="54">
        <f>IF('Capital IQ Sheet-GPC'!BV32="n/a","n/a",IF('Capital IQ Sheet-GPC'!BV32&gt;'Equity Vol'!$N$3,"NM",IF('Capital IQ Sheet-GPC'!BV32&lt;'Equity Vol'!$P$3,"NM",'Capital IQ Sheet-GPC'!BV32)))</f>
        <v>1.2</v>
      </c>
      <c r="H29" s="54">
        <f>IF('Capital IQ Sheet-GPC'!BW32="n/a","n/a",IF('Capital IQ Sheet-GPC'!BW32&gt;'Equity Vol'!$N$3,"NM",IF('Capital IQ Sheet-GPC'!BW32&lt;'Equity Vol'!$P$3,"NM",'Capital IQ Sheet-GPC'!BW32)))</f>
        <v>1.141</v>
      </c>
      <c r="I29" s="54">
        <f>IF('Capital IQ Sheet-GPC'!BX32="n/a","n/a",IF('Capital IQ Sheet-GPC'!BX32&gt;'Equity Vol'!$N$3,"NM",IF('Capital IQ Sheet-GPC'!BX32&lt;'Equity Vol'!$P$3,"NM",'Capital IQ Sheet-GPC'!BX32)))</f>
        <v>1.28</v>
      </c>
      <c r="K29" s="234" t="str">
        <f>'Asset Vol_Hybrid OPM'!AA29</f>
        <v>AMEX:APHB</v>
      </c>
      <c r="M29" s="916">
        <f>'Capital IQ Sheet-GPC'!G32</f>
        <v>34474</v>
      </c>
    </row>
    <row r="30" spans="2:13" ht="12.75" hidden="1" customHeight="1" outlineLevel="1">
      <c r="D30" s="54"/>
      <c r="E30" s="54"/>
      <c r="F30" s="54"/>
      <c r="G30" s="54"/>
      <c r="H30" s="54"/>
      <c r="I30" s="54"/>
      <c r="K30" s="234"/>
      <c r="M30" s="916"/>
    </row>
    <row r="31" spans="2:13" ht="12.75" hidden="1" customHeight="1" outlineLevel="1">
      <c r="D31" s="54"/>
      <c r="E31" s="54"/>
      <c r="F31" s="54"/>
      <c r="G31" s="54"/>
      <c r="H31" s="54"/>
      <c r="I31" s="54"/>
      <c r="K31" s="234"/>
      <c r="M31" s="916"/>
    </row>
    <row r="32" spans="2:13" ht="12.75" hidden="1" customHeight="1" outlineLevel="1">
      <c r="D32" s="54"/>
      <c r="E32" s="54"/>
      <c r="F32" s="54"/>
      <c r="G32" s="54"/>
      <c r="H32" s="54"/>
      <c r="I32" s="54"/>
      <c r="K32" s="234"/>
      <c r="M32" s="916"/>
    </row>
    <row r="33" spans="2:13" ht="12.75" hidden="1" customHeight="1" outlineLevel="1">
      <c r="D33" s="54"/>
      <c r="E33" s="54"/>
      <c r="F33" s="54"/>
      <c r="G33" s="54"/>
      <c r="H33" s="54"/>
      <c r="I33" s="54"/>
      <c r="K33" s="234"/>
      <c r="M33" s="916"/>
    </row>
    <row r="34" spans="2:13" ht="12.75" hidden="1" customHeight="1" outlineLevel="1">
      <c r="D34" s="54"/>
      <c r="E34" s="54"/>
      <c r="F34" s="54"/>
      <c r="G34" s="54"/>
      <c r="H34" s="54"/>
      <c r="I34" s="54"/>
      <c r="K34" s="234"/>
      <c r="M34" s="916"/>
    </row>
    <row r="35" spans="2:13" ht="12.75" hidden="1" customHeight="1" outlineLevel="1">
      <c r="D35" s="54"/>
      <c r="E35" s="54"/>
      <c r="F35" s="54"/>
      <c r="G35" s="54"/>
      <c r="H35" s="54"/>
      <c r="I35" s="54"/>
      <c r="K35" s="234"/>
      <c r="M35" s="916"/>
    </row>
    <row r="36" spans="2:13" ht="12.75" hidden="1" customHeight="1" outlineLevel="1">
      <c r="D36" s="54"/>
      <c r="E36" s="54"/>
      <c r="F36" s="54"/>
      <c r="G36" s="54"/>
      <c r="H36" s="54"/>
      <c r="I36" s="54"/>
      <c r="K36" s="234"/>
      <c r="M36" s="916"/>
    </row>
    <row r="37" spans="2:13" ht="12.75" hidden="1" customHeight="1" outlineLevel="1">
      <c r="D37" s="54"/>
      <c r="E37" s="54"/>
      <c r="F37" s="54"/>
      <c r="G37" s="54"/>
      <c r="H37" s="54"/>
      <c r="I37" s="54"/>
      <c r="K37" s="234"/>
      <c r="M37" s="916"/>
    </row>
    <row r="38" spans="2:13" ht="12.75" hidden="1" customHeight="1" outlineLevel="1">
      <c r="D38" s="54"/>
      <c r="E38" s="54"/>
      <c r="F38" s="54"/>
      <c r="G38" s="54"/>
      <c r="H38" s="54"/>
      <c r="I38" s="54"/>
      <c r="K38" s="234"/>
      <c r="M38" s="916"/>
    </row>
    <row r="39" spans="2:13" ht="12.75" hidden="1" customHeight="1" outlineLevel="1">
      <c r="D39" s="54"/>
      <c r="E39" s="54"/>
      <c r="F39" s="54"/>
      <c r="G39" s="54"/>
      <c r="H39" s="54"/>
      <c r="I39" s="54"/>
      <c r="K39" s="234"/>
      <c r="M39" s="916"/>
    </row>
    <row r="40" spans="2:13" ht="12.75" customHeight="1" collapsed="1">
      <c r="D40" s="54"/>
      <c r="E40" s="54"/>
      <c r="F40" s="54"/>
      <c r="G40" s="54"/>
      <c r="H40" s="54"/>
      <c r="I40" s="54"/>
      <c r="K40" s="234"/>
    </row>
    <row r="41" spans="2:13" ht="12.75" customHeight="1">
      <c r="B41" s="753" t="s">
        <v>46</v>
      </c>
      <c r="C41" s="754"/>
      <c r="D41" s="773">
        <f t="shared" ref="D41:G41" si="11">MAX(D10:D39)</f>
        <v>1.35</v>
      </c>
      <c r="E41" s="773">
        <f t="shared" si="11"/>
        <v>1.339</v>
      </c>
      <c r="F41" s="773">
        <f t="shared" si="11"/>
        <v>1.2470000000000001</v>
      </c>
      <c r="G41" s="773">
        <f t="shared" si="11"/>
        <v>1.212</v>
      </c>
      <c r="H41" s="773">
        <f t="shared" ref="H41:I41" si="12">MAX(H10:H39)</f>
        <v>1.3120000000000001</v>
      </c>
      <c r="I41" s="2172">
        <f t="shared" si="12"/>
        <v>1.431</v>
      </c>
    </row>
    <row r="42" spans="2:13" ht="12.75" customHeight="1">
      <c r="B42" s="339" t="s">
        <v>50</v>
      </c>
      <c r="C42" s="62"/>
      <c r="D42" s="139">
        <f t="shared" ref="D42:G42" si="13">QUARTILE(D10:D39,3)</f>
        <v>0.88400000000000001</v>
      </c>
      <c r="E42" s="139">
        <f t="shared" si="13"/>
        <v>0.99024999999999996</v>
      </c>
      <c r="F42" s="139">
        <f t="shared" si="13"/>
        <v>0.96575</v>
      </c>
      <c r="G42" s="139">
        <f t="shared" si="13"/>
        <v>0.94550000000000001</v>
      </c>
      <c r="H42" s="139">
        <f t="shared" ref="H42:I42" si="14">QUARTILE(H10:H39,3)</f>
        <v>0.95450000000000002</v>
      </c>
      <c r="I42" s="140">
        <f t="shared" si="14"/>
        <v>0.9537500000000001</v>
      </c>
    </row>
    <row r="43" spans="2:13" ht="12.75" customHeight="1">
      <c r="B43" s="339" t="s">
        <v>48</v>
      </c>
      <c r="C43" s="62"/>
      <c r="D43" s="139">
        <f t="shared" ref="D43:G43" si="15">AVERAGE(D10:D39)</f>
        <v>0.73099999999999998</v>
      </c>
      <c r="E43" s="139">
        <f t="shared" si="15"/>
        <v>0.77495000000000003</v>
      </c>
      <c r="F43" s="139">
        <f t="shared" si="15"/>
        <v>0.7781499999999999</v>
      </c>
      <c r="G43" s="139">
        <f t="shared" si="15"/>
        <v>0.7841499999999999</v>
      </c>
      <c r="H43" s="139">
        <f t="shared" ref="H43:I43" si="16">AVERAGE(H10:H39)</f>
        <v>0.8204499999999999</v>
      </c>
      <c r="I43" s="140">
        <f t="shared" si="16"/>
        <v>0.83245000000000002</v>
      </c>
    </row>
    <row r="44" spans="2:13" ht="12.75" customHeight="1">
      <c r="B44" s="339" t="s">
        <v>3</v>
      </c>
      <c r="C44" s="62"/>
      <c r="D44" s="139">
        <f t="shared" ref="D44:G44" si="17">MEDIAN(D10:D39)</f>
        <v>0.64450000000000007</v>
      </c>
      <c r="E44" s="139">
        <f t="shared" si="17"/>
        <v>0.71950000000000003</v>
      </c>
      <c r="F44" s="139">
        <f t="shared" si="17"/>
        <v>0.71550000000000002</v>
      </c>
      <c r="G44" s="139">
        <f t="shared" si="17"/>
        <v>0.70399999999999996</v>
      </c>
      <c r="H44" s="139">
        <f t="shared" ref="H44:I44" si="18">MEDIAN(H10:H39)</f>
        <v>0.80499999999999994</v>
      </c>
      <c r="I44" s="140">
        <f t="shared" si="18"/>
        <v>0.79299999999999993</v>
      </c>
    </row>
    <row r="45" spans="2:13" ht="12.75" customHeight="1">
      <c r="B45" s="339" t="s">
        <v>49</v>
      </c>
      <c r="C45" s="62"/>
      <c r="D45" s="139">
        <f t="shared" ref="D45:G45" si="19">QUARTILE(D10:D39,1)</f>
        <v>0.60050000000000003</v>
      </c>
      <c r="E45" s="139">
        <f t="shared" si="19"/>
        <v>0.5665</v>
      </c>
      <c r="F45" s="139">
        <f t="shared" si="19"/>
        <v>0.60075000000000001</v>
      </c>
      <c r="G45" s="139">
        <f t="shared" si="19"/>
        <v>0.62524999999999997</v>
      </c>
      <c r="H45" s="139">
        <f t="shared" ref="H45:I45" si="20">QUARTILE(H10:H39,1)</f>
        <v>0.65500000000000003</v>
      </c>
      <c r="I45" s="140">
        <f t="shared" si="20"/>
        <v>0.65400000000000003</v>
      </c>
    </row>
    <row r="46" spans="2:13" ht="12.75" customHeight="1">
      <c r="B46" s="101" t="s">
        <v>47</v>
      </c>
      <c r="C46" s="153"/>
      <c r="D46" s="141">
        <f t="shared" ref="D46:G46" si="21">MIN(D10:D39)</f>
        <v>0.30399999999999999</v>
      </c>
      <c r="E46" s="141">
        <f t="shared" si="21"/>
        <v>0.30399999999999999</v>
      </c>
      <c r="F46" s="141">
        <f t="shared" si="21"/>
        <v>0.40100000000000002</v>
      </c>
      <c r="G46" s="141">
        <f t="shared" si="21"/>
        <v>0.38900000000000001</v>
      </c>
      <c r="H46" s="141">
        <f t="shared" ref="H46:I46" si="22">MIN(H10:H39)</f>
        <v>0.41299999999999998</v>
      </c>
      <c r="I46" s="2173">
        <f t="shared" si="22"/>
        <v>0.41599999999999998</v>
      </c>
    </row>
    <row r="47" spans="2:13" ht="12.75" customHeight="1"/>
    <row r="48" spans="2:13" ht="12.75" customHeight="1">
      <c r="B48" s="8" t="s">
        <v>51</v>
      </c>
    </row>
    <row r="49" spans="1:13" ht="27" customHeight="1">
      <c r="A49" s="2124">
        <v>1</v>
      </c>
      <c r="B49" s="2297" t="s">
        <v>1489</v>
      </c>
      <c r="C49" s="2297"/>
      <c r="D49" s="2297"/>
      <c r="E49" s="2297"/>
      <c r="F49" s="2297"/>
      <c r="G49" s="2297"/>
      <c r="H49" s="2297"/>
      <c r="I49" s="2297"/>
    </row>
    <row r="50" spans="1:13">
      <c r="A50" s="2124">
        <f>+A49+1</f>
        <v>2</v>
      </c>
      <c r="B50" s="385" t="str">
        <f>"Volatilities beyond "&amp;TEXT(N3,"0.0%")&amp;" are considered as outliers and not included in the analysis."</f>
        <v>Volatilities beyond 150.0% are considered as outliers and not included in the analysis.</v>
      </c>
    </row>
    <row r="51" spans="1:13">
      <c r="A51" s="2124">
        <f>+A50+1</f>
        <v>3</v>
      </c>
      <c r="B51" s="2289" t="s">
        <v>1490</v>
      </c>
      <c r="C51" s="2289"/>
      <c r="D51" s="2289"/>
      <c r="E51" s="2289"/>
      <c r="F51" s="2289"/>
      <c r="G51" s="2289"/>
      <c r="H51" s="2289"/>
      <c r="I51" s="2289"/>
    </row>
    <row r="52" spans="1:13" s="6" customFormat="1">
      <c r="B52" s="858"/>
      <c r="C52" s="859"/>
      <c r="D52" s="860"/>
      <c r="E52" s="860"/>
      <c r="F52" s="860"/>
      <c r="G52" s="860"/>
      <c r="H52" s="2171"/>
      <c r="I52" s="861"/>
      <c r="M52" s="915"/>
    </row>
    <row r="54" spans="1:13">
      <c r="D54" s="177"/>
      <c r="E54" s="177"/>
      <c r="F54" s="177"/>
      <c r="G54" s="177"/>
      <c r="H54" s="177"/>
      <c r="I54" s="177"/>
      <c r="J54" s="177"/>
    </row>
    <row r="55" spans="1:13">
      <c r="D55" s="177"/>
      <c r="E55" s="177"/>
      <c r="F55" s="177"/>
      <c r="G55" s="177"/>
      <c r="H55" s="177"/>
      <c r="I55" s="177"/>
    </row>
  </sheetData>
  <mergeCells count="2">
    <mergeCell ref="B51:I51"/>
    <mergeCell ref="B49:I49"/>
  </mergeCells>
  <conditionalFormatting sqref="B10:B40">
    <cfRule type="cellIs" dxfId="179" priority="4" operator="equal">
      <formula>"(Invalid Identifier)"</formula>
    </cfRule>
  </conditionalFormatting>
  <conditionalFormatting sqref="B4:I4">
    <cfRule type="cellIs" dxfId="178" priority="3" stopIfTrue="1" operator="equal">
      <formula>"input"</formula>
    </cfRule>
  </conditionalFormatting>
  <pageMargins left="0.5" right="0.5" top="0.5" bottom="0.5" header="0.5" footer="0.5"/>
  <pageSetup orientation="landscape" r:id="rId1"/>
  <drawing r:id="rId2"/>
  <legacyDrawingHF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B1:P55"/>
  <sheetViews>
    <sheetView showGridLines="0" view="pageBreakPreview" zoomScaleNormal="100" zoomScaleSheetLayoutView="100" workbookViewId="0"/>
  </sheetViews>
  <sheetFormatPr defaultRowHeight="12.75" outlineLevelRow="1"/>
  <cols>
    <col min="1" max="1" width="4.5" style="385" customWidth="1"/>
    <col min="2" max="2" width="82.33203125" style="385" customWidth="1"/>
    <col min="3" max="3" width="2.83203125" style="385" customWidth="1"/>
    <col min="4" max="5" width="30.83203125" style="385" customWidth="1"/>
    <col min="6" max="6" width="4.5" style="385" customWidth="1"/>
    <col min="7" max="7" width="19.5" style="385" bestFit="1" customWidth="1"/>
    <col min="8" max="8" width="1.83203125" style="385" customWidth="1"/>
    <col min="9" max="10" width="12.83203125" style="385" customWidth="1"/>
    <col min="11" max="11" width="1.83203125" style="385" customWidth="1"/>
    <col min="12" max="12" width="9.33203125" style="385"/>
    <col min="13" max="13" width="9.5" style="385" bestFit="1" customWidth="1"/>
    <col min="14" max="14" width="8.83203125" style="385" customWidth="1"/>
    <col min="15" max="15" width="11.5" style="385" bestFit="1" customWidth="1"/>
    <col min="16" max="16" width="10.83203125" style="385" bestFit="1" customWidth="1"/>
    <col min="17" max="16384" width="9.33203125" style="385"/>
  </cols>
  <sheetData>
    <row r="1" spans="2:16" ht="10.7" customHeight="1" thickBot="1"/>
    <row r="2" spans="2:16" ht="16.5" customHeight="1" thickTop="1">
      <c r="B2" s="10" t="str">
        <f>'MASTER PubCo Inputs'!$C$5</f>
        <v>Pliant Therapeutics, Inc.</v>
      </c>
      <c r="C2" s="10"/>
      <c r="D2" s="10"/>
      <c r="E2" s="10"/>
    </row>
    <row r="3" spans="2:16" ht="15.75" customHeight="1">
      <c r="B3" s="11" t="str">
        <f>VLOOKUP(B4,Outline!$E$8:$G$69,COLUMNS(Outline!$E$8:$G$8),FALSE)</f>
        <v>Exhibit H.6</v>
      </c>
      <c r="C3" s="11"/>
      <c r="D3" s="11"/>
      <c r="E3" s="11"/>
    </row>
    <row r="4" spans="2:16" ht="16.5" customHeight="1" thickBot="1">
      <c r="B4" s="12" t="s">
        <v>54</v>
      </c>
      <c r="C4" s="12"/>
      <c r="D4" s="12"/>
      <c r="E4" s="12"/>
      <c r="G4" s="232" t="s">
        <v>319</v>
      </c>
      <c r="H4" s="236"/>
      <c r="I4" s="1904">
        <f>+'OPM 1'!$D$10</f>
        <v>2.6630410958904109</v>
      </c>
      <c r="J4" s="943" t="s">
        <v>1222</v>
      </c>
      <c r="K4" s="944"/>
      <c r="L4" s="1961">
        <f>'Hybrid OPM 1'!D10</f>
        <v>2.6630410958904109</v>
      </c>
      <c r="M4" s="1959" t="s">
        <v>2855</v>
      </c>
      <c r="N4" s="2117" t="s">
        <v>2856</v>
      </c>
      <c r="O4" s="2119" t="s">
        <v>2489</v>
      </c>
      <c r="P4" s="16"/>
    </row>
    <row r="5" spans="2:16" ht="12.75" customHeight="1" thickTop="1">
      <c r="G5" s="232" t="s">
        <v>22</v>
      </c>
      <c r="H5" s="236"/>
      <c r="I5" s="697">
        <f>'MASTER PubCo Inputs'!$C$6</f>
        <v>43312</v>
      </c>
      <c r="M5" s="335"/>
      <c r="N5" s="16"/>
      <c r="O5" s="197"/>
      <c r="P5" s="16"/>
    </row>
    <row r="6" spans="2:16" ht="12.75" customHeight="1">
      <c r="B6" s="239" t="s">
        <v>56</v>
      </c>
      <c r="C6" s="6"/>
      <c r="D6" s="600" t="s">
        <v>55</v>
      </c>
      <c r="E6" s="601" t="s">
        <v>7</v>
      </c>
      <c r="G6" s="232" t="s">
        <v>318</v>
      </c>
      <c r="H6" s="236"/>
      <c r="I6" s="1905">
        <f>I4</f>
        <v>2.6630410958904109</v>
      </c>
      <c r="J6" s="943" t="s">
        <v>1235</v>
      </c>
      <c r="K6" s="944"/>
      <c r="L6" s="1962"/>
      <c r="M6" s="1960">
        <f>'PWERM DLOM'!D42</f>
        <v>1.4191780821917808</v>
      </c>
      <c r="N6" s="2118">
        <f>'PWERM DLOM'!E42</f>
        <v>2.9178082191780823</v>
      </c>
      <c r="O6" s="1963">
        <f>'PWERM DLOM'!F42</f>
        <v>5.9178082191780828</v>
      </c>
      <c r="P6" s="1387"/>
    </row>
    <row r="7" spans="2:16" s="6" customFormat="1">
      <c r="B7" s="385"/>
      <c r="C7" s="385"/>
      <c r="D7" s="385"/>
      <c r="E7" s="385"/>
      <c r="G7" s="80" t="s">
        <v>57</v>
      </c>
      <c r="H7" s="81"/>
      <c r="I7" s="81" t="s">
        <v>58</v>
      </c>
      <c r="J7" s="82" t="s">
        <v>59</v>
      </c>
    </row>
    <row r="8" spans="2:16" ht="12.75" customHeight="1">
      <c r="B8" s="385" t="str">
        <f>'Capital IQ Sheet-GPC'!E57</f>
        <v>United States Treasury Constant Maturity - 1 Month</v>
      </c>
      <c r="D8" s="43">
        <f>'Capital IQ Sheet-GPC'!C57</f>
        <v>0.08</v>
      </c>
      <c r="E8" s="18">
        <f>'Capital IQ Sheet-GPC'!D57</f>
        <v>1.9099999999999999E-2</v>
      </c>
    </row>
    <row r="9" spans="2:16" ht="12.75" customHeight="1">
      <c r="B9" s="385" t="str">
        <f>'Capital IQ Sheet-GPC'!E58</f>
        <v>United States Treasury Constant Maturity - 3 Month</v>
      </c>
      <c r="D9" s="43">
        <f>'Capital IQ Sheet-GPC'!C58</f>
        <v>0.25</v>
      </c>
      <c r="E9" s="18">
        <f>'Capital IQ Sheet-GPC'!D58</f>
        <v>2.0400000000000001E-2</v>
      </c>
      <c r="G9" s="698">
        <f>'Capital IQ Sheet-GPC'!B79</f>
        <v>0</v>
      </c>
      <c r="H9" s="43"/>
      <c r="I9" s="237">
        <v>0</v>
      </c>
      <c r="J9" s="43">
        <f t="shared" ref="J9:J18" si="0">D9</f>
        <v>0.25</v>
      </c>
    </row>
    <row r="10" spans="2:16" ht="12.75" customHeight="1">
      <c r="B10" s="385" t="str">
        <f>'Capital IQ Sheet-GPC'!E59</f>
        <v>United States Treasury Constant Maturity - 6 Month</v>
      </c>
      <c r="D10" s="43">
        <f>'Capital IQ Sheet-GPC'!C59</f>
        <v>0.5</v>
      </c>
      <c r="E10" s="18">
        <f>'Capital IQ Sheet-GPC'!D59</f>
        <v>2.2100000000000002E-2</v>
      </c>
      <c r="G10" s="698">
        <f>'Capital IQ Sheet-GPC'!B80</f>
        <v>0</v>
      </c>
      <c r="H10" s="43"/>
      <c r="I10" s="43">
        <f t="shared" ref="I10:I19" si="1">D8</f>
        <v>0.08</v>
      </c>
      <c r="J10" s="43">
        <f t="shared" si="0"/>
        <v>0.5</v>
      </c>
    </row>
    <row r="11" spans="2:16" ht="12.75" customHeight="1">
      <c r="B11" s="385" t="str">
        <f>'Capital IQ Sheet-GPC'!E60</f>
        <v>United States Treasury Constant Maturity - 1 Year</v>
      </c>
      <c r="D11" s="43">
        <f>'Capital IQ Sheet-GPC'!C60</f>
        <v>1</v>
      </c>
      <c r="E11" s="18">
        <f>'Capital IQ Sheet-GPC'!D60</f>
        <v>2.4299999999999999E-2</v>
      </c>
      <c r="G11" s="698">
        <f>'Capital IQ Sheet-GPC'!B81</f>
        <v>0</v>
      </c>
      <c r="H11" s="43"/>
      <c r="I11" s="43">
        <f t="shared" si="1"/>
        <v>0.25</v>
      </c>
      <c r="J11" s="43">
        <f t="shared" si="0"/>
        <v>1</v>
      </c>
    </row>
    <row r="12" spans="2:16" ht="12.75" customHeight="1">
      <c r="B12" s="385" t="str">
        <f>'Capital IQ Sheet-GPC'!E61</f>
        <v>United States Treasury Constant Maturity - 2 Year</v>
      </c>
      <c r="D12" s="43">
        <f>'Capital IQ Sheet-GPC'!C61</f>
        <v>2</v>
      </c>
      <c r="E12" s="18">
        <f>'Capital IQ Sheet-GPC'!D61</f>
        <v>2.6599999999999999E-2</v>
      </c>
      <c r="G12" s="698">
        <f>'Capital IQ Sheet-GPC'!B82</f>
        <v>0</v>
      </c>
      <c r="H12" s="43"/>
      <c r="I12" s="43">
        <f t="shared" si="1"/>
        <v>0.5</v>
      </c>
      <c r="J12" s="43">
        <f t="shared" si="0"/>
        <v>2</v>
      </c>
    </row>
    <row r="13" spans="2:16" ht="12.75" customHeight="1">
      <c r="B13" s="385" t="str">
        <f>'Capital IQ Sheet-GPC'!E62</f>
        <v>United States Treasury Constant Maturity - 3 Year</v>
      </c>
      <c r="D13" s="43">
        <f>'Capital IQ Sheet-GPC'!C62</f>
        <v>3</v>
      </c>
      <c r="E13" s="18">
        <f>'Capital IQ Sheet-GPC'!D62</f>
        <v>2.7699999999999999E-2</v>
      </c>
      <c r="G13" s="698">
        <f>'Capital IQ Sheet-GPC'!B83</f>
        <v>0</v>
      </c>
      <c r="H13" s="43"/>
      <c r="I13" s="43">
        <f t="shared" si="1"/>
        <v>1</v>
      </c>
      <c r="J13" s="43">
        <f t="shared" si="0"/>
        <v>3</v>
      </c>
    </row>
    <row r="14" spans="2:16" ht="12.75" customHeight="1">
      <c r="B14" s="385" t="str">
        <f>'Capital IQ Sheet-GPC'!E63</f>
        <v>United States Treasury Constant Maturity - 5 Year</v>
      </c>
      <c r="D14" s="43">
        <f>'Capital IQ Sheet-GPC'!C63</f>
        <v>5</v>
      </c>
      <c r="E14" s="18">
        <f>'Capital IQ Sheet-GPC'!D63</f>
        <v>2.8500000000000001E-2</v>
      </c>
      <c r="G14" s="698">
        <f>'Capital IQ Sheet-GPC'!B84</f>
        <v>0</v>
      </c>
      <c r="H14" s="43"/>
      <c r="I14" s="43">
        <f t="shared" si="1"/>
        <v>2</v>
      </c>
      <c r="J14" s="43">
        <f t="shared" si="0"/>
        <v>5</v>
      </c>
    </row>
    <row r="15" spans="2:16" ht="12.75" customHeight="1">
      <c r="B15" s="385" t="str">
        <f>'Capital IQ Sheet-GPC'!E64</f>
        <v>United States Treasury Constant Maturity - 7 Year</v>
      </c>
      <c r="D15" s="43">
        <f>'Capital IQ Sheet-GPC'!C64</f>
        <v>7</v>
      </c>
      <c r="E15" s="18">
        <f>'Capital IQ Sheet-GPC'!D64</f>
        <v>2.9399999999999999E-2</v>
      </c>
      <c r="G15" s="698">
        <f>'Capital IQ Sheet-GPC'!B85</f>
        <v>0</v>
      </c>
      <c r="H15" s="43"/>
      <c r="I15" s="43">
        <f t="shared" si="1"/>
        <v>3</v>
      </c>
      <c r="J15" s="43">
        <f t="shared" si="0"/>
        <v>7</v>
      </c>
    </row>
    <row r="16" spans="2:16" ht="12.75" customHeight="1">
      <c r="B16" s="385" t="str">
        <f>'Capital IQ Sheet-GPC'!E65</f>
        <v>United States Treasury Constant Maturity - 10 Year</v>
      </c>
      <c r="D16" s="43">
        <f>'Capital IQ Sheet-GPC'!C65</f>
        <v>10</v>
      </c>
      <c r="E16" s="18">
        <f>'Capital IQ Sheet-GPC'!D65</f>
        <v>2.98E-2</v>
      </c>
      <c r="G16" s="698">
        <f>'Capital IQ Sheet-GPC'!B86</f>
        <v>0</v>
      </c>
      <c r="H16" s="43"/>
      <c r="I16" s="43">
        <f t="shared" si="1"/>
        <v>5</v>
      </c>
      <c r="J16" s="43">
        <f t="shared" si="0"/>
        <v>10</v>
      </c>
    </row>
    <row r="17" spans="2:10" ht="12.75" customHeight="1">
      <c r="B17" s="385" t="str">
        <f>'Capital IQ Sheet-GPC'!E66</f>
        <v>United States Treasury Constant Maturity - 20 Year</v>
      </c>
      <c r="D17" s="43">
        <f>'Capital IQ Sheet-GPC'!C66</f>
        <v>20</v>
      </c>
      <c r="E17" s="18">
        <f>'Capital IQ Sheet-GPC'!D66</f>
        <v>3.0499999999999999E-2</v>
      </c>
      <c r="G17" s="698">
        <f>'Capital IQ Sheet-GPC'!B87</f>
        <v>0</v>
      </c>
      <c r="H17" s="43"/>
      <c r="I17" s="43">
        <f t="shared" si="1"/>
        <v>7</v>
      </c>
      <c r="J17" s="43">
        <f t="shared" si="0"/>
        <v>20</v>
      </c>
    </row>
    <row r="18" spans="2:10" ht="12.75" customHeight="1">
      <c r="B18" s="385" t="str">
        <f>'Capital IQ Sheet-GPC'!E67</f>
        <v>United States Treasury Constant Maturity - 30 Year</v>
      </c>
      <c r="D18" s="43">
        <f>'Capital IQ Sheet-GPC'!C67</f>
        <v>30</v>
      </c>
      <c r="E18" s="18">
        <f>'Capital IQ Sheet-GPC'!D67</f>
        <v>3.1099999999999999E-2</v>
      </c>
      <c r="G18" s="698">
        <f>'Capital IQ Sheet-GPC'!B88</f>
        <v>0</v>
      </c>
      <c r="H18" s="43"/>
      <c r="I18" s="43">
        <f t="shared" si="1"/>
        <v>10</v>
      </c>
      <c r="J18" s="43">
        <f t="shared" si="0"/>
        <v>30</v>
      </c>
    </row>
    <row r="19" spans="2:10" ht="12.75" customHeight="1">
      <c r="G19" s="698">
        <f>'Capital IQ Sheet-GPC'!B89</f>
        <v>0</v>
      </c>
      <c r="H19" s="43"/>
      <c r="I19" s="43">
        <f t="shared" si="1"/>
        <v>20</v>
      </c>
      <c r="J19" s="238"/>
    </row>
    <row r="20" spans="2:10" ht="12.75" customHeight="1">
      <c r="B20" s="95" t="s">
        <v>2870</v>
      </c>
      <c r="C20" s="235"/>
      <c r="D20" s="235"/>
      <c r="E20" s="240"/>
    </row>
    <row r="21" spans="2:10" ht="12.75" customHeight="1">
      <c r="B21" s="65" t="s">
        <v>58</v>
      </c>
      <c r="C21" s="62"/>
      <c r="D21" s="63">
        <f>SUMIFS($D$8:$D$18,$D$8:$D$18,"&lt;"&amp;D23,J$9:J$19,"&gt;"&amp;D23)</f>
        <v>1</v>
      </c>
      <c r="E21" s="241">
        <f>IF(ISERROR(VLOOKUP(D21,$D$8:$E$18,COLUMNS($D$6:$E$6),FALSE)), "n/a", VLOOKUP(D21,$D$8:$E$18,COLUMNS($D$6:$E$6),FALSE))</f>
        <v>2.4299999999999999E-2</v>
      </c>
      <c r="H21" s="56"/>
      <c r="I21" s="56"/>
      <c r="J21" s="56"/>
    </row>
    <row r="22" spans="2:10" ht="12.75" customHeight="1">
      <c r="B22" s="65" t="s">
        <v>59</v>
      </c>
      <c r="C22" s="62"/>
      <c r="D22" s="63">
        <f>SUMIFS($D$8:$D$18,$D$8:$D$18,"&gt;"&amp;D23,I$9:I$19,"&lt;"&amp;D23)</f>
        <v>2</v>
      </c>
      <c r="E22" s="241">
        <f>IF(ISERROR(VLOOKUP(D22,$D$8:$E$18,COLUMNS($D$6:$E$6),FALSE)), "n/a", VLOOKUP(D22,$D$8:$E$18,COLUMNS($D$6:$E$6),FALSE))</f>
        <v>2.6599999999999999E-2</v>
      </c>
      <c r="G22" s="851"/>
      <c r="H22" s="56"/>
      <c r="I22" s="56"/>
      <c r="J22" s="56"/>
    </row>
    <row r="23" spans="2:10" ht="12.75" customHeight="1">
      <c r="B23" s="65" t="s">
        <v>37</v>
      </c>
      <c r="C23" s="62"/>
      <c r="D23" s="63">
        <f>M6</f>
        <v>1.4191780821917808</v>
      </c>
      <c r="E23" s="241">
        <f>IF(ISERROR(+E21+(E22-E21)/(D22-D21)*(D23-D21)), "n/a", +E21+(E22-E21)/(D22-D21)*(D23-D21))</f>
        <v>2.5264109589041094E-2</v>
      </c>
      <c r="G23" s="18"/>
      <c r="H23" s="56"/>
      <c r="I23" s="56"/>
      <c r="J23" s="56"/>
    </row>
    <row r="24" spans="2:10" ht="12.75" customHeight="1">
      <c r="B24" s="65" t="s">
        <v>71</v>
      </c>
      <c r="C24" s="62"/>
      <c r="D24" s="63">
        <f>D23</f>
        <v>1.4191780821917808</v>
      </c>
      <c r="E24" s="241" t="str">
        <f>IF(ISERROR(VLOOKUP(D24,$D$8:$E$18,COLUMNS($D$6:$E$6),FALSE)), "n/a", VLOOKUP(D24,$D$8:$E$18,COLUMNS($D$6:$E$6),FALSE))</f>
        <v>n/a</v>
      </c>
      <c r="H24" s="56"/>
      <c r="I24" s="56"/>
      <c r="J24" s="56"/>
    </row>
    <row r="25" spans="2:10" ht="12.75" customHeight="1">
      <c r="B25" s="66"/>
      <c r="C25" s="62"/>
      <c r="D25" s="62"/>
      <c r="E25" s="242"/>
      <c r="H25" s="56"/>
      <c r="I25" s="56"/>
      <c r="J25" s="56"/>
    </row>
    <row r="26" spans="2:10" ht="12.75" customHeight="1">
      <c r="B26" s="101" t="s">
        <v>72</v>
      </c>
      <c r="C26" s="102"/>
      <c r="D26" s="102"/>
      <c r="E26" s="243">
        <f>IF(E23="n/a",E24,E23)</f>
        <v>2.5264109589041094E-2</v>
      </c>
      <c r="H26" s="56"/>
      <c r="I26" s="56"/>
      <c r="J26" s="56"/>
    </row>
    <row r="27" spans="2:10" ht="12.75" customHeight="1">
      <c r="H27" s="48"/>
      <c r="I27" s="48"/>
      <c r="J27" s="48"/>
    </row>
    <row r="28" spans="2:10" ht="12.75" customHeight="1">
      <c r="B28" s="95" t="s">
        <v>2871</v>
      </c>
      <c r="C28" s="235"/>
      <c r="D28" s="235"/>
      <c r="E28" s="240"/>
    </row>
    <row r="29" spans="2:10" ht="12.75" customHeight="1">
      <c r="B29" s="65" t="s">
        <v>58</v>
      </c>
      <c r="C29" s="62"/>
      <c r="D29" s="63">
        <f>SUMIFS($D$8:$D$18,$D$8:$D$18,"&lt;"&amp;D31,J$9:J$19,"&gt;"&amp;D31)</f>
        <v>2</v>
      </c>
      <c r="E29" s="241">
        <f>IF(ISERROR(VLOOKUP(D29,$D$8:$E$18,COLUMNS($D$6:$E$6),FALSE)), "n/a", VLOOKUP(D29,$D$8:$E$18,COLUMNS($D$6:$E$6),FALSE))</f>
        <v>2.6599999999999999E-2</v>
      </c>
      <c r="H29" s="56"/>
      <c r="I29" s="56"/>
      <c r="J29" s="56"/>
    </row>
    <row r="30" spans="2:10" ht="12.75" customHeight="1">
      <c r="B30" s="65" t="s">
        <v>59</v>
      </c>
      <c r="C30" s="62"/>
      <c r="D30" s="63">
        <f>SUMIFS($D$8:$D$18,$D$8:$D$18,"&gt;"&amp;D31,I$9:I$19,"&lt;"&amp;D31)</f>
        <v>3</v>
      </c>
      <c r="E30" s="241">
        <f>IF(ISERROR(VLOOKUP(D30,$D$8:$E$18,COLUMNS($D$6:$E$6),FALSE)), "n/a", VLOOKUP(D30,$D$8:$E$18,COLUMNS($D$6:$E$6),FALSE))</f>
        <v>2.7699999999999999E-2</v>
      </c>
      <c r="G30" s="851"/>
      <c r="H30" s="56"/>
      <c r="I30" s="56"/>
      <c r="J30" s="56"/>
    </row>
    <row r="31" spans="2:10" ht="12.75" customHeight="1">
      <c r="B31" s="65" t="s">
        <v>37</v>
      </c>
      <c r="C31" s="62"/>
      <c r="D31" s="63">
        <f>N6</f>
        <v>2.9178082191780823</v>
      </c>
      <c r="E31" s="241">
        <f>IF(ISERROR(+E29+(E30-E29)/(D30-D29)*(D31-D29)), "n/a", +E29+(E30-E29)/(D30-D29)*(D31-D29))</f>
        <v>2.7609589041095891E-2</v>
      </c>
      <c r="G31" s="18"/>
      <c r="H31" s="56"/>
      <c r="I31" s="56"/>
      <c r="J31" s="56"/>
    </row>
    <row r="32" spans="2:10" ht="12.75" customHeight="1">
      <c r="B32" s="65" t="s">
        <v>71</v>
      </c>
      <c r="C32" s="62"/>
      <c r="D32" s="63">
        <f>D31</f>
        <v>2.9178082191780823</v>
      </c>
      <c r="E32" s="241" t="str">
        <f>IF(ISERROR(VLOOKUP(D32,$D$8:$E$18,COLUMNS($D$6:$E$6),FALSE)), "n/a", VLOOKUP(D32,$D$8:$E$18,COLUMNS($D$6:$E$6),FALSE))</f>
        <v>n/a</v>
      </c>
      <c r="H32" s="56"/>
      <c r="I32" s="56"/>
      <c r="J32" s="56"/>
    </row>
    <row r="33" spans="2:10" ht="12.75" customHeight="1">
      <c r="B33" s="66"/>
      <c r="C33" s="62"/>
      <c r="D33" s="62"/>
      <c r="E33" s="242"/>
      <c r="H33" s="56"/>
      <c r="I33" s="56"/>
      <c r="J33" s="56"/>
    </row>
    <row r="34" spans="2:10" ht="12.75" customHeight="1">
      <c r="B34" s="101" t="s">
        <v>72</v>
      </c>
      <c r="C34" s="102"/>
      <c r="D34" s="102"/>
      <c r="E34" s="243">
        <f>IF(E31="n/a",E32,E31)</f>
        <v>2.7609589041095891E-2</v>
      </c>
      <c r="H34" s="56"/>
      <c r="I34" s="56"/>
      <c r="J34" s="56"/>
    </row>
    <row r="35" spans="2:10" ht="12.75" customHeight="1">
      <c r="H35" s="48"/>
      <c r="I35" s="48"/>
      <c r="J35" s="48"/>
    </row>
    <row r="36" spans="2:10" ht="12.75" hidden="1" customHeight="1" outlineLevel="1">
      <c r="B36" s="95" t="s">
        <v>1234</v>
      </c>
      <c r="C36" s="235"/>
      <c r="D36" s="235"/>
      <c r="E36" s="240"/>
    </row>
    <row r="37" spans="2:10" ht="12.75" hidden="1" customHeight="1" outlineLevel="1">
      <c r="B37" s="65" t="s">
        <v>58</v>
      </c>
      <c r="C37" s="62"/>
      <c r="D37" s="63">
        <f>SUMIFS($D$8:$D$18,$D$8:$D$18,"&lt;"&amp;D39,J$9:J$19,"&gt;"&amp;D39)</f>
        <v>2</v>
      </c>
      <c r="E37" s="241">
        <f>IF(ISERROR(VLOOKUP(D37,$D$8:$E$18,COLUMNS($D$6:$E$6),FALSE)), "n/a", VLOOKUP(D37,$D$8:$E$18,COLUMNS($D$6:$E$6),FALSE))</f>
        <v>2.6599999999999999E-2</v>
      </c>
      <c r="H37" s="56"/>
      <c r="I37" s="56"/>
      <c r="J37" s="56"/>
    </row>
    <row r="38" spans="2:10" ht="12.75" hidden="1" customHeight="1" outlineLevel="1">
      <c r="B38" s="65" t="s">
        <v>59</v>
      </c>
      <c r="C38" s="62"/>
      <c r="D38" s="63">
        <f>SUMIFS($D$8:$D$18,$D$8:$D$18,"&gt;"&amp;D39,I$9:I$19,"&lt;"&amp;D39)</f>
        <v>3</v>
      </c>
      <c r="E38" s="241">
        <f>IF(ISERROR(VLOOKUP(D38,$D$8:$E$18,COLUMNS($D$6:$E$6),FALSE)), "n/a", VLOOKUP(D38,$D$8:$E$18,COLUMNS($D$6:$E$6),FALSE))</f>
        <v>2.7699999999999999E-2</v>
      </c>
      <c r="G38" s="851"/>
      <c r="H38" s="56"/>
      <c r="I38" s="56"/>
      <c r="J38" s="56"/>
    </row>
    <row r="39" spans="2:10" ht="12.75" hidden="1" customHeight="1" outlineLevel="1">
      <c r="B39" s="65" t="s">
        <v>37</v>
      </c>
      <c r="C39" s="62"/>
      <c r="D39" s="63">
        <f>L4</f>
        <v>2.6630410958904109</v>
      </c>
      <c r="E39" s="241">
        <f>IF(ISERROR(+E37+(E38-E37)/(D38-D37)*(D39-D37)), "n/a", +E37+(E38-E37)/(D38-D37)*(D39-D37))</f>
        <v>2.7329345205479451E-2</v>
      </c>
      <c r="H39" s="56"/>
      <c r="I39" s="56"/>
      <c r="J39" s="56"/>
    </row>
    <row r="40" spans="2:10" ht="12.75" hidden="1" customHeight="1" outlineLevel="1">
      <c r="B40" s="65" t="s">
        <v>71</v>
      </c>
      <c r="C40" s="62"/>
      <c r="D40" s="63">
        <f>D39</f>
        <v>2.6630410958904109</v>
      </c>
      <c r="E40" s="241" t="str">
        <f>IF(ISERROR(VLOOKUP(D40,$D$8:$E$18,COLUMNS($D$6:$E$6),FALSE)), "n/a", VLOOKUP(D40,$D$8:$E$18,COLUMNS($D$6:$E$6),FALSE))</f>
        <v>n/a</v>
      </c>
      <c r="H40" s="56"/>
      <c r="I40" s="56"/>
      <c r="J40" s="56"/>
    </row>
    <row r="41" spans="2:10" ht="12.75" hidden="1" customHeight="1" outlineLevel="1">
      <c r="B41" s="66"/>
      <c r="C41" s="62"/>
      <c r="D41" s="62"/>
      <c r="E41" s="242"/>
      <c r="H41" s="56"/>
      <c r="I41" s="56"/>
      <c r="J41" s="56"/>
    </row>
    <row r="42" spans="2:10" ht="12.75" hidden="1" customHeight="1" outlineLevel="1">
      <c r="B42" s="101" t="s">
        <v>72</v>
      </c>
      <c r="C42" s="102"/>
      <c r="D42" s="102"/>
      <c r="E42" s="243">
        <f>IF(E39="n/a",E40,E39)</f>
        <v>2.7329345205479451E-2</v>
      </c>
      <c r="H42" s="56"/>
      <c r="I42" s="56"/>
      <c r="J42" s="56"/>
    </row>
    <row r="43" spans="2:10" ht="12.75" hidden="1" customHeight="1" outlineLevel="1">
      <c r="H43" s="48"/>
      <c r="I43" s="48"/>
      <c r="J43" s="48"/>
    </row>
    <row r="44" spans="2:10" ht="12.75" customHeight="1" collapsed="1">
      <c r="B44" s="95" t="s">
        <v>2872</v>
      </c>
      <c r="C44" s="235"/>
      <c r="D44" s="235"/>
      <c r="E44" s="240"/>
      <c r="H44" s="56"/>
      <c r="I44" s="56"/>
      <c r="J44" s="56"/>
    </row>
    <row r="45" spans="2:10" ht="12.75" customHeight="1">
      <c r="B45" s="65" t="s">
        <v>58</v>
      </c>
      <c r="C45" s="62"/>
      <c r="D45" s="63">
        <f>SUMIFS($D$8:$D$18,$D$8:$D$18,"&lt;"&amp;D47,J$9:J$19,"&gt;"&amp;D47)</f>
        <v>5</v>
      </c>
      <c r="E45" s="241">
        <f>IF(ISERROR(VLOOKUP(D45,$D$8:$E$18,COLUMNS($D$6:$E$6),FALSE)), "n/a", VLOOKUP(D45,$D$8:$E$18,COLUMNS($D$6:$E$6),FALSE))</f>
        <v>2.8500000000000001E-2</v>
      </c>
      <c r="H45" s="56"/>
      <c r="I45" s="56"/>
      <c r="J45" s="56"/>
    </row>
    <row r="46" spans="2:10" ht="12.75" customHeight="1">
      <c r="B46" s="65" t="s">
        <v>59</v>
      </c>
      <c r="C46" s="62"/>
      <c r="D46" s="63">
        <f>SUMIFS($D$8:$D$18,$D$8:$D$18,"&gt;"&amp;D47,I$9:I$19,"&lt;"&amp;D47)</f>
        <v>7</v>
      </c>
      <c r="E46" s="241">
        <f>IF(ISERROR(VLOOKUP(D46,$D$8:$E$18,COLUMNS($D$6:$E$6),FALSE)), "n/a", VLOOKUP(D46,$D$8:$E$18,COLUMNS($D$6:$E$6),FALSE))</f>
        <v>2.9399999999999999E-2</v>
      </c>
      <c r="G46" s="851"/>
      <c r="H46" s="56"/>
      <c r="I46" s="56"/>
      <c r="J46" s="56"/>
    </row>
    <row r="47" spans="2:10" ht="12.75" customHeight="1">
      <c r="B47" s="65" t="s">
        <v>37</v>
      </c>
      <c r="C47" s="62"/>
      <c r="D47" s="63">
        <f>O6</f>
        <v>5.9178082191780828</v>
      </c>
      <c r="E47" s="241">
        <f>IF(ISERROR(+E45+(E46-E45)/(D46-D45)*(D47-D45)), "n/a", +E45+(E46-E45)/(D46-D45)*(D47-D45))</f>
        <v>2.8913013698630138E-2</v>
      </c>
      <c r="H47" s="56"/>
      <c r="I47" s="56"/>
      <c r="J47" s="56"/>
    </row>
    <row r="48" spans="2:10" ht="12.75" customHeight="1">
      <c r="B48" s="65" t="s">
        <v>71</v>
      </c>
      <c r="C48" s="62"/>
      <c r="D48" s="63">
        <f>D47</f>
        <v>5.9178082191780828</v>
      </c>
      <c r="E48" s="241" t="str">
        <f>IF(ISERROR(VLOOKUP(D48,$D$8:$E$18,COLUMNS($D$6:$E$6),FALSE)), "n/a", VLOOKUP(D48,$D$8:$E$18,COLUMNS($D$6:$E$6),FALSE))</f>
        <v>n/a</v>
      </c>
      <c r="H48" s="56"/>
      <c r="I48" s="56"/>
      <c r="J48" s="56"/>
    </row>
    <row r="49" spans="2:10" ht="12.75" customHeight="1">
      <c r="B49" s="66"/>
      <c r="C49" s="62"/>
      <c r="D49" s="62"/>
      <c r="E49" s="242"/>
      <c r="H49" s="56"/>
      <c r="I49" s="56"/>
      <c r="J49" s="56"/>
    </row>
    <row r="50" spans="2:10" ht="12.75" customHeight="1">
      <c r="B50" s="101" t="s">
        <v>72</v>
      </c>
      <c r="C50" s="102"/>
      <c r="D50" s="102"/>
      <c r="E50" s="243">
        <f>IF(E47="n/a",E48,E47)</f>
        <v>2.8913013698630138E-2</v>
      </c>
      <c r="H50" s="56"/>
      <c r="I50" s="56"/>
      <c r="J50" s="56"/>
    </row>
    <row r="51" spans="2:10" ht="12.75" customHeight="1">
      <c r="H51" s="48"/>
      <c r="I51" s="48"/>
      <c r="J51" s="48"/>
    </row>
    <row r="52" spans="2:10" ht="12.75" customHeight="1">
      <c r="B52" s="8" t="s">
        <v>51</v>
      </c>
      <c r="H52" s="56"/>
      <c r="I52" s="56"/>
      <c r="J52" s="56"/>
    </row>
    <row r="53" spans="2:10" ht="12.75" customHeight="1"/>
    <row r="54" spans="2:10" ht="12.75" customHeight="1"/>
    <row r="55" spans="2:10" ht="12.75" customHeight="1"/>
  </sheetData>
  <conditionalFormatting sqref="B4:E4">
    <cfRule type="cellIs" dxfId="177" priority="3" stopIfTrue="1" operator="equal">
      <formula>"input"</formula>
    </cfRule>
  </conditionalFormatting>
  <pageMargins left="0.5" right="0.5" top="0.5" bottom="0.5" header="0.5" footer="0.5"/>
  <pageSetup scale="97" orientation="landscape" r:id="rId1"/>
  <legacyDrawing r:id="rId2"/>
  <legacyDrawingHF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P96"/>
  <sheetViews>
    <sheetView showGridLines="0" view="pageBreakPreview" zoomScaleNormal="100" zoomScaleSheetLayoutView="100" workbookViewId="0"/>
  </sheetViews>
  <sheetFormatPr defaultColWidth="9.33203125" defaultRowHeight="12.75" outlineLevelRow="1"/>
  <cols>
    <col min="1" max="1" width="4.5" style="1986" customWidth="1"/>
    <col min="2" max="2" width="10.83203125" style="1986" customWidth="1"/>
    <col min="3" max="3" width="19.5" style="1986" bestFit="1" customWidth="1"/>
    <col min="4" max="4" width="35.83203125" style="1986" customWidth="1"/>
    <col min="5" max="5" width="38.5" style="1986" customWidth="1"/>
    <col min="6" max="6" width="16.1640625" style="1986" bestFit="1" customWidth="1"/>
    <col min="7" max="7" width="11.1640625" style="1986" bestFit="1" customWidth="1"/>
    <col min="8" max="8" width="11.6640625" style="1986" bestFit="1" customWidth="1"/>
    <col min="9" max="9" width="11.6640625" style="1986" customWidth="1"/>
    <col min="10" max="10" width="13.6640625" style="1986" customWidth="1"/>
    <col min="11" max="11" width="4.5" style="1986" customWidth="1"/>
    <col min="12" max="12" width="13.83203125" style="1986" bestFit="1" customWidth="1"/>
    <col min="13" max="16384" width="9.33203125" style="1986"/>
  </cols>
  <sheetData>
    <row r="1" spans="2:16" ht="13.5" thickBot="1"/>
    <row r="2" spans="2:16" ht="16.5" thickTop="1">
      <c r="B2" s="10" t="str">
        <f>'MASTER PubCo Inputs'!$C$5</f>
        <v>Pliant Therapeutics, Inc.</v>
      </c>
      <c r="C2" s="10"/>
      <c r="D2" s="10"/>
      <c r="E2" s="10"/>
      <c r="F2" s="10"/>
      <c r="G2" s="10"/>
      <c r="H2" s="10"/>
      <c r="I2" s="10"/>
      <c r="J2" s="10"/>
    </row>
    <row r="3" spans="2:16" ht="15.75">
      <c r="B3" s="11" t="str">
        <f>VLOOKUP(B4,Outline!$E$8:$G$69,COLUMNS(Outline!$E$8:$G$8),FALSE)</f>
        <v>Exhibit H.7</v>
      </c>
      <c r="C3" s="11"/>
      <c r="D3" s="11"/>
      <c r="E3" s="11"/>
      <c r="F3" s="11"/>
      <c r="G3" s="11"/>
      <c r="H3" s="11"/>
      <c r="I3" s="11"/>
      <c r="J3" s="11"/>
    </row>
    <row r="4" spans="2:16" ht="16.5" thickBot="1">
      <c r="B4" s="12" t="s">
        <v>2556</v>
      </c>
      <c r="C4" s="1987"/>
      <c r="D4" s="2174">
        <f>A70</f>
        <v>1</v>
      </c>
      <c r="E4" s="12"/>
      <c r="F4" s="12"/>
      <c r="G4" s="12"/>
      <c r="H4" s="12"/>
      <c r="I4" s="13"/>
      <c r="J4" s="13" t="str">
        <f>+'MASTER PubCo Inputs'!$C$24</f>
        <v>(in millions of USD)</v>
      </c>
      <c r="K4" s="1988"/>
    </row>
    <row r="5" spans="2:16" ht="13.5" thickTop="1"/>
    <row r="6" spans="2:16" ht="56.1" customHeight="1">
      <c r="B6" s="2080" t="s">
        <v>713</v>
      </c>
      <c r="C6" s="2060" t="s">
        <v>714</v>
      </c>
      <c r="D6" s="2060" t="s">
        <v>715</v>
      </c>
      <c r="E6" s="2060" t="s">
        <v>716</v>
      </c>
      <c r="F6" s="2061" t="s">
        <v>717</v>
      </c>
      <c r="G6" s="2062" t="s">
        <v>718</v>
      </c>
      <c r="H6" s="2062" t="s">
        <v>719</v>
      </c>
      <c r="I6" s="2062" t="s">
        <v>2557</v>
      </c>
      <c r="J6" s="2081" t="s">
        <v>2830</v>
      </c>
      <c r="L6" s="1989" t="s">
        <v>5</v>
      </c>
      <c r="N6" s="1989" t="s">
        <v>2558</v>
      </c>
    </row>
    <row r="7" spans="2:16">
      <c r="B7" s="747"/>
      <c r="C7" s="748"/>
      <c r="D7" s="748"/>
      <c r="E7" s="748"/>
      <c r="F7" s="747"/>
      <c r="G7" s="749"/>
      <c r="H7" s="749"/>
      <c r="I7" s="749"/>
      <c r="J7" s="749"/>
      <c r="L7" s="857"/>
    </row>
    <row r="8" spans="2:16">
      <c r="B8" s="1990">
        <v>43138</v>
      </c>
      <c r="C8" s="750" t="s">
        <v>2760</v>
      </c>
      <c r="D8" s="750" t="s">
        <v>2689</v>
      </c>
      <c r="E8" s="2065" t="s">
        <v>2725</v>
      </c>
      <c r="F8" s="2066" t="s">
        <v>421</v>
      </c>
      <c r="G8" s="752">
        <v>1000</v>
      </c>
      <c r="H8" s="752">
        <v>100</v>
      </c>
      <c r="I8" s="1991">
        <v>900</v>
      </c>
      <c r="J8" s="2082">
        <f>IFERROR(H8/G8,"n/a")</f>
        <v>0.1</v>
      </c>
      <c r="L8" s="857" t="s">
        <v>2703</v>
      </c>
      <c r="N8" s="857" t="s">
        <v>2693</v>
      </c>
      <c r="O8" s="1986" t="s">
        <v>2761</v>
      </c>
    </row>
    <row r="9" spans="2:16">
      <c r="B9" s="1990">
        <v>43025</v>
      </c>
      <c r="C9" s="750" t="s">
        <v>2760</v>
      </c>
      <c r="D9" s="750" t="s">
        <v>2728</v>
      </c>
      <c r="E9" s="2065" t="s">
        <v>2724</v>
      </c>
      <c r="F9" s="2066" t="s">
        <v>2762</v>
      </c>
      <c r="G9" s="752">
        <v>470</v>
      </c>
      <c r="H9" s="752">
        <v>0</v>
      </c>
      <c r="I9" s="1991">
        <v>470</v>
      </c>
      <c r="J9" s="2082">
        <f t="shared" ref="J9:J60" si="0">IFERROR(H9/G9,"n/a")</f>
        <v>0</v>
      </c>
      <c r="L9" s="857" t="s">
        <v>2703</v>
      </c>
      <c r="N9" s="857" t="s">
        <v>2694</v>
      </c>
      <c r="O9" s="1986" t="s">
        <v>2763</v>
      </c>
    </row>
    <row r="10" spans="2:16">
      <c r="B10" s="1990">
        <v>42941</v>
      </c>
      <c r="C10" s="750" t="s">
        <v>2764</v>
      </c>
      <c r="D10" s="750" t="s">
        <v>2244</v>
      </c>
      <c r="E10" s="2065" t="s">
        <v>2366</v>
      </c>
      <c r="F10" s="2066" t="s">
        <v>412</v>
      </c>
      <c r="G10" s="752">
        <v>250</v>
      </c>
      <c r="H10" s="752">
        <v>160</v>
      </c>
      <c r="I10" s="1991">
        <v>90</v>
      </c>
      <c r="J10" s="2082">
        <f t="shared" si="0"/>
        <v>0.64</v>
      </c>
      <c r="L10" s="857" t="s">
        <v>2703</v>
      </c>
      <c r="N10" s="857" t="s">
        <v>2696</v>
      </c>
      <c r="O10" s="1986" t="s">
        <v>2765</v>
      </c>
    </row>
    <row r="11" spans="2:16">
      <c r="B11" s="1990">
        <v>42858</v>
      </c>
      <c r="C11" s="750" t="s">
        <v>2760</v>
      </c>
      <c r="D11" s="750" t="s">
        <v>2029</v>
      </c>
      <c r="E11" s="2065" t="s">
        <v>2722</v>
      </c>
      <c r="F11" s="2066" t="s">
        <v>2762</v>
      </c>
      <c r="G11" s="752">
        <v>57.5</v>
      </c>
      <c r="H11" s="752">
        <v>45</v>
      </c>
      <c r="I11" s="1991">
        <v>12.5</v>
      </c>
      <c r="J11" s="2082">
        <f t="shared" si="0"/>
        <v>0.78260869565217395</v>
      </c>
      <c r="L11" s="857" t="s">
        <v>2703</v>
      </c>
      <c r="N11" s="857" t="s">
        <v>2699</v>
      </c>
      <c r="O11" s="1986" t="s">
        <v>2287</v>
      </c>
    </row>
    <row r="12" spans="2:16">
      <c r="B12" s="1990">
        <v>42823</v>
      </c>
      <c r="C12" s="750" t="s">
        <v>2760</v>
      </c>
      <c r="D12" s="750" t="s">
        <v>2731</v>
      </c>
      <c r="E12" s="2065" t="s">
        <v>2688</v>
      </c>
      <c r="F12" s="2066" t="s">
        <v>650</v>
      </c>
      <c r="G12" s="752">
        <v>47</v>
      </c>
      <c r="H12" s="752">
        <v>1</v>
      </c>
      <c r="I12" s="1991">
        <v>46</v>
      </c>
      <c r="J12" s="2082">
        <f t="shared" si="0"/>
        <v>2.1276595744680851E-2</v>
      </c>
      <c r="L12" s="857" t="s">
        <v>2703</v>
      </c>
      <c r="N12" s="857" t="s">
        <v>2700</v>
      </c>
      <c r="O12" s="1986" t="s">
        <v>2766</v>
      </c>
    </row>
    <row r="13" spans="2:16">
      <c r="B13" s="1990">
        <v>42723</v>
      </c>
      <c r="C13" s="750" t="s">
        <v>2760</v>
      </c>
      <c r="D13" s="750" t="s">
        <v>2767</v>
      </c>
      <c r="E13" s="2065" t="s">
        <v>2721</v>
      </c>
      <c r="F13" s="2066" t="s">
        <v>412</v>
      </c>
      <c r="G13" s="752">
        <v>707</v>
      </c>
      <c r="H13" s="752">
        <v>57</v>
      </c>
      <c r="I13" s="1991">
        <v>650</v>
      </c>
      <c r="J13" s="2082">
        <f t="shared" si="0"/>
        <v>8.0622347949080617E-2</v>
      </c>
      <c r="L13" s="857" t="s">
        <v>2703</v>
      </c>
      <c r="N13" s="857" t="s">
        <v>2701</v>
      </c>
      <c r="O13" s="1986" t="s">
        <v>2649</v>
      </c>
    </row>
    <row r="14" spans="2:16">
      <c r="B14" s="1990">
        <v>42692</v>
      </c>
      <c r="C14" s="750" t="s">
        <v>2760</v>
      </c>
      <c r="D14" s="750" t="s">
        <v>724</v>
      </c>
      <c r="E14" s="2065" t="s">
        <v>2720</v>
      </c>
      <c r="F14" s="2066" t="s">
        <v>650</v>
      </c>
      <c r="G14" s="752">
        <v>35</v>
      </c>
      <c r="H14" s="752">
        <v>9</v>
      </c>
      <c r="I14" s="1991" t="s">
        <v>1</v>
      </c>
      <c r="J14" s="2082">
        <f t="shared" si="0"/>
        <v>0.25714285714285712</v>
      </c>
      <c r="L14" s="857" t="s">
        <v>2703</v>
      </c>
      <c r="N14" s="857" t="s">
        <v>2702</v>
      </c>
      <c r="O14" s="1986" t="s">
        <v>2768</v>
      </c>
      <c r="P14" s="1992" t="s">
        <v>2707</v>
      </c>
    </row>
    <row r="15" spans="2:16">
      <c r="B15" s="1990">
        <v>42648</v>
      </c>
      <c r="C15" s="750" t="s">
        <v>2760</v>
      </c>
      <c r="D15" s="750" t="s">
        <v>1935</v>
      </c>
      <c r="E15" s="2065" t="s">
        <v>2029</v>
      </c>
      <c r="F15" s="2066" t="s">
        <v>421</v>
      </c>
      <c r="G15" s="752">
        <v>150</v>
      </c>
      <c r="H15" s="752">
        <v>30</v>
      </c>
      <c r="I15" s="1991">
        <v>120</v>
      </c>
      <c r="J15" s="2082">
        <f t="shared" si="0"/>
        <v>0.2</v>
      </c>
      <c r="L15" s="857" t="s">
        <v>2703</v>
      </c>
      <c r="N15" s="857" t="s">
        <v>2687</v>
      </c>
      <c r="O15" s="1986" t="s">
        <v>2769</v>
      </c>
    </row>
    <row r="16" spans="2:16">
      <c r="B16" s="1990">
        <v>42646</v>
      </c>
      <c r="C16" s="750" t="s">
        <v>2760</v>
      </c>
      <c r="D16" s="750" t="s">
        <v>2016</v>
      </c>
      <c r="E16" s="2065" t="s">
        <v>2029</v>
      </c>
      <c r="F16" s="2066" t="s">
        <v>412</v>
      </c>
      <c r="G16" s="752">
        <v>1270</v>
      </c>
      <c r="H16" s="752">
        <v>250</v>
      </c>
      <c r="I16" s="1991">
        <v>435</v>
      </c>
      <c r="J16" s="2082">
        <f t="shared" si="0"/>
        <v>0.19685039370078741</v>
      </c>
      <c r="L16" s="857" t="s">
        <v>2703</v>
      </c>
      <c r="N16" s="857" t="s">
        <v>2639</v>
      </c>
      <c r="O16" s="1986" t="s">
        <v>2649</v>
      </c>
    </row>
    <row r="17" spans="2:15">
      <c r="B17" s="1990">
        <v>42636</v>
      </c>
      <c r="C17" s="750" t="s">
        <v>2760</v>
      </c>
      <c r="D17" s="750" t="s">
        <v>2807</v>
      </c>
      <c r="E17" s="2065" t="s">
        <v>2808</v>
      </c>
      <c r="F17" s="2066" t="s">
        <v>650</v>
      </c>
      <c r="G17" s="2079">
        <f>H17</f>
        <v>10</v>
      </c>
      <c r="H17" s="2079">
        <v>10</v>
      </c>
      <c r="I17" s="2079" t="s">
        <v>1</v>
      </c>
      <c r="J17" s="2082">
        <f t="shared" si="0"/>
        <v>1</v>
      </c>
      <c r="L17" s="857" t="s">
        <v>2811</v>
      </c>
      <c r="N17" s="857" t="s">
        <v>2812</v>
      </c>
    </row>
    <row r="18" spans="2:15">
      <c r="B18" s="1990">
        <v>42579</v>
      </c>
      <c r="C18" s="750" t="s">
        <v>2760</v>
      </c>
      <c r="D18" s="750" t="s">
        <v>2809</v>
      </c>
      <c r="E18" s="2065" t="s">
        <v>2810</v>
      </c>
      <c r="F18" s="2066" t="s">
        <v>650</v>
      </c>
      <c r="G18" s="2079">
        <f>H18+I18</f>
        <v>8</v>
      </c>
      <c r="H18" s="2079">
        <v>2</v>
      </c>
      <c r="I18" s="2079">
        <v>6</v>
      </c>
      <c r="J18" s="2082">
        <f t="shared" si="0"/>
        <v>0.25</v>
      </c>
      <c r="L18" s="857" t="s">
        <v>2811</v>
      </c>
      <c r="N18" s="857" t="s">
        <v>2813</v>
      </c>
    </row>
    <row r="19" spans="2:15">
      <c r="B19" s="1990">
        <v>42521</v>
      </c>
      <c r="C19" s="750" t="s">
        <v>2760</v>
      </c>
      <c r="D19" s="750" t="s">
        <v>2719</v>
      </c>
      <c r="E19" s="2065" t="s">
        <v>2718</v>
      </c>
      <c r="F19" s="2066" t="s">
        <v>2762</v>
      </c>
      <c r="G19" s="752" t="s">
        <v>1</v>
      </c>
      <c r="H19" s="752">
        <v>170</v>
      </c>
      <c r="I19" s="1991" t="s">
        <v>1</v>
      </c>
      <c r="J19" s="2082" t="str">
        <f t="shared" si="0"/>
        <v>n/a</v>
      </c>
      <c r="L19" s="857" t="s">
        <v>2712</v>
      </c>
      <c r="N19" s="857" t="s">
        <v>2567</v>
      </c>
      <c r="O19" s="1986" t="s">
        <v>2647</v>
      </c>
    </row>
    <row r="20" spans="2:15">
      <c r="B20" s="1990">
        <v>42491</v>
      </c>
      <c r="C20" s="750" t="s">
        <v>2760</v>
      </c>
      <c r="D20" s="750" t="s">
        <v>2560</v>
      </c>
      <c r="E20" s="2065" t="s">
        <v>2561</v>
      </c>
      <c r="F20" s="2066" t="s">
        <v>650</v>
      </c>
      <c r="G20" s="752">
        <v>170</v>
      </c>
      <c r="H20" s="752" t="s">
        <v>1</v>
      </c>
      <c r="I20" s="1991" t="s">
        <v>1</v>
      </c>
      <c r="J20" s="2082" t="str">
        <f t="shared" si="0"/>
        <v>n/a</v>
      </c>
      <c r="L20" s="385" t="s">
        <v>2562</v>
      </c>
      <c r="M20" s="1992"/>
      <c r="N20" s="857"/>
    </row>
    <row r="21" spans="2:15">
      <c r="B21" s="1990">
        <v>42557</v>
      </c>
      <c r="C21" s="750" t="s">
        <v>2760</v>
      </c>
      <c r="D21" s="750" t="s">
        <v>2563</v>
      </c>
      <c r="E21" s="2065" t="s">
        <v>2564</v>
      </c>
      <c r="F21" s="2066" t="s">
        <v>2762</v>
      </c>
      <c r="G21" s="752">
        <v>315</v>
      </c>
      <c r="H21" s="752">
        <v>20</v>
      </c>
      <c r="I21" s="1991">
        <v>275</v>
      </c>
      <c r="J21" s="2082">
        <f t="shared" si="0"/>
        <v>6.3492063492063489E-2</v>
      </c>
      <c r="L21" s="857" t="s">
        <v>2566</v>
      </c>
      <c r="N21" s="857"/>
    </row>
    <row r="22" spans="2:15">
      <c r="B22" s="1990">
        <v>42506</v>
      </c>
      <c r="C22" s="750" t="s">
        <v>2760</v>
      </c>
      <c r="D22" s="750" t="s">
        <v>2568</v>
      </c>
      <c r="E22" s="2065" t="s">
        <v>673</v>
      </c>
      <c r="F22" s="2066" t="s">
        <v>2762</v>
      </c>
      <c r="G22" s="752">
        <v>5</v>
      </c>
      <c r="H22" s="752" t="s">
        <v>1</v>
      </c>
      <c r="I22" s="1991" t="s">
        <v>1</v>
      </c>
      <c r="J22" s="2082" t="str">
        <f t="shared" si="0"/>
        <v>n/a</v>
      </c>
      <c r="L22" s="857"/>
      <c r="N22" s="857" t="s">
        <v>2569</v>
      </c>
    </row>
    <row r="23" spans="2:15">
      <c r="B23" s="1990">
        <v>42489</v>
      </c>
      <c r="C23" s="750" t="s">
        <v>2570</v>
      </c>
      <c r="D23" s="750" t="s">
        <v>724</v>
      </c>
      <c r="E23" s="2065" t="s">
        <v>2571</v>
      </c>
      <c r="F23" s="2066" t="s">
        <v>2691</v>
      </c>
      <c r="G23" s="752" t="s">
        <v>1</v>
      </c>
      <c r="H23" s="752">
        <v>30</v>
      </c>
      <c r="I23" s="1991" t="s">
        <v>1</v>
      </c>
      <c r="J23" s="2082" t="str">
        <f t="shared" si="0"/>
        <v>n/a</v>
      </c>
      <c r="N23" s="857" t="s">
        <v>2572</v>
      </c>
    </row>
    <row r="24" spans="2:15">
      <c r="B24" s="1990">
        <v>42471</v>
      </c>
      <c r="C24" s="750" t="s">
        <v>2760</v>
      </c>
      <c r="D24" s="750" t="s">
        <v>2822</v>
      </c>
      <c r="E24" s="2065" t="s">
        <v>2823</v>
      </c>
      <c r="F24" s="2066" t="s">
        <v>412</v>
      </c>
      <c r="G24" s="752">
        <v>71.5</v>
      </c>
      <c r="H24" s="752">
        <v>1.5</v>
      </c>
      <c r="I24" s="1991">
        <v>70</v>
      </c>
      <c r="J24" s="2082">
        <f t="shared" si="0"/>
        <v>2.097902097902098E-2</v>
      </c>
      <c r="L24" s="857" t="s">
        <v>2811</v>
      </c>
      <c r="N24" s="857" t="s">
        <v>2824</v>
      </c>
    </row>
    <row r="25" spans="2:15">
      <c r="B25" s="1990">
        <v>42348</v>
      </c>
      <c r="C25" s="750" t="s">
        <v>2570</v>
      </c>
      <c r="D25" s="750" t="s">
        <v>724</v>
      </c>
      <c r="E25" s="2065" t="s">
        <v>2573</v>
      </c>
      <c r="F25" s="2066" t="s">
        <v>727</v>
      </c>
      <c r="G25" s="752" t="s">
        <v>1</v>
      </c>
      <c r="H25" s="752">
        <v>40.1</v>
      </c>
      <c r="I25" s="1991" t="s">
        <v>1</v>
      </c>
      <c r="J25" s="2082" t="str">
        <f t="shared" si="0"/>
        <v>n/a</v>
      </c>
      <c r="N25" s="857" t="s">
        <v>2574</v>
      </c>
    </row>
    <row r="26" spans="2:15">
      <c r="B26" s="1990">
        <v>42347</v>
      </c>
      <c r="C26" s="750" t="s">
        <v>2760</v>
      </c>
      <c r="D26" s="750" t="s">
        <v>2575</v>
      </c>
      <c r="E26" s="2065" t="s">
        <v>2770</v>
      </c>
      <c r="F26" s="2066" t="s">
        <v>1</v>
      </c>
      <c r="G26" s="752">
        <v>405</v>
      </c>
      <c r="H26" s="752">
        <v>35.1</v>
      </c>
      <c r="I26" s="1991" t="s">
        <v>1</v>
      </c>
      <c r="J26" s="2082">
        <f t="shared" si="0"/>
        <v>8.666666666666667E-2</v>
      </c>
      <c r="N26" s="857" t="s">
        <v>2576</v>
      </c>
    </row>
    <row r="27" spans="2:15">
      <c r="B27" s="1990">
        <v>42333</v>
      </c>
      <c r="C27" s="750" t="s">
        <v>2760</v>
      </c>
      <c r="D27" s="750" t="s">
        <v>2577</v>
      </c>
      <c r="E27" s="2065" t="s">
        <v>2578</v>
      </c>
      <c r="F27" s="2066" t="s">
        <v>1</v>
      </c>
      <c r="G27" s="752">
        <v>410</v>
      </c>
      <c r="H27" s="752">
        <v>10.1</v>
      </c>
      <c r="I27" s="1991" t="s">
        <v>1</v>
      </c>
      <c r="J27" s="2082">
        <f t="shared" si="0"/>
        <v>2.4634146341463412E-2</v>
      </c>
      <c r="N27" s="857" t="s">
        <v>2579</v>
      </c>
    </row>
    <row r="28" spans="2:15">
      <c r="B28" s="1990">
        <v>42319</v>
      </c>
      <c r="C28" s="750" t="s">
        <v>2760</v>
      </c>
      <c r="D28" s="750" t="s">
        <v>1995</v>
      </c>
      <c r="E28" s="2065" t="s">
        <v>2580</v>
      </c>
      <c r="F28" s="2066" t="s">
        <v>650</v>
      </c>
      <c r="G28" s="752" t="s">
        <v>1</v>
      </c>
      <c r="H28" s="752" t="s">
        <v>1</v>
      </c>
      <c r="I28" s="1991" t="s">
        <v>1</v>
      </c>
      <c r="J28" s="2082" t="str">
        <f t="shared" si="0"/>
        <v>n/a</v>
      </c>
      <c r="L28" s="385" t="s">
        <v>2562</v>
      </c>
      <c r="N28" s="857" t="s">
        <v>2581</v>
      </c>
    </row>
    <row r="29" spans="2:15">
      <c r="B29" s="1990">
        <v>42684</v>
      </c>
      <c r="C29" s="750" t="s">
        <v>2760</v>
      </c>
      <c r="D29" s="750" t="s">
        <v>2575</v>
      </c>
      <c r="E29" s="2065" t="s">
        <v>2716</v>
      </c>
      <c r="F29" s="2066" t="s">
        <v>412</v>
      </c>
      <c r="G29" s="752">
        <v>100</v>
      </c>
      <c r="H29" s="752">
        <v>100</v>
      </c>
      <c r="I29" s="1991" t="s">
        <v>1</v>
      </c>
      <c r="J29" s="2082">
        <f t="shared" si="0"/>
        <v>1</v>
      </c>
      <c r="L29" s="385" t="s">
        <v>2712</v>
      </c>
      <c r="N29" s="1992" t="s">
        <v>2709</v>
      </c>
      <c r="O29" s="1986" t="s">
        <v>2649</v>
      </c>
    </row>
    <row r="30" spans="2:15">
      <c r="B30" s="1990">
        <v>42303</v>
      </c>
      <c r="C30" s="750" t="s">
        <v>2760</v>
      </c>
      <c r="D30" s="750" t="s">
        <v>2564</v>
      </c>
      <c r="E30" s="2065" t="s">
        <v>2582</v>
      </c>
      <c r="F30" s="2066" t="s">
        <v>2762</v>
      </c>
      <c r="G30" s="752">
        <v>2625</v>
      </c>
      <c r="H30" s="752">
        <v>75</v>
      </c>
      <c r="I30" s="1991">
        <f>+G30-H30</f>
        <v>2550</v>
      </c>
      <c r="J30" s="2082">
        <f t="shared" si="0"/>
        <v>2.8571428571428571E-2</v>
      </c>
      <c r="L30" s="857" t="s">
        <v>2583</v>
      </c>
      <c r="N30" s="857" t="s">
        <v>2584</v>
      </c>
    </row>
    <row r="31" spans="2:15">
      <c r="B31" s="1990">
        <v>42282</v>
      </c>
      <c r="C31" s="750" t="s">
        <v>2760</v>
      </c>
      <c r="D31" s="750" t="s">
        <v>2585</v>
      </c>
      <c r="E31" s="2065" t="s">
        <v>2586</v>
      </c>
      <c r="F31" s="2066" t="s">
        <v>2587</v>
      </c>
      <c r="G31" s="752">
        <v>384</v>
      </c>
      <c r="H31" s="752">
        <v>34</v>
      </c>
      <c r="I31" s="1991">
        <f>+G31-H31</f>
        <v>350</v>
      </c>
      <c r="J31" s="2082">
        <f t="shared" si="0"/>
        <v>8.8541666666666671E-2</v>
      </c>
      <c r="L31" s="857" t="s">
        <v>2583</v>
      </c>
      <c r="N31" s="857" t="s">
        <v>2588</v>
      </c>
    </row>
    <row r="32" spans="2:15">
      <c r="B32" s="1990">
        <v>42278</v>
      </c>
      <c r="C32" s="750" t="s">
        <v>2760</v>
      </c>
      <c r="D32" s="750" t="s">
        <v>2767</v>
      </c>
      <c r="E32" s="2065" t="s">
        <v>2589</v>
      </c>
      <c r="F32" s="2066" t="s">
        <v>1</v>
      </c>
      <c r="G32" s="752">
        <v>517</v>
      </c>
      <c r="H32" s="752">
        <v>37</v>
      </c>
      <c r="I32" s="1991" t="s">
        <v>1</v>
      </c>
      <c r="J32" s="2082">
        <f t="shared" si="0"/>
        <v>7.1566731141199227E-2</v>
      </c>
      <c r="N32" s="857" t="s">
        <v>2590</v>
      </c>
    </row>
    <row r="33" spans="2:14">
      <c r="B33" s="1990">
        <v>42277</v>
      </c>
      <c r="C33" s="750" t="s">
        <v>2760</v>
      </c>
      <c r="D33" s="750" t="s">
        <v>725</v>
      </c>
      <c r="E33" s="2065" t="s">
        <v>726</v>
      </c>
      <c r="F33" s="2066" t="s">
        <v>1006</v>
      </c>
      <c r="G33" s="752">
        <v>500</v>
      </c>
      <c r="H33" s="752">
        <v>15</v>
      </c>
      <c r="I33" s="1991" t="s">
        <v>1</v>
      </c>
      <c r="J33" s="2082">
        <f t="shared" si="0"/>
        <v>0.03</v>
      </c>
      <c r="N33" s="857" t="s">
        <v>2591</v>
      </c>
    </row>
    <row r="34" spans="2:14">
      <c r="B34" s="1990">
        <v>42247</v>
      </c>
      <c r="C34" s="750" t="s">
        <v>2760</v>
      </c>
      <c r="D34" s="750" t="s">
        <v>2592</v>
      </c>
      <c r="E34" s="2065" t="s">
        <v>2593</v>
      </c>
      <c r="F34" s="2066" t="s">
        <v>412</v>
      </c>
      <c r="G34" s="752">
        <v>1250</v>
      </c>
      <c r="H34" s="752">
        <v>150</v>
      </c>
      <c r="I34" s="1991">
        <f>+G34-H34</f>
        <v>1100</v>
      </c>
      <c r="J34" s="2082">
        <f t="shared" si="0"/>
        <v>0.12</v>
      </c>
      <c r="L34" s="385" t="s">
        <v>2562</v>
      </c>
      <c r="N34" s="857" t="s">
        <v>2594</v>
      </c>
    </row>
    <row r="35" spans="2:14">
      <c r="B35" s="1990">
        <v>42159</v>
      </c>
      <c r="C35" s="750" t="s">
        <v>2760</v>
      </c>
      <c r="D35" s="750" t="s">
        <v>2564</v>
      </c>
      <c r="E35" s="2065" t="s">
        <v>2595</v>
      </c>
      <c r="F35" s="2066" t="s">
        <v>412</v>
      </c>
      <c r="G35" s="752">
        <v>1170</v>
      </c>
      <c r="H35" s="752">
        <v>80</v>
      </c>
      <c r="I35" s="1991">
        <f>+G35-H35</f>
        <v>1090</v>
      </c>
      <c r="J35" s="2082">
        <f t="shared" si="0"/>
        <v>6.8376068376068383E-2</v>
      </c>
      <c r="L35" s="857" t="s">
        <v>2583</v>
      </c>
      <c r="N35" s="857" t="s">
        <v>2596</v>
      </c>
    </row>
    <row r="36" spans="2:14">
      <c r="B36" s="1990">
        <v>42142</v>
      </c>
      <c r="C36" s="750" t="s">
        <v>2760</v>
      </c>
      <c r="D36" s="750" t="s">
        <v>729</v>
      </c>
      <c r="E36" s="2065" t="s">
        <v>2597</v>
      </c>
      <c r="F36" s="2066" t="s">
        <v>421</v>
      </c>
      <c r="G36" s="752">
        <v>250</v>
      </c>
      <c r="H36" s="752">
        <v>31</v>
      </c>
      <c r="I36" s="1991">
        <f>+G36-H36</f>
        <v>219</v>
      </c>
      <c r="J36" s="2082">
        <f t="shared" si="0"/>
        <v>0.124</v>
      </c>
      <c r="L36" s="385" t="s">
        <v>2562</v>
      </c>
      <c r="N36" s="857" t="s">
        <v>2598</v>
      </c>
    </row>
    <row r="37" spans="2:14">
      <c r="B37" s="1990">
        <v>42066</v>
      </c>
      <c r="C37" s="750" t="s">
        <v>2760</v>
      </c>
      <c r="D37" s="750" t="s">
        <v>2825</v>
      </c>
      <c r="E37" s="2065" t="s">
        <v>2826</v>
      </c>
      <c r="F37" s="2066" t="s">
        <v>412</v>
      </c>
      <c r="G37" s="752">
        <v>116.85</v>
      </c>
      <c r="H37" s="752">
        <v>5</v>
      </c>
      <c r="I37" s="1991">
        <v>111.85</v>
      </c>
      <c r="J37" s="2082">
        <f t="shared" si="0"/>
        <v>4.2789901583226361E-2</v>
      </c>
      <c r="L37" s="857" t="s">
        <v>2811</v>
      </c>
      <c r="N37" s="857" t="s">
        <v>2827</v>
      </c>
    </row>
    <row r="38" spans="2:14">
      <c r="B38" s="1990">
        <v>42063</v>
      </c>
      <c r="C38" s="750" t="s">
        <v>2599</v>
      </c>
      <c r="D38" s="750" t="s">
        <v>724</v>
      </c>
      <c r="E38" s="2065" t="s">
        <v>2600</v>
      </c>
      <c r="F38" s="2066" t="s">
        <v>650</v>
      </c>
      <c r="G38" s="752" t="s">
        <v>1</v>
      </c>
      <c r="H38" s="752">
        <v>50</v>
      </c>
      <c r="I38" s="1991" t="s">
        <v>1</v>
      </c>
      <c r="J38" s="2082" t="str">
        <f t="shared" si="0"/>
        <v>n/a</v>
      </c>
      <c r="N38" s="857" t="s">
        <v>2601</v>
      </c>
    </row>
    <row r="39" spans="2:14">
      <c r="B39" s="1990">
        <v>42058</v>
      </c>
      <c r="C39" s="750" t="s">
        <v>2570</v>
      </c>
      <c r="D39" s="750" t="s">
        <v>2575</v>
      </c>
      <c r="E39" s="2065" t="s">
        <v>2602</v>
      </c>
      <c r="F39" s="2066" t="s">
        <v>1</v>
      </c>
      <c r="G39" s="752">
        <v>339</v>
      </c>
      <c r="H39" s="752">
        <v>30</v>
      </c>
      <c r="I39" s="1991" t="s">
        <v>1</v>
      </c>
      <c r="J39" s="2082">
        <f t="shared" si="0"/>
        <v>8.8495575221238937E-2</v>
      </c>
      <c r="N39" s="857" t="s">
        <v>2603</v>
      </c>
    </row>
    <row r="40" spans="2:14">
      <c r="B40" s="1990">
        <v>42058</v>
      </c>
      <c r="C40" s="750" t="s">
        <v>2760</v>
      </c>
      <c r="D40" s="750" t="s">
        <v>2710</v>
      </c>
      <c r="E40" s="2065" t="s">
        <v>2814</v>
      </c>
      <c r="F40" s="2066" t="s">
        <v>650</v>
      </c>
      <c r="G40" s="752" t="s">
        <v>1</v>
      </c>
      <c r="H40" s="752">
        <v>200</v>
      </c>
      <c r="I40" s="1991" t="s">
        <v>1</v>
      </c>
      <c r="J40" s="2082" t="str">
        <f t="shared" si="0"/>
        <v>n/a</v>
      </c>
      <c r="L40" s="857" t="s">
        <v>2811</v>
      </c>
      <c r="N40" s="857" t="s">
        <v>2815</v>
      </c>
    </row>
    <row r="41" spans="2:14">
      <c r="B41" s="1990">
        <v>42020</v>
      </c>
      <c r="C41" s="750" t="s">
        <v>2570</v>
      </c>
      <c r="D41" s="750" t="s">
        <v>2604</v>
      </c>
      <c r="E41" s="2065" t="s">
        <v>2605</v>
      </c>
      <c r="F41" s="2066" t="s">
        <v>650</v>
      </c>
      <c r="G41" s="752">
        <v>480</v>
      </c>
      <c r="H41" s="752">
        <v>20</v>
      </c>
      <c r="I41" s="1991" t="s">
        <v>1</v>
      </c>
      <c r="J41" s="2082">
        <f t="shared" si="0"/>
        <v>4.1666666666666664E-2</v>
      </c>
      <c r="N41" s="857" t="s">
        <v>2606</v>
      </c>
    </row>
    <row r="42" spans="2:14">
      <c r="B42" s="1990">
        <v>42010</v>
      </c>
      <c r="C42" s="750" t="s">
        <v>2760</v>
      </c>
      <c r="D42" s="750" t="s">
        <v>1995</v>
      </c>
      <c r="E42" s="2065" t="s">
        <v>2607</v>
      </c>
      <c r="F42" s="2066" t="s">
        <v>421</v>
      </c>
      <c r="G42" s="752">
        <v>470</v>
      </c>
      <c r="H42" s="752" t="s">
        <v>1</v>
      </c>
      <c r="I42" s="1991" t="s">
        <v>1</v>
      </c>
      <c r="J42" s="2082" t="str">
        <f t="shared" si="0"/>
        <v>n/a</v>
      </c>
      <c r="N42" s="857" t="s">
        <v>2608</v>
      </c>
    </row>
    <row r="43" spans="2:14">
      <c r="B43" s="1990">
        <v>41997</v>
      </c>
      <c r="C43" s="750" t="s">
        <v>2760</v>
      </c>
      <c r="D43" s="750" t="s">
        <v>2609</v>
      </c>
      <c r="E43" s="2065" t="s">
        <v>2597</v>
      </c>
      <c r="F43" s="2066" t="s">
        <v>422</v>
      </c>
      <c r="G43" s="752">
        <v>25</v>
      </c>
      <c r="H43" s="752" t="s">
        <v>1</v>
      </c>
      <c r="I43" s="1991" t="s">
        <v>1</v>
      </c>
      <c r="J43" s="2082" t="str">
        <f t="shared" si="0"/>
        <v>n/a</v>
      </c>
      <c r="L43" s="857" t="s">
        <v>2583</v>
      </c>
      <c r="N43" s="857" t="s">
        <v>2610</v>
      </c>
    </row>
    <row r="44" spans="2:14">
      <c r="B44" s="1990">
        <v>41946</v>
      </c>
      <c r="C44" s="750" t="s">
        <v>2760</v>
      </c>
      <c r="D44" s="750" t="s">
        <v>2592</v>
      </c>
      <c r="E44" s="2065" t="s">
        <v>2611</v>
      </c>
      <c r="F44" s="2066" t="s">
        <v>421</v>
      </c>
      <c r="G44" s="752">
        <v>444</v>
      </c>
      <c r="H44" s="752" t="s">
        <v>1</v>
      </c>
      <c r="I44" s="1991" t="s">
        <v>1</v>
      </c>
      <c r="J44" s="2082" t="str">
        <f t="shared" si="0"/>
        <v>n/a</v>
      </c>
      <c r="L44" s="385" t="s">
        <v>2562</v>
      </c>
      <c r="N44" s="857" t="s">
        <v>2612</v>
      </c>
    </row>
    <row r="45" spans="2:14">
      <c r="B45" s="1990">
        <v>41781</v>
      </c>
      <c r="C45" s="750" t="s">
        <v>2760</v>
      </c>
      <c r="D45" s="750" t="s">
        <v>2816</v>
      </c>
      <c r="E45" s="2065" t="s">
        <v>2817</v>
      </c>
      <c r="F45" s="2066" t="s">
        <v>650</v>
      </c>
      <c r="G45" s="752">
        <v>1569</v>
      </c>
      <c r="H45" s="752">
        <v>29</v>
      </c>
      <c r="I45" s="1991">
        <v>1540</v>
      </c>
      <c r="J45" s="2082">
        <f t="shared" si="0"/>
        <v>1.8483110261312937E-2</v>
      </c>
      <c r="L45" s="857" t="s">
        <v>2811</v>
      </c>
      <c r="N45" s="857" t="s">
        <v>2820</v>
      </c>
    </row>
    <row r="46" spans="2:14">
      <c r="B46" s="1990">
        <v>41639</v>
      </c>
      <c r="C46" s="750" t="s">
        <v>2764</v>
      </c>
      <c r="D46" s="750" t="s">
        <v>2717</v>
      </c>
      <c r="E46" s="2065" t="s">
        <v>2710</v>
      </c>
      <c r="F46" s="2066" t="s">
        <v>732</v>
      </c>
      <c r="G46" s="752">
        <v>1000</v>
      </c>
      <c r="H46" s="752" t="s">
        <v>1</v>
      </c>
      <c r="I46" s="1991" t="s">
        <v>1</v>
      </c>
      <c r="J46" s="2082" t="str">
        <f t="shared" si="0"/>
        <v>n/a</v>
      </c>
      <c r="L46" s="385" t="s">
        <v>2712</v>
      </c>
      <c r="N46" s="1992" t="s">
        <v>2711</v>
      </c>
    </row>
    <row r="47" spans="2:14">
      <c r="B47" s="1990">
        <v>41590</v>
      </c>
      <c r="C47" s="750" t="s">
        <v>2760</v>
      </c>
      <c r="D47" s="750" t="s">
        <v>2818</v>
      </c>
      <c r="E47" s="2065" t="s">
        <v>2819</v>
      </c>
      <c r="F47" s="2066" t="s">
        <v>727</v>
      </c>
      <c r="G47" s="752">
        <v>31</v>
      </c>
      <c r="H47" s="752" t="s">
        <v>1</v>
      </c>
      <c r="I47" s="1991" t="s">
        <v>1</v>
      </c>
      <c r="J47" s="2082" t="str">
        <f t="shared" si="0"/>
        <v>n/a</v>
      </c>
      <c r="L47" s="857" t="s">
        <v>2811</v>
      </c>
      <c r="N47" s="857" t="s">
        <v>2821</v>
      </c>
    </row>
    <row r="48" spans="2:14">
      <c r="B48" s="1990">
        <v>41551</v>
      </c>
      <c r="C48" s="750" t="s">
        <v>2570</v>
      </c>
      <c r="D48" s="750" t="s">
        <v>724</v>
      </c>
      <c r="E48" s="2065" t="s">
        <v>2613</v>
      </c>
      <c r="F48" s="2066" t="s">
        <v>1</v>
      </c>
      <c r="G48" s="752" t="s">
        <v>1</v>
      </c>
      <c r="H48" s="752">
        <v>35.1</v>
      </c>
      <c r="I48" s="1991" t="s">
        <v>1</v>
      </c>
      <c r="J48" s="2082" t="str">
        <f t="shared" si="0"/>
        <v>n/a</v>
      </c>
      <c r="N48" s="857" t="s">
        <v>2614</v>
      </c>
    </row>
    <row r="49" spans="2:16">
      <c r="B49" s="1990">
        <v>41541</v>
      </c>
      <c r="C49" s="750" t="s">
        <v>2570</v>
      </c>
      <c r="D49" s="750" t="s">
        <v>722</v>
      </c>
      <c r="E49" s="2065" t="s">
        <v>1926</v>
      </c>
      <c r="F49" s="2066" t="s">
        <v>422</v>
      </c>
      <c r="G49" s="752">
        <v>405</v>
      </c>
      <c r="H49" s="752">
        <v>45</v>
      </c>
      <c r="I49" s="1991" t="s">
        <v>1</v>
      </c>
      <c r="J49" s="2082">
        <f t="shared" si="0"/>
        <v>0.1111111111111111</v>
      </c>
      <c r="N49" s="857" t="s">
        <v>2615</v>
      </c>
    </row>
    <row r="50" spans="2:16">
      <c r="B50" s="1990">
        <v>41541</v>
      </c>
      <c r="C50" s="750" t="s">
        <v>2760</v>
      </c>
      <c r="D50" s="750" t="s">
        <v>722</v>
      </c>
      <c r="E50" s="2065" t="s">
        <v>1926</v>
      </c>
      <c r="F50" s="2066" t="s">
        <v>2762</v>
      </c>
      <c r="G50" s="752">
        <v>405</v>
      </c>
      <c r="H50" s="752">
        <v>45</v>
      </c>
      <c r="I50" s="1991">
        <f>+G50-H50</f>
        <v>360</v>
      </c>
      <c r="J50" s="2082">
        <f t="shared" si="0"/>
        <v>0.1111111111111111</v>
      </c>
      <c r="L50" s="857" t="s">
        <v>2583</v>
      </c>
      <c r="N50" s="857" t="s">
        <v>2615</v>
      </c>
    </row>
    <row r="51" spans="2:16">
      <c r="B51" s="1990">
        <v>41526</v>
      </c>
      <c r="C51" s="750" t="s">
        <v>2760</v>
      </c>
      <c r="D51" s="750" t="s">
        <v>2616</v>
      </c>
      <c r="E51" s="2065" t="s">
        <v>2609</v>
      </c>
      <c r="F51" s="2066" t="s">
        <v>2762</v>
      </c>
      <c r="G51" s="752" t="s">
        <v>1</v>
      </c>
      <c r="H51" s="752" t="s">
        <v>1</v>
      </c>
      <c r="I51" s="1991" t="s">
        <v>1</v>
      </c>
      <c r="J51" s="2082" t="str">
        <f t="shared" si="0"/>
        <v>n/a</v>
      </c>
      <c r="L51" s="857" t="s">
        <v>2566</v>
      </c>
      <c r="N51" s="857"/>
    </row>
    <row r="52" spans="2:16">
      <c r="B52" s="1990">
        <v>41484</v>
      </c>
      <c r="C52" s="750" t="s">
        <v>2570</v>
      </c>
      <c r="D52" s="750" t="s">
        <v>724</v>
      </c>
      <c r="E52" s="2065" t="s">
        <v>2617</v>
      </c>
      <c r="F52" s="2066" t="s">
        <v>2618</v>
      </c>
      <c r="G52" s="752">
        <v>387</v>
      </c>
      <c r="H52" s="752">
        <v>11</v>
      </c>
      <c r="I52" s="1991" t="s">
        <v>1</v>
      </c>
      <c r="J52" s="2082">
        <f t="shared" si="0"/>
        <v>2.8423772609819122E-2</v>
      </c>
      <c r="N52" s="857" t="s">
        <v>2619</v>
      </c>
    </row>
    <row r="53" spans="2:16">
      <c r="B53" s="1990">
        <v>41352</v>
      </c>
      <c r="C53" s="750" t="s">
        <v>2570</v>
      </c>
      <c r="D53" s="750" t="s">
        <v>2604</v>
      </c>
      <c r="E53" s="2065" t="s">
        <v>2620</v>
      </c>
      <c r="F53" s="2066" t="s">
        <v>1</v>
      </c>
      <c r="G53" s="752" t="s">
        <v>1</v>
      </c>
      <c r="H53" s="752">
        <v>16</v>
      </c>
      <c r="I53" s="1991" t="s">
        <v>1</v>
      </c>
      <c r="J53" s="2082" t="str">
        <f t="shared" si="0"/>
        <v>n/a</v>
      </c>
      <c r="N53" s="857" t="s">
        <v>2621</v>
      </c>
    </row>
    <row r="54" spans="2:16">
      <c r="B54" s="1990">
        <v>41221</v>
      </c>
      <c r="C54" s="750" t="s">
        <v>2760</v>
      </c>
      <c r="D54" s="750" t="s">
        <v>2622</v>
      </c>
      <c r="E54" s="2065" t="s">
        <v>2609</v>
      </c>
      <c r="F54" s="2066" t="s">
        <v>2587</v>
      </c>
      <c r="G54" s="752">
        <v>3.5</v>
      </c>
      <c r="H54" s="752">
        <v>1</v>
      </c>
      <c r="I54" s="1991">
        <f>+G54-H54</f>
        <v>2.5</v>
      </c>
      <c r="J54" s="2082">
        <f t="shared" si="0"/>
        <v>0.2857142857142857</v>
      </c>
      <c r="L54" s="857" t="s">
        <v>2583</v>
      </c>
      <c r="N54" s="857" t="s">
        <v>2623</v>
      </c>
    </row>
    <row r="55" spans="2:16">
      <c r="B55" s="1990">
        <v>40808</v>
      </c>
      <c r="C55" s="750" t="s">
        <v>2760</v>
      </c>
      <c r="D55" s="750" t="s">
        <v>2575</v>
      </c>
      <c r="E55" s="2065" t="s">
        <v>2624</v>
      </c>
      <c r="F55" s="2066" t="s">
        <v>650</v>
      </c>
      <c r="G55" s="752">
        <v>12</v>
      </c>
      <c r="H55" s="752">
        <v>12</v>
      </c>
      <c r="I55" s="1991" t="s">
        <v>1</v>
      </c>
      <c r="J55" s="2082">
        <f t="shared" si="0"/>
        <v>1</v>
      </c>
      <c r="L55" s="857" t="s">
        <v>2625</v>
      </c>
      <c r="N55" s="857" t="s">
        <v>2626</v>
      </c>
    </row>
    <row r="56" spans="2:16">
      <c r="B56" s="1990">
        <v>40758</v>
      </c>
      <c r="C56" s="750" t="s">
        <v>2570</v>
      </c>
      <c r="D56" s="750" t="s">
        <v>724</v>
      </c>
      <c r="E56" s="2065" t="s">
        <v>2627</v>
      </c>
      <c r="F56" s="2066" t="s">
        <v>2628</v>
      </c>
      <c r="G56" s="752">
        <v>242</v>
      </c>
      <c r="H56" s="752">
        <v>25</v>
      </c>
      <c r="I56" s="1991" t="s">
        <v>1</v>
      </c>
      <c r="J56" s="2082">
        <f t="shared" si="0"/>
        <v>0.10330578512396695</v>
      </c>
      <c r="N56" s="857" t="s">
        <v>2629</v>
      </c>
      <c r="P56" s="857" t="s">
        <v>2630</v>
      </c>
    </row>
    <row r="57" spans="2:16">
      <c r="B57" s="1990">
        <v>40679</v>
      </c>
      <c r="C57" s="750" t="s">
        <v>2760</v>
      </c>
      <c r="D57" s="750" t="s">
        <v>2771</v>
      </c>
      <c r="E57" s="2065" t="s">
        <v>2631</v>
      </c>
      <c r="F57" s="2066" t="s">
        <v>421</v>
      </c>
      <c r="G57" s="752">
        <v>613</v>
      </c>
      <c r="H57" s="752">
        <v>25</v>
      </c>
      <c r="I57" s="1991" t="s">
        <v>1</v>
      </c>
      <c r="J57" s="2082">
        <f t="shared" si="0"/>
        <v>4.0783034257748776E-2</v>
      </c>
      <c r="N57" s="857" t="s">
        <v>2632</v>
      </c>
      <c r="P57" s="857" t="s">
        <v>2633</v>
      </c>
    </row>
    <row r="58" spans="2:16">
      <c r="B58" s="1990">
        <v>40632</v>
      </c>
      <c r="C58" s="750" t="s">
        <v>2760</v>
      </c>
      <c r="D58" s="750" t="s">
        <v>2828</v>
      </c>
      <c r="E58" s="2065" t="s">
        <v>1931</v>
      </c>
      <c r="F58" s="2066" t="s">
        <v>412</v>
      </c>
      <c r="G58" s="752">
        <v>315</v>
      </c>
      <c r="H58" s="752">
        <v>15</v>
      </c>
      <c r="I58" s="1991">
        <v>300</v>
      </c>
      <c r="J58" s="2082">
        <f t="shared" si="0"/>
        <v>4.7619047619047616E-2</v>
      </c>
      <c r="L58" s="857" t="s">
        <v>2811</v>
      </c>
      <c r="N58" s="857" t="s">
        <v>2829</v>
      </c>
      <c r="P58" s="857"/>
    </row>
    <row r="59" spans="2:16">
      <c r="B59" s="1990">
        <v>40212</v>
      </c>
      <c r="C59" s="750" t="s">
        <v>2760</v>
      </c>
      <c r="D59" s="750" t="s">
        <v>2772</v>
      </c>
      <c r="E59" s="2065" t="s">
        <v>2713</v>
      </c>
      <c r="F59" s="2066" t="s">
        <v>421</v>
      </c>
      <c r="G59" s="752">
        <v>340</v>
      </c>
      <c r="H59" s="752">
        <v>17</v>
      </c>
      <c r="I59" s="1991" t="s">
        <v>1</v>
      </c>
      <c r="J59" s="2082">
        <f t="shared" si="0"/>
        <v>0.05</v>
      </c>
      <c r="L59" s="1986" t="s">
        <v>2715</v>
      </c>
      <c r="N59" s="857" t="s">
        <v>2714</v>
      </c>
      <c r="O59" s="1986" t="s">
        <v>2287</v>
      </c>
      <c r="P59" s="857"/>
    </row>
    <row r="60" spans="2:16">
      <c r="B60" s="1990">
        <v>40189</v>
      </c>
      <c r="C60" s="750" t="s">
        <v>2760</v>
      </c>
      <c r="D60" s="750" t="s">
        <v>2771</v>
      </c>
      <c r="E60" s="2065" t="s">
        <v>2634</v>
      </c>
      <c r="F60" s="2066" t="s">
        <v>412</v>
      </c>
      <c r="G60" s="752">
        <v>290</v>
      </c>
      <c r="H60" s="752">
        <v>35</v>
      </c>
      <c r="I60" s="1991">
        <f>+G60-H60</f>
        <v>255</v>
      </c>
      <c r="J60" s="2082">
        <f t="shared" si="0"/>
        <v>0.1206896551724138</v>
      </c>
      <c r="L60" s="857" t="s">
        <v>2635</v>
      </c>
      <c r="N60" s="857" t="s">
        <v>2636</v>
      </c>
    </row>
    <row r="61" spans="2:16">
      <c r="B61" s="1990"/>
      <c r="C61" s="750"/>
      <c r="D61" s="751"/>
      <c r="E61" s="751"/>
      <c r="F61" s="2066"/>
      <c r="G61" s="752"/>
      <c r="H61" s="752"/>
      <c r="I61" s="752"/>
      <c r="J61" s="752"/>
      <c r="L61" s="857"/>
      <c r="N61" s="857"/>
    </row>
    <row r="62" spans="2:16">
      <c r="B62" s="2067" t="s">
        <v>46</v>
      </c>
      <c r="C62" s="2068"/>
      <c r="D62" s="2068"/>
      <c r="E62" s="2068"/>
      <c r="F62" s="2069"/>
      <c r="G62" s="2070">
        <f>MAX(G8:G60)</f>
        <v>2625</v>
      </c>
      <c r="H62" s="2070">
        <f>MAX(H8:H60)</f>
        <v>250</v>
      </c>
      <c r="I62" s="2070">
        <f>MAX(I8:I60)</f>
        <v>2550</v>
      </c>
      <c r="J62" s="2083">
        <f>MAX(J8:J60)</f>
        <v>1</v>
      </c>
      <c r="L62" s="857"/>
      <c r="N62" s="857"/>
    </row>
    <row r="63" spans="2:16">
      <c r="B63" s="339" t="s">
        <v>50</v>
      </c>
      <c r="C63" s="62"/>
      <c r="D63" s="62"/>
      <c r="E63" s="62"/>
      <c r="F63" s="2071"/>
      <c r="G63" s="756">
        <f>QUARTILE(G8:G60,3)</f>
        <v>485</v>
      </c>
      <c r="H63" s="756">
        <f>QUARTILE(H8:H60,3)</f>
        <v>46.25</v>
      </c>
      <c r="I63" s="756">
        <f>QUARTILE(I8:I60,3)</f>
        <v>605</v>
      </c>
      <c r="J63" s="2084">
        <f>QUARTILE(J8:J60,3)</f>
        <v>0.19685039370078741</v>
      </c>
      <c r="L63" s="857"/>
      <c r="N63" s="857"/>
    </row>
    <row r="64" spans="2:16">
      <c r="B64" s="339" t="s">
        <v>2</v>
      </c>
      <c r="C64" s="62"/>
      <c r="D64" s="62"/>
      <c r="E64" s="494"/>
      <c r="F64" s="2071"/>
      <c r="G64" s="756">
        <f>AVERAGE(G8:G60)</f>
        <v>446.91704545454542</v>
      </c>
      <c r="H64" s="756">
        <f>AVERAGE(H8:H60)</f>
        <v>47.929545454545455</v>
      </c>
      <c r="I64" s="756">
        <f>AVERAGE(I8:I60)</f>
        <v>497.8568181818182</v>
      </c>
      <c r="J64" s="2084">
        <f>AVERAGE(J8:J60)</f>
        <v>0.19852761456421905</v>
      </c>
      <c r="L64" s="857"/>
      <c r="N64" s="857"/>
    </row>
    <row r="65" spans="1:14">
      <c r="B65" s="339" t="s">
        <v>3</v>
      </c>
      <c r="C65" s="62"/>
      <c r="D65" s="62"/>
      <c r="E65" s="494"/>
      <c r="F65" s="2071"/>
      <c r="G65" s="756">
        <f>MEDIAN(G8:G60)</f>
        <v>339.5</v>
      </c>
      <c r="H65" s="756">
        <f>MEDIAN(H8:H60)</f>
        <v>30</v>
      </c>
      <c r="I65" s="756">
        <f>MEDIAN(I8:I60)</f>
        <v>287.5</v>
      </c>
      <c r="J65" s="2084">
        <f>MEDIAN(J8:J60)</f>
        <v>8.8495575221238937E-2</v>
      </c>
      <c r="L65" s="857"/>
      <c r="N65" s="857"/>
    </row>
    <row r="66" spans="1:14">
      <c r="B66" s="339" t="s">
        <v>49</v>
      </c>
      <c r="C66" s="62"/>
      <c r="D66" s="62"/>
      <c r="E66" s="494"/>
      <c r="F66" s="2071"/>
      <c r="G66" s="756">
        <f>QUARTILE(G8:G60,1)</f>
        <v>92.875</v>
      </c>
      <c r="H66" s="756">
        <f>QUARTILE(H8:H60,1)</f>
        <v>14.25</v>
      </c>
      <c r="I66" s="756">
        <f>QUARTILE(I8:I60,1)</f>
        <v>95.462500000000006</v>
      </c>
      <c r="J66" s="2084">
        <f>QUARTILE(J8:J60,1)</f>
        <v>4.1666666666666664E-2</v>
      </c>
      <c r="L66" s="857"/>
      <c r="N66" s="857"/>
    </row>
    <row r="67" spans="1:14">
      <c r="B67" s="1993" t="s">
        <v>47</v>
      </c>
      <c r="C67" s="153"/>
      <c r="D67" s="153"/>
      <c r="E67" s="789"/>
      <c r="F67" s="2072"/>
      <c r="G67" s="757">
        <f>MIN(G8:G60)</f>
        <v>3.5</v>
      </c>
      <c r="H67" s="757">
        <f t="shared" ref="H67" si="1">MIN(H8:H60)</f>
        <v>0</v>
      </c>
      <c r="I67" s="757">
        <f t="shared" ref="I67:J67" si="2">MIN(I8:I60)</f>
        <v>2.5</v>
      </c>
      <c r="J67" s="2085">
        <f t="shared" si="2"/>
        <v>0</v>
      </c>
      <c r="L67" s="857"/>
      <c r="N67" s="857"/>
    </row>
    <row r="68" spans="1:14">
      <c r="B68" s="279"/>
      <c r="C68" s="196"/>
      <c r="D68" s="196"/>
      <c r="E68" s="2073"/>
      <c r="F68" s="315"/>
      <c r="G68" s="2074"/>
      <c r="H68" s="2074"/>
      <c r="I68" s="2074"/>
      <c r="J68" s="2074"/>
      <c r="L68" s="857"/>
      <c r="N68" s="857"/>
    </row>
    <row r="69" spans="1:14">
      <c r="B69" s="8" t="s">
        <v>21</v>
      </c>
      <c r="F69" s="2075"/>
      <c r="L69" s="857"/>
      <c r="N69" s="857"/>
    </row>
    <row r="70" spans="1:14">
      <c r="A70" s="2124">
        <v>1</v>
      </c>
      <c r="B70" s="737" t="s">
        <v>2773</v>
      </c>
      <c r="F70" s="2075"/>
      <c r="L70" s="857"/>
      <c r="N70" s="857"/>
    </row>
    <row r="71" spans="1:14">
      <c r="F71" s="2075"/>
      <c r="L71" s="857"/>
    </row>
    <row r="72" spans="1:14">
      <c r="F72" s="2075"/>
      <c r="L72" s="857"/>
    </row>
    <row r="73" spans="1:14">
      <c r="F73" s="2075"/>
      <c r="L73" s="857"/>
    </row>
    <row r="74" spans="1:14" hidden="1" outlineLevel="1">
      <c r="B74" s="2012">
        <v>43229</v>
      </c>
      <c r="C74" s="2011" t="s">
        <v>2559</v>
      </c>
      <c r="D74" s="2011" t="s">
        <v>725</v>
      </c>
      <c r="E74" s="2014" t="s">
        <v>2726</v>
      </c>
      <c r="F74" s="2064" t="s">
        <v>650</v>
      </c>
      <c r="G74" s="2015">
        <v>155</v>
      </c>
      <c r="H74" s="2015">
        <v>25</v>
      </c>
      <c r="I74" s="2016" t="s">
        <v>1</v>
      </c>
      <c r="J74" s="2016"/>
      <c r="L74" s="857" t="s">
        <v>2712</v>
      </c>
      <c r="N74" s="857" t="s">
        <v>2708</v>
      </c>
    </row>
    <row r="75" spans="1:14" hidden="1" outlineLevel="1">
      <c r="B75" s="2012">
        <v>43227</v>
      </c>
      <c r="C75" s="2011" t="s">
        <v>2559</v>
      </c>
      <c r="D75" s="2011" t="s">
        <v>2727</v>
      </c>
      <c r="E75" s="2013" t="s">
        <v>665</v>
      </c>
      <c r="F75" s="2064" t="s">
        <v>2565</v>
      </c>
      <c r="G75" s="2015">
        <v>40.000000999999997</v>
      </c>
      <c r="H75" s="2015">
        <v>40</v>
      </c>
      <c r="I75" s="2016">
        <v>9.9999999999999995E-7</v>
      </c>
      <c r="J75" s="2016"/>
      <c r="L75" s="857" t="s">
        <v>2703</v>
      </c>
      <c r="N75" s="857" t="s">
        <v>2692</v>
      </c>
    </row>
    <row r="76" spans="1:14" hidden="1" outlineLevel="1">
      <c r="B76" s="2012">
        <v>42982</v>
      </c>
      <c r="C76" s="2011" t="s">
        <v>2559</v>
      </c>
      <c r="D76" s="2011" t="s">
        <v>2729</v>
      </c>
      <c r="E76" s="2013" t="s">
        <v>2723</v>
      </c>
      <c r="F76" s="2064" t="s">
        <v>650</v>
      </c>
      <c r="G76" s="2015">
        <v>3.25</v>
      </c>
      <c r="H76" s="2015">
        <v>3.25</v>
      </c>
      <c r="I76" s="2016">
        <v>0</v>
      </c>
      <c r="J76" s="2016"/>
      <c r="L76" s="857" t="s">
        <v>2703</v>
      </c>
      <c r="N76" s="857" t="s">
        <v>2695</v>
      </c>
    </row>
    <row r="77" spans="1:14" hidden="1" outlineLevel="1">
      <c r="B77" s="2012">
        <v>42940</v>
      </c>
      <c r="C77" s="2011" t="s">
        <v>2760</v>
      </c>
      <c r="D77" s="2011" t="s">
        <v>2730</v>
      </c>
      <c r="E77" s="2063" t="s">
        <v>2690</v>
      </c>
      <c r="F77" s="2064" t="s">
        <v>421</v>
      </c>
      <c r="G77" s="2015">
        <v>400</v>
      </c>
      <c r="H77" s="2015">
        <v>150</v>
      </c>
      <c r="I77" s="2016">
        <v>250</v>
      </c>
      <c r="J77" s="2016"/>
      <c r="L77" s="857" t="s">
        <v>2703</v>
      </c>
      <c r="N77" s="857" t="s">
        <v>2697</v>
      </c>
    </row>
    <row r="78" spans="1:14" hidden="1" outlineLevel="1">
      <c r="B78" s="2012">
        <v>42885</v>
      </c>
      <c r="C78" s="2011" t="s">
        <v>2760</v>
      </c>
      <c r="D78" s="2011" t="s">
        <v>2689</v>
      </c>
      <c r="E78" s="2063" t="s">
        <v>765</v>
      </c>
      <c r="F78" s="2064" t="s">
        <v>650</v>
      </c>
      <c r="G78" s="2015">
        <v>990</v>
      </c>
      <c r="H78" s="2015">
        <v>50</v>
      </c>
      <c r="I78" s="2016">
        <v>940</v>
      </c>
      <c r="J78" s="2016"/>
      <c r="L78" s="857" t="s">
        <v>2703</v>
      </c>
      <c r="N78" s="857" t="s">
        <v>2698</v>
      </c>
    </row>
    <row r="79" spans="1:14" hidden="1" outlineLevel="1">
      <c r="B79" s="2012">
        <v>41036</v>
      </c>
      <c r="C79" s="2011" t="s">
        <v>2760</v>
      </c>
      <c r="D79" s="2011" t="s">
        <v>2704</v>
      </c>
      <c r="E79" s="2063" t="s">
        <v>2705</v>
      </c>
      <c r="F79" s="2064" t="s">
        <v>650</v>
      </c>
      <c r="G79" s="2015">
        <v>10</v>
      </c>
      <c r="H79" s="2015">
        <v>1</v>
      </c>
      <c r="I79" s="2016" t="s">
        <v>1</v>
      </c>
      <c r="J79" s="2016"/>
      <c r="L79" s="857" t="s">
        <v>2712</v>
      </c>
      <c r="N79" s="1992" t="s">
        <v>2706</v>
      </c>
    </row>
    <row r="80" spans="1:14" hidden="1" outlineLevel="1">
      <c r="F80" s="2075"/>
      <c r="L80" s="857"/>
    </row>
    <row r="81" spans="6:12" collapsed="1">
      <c r="F81" s="2075"/>
      <c r="L81" s="1994"/>
    </row>
    <row r="82" spans="6:12">
      <c r="F82" s="2075"/>
      <c r="L82" s="1994"/>
    </row>
    <row r="83" spans="6:12">
      <c r="F83" s="2075"/>
      <c r="L83" s="1994"/>
    </row>
    <row r="84" spans="6:12">
      <c r="F84" s="2075"/>
      <c r="L84" s="1994"/>
    </row>
    <row r="85" spans="6:12">
      <c r="F85" s="2075"/>
      <c r="L85" s="1994"/>
    </row>
    <row r="86" spans="6:12">
      <c r="F86" s="2075"/>
      <c r="L86" s="1994"/>
    </row>
    <row r="87" spans="6:12">
      <c r="F87" s="2075"/>
      <c r="L87" s="1994"/>
    </row>
    <row r="88" spans="6:12">
      <c r="F88" s="2075"/>
      <c r="L88" s="1994"/>
    </row>
    <row r="89" spans="6:12">
      <c r="F89" s="2075"/>
      <c r="L89" s="1994"/>
    </row>
    <row r="90" spans="6:12">
      <c r="F90" s="2075"/>
      <c r="L90" s="1994"/>
    </row>
    <row r="91" spans="6:12">
      <c r="L91" s="1994"/>
    </row>
    <row r="92" spans="6:12">
      <c r="L92" s="1994"/>
    </row>
    <row r="93" spans="6:12">
      <c r="L93" s="1994"/>
    </row>
    <row r="94" spans="6:12">
      <c r="L94" s="1994"/>
    </row>
    <row r="95" spans="6:12">
      <c r="L95" s="1994"/>
    </row>
    <row r="96" spans="6:12">
      <c r="L96" s="1994"/>
    </row>
  </sheetData>
  <conditionalFormatting sqref="B4:C4 E4:H4">
    <cfRule type="cellIs" dxfId="176" priority="4" stopIfTrue="1" operator="equal">
      <formula>"input"</formula>
    </cfRule>
  </conditionalFormatting>
  <conditionalFormatting sqref="I4:J4">
    <cfRule type="cellIs" dxfId="175" priority="2" stopIfTrue="1" operator="equal">
      <formula>"input"</formula>
    </cfRule>
  </conditionalFormatting>
  <conditionalFormatting sqref="I4:J4">
    <cfRule type="cellIs" dxfId="174" priority="3" stopIfTrue="1" operator="equal">
      <formula>"input"</formula>
    </cfRule>
  </conditionalFormatting>
  <conditionalFormatting sqref="D4">
    <cfRule type="cellIs" dxfId="173" priority="1" stopIfTrue="1" operator="equal">
      <formula>"input"</formula>
    </cfRule>
  </conditionalFormatting>
  <pageMargins left="0.5" right="0.5" top="0.5" bottom="0.5" header="0.5" footer="0.5"/>
  <pageSetup scale="85" orientation="landscape" r:id="rId1"/>
  <legacyDrawing r:id="rId2"/>
  <legacyDrawingHF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AH125"/>
  <sheetViews>
    <sheetView showGridLines="0" view="pageBreakPreview" zoomScaleNormal="100" zoomScaleSheetLayoutView="100" workbookViewId="0"/>
  </sheetViews>
  <sheetFormatPr defaultColWidth="10.6640625" defaultRowHeight="12.75" outlineLevelCol="2"/>
  <cols>
    <col min="1" max="1" width="4.5" style="1757" customWidth="1"/>
    <col min="2" max="2" width="32.33203125" style="1757" customWidth="1"/>
    <col min="3" max="3" width="19.83203125" style="1757" hidden="1" customWidth="1" outlineLevel="1"/>
    <col min="4" max="4" width="18.1640625" style="1757" hidden="1" customWidth="1" outlineLevel="1"/>
    <col min="5" max="5" width="14.1640625" style="1802" customWidth="1" collapsed="1"/>
    <col min="6" max="6" width="12.6640625" style="1760" customWidth="1"/>
    <col min="7" max="7" width="10.5" style="1760" customWidth="1"/>
    <col min="8" max="9" width="8.1640625" style="1760" hidden="1" customWidth="1" outlineLevel="2"/>
    <col min="10" max="10" width="13.5" style="1760" customWidth="1" collapsed="1"/>
    <col min="11" max="11" width="10.33203125" style="1760" customWidth="1"/>
    <col min="12" max="12" width="10.5" style="1760" bestFit="1" customWidth="1"/>
    <col min="13" max="13" width="10.33203125" style="1760" customWidth="1"/>
    <col min="14" max="14" width="11.33203125" style="1760" customWidth="1"/>
    <col min="15" max="15" width="12.83203125" style="1760" bestFit="1" customWidth="1"/>
    <col min="16" max="16" width="13.5" style="1760" bestFit="1" customWidth="1"/>
    <col min="17" max="17" width="4.5" style="1760" customWidth="1"/>
    <col min="18" max="18" width="14.83203125" style="1757" customWidth="1"/>
    <col min="19" max="19" width="35.33203125" style="1757" customWidth="1"/>
    <col min="20" max="20" width="54.83203125" style="1757" customWidth="1"/>
    <col min="21" max="21" width="16.5" style="1757" customWidth="1"/>
    <col min="22" max="22" width="11.5" style="1757" bestFit="1" customWidth="1"/>
    <col min="23" max="26" width="10.6640625" style="1757"/>
    <col min="27" max="27" width="12.5" style="1757" bestFit="1" customWidth="1"/>
    <col min="28" max="28" width="15.1640625" style="1757" bestFit="1" customWidth="1"/>
    <col min="29" max="16384" width="10.6640625" style="1757"/>
  </cols>
  <sheetData>
    <row r="1" spans="1:34" ht="11.25" customHeight="1" thickBot="1">
      <c r="A1" s="1756"/>
      <c r="E1" s="1759"/>
      <c r="F1" s="1758"/>
      <c r="G1" s="1758"/>
      <c r="H1" s="1758"/>
      <c r="I1" s="1758"/>
      <c r="J1" s="1758"/>
      <c r="K1" s="1758"/>
      <c r="L1" s="1758"/>
      <c r="M1" s="1758"/>
      <c r="N1" s="1758"/>
      <c r="AG1" s="1757" t="s">
        <v>244</v>
      </c>
      <c r="AH1" s="1761">
        <v>42643</v>
      </c>
    </row>
    <row r="2" spans="1:34" ht="16.5" thickTop="1">
      <c r="A2" s="1762"/>
      <c r="B2" s="10" t="str">
        <f>'MASTER PubCo Inputs'!$C$5</f>
        <v>Pliant Therapeutics, Inc.</v>
      </c>
      <c r="C2" s="758"/>
      <c r="D2" s="758"/>
      <c r="E2" s="1763"/>
      <c r="F2" s="758"/>
      <c r="G2" s="758"/>
      <c r="H2" s="758"/>
      <c r="I2" s="758"/>
      <c r="J2" s="758"/>
      <c r="K2" s="758"/>
      <c r="L2" s="758"/>
      <c r="M2" s="758"/>
      <c r="N2" s="758"/>
      <c r="O2" s="758"/>
      <c r="P2" s="758"/>
      <c r="Q2" s="1764"/>
    </row>
    <row r="3" spans="1:34" ht="15.75">
      <c r="A3" s="1762"/>
      <c r="B3" s="11" t="str">
        <f>VLOOKUP(B4,Outline!$E$8:$G$69,COLUMNS(Outline!$E$8:$G$8),FALSE)</f>
        <v>Exhibit H.8</v>
      </c>
      <c r="C3" s="760"/>
      <c r="D3" s="760"/>
      <c r="E3" s="1765"/>
      <c r="F3" s="760"/>
      <c r="G3" s="760"/>
      <c r="H3" s="760"/>
      <c r="I3" s="760"/>
      <c r="J3" s="760"/>
      <c r="K3" s="760"/>
      <c r="L3" s="760"/>
      <c r="M3" s="760"/>
      <c r="N3" s="760"/>
      <c r="O3" s="760"/>
      <c r="P3" s="760"/>
      <c r="Q3" s="1764"/>
    </row>
    <row r="4" spans="1:34" ht="16.5" thickBot="1">
      <c r="B4" s="12" t="s">
        <v>2322</v>
      </c>
      <c r="C4" s="761"/>
      <c r="D4" s="761"/>
      <c r="E4" s="1766"/>
      <c r="F4" s="761"/>
      <c r="G4" s="761"/>
      <c r="H4" s="761"/>
      <c r="I4" s="761"/>
      <c r="J4" s="761"/>
      <c r="K4" s="761"/>
      <c r="L4" s="761"/>
      <c r="M4" s="761"/>
      <c r="N4" s="761"/>
      <c r="O4" s="761"/>
      <c r="P4" s="13" t="str">
        <f>'MASTER PubCo Inputs'!$C$20</f>
        <v>(in thousands of USD and shares, except price per share)</v>
      </c>
      <c r="Q4" s="1764"/>
      <c r="Z4" s="1757" t="s">
        <v>2323</v>
      </c>
    </row>
    <row r="5" spans="1:34" ht="13.5" thickTop="1">
      <c r="B5" s="1767"/>
      <c r="C5" s="1762"/>
      <c r="D5" s="1767"/>
      <c r="E5" s="1759"/>
      <c r="F5" s="1758"/>
      <c r="G5" s="1758"/>
      <c r="H5" s="1758"/>
      <c r="I5" s="1758"/>
      <c r="J5" s="1758"/>
      <c r="K5" s="1758"/>
      <c r="L5" s="1758"/>
      <c r="M5" s="1758"/>
      <c r="N5" s="1758"/>
      <c r="Q5" s="1764"/>
      <c r="R5" s="1757" t="s">
        <v>2543</v>
      </c>
      <c r="S5" s="433">
        <f>PWERM_2!D23</f>
        <v>225000</v>
      </c>
    </row>
    <row r="6" spans="1:34">
      <c r="B6" s="1768" t="s">
        <v>2324</v>
      </c>
      <c r="C6" s="1769"/>
      <c r="D6" s="1769"/>
      <c r="E6" s="1769"/>
      <c r="F6" s="1769"/>
      <c r="G6" s="1769"/>
      <c r="H6" s="1769"/>
      <c r="I6" s="1769"/>
      <c r="J6" s="1769"/>
      <c r="K6" s="1769"/>
      <c r="L6" s="1769"/>
      <c r="M6" s="1769"/>
      <c r="N6" s="1769"/>
      <c r="O6" s="1769"/>
      <c r="P6" s="1770"/>
      <c r="Q6" s="1764"/>
    </row>
    <row r="7" spans="1:34" s="1771" customFormat="1" ht="56.1" customHeight="1">
      <c r="B7" s="1995" t="s">
        <v>746</v>
      </c>
      <c r="C7" s="1996" t="s">
        <v>747</v>
      </c>
      <c r="D7" s="1996" t="s">
        <v>748</v>
      </c>
      <c r="E7" s="1996" t="s">
        <v>1273</v>
      </c>
      <c r="F7" s="1996" t="s">
        <v>1218</v>
      </c>
      <c r="G7" s="1997" t="s">
        <v>738</v>
      </c>
      <c r="H7" s="1997" t="s">
        <v>47</v>
      </c>
      <c r="I7" s="1997" t="s">
        <v>46</v>
      </c>
      <c r="J7" s="1997" t="s">
        <v>740</v>
      </c>
      <c r="K7" s="1997" t="s">
        <v>1271</v>
      </c>
      <c r="L7" s="1997" t="s">
        <v>741</v>
      </c>
      <c r="M7" s="1997" t="s">
        <v>742</v>
      </c>
      <c r="N7" s="1997" t="s">
        <v>743</v>
      </c>
      <c r="O7" s="1997" t="s">
        <v>1272</v>
      </c>
      <c r="P7" s="1998" t="s">
        <v>745</v>
      </c>
      <c r="Q7" s="1764"/>
      <c r="S7" s="1772" t="s">
        <v>1164</v>
      </c>
      <c r="T7" s="1772" t="s">
        <v>2325</v>
      </c>
      <c r="U7" s="1772" t="s">
        <v>745</v>
      </c>
    </row>
    <row r="8" spans="1:34" s="1773" customFormat="1" ht="13.5" customHeight="1">
      <c r="B8" s="1774"/>
      <c r="C8" s="1774"/>
      <c r="D8" s="1774"/>
      <c r="E8" s="1774"/>
      <c r="F8" s="1774"/>
      <c r="G8" s="1774"/>
      <c r="H8" s="1774"/>
      <c r="I8" s="1774"/>
      <c r="J8" s="1774"/>
      <c r="K8" s="1774"/>
      <c r="L8" s="1774"/>
      <c r="M8" s="1774"/>
      <c r="N8" s="1774"/>
      <c r="O8" s="1774"/>
      <c r="P8" s="1774"/>
      <c r="Q8" s="1764"/>
      <c r="V8" s="1773" t="s">
        <v>45</v>
      </c>
    </row>
    <row r="9" spans="1:34" s="1773" customFormat="1" ht="13.5" customHeight="1">
      <c r="A9" s="1807"/>
      <c r="B9" s="1808" t="str">
        <f>'IPO Data_BioPharma'!B43</f>
        <v>Translate Bio, Inc.</v>
      </c>
      <c r="C9" s="1809" t="str">
        <f>'IPO Data_BioPharma'!C43</f>
        <v>NasdaqGS:TBIO</v>
      </c>
      <c r="D9" s="1809" t="str">
        <f>'IPO Data_BioPharma'!E43</f>
        <v>IQTR569377088</v>
      </c>
      <c r="E9" s="1810" t="s">
        <v>853</v>
      </c>
      <c r="F9" s="1811">
        <f>'IPO Data_BioPharma'!F43</f>
        <v>43278</v>
      </c>
      <c r="G9" s="1812">
        <f>'IPO Data_BioPharma'!G43</f>
        <v>13</v>
      </c>
      <c r="H9" s="1813">
        <f>'IPO Data_BioPharma'!H43</f>
        <v>12</v>
      </c>
      <c r="I9" s="1813">
        <f>'IPO Data_BioPharma'!I43</f>
        <v>14</v>
      </c>
      <c r="J9" s="1812">
        <f>'IPO Data_BioPharma'!J43</f>
        <v>15.57</v>
      </c>
      <c r="K9" s="2051">
        <f>'IPO Data_BioPharma'!K43</f>
        <v>35427.667000000001</v>
      </c>
      <c r="L9" s="2052">
        <f>'IPO Data_BioPharma'!L43</f>
        <v>9350</v>
      </c>
      <c r="M9" s="2052">
        <f>'IPO Data_BioPharma'!M43</f>
        <v>44777.667000000001</v>
      </c>
      <c r="N9" s="2052">
        <f>'IPO Data_BioPharma'!N43</f>
        <v>460559.67100000003</v>
      </c>
      <c r="O9" s="2052">
        <f>'IPO Data_BioPharma'!O43</f>
        <v>121550</v>
      </c>
      <c r="P9" s="2052">
        <f>'IPO Data_BioPharma'!P43</f>
        <v>582109.67100000009</v>
      </c>
      <c r="Q9" s="1764"/>
      <c r="R9" s="1812" t="str">
        <f>'IPO Data_BioPharma'!V43</f>
        <v>IQ143808159</v>
      </c>
      <c r="S9" s="1812" t="str">
        <f>'IPO Data_BioPharma'!W43</f>
        <v>Translate Bio, Inc., a messenger RNA therapeutics company, engages in developing medicines to treat diseases caused by protein or gene dysfunction. It is developing MRT5005 that is in Phase I/II clinical trial for the treatment of cystic fibrosis; and MRT5201 for the treatment of ornithine transcarbamylase deficiency. It has strategic alliances with Sanofi Pasteur. The company was formerly known as RaNA Therapeutics, Inc. and changed its name to Translate Bio, Inc. in June 2017. Translate Bio, Inc. was founded in 2011 and is headquartered in Lexington, Massachusetts.</v>
      </c>
      <c r="U9" s="1785">
        <f t="shared" ref="U9:U18" si="0">+N9+O9</f>
        <v>582109.67100000009</v>
      </c>
      <c r="V9" s="1786">
        <f t="shared" ref="V9:V18" si="1">+P9-U9</f>
        <v>0</v>
      </c>
    </row>
    <row r="10" spans="1:34" s="1773" customFormat="1" ht="13.5" customHeight="1">
      <c r="A10" s="1807"/>
      <c r="B10" s="1808" t="str">
        <f>'IPO Data_BioPharma'!B48</f>
        <v>Scholar Rock Holding Corporation</v>
      </c>
      <c r="C10" s="1809" t="str">
        <f>'IPO Data_BioPharma'!C48</f>
        <v>NasdaqGS:SRRK</v>
      </c>
      <c r="D10" s="1809" t="str">
        <f>'IPO Data_BioPharma'!E48</f>
        <v>IQTR560753952</v>
      </c>
      <c r="E10" s="1810" t="str">
        <f>'IPO Data_BioPharma'!D48</f>
        <v>Phase I</v>
      </c>
      <c r="F10" s="1811">
        <f>'IPO Data_BioPharma'!F48</f>
        <v>43243</v>
      </c>
      <c r="G10" s="1812">
        <f>'IPO Data_BioPharma'!G48</f>
        <v>14</v>
      </c>
      <c r="H10" s="1813">
        <f>'IPO Data_BioPharma'!H48</f>
        <v>13</v>
      </c>
      <c r="I10" s="1813">
        <f>'IPO Data_BioPharma'!I48</f>
        <v>15</v>
      </c>
      <c r="J10" s="1812">
        <f>'IPO Data_BioPharma'!J48</f>
        <v>21.62</v>
      </c>
      <c r="K10" s="2051">
        <f>'IPO Data_BioPharma'!K48</f>
        <v>19080.536</v>
      </c>
      <c r="L10" s="2052">
        <f>'IPO Data_BioPharma'!L48</f>
        <v>5360</v>
      </c>
      <c r="M10" s="2052">
        <f>'IPO Data_BioPharma'!M48</f>
        <v>24440.536</v>
      </c>
      <c r="N10" s="2052">
        <f>'IPO Data_BioPharma'!N48</f>
        <v>267127.50400000002</v>
      </c>
      <c r="O10" s="2052">
        <f>'IPO Data_BioPharma'!O48</f>
        <v>75040</v>
      </c>
      <c r="P10" s="2052">
        <f>'IPO Data_BioPharma'!P48</f>
        <v>342167.50400000002</v>
      </c>
      <c r="Q10" s="1764"/>
      <c r="R10" s="1812" t="str">
        <f>'IPO Data_BioPharma'!V48</f>
        <v>IQ548810128</v>
      </c>
      <c r="S10" s="1812" t="str">
        <f>'IPO Data_BioPharma'!W48</f>
        <v>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v>
      </c>
      <c r="U10" s="1785">
        <f t="shared" si="0"/>
        <v>342167.50400000002</v>
      </c>
      <c r="V10" s="1786">
        <f t="shared" si="1"/>
        <v>0</v>
      </c>
    </row>
    <row r="11" spans="1:34" s="1773" customFormat="1" ht="13.5" customHeight="1">
      <c r="A11" s="1807"/>
      <c r="B11" s="1808" t="str">
        <f>'IPO Data_BioPharma'!B55</f>
        <v>Solid Biosciences Inc.</v>
      </c>
      <c r="C11" s="1809" t="str">
        <f>'IPO Data_BioPharma'!C55</f>
        <v>NasdaqGS:SLDB</v>
      </c>
      <c r="D11" s="1809" t="str">
        <f>'IPO Data_BioPharma'!E$55</f>
        <v>IQTR548047650</v>
      </c>
      <c r="E11" s="1810" t="str">
        <f>'IPO Data_BioPharma'!D55</f>
        <v>Phase I/II</v>
      </c>
      <c r="F11" s="1811">
        <f>'IPO Data_BioPharma'!F$55</f>
        <v>43125</v>
      </c>
      <c r="G11" s="1812">
        <f>'IPO Data_BioPharma'!G$55</f>
        <v>16</v>
      </c>
      <c r="H11" s="1813">
        <f>'IPO Data_BioPharma'!H$55</f>
        <v>16</v>
      </c>
      <c r="I11" s="1813">
        <f>'IPO Data_BioPharma'!I$55</f>
        <v>18</v>
      </c>
      <c r="J11" s="1812">
        <f>'IPO Data_BioPharma'!J$55</f>
        <v>29.56</v>
      </c>
      <c r="K11" s="2051">
        <f>'IPO Data_BioPharma'!K$55</f>
        <v>26338.521999999997</v>
      </c>
      <c r="L11" s="2052">
        <f>'IPO Data_BioPharma'!L$55</f>
        <v>7812.5</v>
      </c>
      <c r="M11" s="2052">
        <f>'IPO Data_BioPharma'!M$55</f>
        <v>34151.021999999997</v>
      </c>
      <c r="N11" s="2052">
        <f>'IPO Data_BioPharma'!N$55</f>
        <v>421416.35199999996</v>
      </c>
      <c r="O11" s="2052">
        <f>'IPO Data_BioPharma'!O$55</f>
        <v>125000</v>
      </c>
      <c r="P11" s="2052">
        <f>'IPO Data_BioPharma'!P$55</f>
        <v>546416.35199999996</v>
      </c>
      <c r="Q11" s="1764"/>
      <c r="R11" s="1812" t="str">
        <f>'IPO Data_BioPharma'!V55</f>
        <v>IQ315986912</v>
      </c>
      <c r="S11" s="1812" t="str">
        <f>'IPO Data_BioPharma'!W55</f>
        <v>Solid Biosciences Inc. engages in identifying and developing therapies for duchenne muscular dystrophy in the United States. Its lead product candidate includes SGT-001, a gene therapy that is in Phase I/II clinical trials to restore functional dystrophin protein expression in patients’ muscles. The company’s product candidates also comprise SB-001, a monoclonal antibody to reduce fibrosis and inflammation. In addition, it is developing soft wearable assistive devices that have functional and therapeutic benefits to DMD patients. The company was founded in 2013 and is headquartered in Cambridge, Massachusetts.</v>
      </c>
      <c r="U11" s="1785">
        <f t="shared" si="0"/>
        <v>546416.35199999996</v>
      </c>
      <c r="V11" s="1786">
        <f t="shared" si="1"/>
        <v>0</v>
      </c>
    </row>
    <row r="12" spans="1:34" s="1773" customFormat="1" ht="13.5" customHeight="1">
      <c r="A12" s="1807"/>
      <c r="B12" s="1808" t="str">
        <f>'IPO Data_BioPharma'!B$67</f>
        <v>AzurRx BioPharma, Inc.</v>
      </c>
      <c r="C12" s="1809" t="str">
        <f>'IPO Data_BioPharma'!C$67</f>
        <v>NasdaqCM:AZRX</v>
      </c>
      <c r="D12" s="1809" t="str">
        <f>'IPO Data_BioPharma'!E$67</f>
        <v>IQTR374467498</v>
      </c>
      <c r="E12" s="1810" t="str">
        <f>'IPO Data_BioPharma'!D56</f>
        <v>Phase I</v>
      </c>
      <c r="F12" s="1811">
        <f>'IPO Data_BioPharma'!F$67</f>
        <v>42654</v>
      </c>
      <c r="G12" s="1812">
        <f>'IPO Data_BioPharma'!G$67</f>
        <v>5.5</v>
      </c>
      <c r="H12" s="1813">
        <f>'IPO Data_BioPharma'!H$67</f>
        <v>6</v>
      </c>
      <c r="I12" s="1813">
        <f>'IPO Data_BioPharma'!I$67</f>
        <v>8</v>
      </c>
      <c r="J12" s="1812">
        <f>'IPO Data_BioPharma'!J$67</f>
        <v>4.74</v>
      </c>
      <c r="K12" s="2051">
        <f>'IPO Data_BioPharma'!K$67</f>
        <v>8671.0879999999997</v>
      </c>
      <c r="L12" s="2052">
        <f>'IPO Data_BioPharma'!L$67</f>
        <v>960</v>
      </c>
      <c r="M12" s="2052">
        <f>'IPO Data_BioPharma'!M$67</f>
        <v>9631.0879999999997</v>
      </c>
      <c r="N12" s="2052">
        <f>'IPO Data_BioPharma'!N$67</f>
        <v>47690.983999999997</v>
      </c>
      <c r="O12" s="2052">
        <f>'IPO Data_BioPharma'!O$67</f>
        <v>5280</v>
      </c>
      <c r="P12" s="2052">
        <f>'IPO Data_BioPharma'!P$67</f>
        <v>52970.983999999997</v>
      </c>
      <c r="Q12" s="1764"/>
      <c r="R12" s="1812" t="str">
        <f>'IPO Data_BioPharma'!V67</f>
        <v>IQ261738327</v>
      </c>
      <c r="S12" s="1812" t="str">
        <f>'IPO Data_BioPharma'!W67</f>
        <v>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v>
      </c>
      <c r="U12" s="1785">
        <f t="shared" si="0"/>
        <v>52970.983999999997</v>
      </c>
      <c r="V12" s="1786">
        <f t="shared" si="1"/>
        <v>0</v>
      </c>
    </row>
    <row r="13" spans="1:34" ht="13.5" customHeight="1">
      <c r="A13" s="1775"/>
      <c r="B13" s="1776" t="s">
        <v>775</v>
      </c>
      <c r="C13" s="1777" t="s">
        <v>776</v>
      </c>
      <c r="D13" s="1777" t="s">
        <v>777</v>
      </c>
      <c r="E13" s="1781" t="s">
        <v>412</v>
      </c>
      <c r="F13" s="1778">
        <v>42577</v>
      </c>
      <c r="G13" s="1779">
        <v>12</v>
      </c>
      <c r="H13" s="1779">
        <v>0</v>
      </c>
      <c r="I13" s="1779">
        <v>0</v>
      </c>
      <c r="J13" s="1779">
        <v>10.06</v>
      </c>
      <c r="K13" s="2051">
        <f t="shared" ref="K13:K18" si="2">+M13-L13</f>
        <v>38620.332000000002</v>
      </c>
      <c r="L13" s="2053">
        <f>6250000/1000</f>
        <v>6250</v>
      </c>
      <c r="M13" s="2053">
        <f>44870332/1000</f>
        <v>44870.332000000002</v>
      </c>
      <c r="N13" s="2054">
        <f t="shared" ref="N13:N18" si="3">+G13*K13</f>
        <v>463443.98400000005</v>
      </c>
      <c r="O13" s="2053">
        <f t="shared" ref="O13:O18" si="4">+G13*L13</f>
        <v>75000</v>
      </c>
      <c r="P13" s="2054">
        <f t="shared" ref="P13:P18" si="5">+N13+O13</f>
        <v>538443.98400000005</v>
      </c>
      <c r="Q13" s="1782"/>
      <c r="R13" s="1783" t="s">
        <v>778</v>
      </c>
      <c r="S13" s="1784" t="s">
        <v>779</v>
      </c>
      <c r="T13" s="1784" t="s">
        <v>2326</v>
      </c>
      <c r="U13" s="1785">
        <f t="shared" si="0"/>
        <v>538443.98400000005</v>
      </c>
      <c r="V13" s="1786">
        <f t="shared" si="1"/>
        <v>0</v>
      </c>
      <c r="W13" s="1787"/>
      <c r="X13" s="1773"/>
      <c r="Y13" s="1773"/>
      <c r="Z13" s="1773"/>
      <c r="AA13" s="1773"/>
      <c r="AB13" s="1773"/>
      <c r="AC13" s="1773"/>
      <c r="AD13" s="1773"/>
      <c r="AE13" s="1773"/>
      <c r="AF13" s="1773"/>
      <c r="AG13" s="1773"/>
      <c r="AH13" s="1773"/>
    </row>
    <row r="14" spans="1:34" ht="13.5" customHeight="1">
      <c r="A14" s="1775"/>
      <c r="B14" s="1776" t="s">
        <v>832</v>
      </c>
      <c r="C14" s="1777" t="s">
        <v>833</v>
      </c>
      <c r="D14" s="1777" t="s">
        <v>834</v>
      </c>
      <c r="E14" s="1781" t="s">
        <v>650</v>
      </c>
      <c r="F14" s="1778">
        <v>42410</v>
      </c>
      <c r="G14" s="1779">
        <v>8</v>
      </c>
      <c r="H14" s="1779">
        <v>12</v>
      </c>
      <c r="I14" s="1779">
        <v>14</v>
      </c>
      <c r="J14" s="1779">
        <v>8.9600000000000009</v>
      </c>
      <c r="K14" s="2051">
        <f t="shared" si="2"/>
        <v>12861.478999999999</v>
      </c>
      <c r="L14" s="2053">
        <f>6250000/1000</f>
        <v>6250</v>
      </c>
      <c r="M14" s="2053">
        <f>19111479/1000</f>
        <v>19111.478999999999</v>
      </c>
      <c r="N14" s="2054">
        <f t="shared" si="3"/>
        <v>102891.83199999999</v>
      </c>
      <c r="O14" s="2053">
        <f t="shared" si="4"/>
        <v>50000</v>
      </c>
      <c r="P14" s="2054">
        <f t="shared" si="5"/>
        <v>152891.83199999999</v>
      </c>
      <c r="Q14" s="1782"/>
      <c r="R14" s="1788" t="s">
        <v>835</v>
      </c>
      <c r="S14" s="1784" t="s">
        <v>836</v>
      </c>
      <c r="T14" s="945" t="s">
        <v>2327</v>
      </c>
      <c r="U14" s="1785">
        <f t="shared" si="0"/>
        <v>152891.83199999999</v>
      </c>
      <c r="V14" s="1786">
        <f t="shared" si="1"/>
        <v>0</v>
      </c>
      <c r="W14" s="1773"/>
      <c r="AA14" s="1780"/>
      <c r="AB14" s="1789"/>
      <c r="AC14" s="1787"/>
    </row>
    <row r="15" spans="1:34" ht="13.5" customHeight="1">
      <c r="A15" s="1775"/>
      <c r="B15" s="1776" t="s">
        <v>923</v>
      </c>
      <c r="C15" s="1777" t="s">
        <v>924</v>
      </c>
      <c r="D15" s="1777" t="s">
        <v>925</v>
      </c>
      <c r="E15" s="1781" t="s">
        <v>411</v>
      </c>
      <c r="F15" s="1778">
        <v>42171</v>
      </c>
      <c r="G15" s="1779">
        <v>14</v>
      </c>
      <c r="H15" s="1779">
        <v>13</v>
      </c>
      <c r="I15" s="1779">
        <v>15</v>
      </c>
      <c r="J15" s="1779">
        <v>19.010000000000002</v>
      </c>
      <c r="K15" s="2051">
        <f t="shared" si="2"/>
        <v>9126.6830000000009</v>
      </c>
      <c r="L15" s="2053">
        <f>5500000/1000</f>
        <v>5500</v>
      </c>
      <c r="M15" s="2053">
        <f>14626683/1000</f>
        <v>14626.683000000001</v>
      </c>
      <c r="N15" s="2054">
        <f t="shared" si="3"/>
        <v>127773.56200000001</v>
      </c>
      <c r="O15" s="2053">
        <f t="shared" si="4"/>
        <v>77000</v>
      </c>
      <c r="P15" s="2054">
        <f t="shared" si="5"/>
        <v>204773.56200000001</v>
      </c>
      <c r="Q15" s="1782"/>
      <c r="R15" s="1788" t="s">
        <v>926</v>
      </c>
      <c r="S15" s="1784" t="s">
        <v>927</v>
      </c>
      <c r="T15" s="1784" t="s">
        <v>2328</v>
      </c>
      <c r="U15" s="1785">
        <f t="shared" si="0"/>
        <v>204773.56200000001</v>
      </c>
      <c r="V15" s="1786">
        <f t="shared" si="1"/>
        <v>0</v>
      </c>
      <c r="W15" s="1773"/>
      <c r="AA15" s="1780"/>
      <c r="AB15" s="1789"/>
      <c r="AC15" s="1787"/>
      <c r="AG15" s="1790"/>
      <c r="AH15" s="1790"/>
    </row>
    <row r="16" spans="1:34" ht="13.5" customHeight="1">
      <c r="A16" s="1775"/>
      <c r="B16" s="1776" t="s">
        <v>720</v>
      </c>
      <c r="C16" s="1777" t="s">
        <v>991</v>
      </c>
      <c r="D16" s="1777" t="s">
        <v>992</v>
      </c>
      <c r="E16" s="1781" t="s">
        <v>650</v>
      </c>
      <c r="F16" s="1778">
        <v>42033</v>
      </c>
      <c r="G16" s="1779">
        <v>10</v>
      </c>
      <c r="H16" s="1779">
        <v>12</v>
      </c>
      <c r="I16" s="1779">
        <v>14</v>
      </c>
      <c r="J16" s="1779">
        <v>13.43</v>
      </c>
      <c r="K16" s="2051">
        <f t="shared" si="2"/>
        <v>8492.8060000000005</v>
      </c>
      <c r="L16" s="2053">
        <f>3600000/1000</f>
        <v>3600</v>
      </c>
      <c r="M16" s="2053">
        <f>12092806/1000</f>
        <v>12092.806</v>
      </c>
      <c r="N16" s="2054">
        <f t="shared" si="3"/>
        <v>84928.06</v>
      </c>
      <c r="O16" s="2053">
        <f t="shared" si="4"/>
        <v>36000</v>
      </c>
      <c r="P16" s="2054">
        <f t="shared" si="5"/>
        <v>120928.06</v>
      </c>
      <c r="Q16" s="1782"/>
      <c r="R16" s="1788" t="s">
        <v>993</v>
      </c>
      <c r="S16" s="1784" t="s">
        <v>994</v>
      </c>
      <c r="T16" s="1784" t="s">
        <v>2329</v>
      </c>
      <c r="U16" s="1785">
        <f t="shared" si="0"/>
        <v>120928.06</v>
      </c>
      <c r="V16" s="1786">
        <f t="shared" si="1"/>
        <v>0</v>
      </c>
      <c r="W16" s="1773"/>
      <c r="AA16" s="1780"/>
      <c r="AB16" s="1789"/>
      <c r="AC16" s="1787"/>
      <c r="AG16" s="1790"/>
      <c r="AH16" s="1790"/>
    </row>
    <row r="17" spans="1:34" ht="13.5" customHeight="1">
      <c r="A17" s="1791"/>
      <c r="B17" s="1776" t="s">
        <v>1919</v>
      </c>
      <c r="C17" s="1777" t="s">
        <v>1917</v>
      </c>
      <c r="D17" s="1777" t="s">
        <v>2365</v>
      </c>
      <c r="E17" s="1781" t="s">
        <v>412</v>
      </c>
      <c r="F17" s="1778">
        <v>41956</v>
      </c>
      <c r="G17" s="1779">
        <v>18</v>
      </c>
      <c r="H17" s="1779">
        <v>16</v>
      </c>
      <c r="I17" s="1779">
        <v>19</v>
      </c>
      <c r="J17" s="1779">
        <v>28.99</v>
      </c>
      <c r="K17" s="2051">
        <f t="shared" si="2"/>
        <v>47428.995000000003</v>
      </c>
      <c r="L17" s="2053">
        <f>9315000/1000</f>
        <v>9315</v>
      </c>
      <c r="M17" s="2053">
        <f>56743995/1000</f>
        <v>56743.995000000003</v>
      </c>
      <c r="N17" s="2054">
        <f t="shared" si="3"/>
        <v>853721.91</v>
      </c>
      <c r="O17" s="2053">
        <f t="shared" si="4"/>
        <v>167670</v>
      </c>
      <c r="P17" s="2054">
        <f t="shared" si="5"/>
        <v>1021391.91</v>
      </c>
      <c r="Q17" s="1782"/>
      <c r="R17" s="1792" t="s">
        <v>1918</v>
      </c>
      <c r="S17" s="1784" t="s">
        <v>2330</v>
      </c>
      <c r="T17" s="1784" t="s">
        <v>2331</v>
      </c>
      <c r="U17" s="1785">
        <f t="shared" si="0"/>
        <v>1021391.91</v>
      </c>
      <c r="V17" s="1786">
        <f t="shared" si="1"/>
        <v>0</v>
      </c>
      <c r="W17" s="1790"/>
      <c r="X17" s="1790"/>
      <c r="Y17" s="1790"/>
      <c r="Z17" s="1790"/>
      <c r="AA17" s="1793"/>
      <c r="AB17" s="1789"/>
      <c r="AC17" s="1787"/>
      <c r="AD17" s="1790"/>
      <c r="AE17" s="1790"/>
      <c r="AF17" s="1790"/>
      <c r="AG17" s="1790"/>
      <c r="AH17" s="1790"/>
    </row>
    <row r="18" spans="1:34" ht="13.5" customHeight="1">
      <c r="A18" s="1791"/>
      <c r="B18" s="1776" t="s">
        <v>2366</v>
      </c>
      <c r="C18" s="1777" t="s">
        <v>2348</v>
      </c>
      <c r="D18" s="1777" t="s">
        <v>2367</v>
      </c>
      <c r="E18" s="1781" t="s">
        <v>421</v>
      </c>
      <c r="F18" s="1778">
        <v>41682</v>
      </c>
      <c r="G18" s="1779">
        <v>14</v>
      </c>
      <c r="H18" s="1779">
        <v>12</v>
      </c>
      <c r="I18" s="1779">
        <v>14</v>
      </c>
      <c r="J18" s="1779">
        <v>13.64</v>
      </c>
      <c r="K18" s="2051">
        <f t="shared" si="2"/>
        <v>11218.121000000003</v>
      </c>
      <c r="L18" s="2053">
        <f>6649690/1000</f>
        <v>6649.69</v>
      </c>
      <c r="M18" s="2053">
        <f>17867811/1000</f>
        <v>17867.811000000002</v>
      </c>
      <c r="N18" s="2054">
        <f t="shared" si="3"/>
        <v>157053.69400000005</v>
      </c>
      <c r="O18" s="2053">
        <f t="shared" si="4"/>
        <v>93095.659999999989</v>
      </c>
      <c r="P18" s="2054">
        <f t="shared" si="5"/>
        <v>250149.35400000005</v>
      </c>
      <c r="Q18" s="1782"/>
      <c r="R18" s="1792" t="s">
        <v>2332</v>
      </c>
      <c r="S18" s="1784" t="s">
        <v>2333</v>
      </c>
      <c r="T18" s="1784" t="s">
        <v>2334</v>
      </c>
      <c r="U18" s="1785">
        <f t="shared" si="0"/>
        <v>250149.35400000005</v>
      </c>
      <c r="V18" s="1786">
        <f t="shared" si="1"/>
        <v>0</v>
      </c>
      <c r="W18" s="1790"/>
      <c r="X18" s="1790"/>
      <c r="Y18" s="1790"/>
      <c r="Z18" s="1790"/>
      <c r="AA18" s="1793"/>
      <c r="AB18" s="1789"/>
      <c r="AC18" s="1787"/>
      <c r="AD18" s="1790"/>
      <c r="AE18" s="1790"/>
      <c r="AF18" s="1790"/>
    </row>
    <row r="19" spans="1:34" ht="8.25" customHeight="1">
      <c r="A19" s="1791"/>
      <c r="B19" s="1776"/>
      <c r="C19" s="1776"/>
      <c r="D19" s="1776"/>
      <c r="E19" s="1795"/>
      <c r="F19" s="1794"/>
      <c r="G19" s="1794"/>
      <c r="H19" s="1794"/>
      <c r="I19" s="1794"/>
      <c r="J19" s="1794"/>
      <c r="K19" s="2054"/>
      <c r="L19" s="2054"/>
      <c r="M19" s="2054"/>
      <c r="N19" s="2054"/>
      <c r="O19" s="2054"/>
      <c r="P19" s="2054"/>
      <c r="Q19" s="1782"/>
    </row>
    <row r="20" spans="1:34" s="1797" customFormat="1">
      <c r="B20" s="1798" t="s">
        <v>46</v>
      </c>
      <c r="C20" s="1799"/>
      <c r="D20" s="1799"/>
      <c r="E20" s="1800"/>
      <c r="F20" s="1799"/>
      <c r="G20" s="1799"/>
      <c r="H20" s="1799"/>
      <c r="I20" s="1799"/>
      <c r="J20" s="1799"/>
      <c r="K20" s="1800">
        <f>MAX(K9:K18)</f>
        <v>47428.995000000003</v>
      </c>
      <c r="L20" s="1800">
        <f t="shared" ref="L20:M20" si="6">MAX(L9:L18)</f>
        <v>9350</v>
      </c>
      <c r="M20" s="1800">
        <f t="shared" si="6"/>
        <v>56743.995000000003</v>
      </c>
      <c r="N20" s="1800">
        <f t="shared" ref="N20:P20" si="7">MAX(N9:N18)</f>
        <v>853721.91</v>
      </c>
      <c r="O20" s="1800"/>
      <c r="P20" s="1964">
        <f t="shared" si="7"/>
        <v>1021391.91</v>
      </c>
      <c r="Q20" s="1796"/>
    </row>
    <row r="21" spans="1:34" s="1797" customFormat="1">
      <c r="B21" s="763" t="s">
        <v>50</v>
      </c>
      <c r="C21" s="764"/>
      <c r="D21" s="764"/>
      <c r="E21" s="756"/>
      <c r="F21" s="764"/>
      <c r="G21" s="764"/>
      <c r="H21" s="764"/>
      <c r="I21" s="764"/>
      <c r="J21" s="764"/>
      <c r="K21" s="756">
        <f>QUARTILE(K9:K18,3)</f>
        <v>33155.380749999997</v>
      </c>
      <c r="L21" s="756">
        <f t="shared" ref="L21:M21" si="8">QUARTILE(L9:L18,3)</f>
        <v>7521.7974999999997</v>
      </c>
      <c r="M21" s="756">
        <f t="shared" si="8"/>
        <v>42121.005749999997</v>
      </c>
      <c r="N21" s="756">
        <f t="shared" ref="N21:P21" si="9">QUARTILE(N9:N18,3)</f>
        <v>450773.84125</v>
      </c>
      <c r="O21" s="756"/>
      <c r="P21" s="765">
        <f t="shared" si="9"/>
        <v>544423.26</v>
      </c>
      <c r="Q21" s="1764"/>
    </row>
    <row r="22" spans="1:34" s="1797" customFormat="1">
      <c r="B22" s="763" t="s">
        <v>2</v>
      </c>
      <c r="C22" s="764"/>
      <c r="D22" s="764"/>
      <c r="E22" s="756"/>
      <c r="F22" s="764"/>
      <c r="G22" s="764"/>
      <c r="H22" s="764"/>
      <c r="I22" s="764"/>
      <c r="J22" s="764"/>
      <c r="K22" s="756">
        <f>AVERAGE(K9:K18)</f>
        <v>21726.622900000002</v>
      </c>
      <c r="L22" s="756">
        <f t="shared" ref="L22:M22" si="10">AVERAGE(L9:L18)</f>
        <v>6104.7190000000001</v>
      </c>
      <c r="M22" s="756">
        <f t="shared" si="10"/>
        <v>27831.341899999999</v>
      </c>
      <c r="N22" s="756">
        <f t="shared" ref="N22:P22" si="11">AVERAGE(N9:N18)</f>
        <v>298660.75530000002</v>
      </c>
      <c r="O22" s="756"/>
      <c r="P22" s="765">
        <f t="shared" si="11"/>
        <v>381224.32130000007</v>
      </c>
      <c r="Q22" s="1764"/>
    </row>
    <row r="23" spans="1:34" s="1797" customFormat="1">
      <c r="B23" s="763" t="s">
        <v>3</v>
      </c>
      <c r="C23" s="764"/>
      <c r="D23" s="764"/>
      <c r="E23" s="756"/>
      <c r="F23" s="764"/>
      <c r="G23" s="764"/>
      <c r="H23" s="764"/>
      <c r="I23" s="764"/>
      <c r="J23" s="764"/>
      <c r="K23" s="756">
        <f>MEDIAN(K9:K18)</f>
        <v>15971.0075</v>
      </c>
      <c r="L23" s="756">
        <f t="shared" ref="L23:M23" si="12">MEDIAN(L9:L18)</f>
        <v>6250</v>
      </c>
      <c r="M23" s="756">
        <f t="shared" si="12"/>
        <v>21776.0075</v>
      </c>
      <c r="N23" s="756">
        <f t="shared" ref="N23:P23" si="13">MEDIAN(N9:N18)</f>
        <v>212090.59900000005</v>
      </c>
      <c r="O23" s="756"/>
      <c r="P23" s="765">
        <f t="shared" si="13"/>
        <v>296158.429</v>
      </c>
      <c r="Q23" s="1764"/>
    </row>
    <row r="24" spans="1:34" s="1797" customFormat="1">
      <c r="B24" s="763" t="s">
        <v>49</v>
      </c>
      <c r="C24" s="764"/>
      <c r="D24" s="764"/>
      <c r="E24" s="756"/>
      <c r="F24" s="764"/>
      <c r="G24" s="764"/>
      <c r="H24" s="764"/>
      <c r="I24" s="764"/>
      <c r="J24" s="764"/>
      <c r="K24" s="756">
        <f>QUARTILE(K9:K18,1)</f>
        <v>9649.5425000000014</v>
      </c>
      <c r="L24" s="756">
        <f t="shared" ref="L24:M24" si="14">QUARTILE(L9:L18,1)</f>
        <v>5395</v>
      </c>
      <c r="M24" s="756">
        <f t="shared" si="14"/>
        <v>15436.965</v>
      </c>
      <c r="N24" s="756">
        <f t="shared" ref="N24:P24" si="15">QUARTILE(N9:N18,1)</f>
        <v>109112.26449999999</v>
      </c>
      <c r="O24" s="756"/>
      <c r="P24" s="765">
        <f t="shared" si="15"/>
        <v>165862.26449999999</v>
      </c>
      <c r="Q24" s="1764"/>
    </row>
    <row r="25" spans="1:34" s="1797" customFormat="1">
      <c r="B25" s="914" t="s">
        <v>47</v>
      </c>
      <c r="C25" s="766"/>
      <c r="D25" s="766"/>
      <c r="E25" s="757"/>
      <c r="F25" s="766"/>
      <c r="G25" s="766"/>
      <c r="H25" s="766"/>
      <c r="I25" s="766"/>
      <c r="J25" s="766"/>
      <c r="K25" s="757">
        <f>MIN(K9:K18)</f>
        <v>8492.8060000000005</v>
      </c>
      <c r="L25" s="757">
        <f t="shared" ref="L25:M25" si="16">MIN(L9:L18)</f>
        <v>960</v>
      </c>
      <c r="M25" s="757">
        <f t="shared" si="16"/>
        <v>9631.0879999999997</v>
      </c>
      <c r="N25" s="757">
        <f t="shared" ref="N25:P25" si="17">MIN(N9:N18)</f>
        <v>47690.983999999997</v>
      </c>
      <c r="O25" s="757"/>
      <c r="P25" s="1965">
        <f t="shared" si="17"/>
        <v>52970.983999999997</v>
      </c>
      <c r="Q25" s="1764"/>
    </row>
    <row r="26" spans="1:34">
      <c r="B26" s="1797"/>
      <c r="C26" s="1797"/>
      <c r="D26" s="1797"/>
      <c r="E26" s="1801"/>
      <c r="F26" s="1796"/>
      <c r="G26" s="1796"/>
      <c r="H26" s="1796"/>
      <c r="I26" s="1796"/>
      <c r="J26" s="1796"/>
      <c r="K26" s="1796"/>
      <c r="L26" s="1796"/>
      <c r="M26" s="1796"/>
      <c r="N26" s="1796"/>
      <c r="O26" s="1796"/>
      <c r="P26" s="1796"/>
      <c r="Q26" s="1764"/>
    </row>
    <row r="27" spans="1:34">
      <c r="B27" s="8" t="s">
        <v>51</v>
      </c>
    </row>
    <row r="29" spans="1:34">
      <c r="B29" s="1776"/>
      <c r="C29" s="1803"/>
      <c r="D29" s="1803"/>
      <c r="E29" s="1781"/>
      <c r="F29" s="1804"/>
      <c r="G29" s="1805"/>
      <c r="H29" s="1805"/>
      <c r="I29" s="1805"/>
      <c r="J29" s="1805"/>
      <c r="K29" s="1806"/>
      <c r="L29" s="1780"/>
      <c r="M29" s="1780"/>
      <c r="N29" s="1764"/>
      <c r="O29" s="1764"/>
      <c r="P29" s="1764"/>
      <c r="Q29" s="1764"/>
      <c r="R29" s="1788"/>
    </row>
    <row r="36" spans="3:3">
      <c r="C36" s="1757" t="s">
        <v>976</v>
      </c>
    </row>
    <row r="37" spans="3:3">
      <c r="C37" s="1757" t="s">
        <v>981</v>
      </c>
    </row>
    <row r="38" spans="3:3">
      <c r="C38" s="1757" t="s">
        <v>2335</v>
      </c>
    </row>
    <row r="39" spans="3:3">
      <c r="C39" s="1757" t="s">
        <v>1219</v>
      </c>
    </row>
    <row r="40" spans="3:3">
      <c r="C40" s="1757" t="s">
        <v>655</v>
      </c>
    </row>
    <row r="41" spans="3:3">
      <c r="C41" s="1757" t="s">
        <v>991</v>
      </c>
    </row>
    <row r="42" spans="3:3">
      <c r="C42" s="1757" t="s">
        <v>996</v>
      </c>
    </row>
    <row r="43" spans="3:3">
      <c r="C43" s="1757" t="s">
        <v>1220</v>
      </c>
    </row>
    <row r="44" spans="3:3">
      <c r="C44" s="1757" t="s">
        <v>2336</v>
      </c>
    </row>
    <row r="45" spans="3:3">
      <c r="C45" s="1757" t="s">
        <v>1000</v>
      </c>
    </row>
    <row r="46" spans="3:3">
      <c r="C46" s="1757" t="s">
        <v>1004</v>
      </c>
    </row>
    <row r="47" spans="3:3">
      <c r="C47" s="1757" t="s">
        <v>1005</v>
      </c>
    </row>
    <row r="48" spans="3:3">
      <c r="C48" s="1757" t="s">
        <v>2337</v>
      </c>
    </row>
    <row r="49" spans="3:3">
      <c r="C49" s="1757" t="s">
        <v>2338</v>
      </c>
    </row>
    <row r="50" spans="3:3">
      <c r="C50" s="1757" t="s">
        <v>2339</v>
      </c>
    </row>
    <row r="51" spans="3:3">
      <c r="C51" s="1757" t="s">
        <v>2340</v>
      </c>
    </row>
    <row r="52" spans="3:3">
      <c r="C52" s="1757" t="s">
        <v>1917</v>
      </c>
    </row>
    <row r="53" spans="3:3">
      <c r="C53" s="1757" t="s">
        <v>2341</v>
      </c>
    </row>
    <row r="54" spans="3:3">
      <c r="C54" s="1757" t="s">
        <v>2342</v>
      </c>
    </row>
    <row r="55" spans="3:3">
      <c r="C55" s="1757" t="s">
        <v>2343</v>
      </c>
    </row>
    <row r="56" spans="3:3">
      <c r="C56" s="1757" t="s">
        <v>2344</v>
      </c>
    </row>
    <row r="57" spans="3:3">
      <c r="C57" s="1757" t="s">
        <v>2345</v>
      </c>
    </row>
    <row r="58" spans="3:3">
      <c r="C58" s="1757" t="s">
        <v>1007</v>
      </c>
    </row>
    <row r="59" spans="3:3">
      <c r="C59" s="1757" t="s">
        <v>1008</v>
      </c>
    </row>
    <row r="60" spans="3:3">
      <c r="C60" s="1757" t="s">
        <v>1009</v>
      </c>
    </row>
    <row r="61" spans="3:3">
      <c r="C61" s="1757" t="s">
        <v>1010</v>
      </c>
    </row>
    <row r="62" spans="3:3">
      <c r="C62" s="1757" t="s">
        <v>1011</v>
      </c>
    </row>
    <row r="63" spans="3:3">
      <c r="C63" s="1757" t="s">
        <v>1012</v>
      </c>
    </row>
    <row r="64" spans="3:3">
      <c r="C64" s="1757" t="s">
        <v>1051</v>
      </c>
    </row>
    <row r="65" spans="3:3">
      <c r="C65" s="1757" t="s">
        <v>1013</v>
      </c>
    </row>
    <row r="66" spans="3:3">
      <c r="C66" s="1757" t="s">
        <v>1014</v>
      </c>
    </row>
    <row r="67" spans="3:3">
      <c r="C67" s="1757" t="s">
        <v>1015</v>
      </c>
    </row>
    <row r="68" spans="3:3">
      <c r="C68" s="1757" t="s">
        <v>1016</v>
      </c>
    </row>
    <row r="69" spans="3:3">
      <c r="C69" s="1757" t="s">
        <v>1017</v>
      </c>
    </row>
    <row r="70" spans="3:3">
      <c r="C70" s="1757" t="s">
        <v>1018</v>
      </c>
    </row>
    <row r="71" spans="3:3">
      <c r="C71" s="1757" t="s">
        <v>1019</v>
      </c>
    </row>
    <row r="72" spans="3:3">
      <c r="C72" s="1757" t="s">
        <v>1020</v>
      </c>
    </row>
    <row r="73" spans="3:3">
      <c r="C73" s="1757" t="s">
        <v>1021</v>
      </c>
    </row>
    <row r="74" spans="3:3">
      <c r="C74" s="1757" t="s">
        <v>1052</v>
      </c>
    </row>
    <row r="75" spans="3:3">
      <c r="C75" s="1757" t="s">
        <v>1053</v>
      </c>
    </row>
    <row r="76" spans="3:3">
      <c r="C76" s="1757" t="s">
        <v>1022</v>
      </c>
    </row>
    <row r="77" spans="3:3">
      <c r="C77" s="1757" t="s">
        <v>692</v>
      </c>
    </row>
    <row r="78" spans="3:3">
      <c r="C78" s="1757" t="s">
        <v>1023</v>
      </c>
    </row>
    <row r="79" spans="3:3">
      <c r="C79" s="1757" t="s">
        <v>1024</v>
      </c>
    </row>
    <row r="80" spans="3:3">
      <c r="C80" s="1757" t="s">
        <v>1025</v>
      </c>
    </row>
    <row r="81" spans="3:3">
      <c r="C81" s="1757" t="s">
        <v>1026</v>
      </c>
    </row>
    <row r="82" spans="3:3">
      <c r="C82" s="1757" t="s">
        <v>1027</v>
      </c>
    </row>
    <row r="83" spans="3:3">
      <c r="C83" s="1757" t="s">
        <v>1028</v>
      </c>
    </row>
    <row r="84" spans="3:3">
      <c r="C84" s="1757" t="s">
        <v>1029</v>
      </c>
    </row>
    <row r="85" spans="3:3">
      <c r="C85" s="1757" t="s">
        <v>1030</v>
      </c>
    </row>
    <row r="86" spans="3:3">
      <c r="C86" s="1757" t="s">
        <v>1031</v>
      </c>
    </row>
    <row r="87" spans="3:3">
      <c r="C87" s="1757" t="s">
        <v>1032</v>
      </c>
    </row>
    <row r="88" spans="3:3">
      <c r="C88" s="1757" t="s">
        <v>1033</v>
      </c>
    </row>
    <row r="89" spans="3:3">
      <c r="C89" s="1757" t="s">
        <v>1034</v>
      </c>
    </row>
    <row r="90" spans="3:3">
      <c r="C90" s="1757" t="s">
        <v>1035</v>
      </c>
    </row>
    <row r="91" spans="3:3">
      <c r="C91" s="1797" t="s">
        <v>1054</v>
      </c>
    </row>
    <row r="92" spans="3:3">
      <c r="C92" s="1757" t="s">
        <v>1036</v>
      </c>
    </row>
    <row r="93" spans="3:3">
      <c r="C93" s="1757" t="s">
        <v>1037</v>
      </c>
    </row>
    <row r="94" spans="3:3">
      <c r="C94" s="1757" t="s">
        <v>1038</v>
      </c>
    </row>
    <row r="95" spans="3:3">
      <c r="C95" s="1757" t="s">
        <v>1039</v>
      </c>
    </row>
    <row r="96" spans="3:3">
      <c r="C96" s="1757" t="s">
        <v>1040</v>
      </c>
    </row>
    <row r="97" spans="3:3">
      <c r="C97" s="1757" t="s">
        <v>1041</v>
      </c>
    </row>
    <row r="98" spans="3:3">
      <c r="C98" s="1757" t="s">
        <v>1042</v>
      </c>
    </row>
    <row r="99" spans="3:3">
      <c r="C99" s="1757" t="s">
        <v>1043</v>
      </c>
    </row>
    <row r="100" spans="3:3">
      <c r="C100" s="1757" t="s">
        <v>1044</v>
      </c>
    </row>
    <row r="101" spans="3:3">
      <c r="C101" s="1757" t="s">
        <v>1045</v>
      </c>
    </row>
    <row r="102" spans="3:3">
      <c r="C102" s="1757" t="s">
        <v>1046</v>
      </c>
    </row>
    <row r="103" spans="3:3">
      <c r="C103" s="1757" t="s">
        <v>1047</v>
      </c>
    </row>
    <row r="104" spans="3:3">
      <c r="C104" s="1757" t="s">
        <v>1048</v>
      </c>
    </row>
    <row r="105" spans="3:3">
      <c r="C105" s="1757" t="s">
        <v>1049</v>
      </c>
    </row>
    <row r="106" spans="3:3">
      <c r="C106" s="1757" t="s">
        <v>1050</v>
      </c>
    </row>
    <row r="107" spans="3:3">
      <c r="C107" s="1757" t="s">
        <v>2346</v>
      </c>
    </row>
    <row r="108" spans="3:3">
      <c r="C108" s="1757" t="s">
        <v>2347</v>
      </c>
    </row>
    <row r="109" spans="3:3">
      <c r="C109" s="1757" t="s">
        <v>2348</v>
      </c>
    </row>
    <row r="110" spans="3:3">
      <c r="C110" s="1757" t="s">
        <v>2349</v>
      </c>
    </row>
    <row r="111" spans="3:3">
      <c r="C111" s="1757" t="s">
        <v>2350</v>
      </c>
    </row>
    <row r="112" spans="3:3">
      <c r="C112" s="1797" t="s">
        <v>2351</v>
      </c>
    </row>
    <row r="113" spans="3:3">
      <c r="C113" s="1757" t="s">
        <v>2352</v>
      </c>
    </row>
    <row r="114" spans="3:3">
      <c r="C114" s="1757" t="s">
        <v>2353</v>
      </c>
    </row>
    <row r="115" spans="3:3">
      <c r="C115" s="1757" t="s">
        <v>2354</v>
      </c>
    </row>
    <row r="116" spans="3:3">
      <c r="C116" s="1757" t="s">
        <v>2355</v>
      </c>
    </row>
    <row r="117" spans="3:3">
      <c r="C117" s="1757" t="s">
        <v>2356</v>
      </c>
    </row>
    <row r="118" spans="3:3">
      <c r="C118" s="1757" t="s">
        <v>2357</v>
      </c>
    </row>
    <row r="119" spans="3:3">
      <c r="C119" s="1757" t="s">
        <v>2358</v>
      </c>
    </row>
    <row r="120" spans="3:3">
      <c r="C120" s="1757" t="s">
        <v>2359</v>
      </c>
    </row>
    <row r="121" spans="3:3">
      <c r="C121" s="1757" t="s">
        <v>2360</v>
      </c>
    </row>
    <row r="122" spans="3:3">
      <c r="C122" s="1757" t="s">
        <v>2361</v>
      </c>
    </row>
    <row r="123" spans="3:3">
      <c r="C123" s="1757" t="s">
        <v>2362</v>
      </c>
    </row>
    <row r="124" spans="3:3">
      <c r="C124" s="1757" t="s">
        <v>2363</v>
      </c>
    </row>
    <row r="125" spans="3:3">
      <c r="C125" s="1757" t="s">
        <v>2364</v>
      </c>
    </row>
  </sheetData>
  <conditionalFormatting sqref="L4:M4 B4:E4">
    <cfRule type="cellIs" dxfId="172" priority="8" stopIfTrue="1" operator="equal">
      <formula>"input"</formula>
    </cfRule>
  </conditionalFormatting>
  <conditionalFormatting sqref="F4:G4">
    <cfRule type="cellIs" dxfId="171" priority="7" stopIfTrue="1" operator="equal">
      <formula>"input"</formula>
    </cfRule>
  </conditionalFormatting>
  <conditionalFormatting sqref="H4:I4">
    <cfRule type="cellIs" dxfId="170" priority="6" stopIfTrue="1" operator="equal">
      <formula>"input"</formula>
    </cfRule>
  </conditionalFormatting>
  <conditionalFormatting sqref="J4:K4">
    <cfRule type="cellIs" dxfId="169" priority="5" stopIfTrue="1" operator="equal">
      <formula>"input"</formula>
    </cfRule>
  </conditionalFormatting>
  <conditionalFormatting sqref="N4:O4">
    <cfRule type="cellIs" dxfId="168" priority="3" stopIfTrue="1" operator="equal">
      <formula>"input"</formula>
    </cfRule>
  </conditionalFormatting>
  <conditionalFormatting sqref="P4">
    <cfRule type="cellIs" dxfId="167" priority="1" stopIfTrue="1" operator="equal">
      <formula>"input"</formula>
    </cfRule>
  </conditionalFormatting>
  <pageMargins left="0.5" right="0.5" top="0.5" bottom="0.5" header="0.5" footer="0.5"/>
  <pageSetup scale="95" pageOrder="overThenDown" orientation="landscape"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dimension ref="A1:BU223"/>
  <sheetViews>
    <sheetView showGridLines="0" view="pageBreakPreview" zoomScaleNormal="100" zoomScaleSheetLayoutView="100" workbookViewId="0"/>
  </sheetViews>
  <sheetFormatPr defaultColWidth="10.6640625" defaultRowHeight="12.75" outlineLevelCol="1"/>
  <cols>
    <col min="1" max="1" width="4.5" style="1406" customWidth="1"/>
    <col min="2" max="2" width="50.6640625" style="1406" bestFit="1" customWidth="1"/>
    <col min="3" max="3" width="19.83203125" style="1406" hidden="1" customWidth="1" outlineLevel="1"/>
    <col min="4" max="4" width="14.1640625" style="1406" customWidth="1" collapsed="1"/>
    <col min="5" max="5" width="15.1640625" style="1406" hidden="1" customWidth="1" outlineLevel="1"/>
    <col min="6" max="6" width="12" style="1408" customWidth="1" collapsed="1"/>
    <col min="7" max="7" width="10.1640625" style="1408" customWidth="1"/>
    <col min="8" max="9" width="10.1640625" style="1408" hidden="1" customWidth="1" outlineLevel="1"/>
    <col min="10" max="10" width="10.1640625" style="1408" customWidth="1" collapsed="1"/>
    <col min="11" max="13" width="13.5" style="1408" customWidth="1"/>
    <col min="14" max="16" width="14.83203125" style="1408" customWidth="1"/>
    <col min="17" max="17" width="4.5" style="1408" customWidth="1"/>
    <col min="18" max="18" width="28.83203125" style="1408" bestFit="1" customWidth="1"/>
    <col min="19" max="19" width="16.33203125" style="1406" customWidth="1"/>
    <col min="20" max="20" width="18.1640625" style="1406" customWidth="1"/>
    <col min="21" max="21" width="14.83203125" style="1406" customWidth="1"/>
    <col min="22" max="22" width="13.5" style="1406" bestFit="1" customWidth="1"/>
    <col min="23" max="23" width="16.1640625" style="1406" bestFit="1" customWidth="1"/>
    <col min="24" max="24" width="16.1640625" style="1406" customWidth="1"/>
    <col min="25" max="25" width="22.33203125" style="1406" hidden="1" customWidth="1" outlineLevel="1"/>
    <col min="26" max="28" width="16.1640625" style="1406" hidden="1" customWidth="1" outlineLevel="1"/>
    <col min="29" max="29" width="11.83203125" style="1406" hidden="1" customWidth="1" outlineLevel="1"/>
    <col min="30" max="30" width="10.83203125" style="1406" hidden="1" customWidth="1" outlineLevel="1"/>
    <col min="31" max="31" width="11.5" style="1406" hidden="1" customWidth="1" outlineLevel="1"/>
    <col min="32" max="32" width="10.6640625" style="1406" collapsed="1"/>
    <col min="33" max="33" width="10.6640625" style="1406" customWidth="1"/>
    <col min="34" max="35" width="10.6640625" style="1406"/>
    <col min="36" max="36" width="12.5" style="1406" bestFit="1" customWidth="1"/>
    <col min="37" max="37" width="15.1640625" style="1406" bestFit="1" customWidth="1"/>
    <col min="38" max="16384" width="10.6640625" style="1406"/>
  </cols>
  <sheetData>
    <row r="1" spans="1:43" ht="11.25" customHeight="1" thickBot="1">
      <c r="A1" s="1405"/>
      <c r="F1" s="1407"/>
      <c r="G1" s="1407"/>
      <c r="H1" s="1407"/>
      <c r="I1" s="1407"/>
      <c r="J1" s="1407"/>
      <c r="K1" s="1407"/>
      <c r="L1" s="1407"/>
      <c r="M1" s="1407"/>
      <c r="N1" s="1407"/>
      <c r="R1" s="1406"/>
      <c r="S1" s="1409"/>
      <c r="T1" s="1410"/>
      <c r="W1" s="1406" t="s">
        <v>299</v>
      </c>
      <c r="X1" s="1406" t="s">
        <v>301</v>
      </c>
      <c r="AQ1" s="1411"/>
    </row>
    <row r="2" spans="1:43" ht="16.5" thickTop="1">
      <c r="A2" s="1412"/>
      <c r="B2" s="10" t="str">
        <f>'MASTER PubCo Inputs'!$C$5</f>
        <v>Pliant Therapeutics, Inc.</v>
      </c>
      <c r="C2" s="758"/>
      <c r="D2" s="758"/>
      <c r="E2" s="758"/>
      <c r="F2" s="758"/>
      <c r="G2" s="758"/>
      <c r="H2" s="758"/>
      <c r="I2" s="758"/>
      <c r="J2" s="758"/>
      <c r="K2" s="758"/>
      <c r="L2" s="758"/>
      <c r="M2" s="758"/>
      <c r="N2" s="758"/>
      <c r="O2" s="758"/>
      <c r="P2" s="758"/>
      <c r="Q2" s="1413"/>
      <c r="R2" s="759"/>
      <c r="S2" s="1414" t="s">
        <v>1080</v>
      </c>
      <c r="T2" s="1415">
        <v>43305</v>
      </c>
      <c r="W2" s="1406" t="s">
        <v>610</v>
      </c>
      <c r="X2" s="1406" t="s">
        <v>611</v>
      </c>
    </row>
    <row r="3" spans="1:43" ht="15.75">
      <c r="A3" s="1412"/>
      <c r="B3" s="11" t="str">
        <f>VLOOKUP(B4,Outline!$E$8:$G$69,COLUMNS(Outline!$E$8:$G$8),FALSE)</f>
        <v>Exhibit H.9</v>
      </c>
      <c r="C3" s="760"/>
      <c r="D3" s="760"/>
      <c r="E3" s="760"/>
      <c r="F3" s="760"/>
      <c r="G3" s="760"/>
      <c r="H3" s="760"/>
      <c r="I3" s="760"/>
      <c r="J3" s="760"/>
      <c r="K3" s="760"/>
      <c r="L3" s="760"/>
      <c r="M3" s="760"/>
      <c r="N3" s="760"/>
      <c r="O3" s="760"/>
      <c r="P3" s="760"/>
      <c r="Q3" s="1413"/>
      <c r="R3" s="759"/>
      <c r="S3" s="1416" t="s">
        <v>2229</v>
      </c>
      <c r="T3" s="1417"/>
      <c r="W3" s="1406" t="s">
        <v>300</v>
      </c>
      <c r="X3" s="1406" t="s">
        <v>302</v>
      </c>
    </row>
    <row r="4" spans="1:43" ht="16.5" thickBot="1">
      <c r="B4" s="12" t="s">
        <v>735</v>
      </c>
      <c r="C4" s="761"/>
      <c r="D4" s="1418"/>
      <c r="E4" s="761"/>
      <c r="F4" s="761"/>
      <c r="G4" s="761"/>
      <c r="H4" s="761"/>
      <c r="I4" s="761"/>
      <c r="J4" s="761"/>
      <c r="K4" s="761"/>
      <c r="L4" s="761"/>
      <c r="M4" s="761"/>
      <c r="N4" s="761"/>
      <c r="O4" s="761"/>
      <c r="P4" s="13" t="str">
        <f>'MASTER PubCo Inputs'!$C$20</f>
        <v>(in thousands of USD and shares, except price per share)</v>
      </c>
      <c r="Q4" s="1413"/>
      <c r="R4" s="1406"/>
      <c r="W4" s="1406" t="s">
        <v>24</v>
      </c>
      <c r="X4" s="1406" t="s">
        <v>25</v>
      </c>
    </row>
    <row r="5" spans="1:43" ht="13.5" thickTop="1">
      <c r="B5" s="1419"/>
      <c r="C5" s="1420"/>
      <c r="D5" s="1419"/>
      <c r="E5" s="1419"/>
      <c r="F5" s="1421"/>
      <c r="G5" s="1407"/>
      <c r="H5" s="1407"/>
      <c r="I5" s="1407"/>
      <c r="J5" s="1407"/>
      <c r="K5" s="1407"/>
      <c r="L5" s="1407"/>
      <c r="M5" s="1407"/>
      <c r="N5" s="1407"/>
      <c r="Q5" s="1413"/>
      <c r="R5" s="1406"/>
    </row>
    <row r="6" spans="1:43" s="1422" customFormat="1">
      <c r="B6" s="1423" t="s">
        <v>736</v>
      </c>
      <c r="C6" s="1424"/>
      <c r="D6" s="1424"/>
      <c r="E6" s="1424"/>
      <c r="F6" s="1424"/>
      <c r="G6" s="1424"/>
      <c r="H6" s="1424"/>
      <c r="I6" s="1424"/>
      <c r="J6" s="1424"/>
      <c r="K6" s="1424"/>
      <c r="L6" s="1424"/>
      <c r="M6" s="1424"/>
      <c r="N6" s="1424"/>
      <c r="O6" s="1424"/>
      <c r="P6" s="1425"/>
      <c r="Q6" s="1426"/>
      <c r="R6" s="1426"/>
      <c r="S6" s="1426"/>
      <c r="T6" s="1427"/>
      <c r="U6" s="1427"/>
    </row>
    <row r="7" spans="1:43" s="1428" customFormat="1" ht="35.1" customHeight="1">
      <c r="B7" s="1429"/>
      <c r="C7" s="1430"/>
      <c r="D7" s="2303" t="s">
        <v>1273</v>
      </c>
      <c r="E7" s="1430" t="s">
        <v>737</v>
      </c>
      <c r="F7" s="2303" t="s">
        <v>1218</v>
      </c>
      <c r="G7" s="2305" t="s">
        <v>738</v>
      </c>
      <c r="H7" s="2305" t="s">
        <v>739</v>
      </c>
      <c r="I7" s="2305"/>
      <c r="J7" s="2305" t="s">
        <v>740</v>
      </c>
      <c r="K7" s="2305" t="s">
        <v>1271</v>
      </c>
      <c r="L7" s="2305" t="s">
        <v>741</v>
      </c>
      <c r="M7" s="2305" t="s">
        <v>742</v>
      </c>
      <c r="N7" s="2305" t="s">
        <v>743</v>
      </c>
      <c r="O7" s="2305" t="s">
        <v>1272</v>
      </c>
      <c r="P7" s="2307" t="s">
        <v>1161</v>
      </c>
      <c r="Q7" s="1426"/>
      <c r="R7" s="1426"/>
      <c r="S7" s="2301" t="s">
        <v>740</v>
      </c>
      <c r="T7" s="2301" t="s">
        <v>1162</v>
      </c>
      <c r="U7" s="2301" t="s">
        <v>1163</v>
      </c>
      <c r="V7" s="2302" t="s">
        <v>744</v>
      </c>
      <c r="X7" s="2301" t="s">
        <v>745</v>
      </c>
      <c r="Y7" s="1431"/>
      <c r="Z7" s="1431"/>
      <c r="AA7" s="2301" t="s">
        <v>75</v>
      </c>
      <c r="AB7" s="2301" t="s">
        <v>1275</v>
      </c>
      <c r="AC7" s="2301" t="s">
        <v>1276</v>
      </c>
      <c r="AD7" s="2301" t="s">
        <v>1277</v>
      </c>
      <c r="AE7" s="2301" t="s">
        <v>1278</v>
      </c>
    </row>
    <row r="8" spans="1:43" s="1428" customFormat="1" ht="35.1" customHeight="1">
      <c r="B8" s="1432" t="s">
        <v>746</v>
      </c>
      <c r="C8" s="1433" t="s">
        <v>747</v>
      </c>
      <c r="D8" s="2304"/>
      <c r="E8" s="1433" t="s">
        <v>748</v>
      </c>
      <c r="F8" s="2304"/>
      <c r="G8" s="2306"/>
      <c r="H8" s="1434" t="s">
        <v>47</v>
      </c>
      <c r="I8" s="1434" t="s">
        <v>46</v>
      </c>
      <c r="J8" s="2306"/>
      <c r="K8" s="2306"/>
      <c r="L8" s="2306"/>
      <c r="M8" s="2306"/>
      <c r="N8" s="2306"/>
      <c r="O8" s="2306"/>
      <c r="P8" s="2308"/>
      <c r="Q8" s="1426"/>
      <c r="R8" s="1435" t="s">
        <v>1370</v>
      </c>
      <c r="S8" s="2301"/>
      <c r="T8" s="2301" t="s">
        <v>1162</v>
      </c>
      <c r="U8" s="2301"/>
      <c r="V8" s="2302"/>
      <c r="W8" s="1436" t="s">
        <v>1164</v>
      </c>
      <c r="X8" s="2301"/>
      <c r="Y8" s="1431" t="s">
        <v>30</v>
      </c>
      <c r="Z8" s="1431" t="s">
        <v>604</v>
      </c>
      <c r="AA8" s="2301"/>
      <c r="AB8" s="2301"/>
      <c r="AC8" s="2301"/>
      <c r="AD8" s="2301"/>
      <c r="AE8" s="2301"/>
    </row>
    <row r="9" spans="1:43" s="1437" customFormat="1" ht="13.5" customHeight="1">
      <c r="B9" s="1438"/>
      <c r="C9" s="1438"/>
      <c r="D9" s="1438"/>
      <c r="E9" s="1438"/>
      <c r="F9" s="1438"/>
      <c r="G9" s="1438"/>
      <c r="H9" s="1438"/>
      <c r="I9" s="1438"/>
      <c r="J9" s="1438"/>
      <c r="K9" s="1438"/>
      <c r="L9" s="1438"/>
      <c r="M9" s="1438"/>
      <c r="N9" s="1438"/>
      <c r="O9" s="1438"/>
      <c r="P9" s="1438"/>
      <c r="Q9" s="1426"/>
      <c r="R9" s="1426"/>
      <c r="S9" s="1426"/>
      <c r="T9" s="1439"/>
      <c r="U9" s="1439"/>
      <c r="AF9" s="1440" t="s">
        <v>45</v>
      </c>
    </row>
    <row r="10" spans="1:43" s="1437" customFormat="1" ht="13.5" customHeight="1">
      <c r="B10" s="1441" t="s">
        <v>1165</v>
      </c>
      <c r="C10" s="1438"/>
      <c r="D10" s="1438"/>
      <c r="E10" s="1438"/>
      <c r="F10" s="1442"/>
      <c r="G10" s="1438"/>
      <c r="H10" s="1438"/>
      <c r="I10" s="1438"/>
      <c r="J10" s="1438"/>
      <c r="K10" s="1438"/>
      <c r="L10" s="912"/>
      <c r="M10" s="1438"/>
      <c r="N10" s="1438"/>
      <c r="O10" s="1438"/>
      <c r="P10" s="1438"/>
      <c r="Q10" s="1426"/>
      <c r="R10" s="1426"/>
      <c r="S10" s="1426"/>
      <c r="T10" s="1439"/>
      <c r="U10" s="1439"/>
    </row>
    <row r="11" spans="1:43" s="1437" customFormat="1" ht="13.5" customHeight="1">
      <c r="B11" s="1443" t="s">
        <v>2391</v>
      </c>
      <c r="C11" s="1525" t="s">
        <v>2393</v>
      </c>
      <c r="D11" s="1848" t="s">
        <v>2392</v>
      </c>
      <c r="E11" s="1525" t="s">
        <v>2523</v>
      </c>
      <c r="F11" s="1849">
        <v>43298</v>
      </c>
      <c r="G11" s="1850">
        <v>23</v>
      </c>
      <c r="H11" s="1850">
        <v>20</v>
      </c>
      <c r="I11" s="1851">
        <v>22</v>
      </c>
      <c r="J11" s="1851">
        <v>24.3</v>
      </c>
      <c r="K11" s="2054">
        <f t="shared" ref="K11:K30" si="0">+M11-L11</f>
        <v>66851.816999999995</v>
      </c>
      <c r="L11" s="983">
        <f>10483000/1000</f>
        <v>10483</v>
      </c>
      <c r="M11" s="983">
        <f>77334817/1000</f>
        <v>77334.816999999995</v>
      </c>
      <c r="N11" s="2055">
        <f t="shared" ref="N11:N30" si="1">+G11*K11</f>
        <v>1537591.791</v>
      </c>
      <c r="O11" s="2055">
        <f t="shared" ref="O11:O30" si="2">+G11*L11</f>
        <v>241109</v>
      </c>
      <c r="P11" s="2055">
        <f t="shared" ref="P11:P30" si="3">+N11+O11</f>
        <v>1778700.791</v>
      </c>
      <c r="Q11" s="1426"/>
      <c r="R11" s="1426">
        <v>1</v>
      </c>
      <c r="S11" s="762">
        <f t="shared" ref="S11" si="4">J11</f>
        <v>24.3</v>
      </c>
      <c r="T11" s="1450">
        <f t="shared" ref="T11" si="5">S11*M11</f>
        <v>1879236.0530999999</v>
      </c>
      <c r="U11" s="1451">
        <f t="shared" ref="U11" si="6">T11/P11-1</f>
        <v>5.6521739130434678E-2</v>
      </c>
      <c r="V11" s="1452" t="s">
        <v>2394</v>
      </c>
      <c r="W11" s="1453" t="s">
        <v>2395</v>
      </c>
      <c r="X11" s="1454">
        <f t="shared" ref="X11" si="7">+N11+O11</f>
        <v>1778700.791</v>
      </c>
      <c r="Y11" s="1455"/>
      <c r="Z11" s="1455"/>
      <c r="AA11" s="985"/>
      <c r="AB11" s="986"/>
      <c r="AC11" s="986"/>
      <c r="AD11" s="1456"/>
      <c r="AE11" s="1456"/>
      <c r="AF11" s="1457">
        <f t="shared" ref="AF11" si="8">+P11-X11</f>
        <v>0</v>
      </c>
    </row>
    <row r="12" spans="1:43" s="1437" customFormat="1" ht="13.5" customHeight="1">
      <c r="B12" s="1443" t="s">
        <v>2082</v>
      </c>
      <c r="C12" s="1444" t="s">
        <v>2083</v>
      </c>
      <c r="D12" s="1445" t="s">
        <v>650</v>
      </c>
      <c r="E12" s="1446" t="s">
        <v>2084</v>
      </c>
      <c r="F12" s="1447">
        <v>43186</v>
      </c>
      <c r="G12" s="762">
        <v>16</v>
      </c>
      <c r="H12" s="762">
        <v>14</v>
      </c>
      <c r="I12" s="762">
        <v>16</v>
      </c>
      <c r="J12" s="1448">
        <v>20.85</v>
      </c>
      <c r="K12" s="2054">
        <f t="shared" si="0"/>
        <v>27080.819000000003</v>
      </c>
      <c r="L12" s="983">
        <v>9000</v>
      </c>
      <c r="M12" s="983">
        <v>36080.819000000003</v>
      </c>
      <c r="N12" s="2055">
        <f t="shared" si="1"/>
        <v>433293.10400000005</v>
      </c>
      <c r="O12" s="2055">
        <f t="shared" si="2"/>
        <v>144000</v>
      </c>
      <c r="P12" s="2055">
        <f t="shared" si="3"/>
        <v>577293.10400000005</v>
      </c>
      <c r="Q12" s="1426"/>
      <c r="R12" s="1426">
        <v>1</v>
      </c>
      <c r="S12" s="762">
        <f t="shared" ref="S12:S30" si="9">J12</f>
        <v>20.85</v>
      </c>
      <c r="T12" s="1450">
        <f t="shared" ref="T12:T30" si="10">S12*M12</f>
        <v>752285.0761500001</v>
      </c>
      <c r="U12" s="1451">
        <f t="shared" ref="U12:U30" si="11">T12/P12-1</f>
        <v>0.30312500000000009</v>
      </c>
      <c r="V12" s="1452" t="s">
        <v>2085</v>
      </c>
      <c r="W12" s="1453" t="s">
        <v>2086</v>
      </c>
      <c r="X12" s="1454">
        <f t="shared" ref="X12:X30" si="12">+N12+O12</f>
        <v>577293.10400000005</v>
      </c>
      <c r="Y12" s="1455"/>
      <c r="Z12" s="1455"/>
      <c r="AA12" s="985"/>
      <c r="AB12" s="986"/>
      <c r="AC12" s="986"/>
      <c r="AD12" s="1456"/>
      <c r="AE12" s="1456"/>
      <c r="AF12" s="1457">
        <f t="shared" ref="AF12:AF14" si="13">+P12-X12</f>
        <v>0</v>
      </c>
    </row>
    <row r="13" spans="1:43" s="1437" customFormat="1" ht="13.5" customHeight="1">
      <c r="B13" s="1443" t="s">
        <v>2087</v>
      </c>
      <c r="C13" s="1444" t="s">
        <v>2088</v>
      </c>
      <c r="D13" s="1445" t="s">
        <v>650</v>
      </c>
      <c r="E13" s="1446" t="s">
        <v>2089</v>
      </c>
      <c r="F13" s="1447">
        <v>43096</v>
      </c>
      <c r="G13" s="762">
        <v>7.5</v>
      </c>
      <c r="H13" s="762">
        <v>6</v>
      </c>
      <c r="I13" s="762">
        <v>8</v>
      </c>
      <c r="J13" s="1448">
        <v>14.95</v>
      </c>
      <c r="K13" s="2054">
        <f t="shared" si="0"/>
        <v>11307.255999999999</v>
      </c>
      <c r="L13" s="983">
        <v>9333.3330000000005</v>
      </c>
      <c r="M13" s="983">
        <v>20640.589</v>
      </c>
      <c r="N13" s="2055">
        <f t="shared" si="1"/>
        <v>84804.42</v>
      </c>
      <c r="O13" s="2055">
        <f t="shared" si="2"/>
        <v>69999.997499999998</v>
      </c>
      <c r="P13" s="2055">
        <f t="shared" si="3"/>
        <v>154804.41749999998</v>
      </c>
      <c r="Q13" s="1426"/>
      <c r="R13" s="1426">
        <v>1</v>
      </c>
      <c r="S13" s="762">
        <f t="shared" si="9"/>
        <v>14.95</v>
      </c>
      <c r="T13" s="1450">
        <f t="shared" si="10"/>
        <v>308576.80554999999</v>
      </c>
      <c r="U13" s="1451">
        <f t="shared" si="11"/>
        <v>0.9933333333333334</v>
      </c>
      <c r="V13" s="1452" t="s">
        <v>2090</v>
      </c>
      <c r="W13" s="1453" t="s">
        <v>2091</v>
      </c>
      <c r="X13" s="1454">
        <f t="shared" si="12"/>
        <v>154804.41749999998</v>
      </c>
      <c r="Y13" s="1455"/>
      <c r="Z13" s="1455"/>
      <c r="AA13" s="985"/>
      <c r="AB13" s="986"/>
      <c r="AC13" s="986"/>
      <c r="AD13" s="1456"/>
      <c r="AE13" s="1456"/>
      <c r="AF13" s="1457">
        <f t="shared" si="13"/>
        <v>0</v>
      </c>
    </row>
    <row r="14" spans="1:43" s="1437" customFormat="1" ht="13.5" customHeight="1">
      <c r="B14" s="1443" t="s">
        <v>1305</v>
      </c>
      <c r="C14" s="1444" t="s">
        <v>1306</v>
      </c>
      <c r="D14" s="1445" t="s">
        <v>650</v>
      </c>
      <c r="E14" s="1446" t="s">
        <v>1307</v>
      </c>
      <c r="F14" s="1447">
        <v>42997</v>
      </c>
      <c r="G14" s="762">
        <v>10</v>
      </c>
      <c r="H14" s="762">
        <v>9</v>
      </c>
      <c r="I14" s="762">
        <v>11</v>
      </c>
      <c r="J14" s="1448">
        <v>9.99</v>
      </c>
      <c r="K14" s="2054">
        <f t="shared" si="0"/>
        <v>5683.2469999999994</v>
      </c>
      <c r="L14" s="983">
        <v>3960</v>
      </c>
      <c r="M14" s="983">
        <v>9643.2469999999994</v>
      </c>
      <c r="N14" s="2055">
        <f t="shared" si="1"/>
        <v>56832.469999999994</v>
      </c>
      <c r="O14" s="2055">
        <f t="shared" si="2"/>
        <v>39600</v>
      </c>
      <c r="P14" s="2055">
        <f t="shared" si="3"/>
        <v>96432.47</v>
      </c>
      <c r="Q14" s="1426"/>
      <c r="R14" s="1426">
        <v>1</v>
      </c>
      <c r="S14" s="762">
        <f t="shared" si="9"/>
        <v>9.99</v>
      </c>
      <c r="T14" s="1450">
        <f t="shared" si="10"/>
        <v>96336.037530000001</v>
      </c>
      <c r="U14" s="1451">
        <f t="shared" si="11"/>
        <v>-1.0000000000000009E-3</v>
      </c>
      <c r="V14" s="1452" t="s">
        <v>1308</v>
      </c>
      <c r="W14" s="1458" t="s">
        <v>1309</v>
      </c>
      <c r="X14" s="1454">
        <f t="shared" si="12"/>
        <v>96432.47</v>
      </c>
      <c r="Y14" s="1455">
        <v>0</v>
      </c>
      <c r="Z14" s="1455">
        <v>3518</v>
      </c>
      <c r="AA14" s="985">
        <v>93314.47</v>
      </c>
      <c r="AB14" s="986">
        <v>1518</v>
      </c>
      <c r="AC14" s="986">
        <v>-46202</v>
      </c>
      <c r="AD14" s="1456">
        <v>61.471982872200265</v>
      </c>
      <c r="AE14" s="1456">
        <v>-2.0197062897710056</v>
      </c>
      <c r="AF14" s="1457">
        <f t="shared" si="13"/>
        <v>0</v>
      </c>
    </row>
    <row r="15" spans="1:43" s="1437" customFormat="1" ht="13.5" customHeight="1">
      <c r="B15" s="1443" t="s">
        <v>661</v>
      </c>
      <c r="C15" s="1444" t="s">
        <v>659</v>
      </c>
      <c r="D15" s="1445" t="s">
        <v>727</v>
      </c>
      <c r="E15" s="1446" t="s">
        <v>754</v>
      </c>
      <c r="F15" s="1447">
        <v>42661</v>
      </c>
      <c r="G15" s="762">
        <v>14</v>
      </c>
      <c r="H15" s="762">
        <v>15</v>
      </c>
      <c r="I15" s="762">
        <v>17</v>
      </c>
      <c r="J15" s="1448">
        <v>20.5</v>
      </c>
      <c r="K15" s="2054">
        <f t="shared" si="0"/>
        <v>35360.633999999998</v>
      </c>
      <c r="L15" s="983">
        <v>4000</v>
      </c>
      <c r="M15" s="983">
        <v>39360.633999999998</v>
      </c>
      <c r="N15" s="2055">
        <f t="shared" si="1"/>
        <v>495048.87599999999</v>
      </c>
      <c r="O15" s="2055">
        <f t="shared" si="2"/>
        <v>56000</v>
      </c>
      <c r="P15" s="2055">
        <f t="shared" si="3"/>
        <v>551048.87599999993</v>
      </c>
      <c r="Q15" s="1426"/>
      <c r="R15" s="1426">
        <v>1</v>
      </c>
      <c r="S15" s="762">
        <f t="shared" si="9"/>
        <v>20.5</v>
      </c>
      <c r="T15" s="1450">
        <f t="shared" si="10"/>
        <v>806892.99699999997</v>
      </c>
      <c r="U15" s="1451">
        <f t="shared" si="11"/>
        <v>0.46428571428571441</v>
      </c>
      <c r="V15" s="1452" t="s">
        <v>660</v>
      </c>
      <c r="W15" s="1458" t="s">
        <v>662</v>
      </c>
      <c r="X15" s="1454">
        <f t="shared" si="12"/>
        <v>551048.87599999993</v>
      </c>
      <c r="Y15" s="1455">
        <v>0</v>
      </c>
      <c r="Z15" s="1455">
        <v>246849</v>
      </c>
      <c r="AA15" s="985">
        <f t="shared" ref="AA15:AA30" si="14">X15+Y15-Z15</f>
        <v>304199.87599999993</v>
      </c>
      <c r="AB15" s="986">
        <v>1518</v>
      </c>
      <c r="AC15" s="986">
        <v>-46202</v>
      </c>
      <c r="AD15" s="1456">
        <f t="shared" ref="AD15:AD30" si="15">IFERROR(AA15/AB15,"n/a")</f>
        <v>200.39517523056648</v>
      </c>
      <c r="AE15" s="1456">
        <f t="shared" ref="AE15:AE30" si="16">IFERROR(AA15/AC15,"n/a")</f>
        <v>-6.584127873252239</v>
      </c>
      <c r="AF15" s="1457">
        <f t="shared" ref="AF15:AF30" si="17">+P15-X15</f>
        <v>0</v>
      </c>
    </row>
    <row r="16" spans="1:43" s="1437" customFormat="1" ht="13.5" customHeight="1">
      <c r="A16" s="1459"/>
      <c r="B16" s="1443" t="s">
        <v>686</v>
      </c>
      <c r="C16" s="1444" t="s">
        <v>684</v>
      </c>
      <c r="D16" s="1445" t="s">
        <v>650</v>
      </c>
      <c r="E16" s="1446" t="s">
        <v>780</v>
      </c>
      <c r="F16" s="1447">
        <v>42571</v>
      </c>
      <c r="G16" s="762">
        <v>15</v>
      </c>
      <c r="H16" s="762">
        <v>14</v>
      </c>
      <c r="I16" s="762">
        <v>16</v>
      </c>
      <c r="J16" s="1448">
        <v>14.4</v>
      </c>
      <c r="K16" s="2054">
        <f t="shared" si="0"/>
        <v>16020.378000000001</v>
      </c>
      <c r="L16" s="983">
        <v>5000</v>
      </c>
      <c r="M16" s="983">
        <v>21020.378000000001</v>
      </c>
      <c r="N16" s="2055">
        <f t="shared" si="1"/>
        <v>240305.67</v>
      </c>
      <c r="O16" s="2055">
        <f t="shared" si="2"/>
        <v>75000</v>
      </c>
      <c r="P16" s="2055">
        <f t="shared" si="3"/>
        <v>315305.67000000004</v>
      </c>
      <c r="Q16" s="1449"/>
      <c r="R16" s="1426">
        <v>1</v>
      </c>
      <c r="S16" s="762">
        <f t="shared" si="9"/>
        <v>14.4</v>
      </c>
      <c r="T16" s="1450">
        <f t="shared" si="10"/>
        <v>302693.44320000004</v>
      </c>
      <c r="U16" s="1451">
        <f t="shared" si="11"/>
        <v>-4.0000000000000036E-2</v>
      </c>
      <c r="V16" s="1460" t="s">
        <v>685</v>
      </c>
      <c r="W16" s="1458" t="s">
        <v>687</v>
      </c>
      <c r="X16" s="1454">
        <f t="shared" si="12"/>
        <v>315305.67000000004</v>
      </c>
      <c r="Y16" s="1454">
        <v>0</v>
      </c>
      <c r="Z16" s="1454">
        <v>59713</v>
      </c>
      <c r="AA16" s="985">
        <f t="shared" si="14"/>
        <v>255592.67000000004</v>
      </c>
      <c r="AB16" s="986">
        <v>0</v>
      </c>
      <c r="AC16" s="978">
        <v>-40429</v>
      </c>
      <c r="AD16" s="1456" t="str">
        <f t="shared" si="15"/>
        <v>n/a</v>
      </c>
      <c r="AE16" s="1456">
        <f t="shared" si="16"/>
        <v>-6.3220131588711084</v>
      </c>
      <c r="AF16" s="1457">
        <f t="shared" si="17"/>
        <v>0</v>
      </c>
      <c r="AG16" s="1461"/>
    </row>
    <row r="17" spans="1:42" s="1437" customFormat="1" ht="13.5" customHeight="1">
      <c r="A17" s="1459"/>
      <c r="B17" s="1443" t="s">
        <v>787</v>
      </c>
      <c r="C17" s="1444" t="s">
        <v>788</v>
      </c>
      <c r="D17" s="1445" t="s">
        <v>650</v>
      </c>
      <c r="E17" s="1446" t="s">
        <v>789</v>
      </c>
      <c r="F17" s="1447">
        <v>42522</v>
      </c>
      <c r="G17" s="762">
        <v>6</v>
      </c>
      <c r="H17" s="762">
        <v>5</v>
      </c>
      <c r="I17" s="762">
        <v>6</v>
      </c>
      <c r="J17" s="1448">
        <v>7.0350000000000001</v>
      </c>
      <c r="K17" s="2054">
        <f t="shared" si="0"/>
        <v>6895.2960000000003</v>
      </c>
      <c r="L17" s="983">
        <v>1540.0260000000001</v>
      </c>
      <c r="M17" s="983">
        <v>8435.3220000000001</v>
      </c>
      <c r="N17" s="2055">
        <f t="shared" si="1"/>
        <v>41371.775999999998</v>
      </c>
      <c r="O17" s="2055">
        <f t="shared" si="2"/>
        <v>9240.1560000000009</v>
      </c>
      <c r="P17" s="2055">
        <f t="shared" si="3"/>
        <v>50611.932000000001</v>
      </c>
      <c r="Q17" s="1449"/>
      <c r="R17" s="1426">
        <v>1</v>
      </c>
      <c r="S17" s="762">
        <f t="shared" si="9"/>
        <v>7.0350000000000001</v>
      </c>
      <c r="T17" s="1450">
        <f t="shared" si="10"/>
        <v>59342.490270000002</v>
      </c>
      <c r="U17" s="1451">
        <f t="shared" si="11"/>
        <v>0.1725000000000001</v>
      </c>
      <c r="V17" s="1460" t="s">
        <v>790</v>
      </c>
      <c r="W17" s="1458" t="s">
        <v>791</v>
      </c>
      <c r="X17" s="1454">
        <f t="shared" si="12"/>
        <v>50611.932000000001</v>
      </c>
      <c r="Y17" s="1454">
        <v>450000</v>
      </c>
      <c r="Z17" s="1454">
        <v>28.09</v>
      </c>
      <c r="AA17" s="985">
        <f t="shared" si="14"/>
        <v>500583.842</v>
      </c>
      <c r="AB17" s="986">
        <v>0</v>
      </c>
      <c r="AC17" s="978">
        <v>0</v>
      </c>
      <c r="AD17" s="1456" t="str">
        <f t="shared" si="15"/>
        <v>n/a</v>
      </c>
      <c r="AE17" s="1456" t="str">
        <f t="shared" si="16"/>
        <v>n/a</v>
      </c>
      <c r="AF17" s="1457">
        <f t="shared" si="17"/>
        <v>0</v>
      </c>
      <c r="AG17" s="1461"/>
    </row>
    <row r="18" spans="1:42" s="1461" customFormat="1" ht="13.5" customHeight="1">
      <c r="A18" s="1459"/>
      <c r="B18" s="1443" t="s">
        <v>695</v>
      </c>
      <c r="C18" s="1446" t="s">
        <v>693</v>
      </c>
      <c r="D18" s="1445" t="s">
        <v>650</v>
      </c>
      <c r="E18" s="1446" t="s">
        <v>802</v>
      </c>
      <c r="F18" s="1447">
        <v>42507</v>
      </c>
      <c r="G18" s="762">
        <v>5</v>
      </c>
      <c r="H18" s="762">
        <v>0</v>
      </c>
      <c r="I18" s="762">
        <v>0</v>
      </c>
      <c r="J18" s="1448">
        <v>5.18</v>
      </c>
      <c r="K18" s="2054">
        <f t="shared" si="0"/>
        <v>7883.2340000000004</v>
      </c>
      <c r="L18" s="983">
        <v>3700</v>
      </c>
      <c r="M18" s="983">
        <v>11583.234</v>
      </c>
      <c r="N18" s="2055">
        <f t="shared" si="1"/>
        <v>39416.17</v>
      </c>
      <c r="O18" s="2055">
        <f t="shared" si="2"/>
        <v>18500</v>
      </c>
      <c r="P18" s="2055">
        <f t="shared" si="3"/>
        <v>57916.17</v>
      </c>
      <c r="Q18" s="1449"/>
      <c r="R18" s="1426">
        <v>1</v>
      </c>
      <c r="S18" s="762">
        <f t="shared" si="9"/>
        <v>5.18</v>
      </c>
      <c r="T18" s="1450">
        <f t="shared" si="10"/>
        <v>60001.152119999999</v>
      </c>
      <c r="U18" s="1451">
        <f t="shared" si="11"/>
        <v>3.6000000000000032E-2</v>
      </c>
      <c r="V18" s="1460" t="s">
        <v>694</v>
      </c>
      <c r="W18" s="1458" t="s">
        <v>696</v>
      </c>
      <c r="X18" s="1454">
        <f t="shared" si="12"/>
        <v>57916.17</v>
      </c>
      <c r="Y18" s="1454">
        <v>19992000</v>
      </c>
      <c r="Z18" s="1454">
        <v>905</v>
      </c>
      <c r="AA18" s="985">
        <f t="shared" si="14"/>
        <v>20049011.170000002</v>
      </c>
      <c r="AB18" s="986">
        <v>0</v>
      </c>
      <c r="AC18" s="978">
        <v>-14899</v>
      </c>
      <c r="AD18" s="1456" t="str">
        <f t="shared" si="15"/>
        <v>n/a</v>
      </c>
      <c r="AE18" s="1456">
        <f t="shared" si="16"/>
        <v>-1345.6615323176054</v>
      </c>
      <c r="AF18" s="1457">
        <f t="shared" si="17"/>
        <v>0</v>
      </c>
      <c r="AG18" s="1437"/>
      <c r="AK18" s="1457"/>
      <c r="AL18" s="1462"/>
    </row>
    <row r="19" spans="1:42" s="1437" customFormat="1" ht="13.5" customHeight="1">
      <c r="A19" s="1459"/>
      <c r="B19" s="1443" t="s">
        <v>681</v>
      </c>
      <c r="C19" s="1446" t="s">
        <v>679</v>
      </c>
      <c r="D19" s="1445" t="s">
        <v>727</v>
      </c>
      <c r="E19" s="1446" t="s">
        <v>808</v>
      </c>
      <c r="F19" s="1447">
        <v>42495</v>
      </c>
      <c r="G19" s="762">
        <v>18</v>
      </c>
      <c r="H19" s="762">
        <v>16</v>
      </c>
      <c r="I19" s="762">
        <v>18</v>
      </c>
      <c r="J19" s="1448">
        <v>28.8</v>
      </c>
      <c r="K19" s="2054">
        <f t="shared" si="0"/>
        <v>29096.264999999999</v>
      </c>
      <c r="L19" s="983">
        <v>6000</v>
      </c>
      <c r="M19" s="983">
        <v>35096.264999999999</v>
      </c>
      <c r="N19" s="2055">
        <f t="shared" si="1"/>
        <v>523732.77</v>
      </c>
      <c r="O19" s="2055">
        <f t="shared" si="2"/>
        <v>108000</v>
      </c>
      <c r="P19" s="2055">
        <f t="shared" si="3"/>
        <v>631732.77</v>
      </c>
      <c r="Q19" s="1449"/>
      <c r="R19" s="1426">
        <v>1</v>
      </c>
      <c r="S19" s="762">
        <f t="shared" si="9"/>
        <v>28.8</v>
      </c>
      <c r="T19" s="1450">
        <f t="shared" si="10"/>
        <v>1010772.432</v>
      </c>
      <c r="U19" s="1451">
        <f t="shared" si="11"/>
        <v>0.60000000000000009</v>
      </c>
      <c r="V19" s="1460" t="s">
        <v>680</v>
      </c>
      <c r="W19" s="1458" t="s">
        <v>682</v>
      </c>
      <c r="X19" s="1454">
        <f t="shared" si="12"/>
        <v>631732.77</v>
      </c>
      <c r="Y19" s="1454">
        <v>0</v>
      </c>
      <c r="Z19" s="1454">
        <v>75816</v>
      </c>
      <c r="AA19" s="985">
        <f t="shared" si="14"/>
        <v>555916.77</v>
      </c>
      <c r="AB19" s="986">
        <v>9364</v>
      </c>
      <c r="AC19" s="978">
        <v>-21770</v>
      </c>
      <c r="AD19" s="1456">
        <f t="shared" si="15"/>
        <v>59.367446604015377</v>
      </c>
      <c r="AE19" s="1456">
        <f t="shared" si="16"/>
        <v>-25.535910427193386</v>
      </c>
      <c r="AF19" s="1457">
        <f t="shared" si="17"/>
        <v>0</v>
      </c>
      <c r="AK19" s="1457"/>
      <c r="AL19" s="1462"/>
      <c r="AM19" s="1461"/>
    </row>
    <row r="20" spans="1:42" s="1437" customFormat="1" ht="13.5" customHeight="1">
      <c r="A20" s="1459"/>
      <c r="B20" s="1443" t="s">
        <v>813</v>
      </c>
      <c r="C20" s="1446" t="s">
        <v>814</v>
      </c>
      <c r="D20" s="1445" t="s">
        <v>1166</v>
      </c>
      <c r="E20" s="1446" t="s">
        <v>815</v>
      </c>
      <c r="F20" s="1447">
        <v>42466</v>
      </c>
      <c r="G20" s="762">
        <v>10</v>
      </c>
      <c r="H20" s="762">
        <v>16</v>
      </c>
      <c r="I20" s="762">
        <v>18</v>
      </c>
      <c r="J20" s="1448">
        <v>8.7100000000000009</v>
      </c>
      <c r="K20" s="2054">
        <f t="shared" si="0"/>
        <v>7929.8320000000003</v>
      </c>
      <c r="L20" s="983">
        <v>5000</v>
      </c>
      <c r="M20" s="983">
        <v>12929.832</v>
      </c>
      <c r="N20" s="2055">
        <f t="shared" si="1"/>
        <v>79298.320000000007</v>
      </c>
      <c r="O20" s="2055">
        <f t="shared" si="2"/>
        <v>50000</v>
      </c>
      <c r="P20" s="2055">
        <f t="shared" si="3"/>
        <v>129298.32</v>
      </c>
      <c r="Q20" s="1449"/>
      <c r="R20" s="1426">
        <v>1</v>
      </c>
      <c r="S20" s="762">
        <f t="shared" si="9"/>
        <v>8.7100000000000009</v>
      </c>
      <c r="T20" s="1450">
        <f t="shared" si="10"/>
        <v>112618.83672000002</v>
      </c>
      <c r="U20" s="1451">
        <f t="shared" si="11"/>
        <v>-0.12899999999999989</v>
      </c>
      <c r="V20" s="1452" t="s">
        <v>816</v>
      </c>
      <c r="W20" s="1458" t="s">
        <v>817</v>
      </c>
      <c r="X20" s="1454">
        <f t="shared" si="12"/>
        <v>129298.32</v>
      </c>
      <c r="Y20" s="1454">
        <v>0</v>
      </c>
      <c r="Z20" s="1454">
        <v>29294</v>
      </c>
      <c r="AA20" s="985">
        <f t="shared" si="14"/>
        <v>100004.32</v>
      </c>
      <c r="AB20" s="986">
        <v>4890</v>
      </c>
      <c r="AC20" s="978">
        <v>-17383</v>
      </c>
      <c r="AD20" s="1456">
        <f t="shared" si="15"/>
        <v>20.450781186094073</v>
      </c>
      <c r="AE20" s="1456">
        <f t="shared" si="16"/>
        <v>-5.7529954553299207</v>
      </c>
      <c r="AF20" s="1457">
        <f t="shared" si="17"/>
        <v>0</v>
      </c>
      <c r="AK20" s="1463"/>
      <c r="AL20" s="1462"/>
      <c r="AM20" s="1461"/>
    </row>
    <row r="21" spans="1:42" s="1422" customFormat="1" ht="13.5" customHeight="1">
      <c r="A21" s="1459"/>
      <c r="B21" s="1443" t="s">
        <v>832</v>
      </c>
      <c r="C21" s="1446" t="s">
        <v>833</v>
      </c>
      <c r="D21" s="1445" t="s">
        <v>1166</v>
      </c>
      <c r="E21" s="1446" t="s">
        <v>834</v>
      </c>
      <c r="F21" s="1447">
        <v>42410</v>
      </c>
      <c r="G21" s="762">
        <v>8</v>
      </c>
      <c r="H21" s="762">
        <v>12</v>
      </c>
      <c r="I21" s="762">
        <v>14</v>
      </c>
      <c r="J21" s="1448">
        <v>8.9600000000000009</v>
      </c>
      <c r="K21" s="2054">
        <f t="shared" si="0"/>
        <v>12861.478999999999</v>
      </c>
      <c r="L21" s="983">
        <v>6250</v>
      </c>
      <c r="M21" s="983">
        <v>19111.478999999999</v>
      </c>
      <c r="N21" s="2055">
        <f t="shared" si="1"/>
        <v>102891.83199999999</v>
      </c>
      <c r="O21" s="2055">
        <f t="shared" si="2"/>
        <v>50000</v>
      </c>
      <c r="P21" s="2055">
        <f t="shared" si="3"/>
        <v>152891.83199999999</v>
      </c>
      <c r="Q21" s="1449"/>
      <c r="R21" s="1426">
        <v>1</v>
      </c>
      <c r="S21" s="762">
        <f t="shared" si="9"/>
        <v>8.9600000000000009</v>
      </c>
      <c r="T21" s="1450">
        <f t="shared" si="10"/>
        <v>171238.85184000002</v>
      </c>
      <c r="U21" s="1451">
        <f t="shared" si="11"/>
        <v>0.12000000000000011</v>
      </c>
      <c r="V21" s="1452" t="s">
        <v>835</v>
      </c>
      <c r="W21" s="1458" t="s">
        <v>836</v>
      </c>
      <c r="X21" s="1454">
        <f t="shared" si="12"/>
        <v>152891.83199999999</v>
      </c>
      <c r="Y21" s="1454">
        <v>0</v>
      </c>
      <c r="Z21" s="1454">
        <v>20919</v>
      </c>
      <c r="AA21" s="985">
        <f t="shared" si="14"/>
        <v>131972.83199999999</v>
      </c>
      <c r="AB21" s="986">
        <v>5044</v>
      </c>
      <c r="AC21" s="978">
        <v>-29704</v>
      </c>
      <c r="AD21" s="1456">
        <f t="shared" si="15"/>
        <v>26.164320380650278</v>
      </c>
      <c r="AE21" s="1456">
        <f t="shared" si="16"/>
        <v>-4.442931322380824</v>
      </c>
      <c r="AF21" s="1457">
        <f t="shared" si="17"/>
        <v>0</v>
      </c>
      <c r="AG21" s="1437"/>
      <c r="AK21" s="1463"/>
      <c r="AL21" s="1462"/>
      <c r="AM21" s="1461"/>
    </row>
    <row r="22" spans="1:42" s="1422" customFormat="1" ht="13.5" customHeight="1">
      <c r="A22" s="1459"/>
      <c r="B22" s="1443" t="s">
        <v>673</v>
      </c>
      <c r="C22" s="1446" t="s">
        <v>671</v>
      </c>
      <c r="D22" s="1445" t="s">
        <v>650</v>
      </c>
      <c r="E22" s="1446" t="s">
        <v>837</v>
      </c>
      <c r="F22" s="1447">
        <v>42402</v>
      </c>
      <c r="G22" s="762">
        <v>16</v>
      </c>
      <c r="H22" s="762">
        <v>16</v>
      </c>
      <c r="I22" s="762">
        <v>18</v>
      </c>
      <c r="J22" s="1448">
        <v>35.56</v>
      </c>
      <c r="K22" s="2054">
        <f t="shared" si="0"/>
        <v>29799.538</v>
      </c>
      <c r="L22" s="983">
        <v>5900</v>
      </c>
      <c r="M22" s="983">
        <v>35699.538</v>
      </c>
      <c r="N22" s="2055">
        <f t="shared" si="1"/>
        <v>476792.60800000001</v>
      </c>
      <c r="O22" s="2055">
        <f t="shared" si="2"/>
        <v>94400</v>
      </c>
      <c r="P22" s="2055">
        <f t="shared" si="3"/>
        <v>571192.60800000001</v>
      </c>
      <c r="Q22" s="1449"/>
      <c r="R22" s="1426">
        <v>1</v>
      </c>
      <c r="S22" s="762">
        <f t="shared" si="9"/>
        <v>35.56</v>
      </c>
      <c r="T22" s="1450">
        <f t="shared" si="10"/>
        <v>1269475.57128</v>
      </c>
      <c r="U22" s="1451">
        <f t="shared" si="11"/>
        <v>1.2225000000000001</v>
      </c>
      <c r="V22" s="1452" t="s">
        <v>672</v>
      </c>
      <c r="W22" s="1458" t="s">
        <v>674</v>
      </c>
      <c r="X22" s="1454">
        <f t="shared" si="12"/>
        <v>571192.60800000001</v>
      </c>
      <c r="Y22" s="1454">
        <v>1826000</v>
      </c>
      <c r="Z22" s="1454">
        <v>155301</v>
      </c>
      <c r="AA22" s="985">
        <f t="shared" si="14"/>
        <v>2241891.608</v>
      </c>
      <c r="AB22" s="986">
        <v>5655</v>
      </c>
      <c r="AC22" s="978">
        <v>-56081</v>
      </c>
      <c r="AD22" s="1456">
        <f t="shared" si="15"/>
        <v>396.44413934571173</v>
      </c>
      <c r="AE22" s="1456">
        <f t="shared" si="16"/>
        <v>-39.975956348852556</v>
      </c>
      <c r="AF22" s="1457">
        <f t="shared" si="17"/>
        <v>0</v>
      </c>
      <c r="AG22" s="1437"/>
      <c r="AK22" s="1463"/>
      <c r="AL22" s="1462"/>
      <c r="AM22" s="1461"/>
    </row>
    <row r="23" spans="1:42" s="1422" customFormat="1" ht="13.5" customHeight="1">
      <c r="A23" s="1459"/>
      <c r="B23" s="1443" t="s">
        <v>665</v>
      </c>
      <c r="C23" s="1446" t="s">
        <v>663</v>
      </c>
      <c r="D23" s="1445" t="s">
        <v>650</v>
      </c>
      <c r="E23" s="1446" t="s">
        <v>845</v>
      </c>
      <c r="F23" s="1447">
        <v>42318</v>
      </c>
      <c r="G23" s="762">
        <v>16</v>
      </c>
      <c r="H23" s="762">
        <v>15</v>
      </c>
      <c r="I23" s="762">
        <v>17</v>
      </c>
      <c r="J23" s="1448">
        <v>13.785</v>
      </c>
      <c r="K23" s="2054">
        <f t="shared" si="0"/>
        <v>14558.296999999999</v>
      </c>
      <c r="L23" s="983">
        <v>6375</v>
      </c>
      <c r="M23" s="983">
        <v>20933.296999999999</v>
      </c>
      <c r="N23" s="2055">
        <f t="shared" si="1"/>
        <v>232932.75199999998</v>
      </c>
      <c r="O23" s="2055">
        <f t="shared" si="2"/>
        <v>102000</v>
      </c>
      <c r="P23" s="2055">
        <f t="shared" si="3"/>
        <v>334932.75199999998</v>
      </c>
      <c r="Q23" s="1449"/>
      <c r="R23" s="1426">
        <v>1</v>
      </c>
      <c r="S23" s="762">
        <f t="shared" si="9"/>
        <v>13.785</v>
      </c>
      <c r="T23" s="1450">
        <f t="shared" si="10"/>
        <v>288565.49914500001</v>
      </c>
      <c r="U23" s="1451">
        <f t="shared" si="11"/>
        <v>-0.13843749999999988</v>
      </c>
      <c r="V23" s="1452" t="s">
        <v>664</v>
      </c>
      <c r="W23" s="1458" t="s">
        <v>666</v>
      </c>
      <c r="X23" s="1454">
        <f t="shared" si="12"/>
        <v>334932.75199999998</v>
      </c>
      <c r="Y23" s="1454">
        <v>171000</v>
      </c>
      <c r="Z23" s="1454">
        <v>7779</v>
      </c>
      <c r="AA23" s="985">
        <f t="shared" si="14"/>
        <v>498153.75199999998</v>
      </c>
      <c r="AB23" s="986">
        <v>417</v>
      </c>
      <c r="AC23" s="978">
        <v>-31242</v>
      </c>
      <c r="AD23" s="1456">
        <f t="shared" si="15"/>
        <v>1194.613314148681</v>
      </c>
      <c r="AE23" s="1456">
        <f t="shared" si="16"/>
        <v>-15.945001984508034</v>
      </c>
      <c r="AF23" s="1457">
        <f t="shared" si="17"/>
        <v>0</v>
      </c>
      <c r="AG23" s="1437"/>
      <c r="AK23" s="1463"/>
      <c r="AL23" s="1462"/>
      <c r="AM23" s="1461"/>
    </row>
    <row r="24" spans="1:42" s="1494" customFormat="1" ht="13.5" customHeight="1">
      <c r="A24" s="1459"/>
      <c r="B24" s="1443" t="s">
        <v>862</v>
      </c>
      <c r="C24" s="1446" t="s">
        <v>863</v>
      </c>
      <c r="D24" s="1445" t="s">
        <v>650</v>
      </c>
      <c r="E24" s="1446" t="s">
        <v>864</v>
      </c>
      <c r="F24" s="1447">
        <v>42284</v>
      </c>
      <c r="G24" s="762">
        <v>12</v>
      </c>
      <c r="H24" s="762">
        <v>14</v>
      </c>
      <c r="I24" s="762">
        <v>16</v>
      </c>
      <c r="J24" s="1448">
        <v>11.42</v>
      </c>
      <c r="K24" s="2054">
        <f t="shared" si="0"/>
        <v>28253.925999999999</v>
      </c>
      <c r="L24" s="983">
        <v>6666.6670000000004</v>
      </c>
      <c r="M24" s="983">
        <v>34920.593000000001</v>
      </c>
      <c r="N24" s="2054">
        <f t="shared" si="1"/>
        <v>339047.11199999996</v>
      </c>
      <c r="O24" s="2054">
        <f t="shared" si="2"/>
        <v>80000.004000000001</v>
      </c>
      <c r="P24" s="2054">
        <f t="shared" si="3"/>
        <v>419047.11599999998</v>
      </c>
      <c r="Q24" s="1449"/>
      <c r="R24" s="1449">
        <v>1</v>
      </c>
      <c r="S24" s="762">
        <f t="shared" si="9"/>
        <v>11.42</v>
      </c>
      <c r="T24" s="1503">
        <f t="shared" si="10"/>
        <v>398793.17206000001</v>
      </c>
      <c r="U24" s="1504">
        <f t="shared" si="11"/>
        <v>-4.8333333333333228E-2</v>
      </c>
      <c r="V24" s="1506" t="s">
        <v>865</v>
      </c>
      <c r="W24" s="1505" t="s">
        <v>866</v>
      </c>
      <c r="X24" s="1507">
        <f t="shared" si="12"/>
        <v>419047.11599999998</v>
      </c>
      <c r="Y24" s="1507">
        <v>2292000</v>
      </c>
      <c r="Z24" s="1507">
        <v>45842</v>
      </c>
      <c r="AA24" s="1517">
        <f t="shared" si="14"/>
        <v>2665205.1159999999</v>
      </c>
      <c r="AB24" s="1518">
        <v>9244</v>
      </c>
      <c r="AC24" s="1519">
        <v>-51797</v>
      </c>
      <c r="AD24" s="1520">
        <f t="shared" si="15"/>
        <v>288.31729943747297</v>
      </c>
      <c r="AE24" s="1520">
        <f t="shared" si="16"/>
        <v>-51.454816224877888</v>
      </c>
      <c r="AF24" s="1463">
        <f t="shared" si="17"/>
        <v>0</v>
      </c>
      <c r="AG24" s="1459"/>
      <c r="AK24" s="1463"/>
      <c r="AL24" s="1446"/>
      <c r="AM24" s="1459"/>
    </row>
    <row r="25" spans="1:42" s="1422" customFormat="1" ht="13.5" customHeight="1">
      <c r="A25" s="1459"/>
      <c r="B25" s="1443" t="s">
        <v>669</v>
      </c>
      <c r="C25" s="1446" t="s">
        <v>667</v>
      </c>
      <c r="D25" s="1445" t="s">
        <v>650</v>
      </c>
      <c r="E25" s="1446" t="s">
        <v>881</v>
      </c>
      <c r="F25" s="1447">
        <v>42263</v>
      </c>
      <c r="G25" s="762">
        <v>22</v>
      </c>
      <c r="H25" s="762">
        <v>17</v>
      </c>
      <c r="I25" s="762">
        <v>19</v>
      </c>
      <c r="J25" s="1448">
        <v>18.55</v>
      </c>
      <c r="K25" s="2054">
        <f t="shared" si="0"/>
        <v>19050.707999999999</v>
      </c>
      <c r="L25" s="983">
        <v>6300</v>
      </c>
      <c r="M25" s="983">
        <v>25350.707999999999</v>
      </c>
      <c r="N25" s="2055">
        <f t="shared" si="1"/>
        <v>419115.576</v>
      </c>
      <c r="O25" s="2055">
        <f t="shared" si="2"/>
        <v>138600</v>
      </c>
      <c r="P25" s="2055">
        <f t="shared" si="3"/>
        <v>557715.576</v>
      </c>
      <c r="Q25" s="1449"/>
      <c r="R25" s="1426">
        <v>1</v>
      </c>
      <c r="S25" s="762">
        <f t="shared" si="9"/>
        <v>18.55</v>
      </c>
      <c r="T25" s="1450">
        <f t="shared" si="10"/>
        <v>470255.63339999999</v>
      </c>
      <c r="U25" s="1451">
        <f t="shared" si="11"/>
        <v>-0.15681818181818186</v>
      </c>
      <c r="V25" s="1464" t="s">
        <v>668</v>
      </c>
      <c r="W25" s="1458" t="s">
        <v>670</v>
      </c>
      <c r="X25" s="1454">
        <f t="shared" si="12"/>
        <v>557715.576</v>
      </c>
      <c r="Y25" s="1454">
        <v>0</v>
      </c>
      <c r="Z25" s="1454">
        <v>85215</v>
      </c>
      <c r="AA25" s="985">
        <f t="shared" si="14"/>
        <v>472500.576</v>
      </c>
      <c r="AB25" s="986">
        <v>8349</v>
      </c>
      <c r="AC25" s="978">
        <v>-38825</v>
      </c>
      <c r="AD25" s="1456">
        <f t="shared" si="15"/>
        <v>56.593673014732303</v>
      </c>
      <c r="AE25" s="1456">
        <f t="shared" si="16"/>
        <v>-12.170008396651642</v>
      </c>
      <c r="AF25" s="1457">
        <f t="shared" si="17"/>
        <v>0</v>
      </c>
      <c r="AG25" s="1465"/>
      <c r="AH25" s="1465"/>
      <c r="AI25" s="1465"/>
      <c r="AJ25" s="1465"/>
      <c r="AK25" s="1466"/>
      <c r="AL25" s="1462"/>
      <c r="AM25" s="1461"/>
      <c r="AN25" s="1465"/>
      <c r="AO25" s="1465"/>
      <c r="AP25" s="1465"/>
    </row>
    <row r="26" spans="1:42" s="1422" customFormat="1" ht="13.5" customHeight="1">
      <c r="A26" s="1459"/>
      <c r="B26" s="1443" t="s">
        <v>892</v>
      </c>
      <c r="C26" s="1446" t="s">
        <v>893</v>
      </c>
      <c r="D26" s="1445" t="s">
        <v>650</v>
      </c>
      <c r="E26" s="1446" t="s">
        <v>894</v>
      </c>
      <c r="F26" s="1447">
        <v>42220</v>
      </c>
      <c r="G26" s="762">
        <v>14</v>
      </c>
      <c r="H26" s="762">
        <v>13</v>
      </c>
      <c r="I26" s="762">
        <v>15</v>
      </c>
      <c r="J26" s="1448">
        <v>28.8</v>
      </c>
      <c r="K26" s="2054">
        <f t="shared" si="0"/>
        <v>5733.9629999999997</v>
      </c>
      <c r="L26" s="983">
        <v>3000</v>
      </c>
      <c r="M26" s="983">
        <v>8733.9629999999997</v>
      </c>
      <c r="N26" s="2055">
        <f t="shared" si="1"/>
        <v>80275.481999999989</v>
      </c>
      <c r="O26" s="2055">
        <f t="shared" si="2"/>
        <v>42000</v>
      </c>
      <c r="P26" s="2055">
        <f t="shared" si="3"/>
        <v>122275.48199999999</v>
      </c>
      <c r="Q26" s="1449"/>
      <c r="R26" s="1426">
        <v>1</v>
      </c>
      <c r="S26" s="762">
        <f t="shared" si="9"/>
        <v>28.8</v>
      </c>
      <c r="T26" s="1450">
        <f t="shared" si="10"/>
        <v>251538.13440000001</v>
      </c>
      <c r="U26" s="1451">
        <f t="shared" si="11"/>
        <v>1.0571428571428574</v>
      </c>
      <c r="V26" s="1464" t="s">
        <v>895</v>
      </c>
      <c r="W26" s="1458" t="s">
        <v>896</v>
      </c>
      <c r="X26" s="1454">
        <f t="shared" si="12"/>
        <v>122275.48199999999</v>
      </c>
      <c r="Y26" s="1454">
        <v>0</v>
      </c>
      <c r="Z26" s="1454">
        <v>7375.9800000000005</v>
      </c>
      <c r="AA26" s="985">
        <f t="shared" si="14"/>
        <v>114899.50199999999</v>
      </c>
      <c r="AB26" s="986">
        <v>255.92999999999998</v>
      </c>
      <c r="AC26" s="978">
        <v>-19887.91</v>
      </c>
      <c r="AD26" s="1456">
        <f t="shared" si="15"/>
        <v>448.94893916305239</v>
      </c>
      <c r="AE26" s="1456">
        <f t="shared" si="16"/>
        <v>-5.7773542820738824</v>
      </c>
      <c r="AF26" s="1457">
        <f t="shared" si="17"/>
        <v>0</v>
      </c>
      <c r="AG26" s="1467"/>
      <c r="AH26" s="1466"/>
      <c r="AI26" s="1467"/>
      <c r="AJ26" s="1468"/>
      <c r="AK26" s="1466"/>
      <c r="AL26" s="1462"/>
      <c r="AM26" s="1461"/>
      <c r="AN26" s="1464"/>
      <c r="AO26" s="1469"/>
      <c r="AP26" s="1469"/>
    </row>
    <row r="27" spans="1:42" s="1465" customFormat="1" ht="13.5" customHeight="1">
      <c r="A27" s="1459"/>
      <c r="B27" s="1443" t="s">
        <v>943</v>
      </c>
      <c r="C27" s="1446" t="s">
        <v>944</v>
      </c>
      <c r="D27" s="1445" t="s">
        <v>650</v>
      </c>
      <c r="E27" s="1446" t="s">
        <v>945</v>
      </c>
      <c r="F27" s="1447">
        <v>42125</v>
      </c>
      <c r="G27" s="762">
        <v>3.0585200000000001</v>
      </c>
      <c r="H27" s="762">
        <v>0</v>
      </c>
      <c r="I27" s="762">
        <v>0</v>
      </c>
      <c r="J27" s="1448">
        <v>3.2423000000000002</v>
      </c>
      <c r="K27" s="2054">
        <f t="shared" si="0"/>
        <v>117170.86200000002</v>
      </c>
      <c r="L27" s="983">
        <v>32569.046999999999</v>
      </c>
      <c r="M27" s="983">
        <v>149739.90900000001</v>
      </c>
      <c r="N27" s="2055">
        <f t="shared" si="1"/>
        <v>358369.42484424007</v>
      </c>
      <c r="O27" s="2055">
        <f t="shared" si="2"/>
        <v>99613.081630440007</v>
      </c>
      <c r="P27" s="2055">
        <f t="shared" si="3"/>
        <v>457982.50647468009</v>
      </c>
      <c r="Q27" s="1449"/>
      <c r="R27" s="1426">
        <v>1</v>
      </c>
      <c r="S27" s="762">
        <f t="shared" si="9"/>
        <v>3.2423000000000002</v>
      </c>
      <c r="T27" s="1450">
        <f t="shared" si="10"/>
        <v>485501.70695070009</v>
      </c>
      <c r="U27" s="1451">
        <f t="shared" si="11"/>
        <v>6.0087885644036998E-2</v>
      </c>
      <c r="V27" s="1452" t="s">
        <v>946</v>
      </c>
      <c r="W27" s="1458" t="s">
        <v>947</v>
      </c>
      <c r="X27" s="1454">
        <f t="shared" si="12"/>
        <v>457982.50647468009</v>
      </c>
      <c r="Y27" s="1454">
        <v>2081999.9999999998</v>
      </c>
      <c r="Z27" s="1454">
        <v>213</v>
      </c>
      <c r="AA27" s="985">
        <f t="shared" si="14"/>
        <v>2539769.5064746798</v>
      </c>
      <c r="AB27" s="986">
        <v>0</v>
      </c>
      <c r="AC27" s="978">
        <v>-13913</v>
      </c>
      <c r="AD27" s="1456" t="str">
        <f t="shared" si="15"/>
        <v>n/a</v>
      </c>
      <c r="AE27" s="1456">
        <f t="shared" si="16"/>
        <v>-182.54650373569177</v>
      </c>
      <c r="AF27" s="1457">
        <f t="shared" si="17"/>
        <v>0</v>
      </c>
      <c r="AG27" s="1437"/>
      <c r="AH27" s="1422"/>
      <c r="AI27" s="1422"/>
      <c r="AJ27" s="1422"/>
      <c r="AK27" s="1463"/>
      <c r="AL27" s="1462"/>
      <c r="AM27" s="1461"/>
      <c r="AN27" s="1422"/>
      <c r="AO27" s="1422"/>
      <c r="AP27" s="1422"/>
    </row>
    <row r="28" spans="1:42" s="1465" customFormat="1" ht="13.5" customHeight="1">
      <c r="A28" s="1459"/>
      <c r="B28" s="1443" t="s">
        <v>734</v>
      </c>
      <c r="C28" s="1446" t="s">
        <v>948</v>
      </c>
      <c r="D28" s="1445" t="s">
        <v>1167</v>
      </c>
      <c r="E28" s="1446" t="s">
        <v>949</v>
      </c>
      <c r="F28" s="1447">
        <v>42123</v>
      </c>
      <c r="G28" s="762">
        <v>18</v>
      </c>
      <c r="H28" s="762">
        <v>15</v>
      </c>
      <c r="I28" s="762">
        <v>17</v>
      </c>
      <c r="J28" s="1448">
        <v>28.69</v>
      </c>
      <c r="K28" s="2054">
        <f t="shared" si="0"/>
        <v>17686.131000000001</v>
      </c>
      <c r="L28" s="983">
        <v>8145.8339999999998</v>
      </c>
      <c r="M28" s="983">
        <v>25831.965</v>
      </c>
      <c r="N28" s="2055">
        <f t="shared" si="1"/>
        <v>318350.35800000001</v>
      </c>
      <c r="O28" s="2055">
        <f t="shared" si="2"/>
        <v>146625.01199999999</v>
      </c>
      <c r="P28" s="2055">
        <f t="shared" si="3"/>
        <v>464975.37</v>
      </c>
      <c r="Q28" s="1449"/>
      <c r="R28" s="1426">
        <v>1</v>
      </c>
      <c r="S28" s="762">
        <f t="shared" si="9"/>
        <v>28.69</v>
      </c>
      <c r="T28" s="1450">
        <f t="shared" si="10"/>
        <v>741119.07585000002</v>
      </c>
      <c r="U28" s="1451">
        <f t="shared" si="11"/>
        <v>0.59388888888888891</v>
      </c>
      <c r="V28" s="1464" t="s">
        <v>950</v>
      </c>
      <c r="W28" s="1458" t="s">
        <v>1168</v>
      </c>
      <c r="X28" s="1454">
        <f t="shared" si="12"/>
        <v>464975.37</v>
      </c>
      <c r="Y28" s="1454">
        <v>9042000</v>
      </c>
      <c r="Z28" s="1454">
        <v>47240</v>
      </c>
      <c r="AA28" s="985">
        <f t="shared" si="14"/>
        <v>9459735.3699999992</v>
      </c>
      <c r="AB28" s="986">
        <v>21982</v>
      </c>
      <c r="AC28" s="978">
        <v>-60899</v>
      </c>
      <c r="AD28" s="1456">
        <f t="shared" si="15"/>
        <v>430.3400677827313</v>
      </c>
      <c r="AE28" s="1456">
        <f t="shared" si="16"/>
        <v>-155.33482273928962</v>
      </c>
      <c r="AF28" s="1457">
        <f t="shared" si="17"/>
        <v>0</v>
      </c>
      <c r="AK28" s="1466"/>
      <c r="AL28" s="1462"/>
      <c r="AM28" s="1461"/>
    </row>
    <row r="29" spans="1:42" s="1465" customFormat="1" ht="13.5" customHeight="1">
      <c r="A29" s="1459"/>
      <c r="B29" s="1443" t="s">
        <v>961</v>
      </c>
      <c r="C29" s="1446" t="s">
        <v>962</v>
      </c>
      <c r="D29" s="1445" t="s">
        <v>650</v>
      </c>
      <c r="E29" s="1446" t="s">
        <v>963</v>
      </c>
      <c r="F29" s="1447">
        <v>42108</v>
      </c>
      <c r="G29" s="762">
        <v>16</v>
      </c>
      <c r="H29" s="762">
        <v>14</v>
      </c>
      <c r="I29" s="762">
        <v>16</v>
      </c>
      <c r="J29" s="1448">
        <v>16.32</v>
      </c>
      <c r="K29" s="2054">
        <f t="shared" si="0"/>
        <v>8694.1180000000004</v>
      </c>
      <c r="L29" s="983">
        <v>4800</v>
      </c>
      <c r="M29" s="983">
        <v>13494.118</v>
      </c>
      <c r="N29" s="2055">
        <f t="shared" si="1"/>
        <v>139105.88800000001</v>
      </c>
      <c r="O29" s="2055">
        <f t="shared" si="2"/>
        <v>76800</v>
      </c>
      <c r="P29" s="2055">
        <f t="shared" si="3"/>
        <v>215905.88800000001</v>
      </c>
      <c r="Q29" s="1449"/>
      <c r="R29" s="1426">
        <v>1</v>
      </c>
      <c r="S29" s="762">
        <f t="shared" si="9"/>
        <v>16.32</v>
      </c>
      <c r="T29" s="1450">
        <f t="shared" si="10"/>
        <v>220224.00576</v>
      </c>
      <c r="U29" s="1451">
        <f t="shared" si="11"/>
        <v>2.0000000000000018E-2</v>
      </c>
      <c r="V29" s="1458" t="s">
        <v>964</v>
      </c>
      <c r="W29" s="1458" t="s">
        <v>965</v>
      </c>
      <c r="X29" s="1454">
        <f t="shared" si="12"/>
        <v>215905.88800000001</v>
      </c>
      <c r="Y29" s="1454">
        <v>0</v>
      </c>
      <c r="Z29" s="1454">
        <v>22796</v>
      </c>
      <c r="AA29" s="985">
        <f t="shared" si="14"/>
        <v>193109.88800000001</v>
      </c>
      <c r="AB29" s="986">
        <v>0</v>
      </c>
      <c r="AC29" s="978">
        <v>-40241</v>
      </c>
      <c r="AD29" s="1456" t="str">
        <f t="shared" si="15"/>
        <v>n/a</v>
      </c>
      <c r="AE29" s="1456">
        <f t="shared" si="16"/>
        <v>-4.7988342238015953</v>
      </c>
      <c r="AF29" s="1457">
        <f t="shared" si="17"/>
        <v>0</v>
      </c>
      <c r="AG29" s="1422"/>
      <c r="AH29" s="1422"/>
      <c r="AI29" s="1422"/>
      <c r="AJ29" s="1463"/>
      <c r="AK29" s="1462"/>
      <c r="AL29" s="1461"/>
      <c r="AM29" s="1422"/>
      <c r="AN29" s="1422"/>
      <c r="AO29" s="1422"/>
    </row>
    <row r="30" spans="1:42" s="1465" customFormat="1" ht="13.5" customHeight="1">
      <c r="A30" s="1459"/>
      <c r="B30" s="1443" t="s">
        <v>995</v>
      </c>
      <c r="C30" s="1446" t="s">
        <v>996</v>
      </c>
      <c r="D30" s="1445" t="s">
        <v>650</v>
      </c>
      <c r="E30" s="1446" t="s">
        <v>997</v>
      </c>
      <c r="F30" s="1447">
        <v>42032</v>
      </c>
      <c r="G30" s="762">
        <v>16</v>
      </c>
      <c r="H30" s="762">
        <v>12</v>
      </c>
      <c r="I30" s="762">
        <v>14</v>
      </c>
      <c r="J30" s="1448">
        <v>17.385000000000002</v>
      </c>
      <c r="K30" s="2054">
        <f t="shared" si="0"/>
        <v>12405.409</v>
      </c>
      <c r="L30" s="983">
        <v>5400</v>
      </c>
      <c r="M30" s="983">
        <v>17805.409</v>
      </c>
      <c r="N30" s="2055">
        <f t="shared" si="1"/>
        <v>198486.54399999999</v>
      </c>
      <c r="O30" s="2055">
        <f t="shared" si="2"/>
        <v>86400</v>
      </c>
      <c r="P30" s="2055">
        <f t="shared" si="3"/>
        <v>284886.54399999999</v>
      </c>
      <c r="Q30" s="1449"/>
      <c r="R30" s="1426">
        <v>1</v>
      </c>
      <c r="S30" s="762">
        <f t="shared" si="9"/>
        <v>17.385000000000002</v>
      </c>
      <c r="T30" s="1450">
        <f t="shared" si="10"/>
        <v>309547.03546500002</v>
      </c>
      <c r="U30" s="1451">
        <f t="shared" si="11"/>
        <v>8.6562500000000098E-2</v>
      </c>
      <c r="V30" s="1458" t="s">
        <v>998</v>
      </c>
      <c r="W30" s="1458" t="s">
        <v>1169</v>
      </c>
      <c r="X30" s="1454">
        <f t="shared" si="12"/>
        <v>284886.54399999999</v>
      </c>
      <c r="Y30" s="1454">
        <v>0</v>
      </c>
      <c r="Z30" s="1454">
        <v>0</v>
      </c>
      <c r="AA30" s="985">
        <f t="shared" si="14"/>
        <v>284886.54399999999</v>
      </c>
      <c r="AB30" s="986">
        <v>112.69</v>
      </c>
      <c r="AC30" s="978">
        <v>-37145.539999999994</v>
      </c>
      <c r="AD30" s="1456">
        <f t="shared" si="15"/>
        <v>2528.0552311651431</v>
      </c>
      <c r="AE30" s="1456">
        <f t="shared" si="16"/>
        <v>-7.6694683668618104</v>
      </c>
      <c r="AF30" s="1457">
        <f t="shared" si="17"/>
        <v>0</v>
      </c>
      <c r="AG30" s="1422"/>
      <c r="AH30" s="1422"/>
      <c r="AI30" s="1422"/>
      <c r="AJ30" s="1463"/>
      <c r="AK30" s="1462"/>
      <c r="AL30" s="1461"/>
      <c r="AM30" s="1422"/>
      <c r="AN30" s="1422"/>
      <c r="AO30" s="1422"/>
    </row>
    <row r="31" spans="1:42" s="1465" customFormat="1" ht="13.5" customHeight="1">
      <c r="A31" s="1459"/>
      <c r="B31" s="1443"/>
      <c r="C31" s="1446"/>
      <c r="D31" s="1445"/>
      <c r="E31" s="1446"/>
      <c r="F31" s="1447"/>
      <c r="G31" s="1470"/>
      <c r="H31" s="1471"/>
      <c r="I31" s="1471"/>
      <c r="J31" s="1470"/>
      <c r="K31" s="2051"/>
      <c r="L31" s="2053"/>
      <c r="M31" s="2053"/>
      <c r="N31" s="2054"/>
      <c r="O31" s="2053"/>
      <c r="P31" s="2054"/>
      <c r="Q31" s="1449"/>
      <c r="R31" s="1449"/>
      <c r="S31" s="762"/>
      <c r="T31" s="1450"/>
      <c r="U31" s="1451"/>
      <c r="V31" s="1458"/>
      <c r="W31" s="1458"/>
      <c r="X31" s="1454"/>
      <c r="Y31" s="1454"/>
      <c r="Z31" s="1454"/>
      <c r="AA31" s="985"/>
      <c r="AB31" s="986"/>
      <c r="AC31" s="978"/>
      <c r="AD31" s="1456"/>
      <c r="AE31" s="1456"/>
      <c r="AF31" s="1457"/>
      <c r="AG31" s="1422"/>
      <c r="AH31" s="1422"/>
      <c r="AI31" s="1422"/>
      <c r="AJ31" s="1463"/>
      <c r="AK31" s="1462"/>
      <c r="AL31" s="1461"/>
      <c r="AM31" s="1422"/>
      <c r="AN31" s="1422"/>
      <c r="AO31" s="1422"/>
    </row>
    <row r="32" spans="1:42" s="1465" customFormat="1" ht="13.5" customHeight="1">
      <c r="A32" s="1459"/>
      <c r="B32" s="1472" t="s">
        <v>2092</v>
      </c>
      <c r="C32" s="1446"/>
      <c r="D32" s="1445"/>
      <c r="E32" s="1446"/>
      <c r="F32" s="1447"/>
      <c r="G32" s="1470"/>
      <c r="H32" s="1471"/>
      <c r="I32" s="1471"/>
      <c r="J32" s="1470"/>
      <c r="K32" s="2051"/>
      <c r="L32" s="2053"/>
      <c r="M32" s="2053"/>
      <c r="N32" s="2054"/>
      <c r="O32" s="2053"/>
      <c r="P32" s="2054"/>
      <c r="Q32" s="1449"/>
      <c r="R32" s="1449"/>
      <c r="S32" s="762"/>
      <c r="T32" s="1450"/>
      <c r="U32" s="1451"/>
      <c r="V32" s="1458"/>
      <c r="W32" s="1458"/>
      <c r="X32" s="1454"/>
      <c r="Y32" s="1454"/>
      <c r="Z32" s="1454"/>
      <c r="AA32" s="985"/>
      <c r="AB32" s="986"/>
      <c r="AC32" s="978"/>
      <c r="AD32" s="1456"/>
      <c r="AE32" s="1456"/>
      <c r="AF32" s="1457"/>
      <c r="AG32" s="1422"/>
      <c r="AH32" s="1422"/>
      <c r="AI32" s="1422"/>
      <c r="AJ32" s="1463"/>
      <c r="AK32" s="1462"/>
      <c r="AL32" s="1461"/>
      <c r="AM32" s="1422"/>
      <c r="AN32" s="1422"/>
      <c r="AO32" s="1422"/>
    </row>
    <row r="33" spans="1:41" s="1465" customFormat="1" ht="13.5" customHeight="1">
      <c r="A33" s="1459"/>
      <c r="B33" s="1473" t="s">
        <v>46</v>
      </c>
      <c r="C33" s="1474"/>
      <c r="D33" s="1474"/>
      <c r="E33" s="1474"/>
      <c r="F33" s="1474"/>
      <c r="G33" s="1474"/>
      <c r="H33" s="1474"/>
      <c r="I33" s="1474"/>
      <c r="J33" s="1474"/>
      <c r="K33" s="2056"/>
      <c r="L33" s="2056"/>
      <c r="M33" s="2056"/>
      <c r="N33" s="1475">
        <f>MAX(N11:N30)</f>
        <v>1537591.791</v>
      </c>
      <c r="O33" s="1475"/>
      <c r="P33" s="1476">
        <f>MAX(P11:P30)</f>
        <v>1778700.791</v>
      </c>
      <c r="Q33" s="1449"/>
      <c r="R33" s="1449"/>
      <c r="S33" s="1477">
        <f>MAX(S11:S30)</f>
        <v>35.56</v>
      </c>
      <c r="T33" s="1450"/>
      <c r="U33" s="1451"/>
      <c r="V33" s="1458"/>
      <c r="W33" s="1458"/>
      <c r="X33" s="1454"/>
      <c r="Y33" s="1454"/>
      <c r="Z33" s="1454"/>
      <c r="AA33" s="985"/>
      <c r="AB33" s="986"/>
      <c r="AC33" s="978"/>
      <c r="AD33" s="1456"/>
      <c r="AE33" s="1456"/>
      <c r="AF33" s="1457"/>
      <c r="AG33" s="1422"/>
      <c r="AH33" s="1422"/>
      <c r="AI33" s="1422"/>
      <c r="AJ33" s="1463"/>
      <c r="AK33" s="1462"/>
      <c r="AL33" s="1461"/>
      <c r="AM33" s="1422"/>
      <c r="AN33" s="1422"/>
      <c r="AO33" s="1422"/>
    </row>
    <row r="34" spans="1:41" s="1465" customFormat="1" ht="13.5" customHeight="1">
      <c r="A34" s="1459"/>
      <c r="B34" s="763" t="s">
        <v>50</v>
      </c>
      <c r="C34" s="764"/>
      <c r="D34" s="764"/>
      <c r="E34" s="764"/>
      <c r="F34" s="764"/>
      <c r="G34" s="764"/>
      <c r="H34" s="764"/>
      <c r="I34" s="764"/>
      <c r="J34" s="764"/>
      <c r="K34" s="2057"/>
      <c r="L34" s="2057"/>
      <c r="M34" s="2057"/>
      <c r="N34" s="756">
        <f>_xlfn.QUARTILE.INC(N11:N30,3)</f>
        <v>422659.95799999998</v>
      </c>
      <c r="O34" s="756"/>
      <c r="P34" s="765">
        <f>_xlfn.QUARTILE.INC(P11:P30,3)</f>
        <v>552715.55099999998</v>
      </c>
      <c r="Q34" s="1449"/>
      <c r="R34" s="1449"/>
      <c r="S34" s="913">
        <f>_xlfn.QUARTILE.INC(S11:S30,3)</f>
        <v>21.712500000000002</v>
      </c>
      <c r="T34" s="1450"/>
      <c r="U34" s="1451"/>
      <c r="V34" s="1458"/>
      <c r="W34" s="1458"/>
      <c r="X34" s="1454"/>
      <c r="Y34" s="1454"/>
      <c r="Z34" s="1454"/>
      <c r="AA34" s="985"/>
      <c r="AB34" s="986"/>
      <c r="AC34" s="978"/>
      <c r="AD34" s="1456"/>
      <c r="AE34" s="1456"/>
      <c r="AF34" s="1457"/>
      <c r="AG34" s="1422"/>
      <c r="AH34" s="1422"/>
      <c r="AI34" s="1422"/>
      <c r="AJ34" s="1463"/>
      <c r="AK34" s="1462"/>
      <c r="AL34" s="1461"/>
      <c r="AM34" s="1422"/>
      <c r="AN34" s="1422"/>
      <c r="AO34" s="1422"/>
    </row>
    <row r="35" spans="1:41" s="1465" customFormat="1" ht="13.5" customHeight="1">
      <c r="A35" s="1459"/>
      <c r="B35" s="763" t="s">
        <v>2</v>
      </c>
      <c r="C35" s="764"/>
      <c r="D35" s="764"/>
      <c r="E35" s="764"/>
      <c r="F35" s="764"/>
      <c r="G35" s="764"/>
      <c r="H35" s="764"/>
      <c r="I35" s="764"/>
      <c r="J35" s="764"/>
      <c r="K35" s="2057"/>
      <c r="L35" s="2057"/>
      <c r="M35" s="2057"/>
      <c r="N35" s="756">
        <f>AVERAGE(N11:N30)</f>
        <v>309853.147192212</v>
      </c>
      <c r="O35" s="756"/>
      <c r="P35" s="765">
        <f>AVERAGE(P11:P30)</f>
        <v>396247.50974873413</v>
      </c>
      <c r="Q35" s="1449"/>
      <c r="R35" s="1449"/>
      <c r="S35" s="913">
        <f>AVERAGE(S11:S30)</f>
        <v>16.871365000000001</v>
      </c>
      <c r="T35" s="1450"/>
      <c r="U35" s="1451"/>
      <c r="V35" s="1458"/>
      <c r="W35" s="1458"/>
      <c r="X35" s="1454"/>
      <c r="Y35" s="1454"/>
      <c r="Z35" s="1454"/>
      <c r="AA35" s="985"/>
      <c r="AB35" s="986"/>
      <c r="AC35" s="978"/>
      <c r="AD35" s="1456"/>
      <c r="AE35" s="1456"/>
      <c r="AF35" s="1457"/>
      <c r="AG35" s="1422"/>
      <c r="AH35" s="1422"/>
      <c r="AI35" s="1422"/>
      <c r="AJ35" s="1463"/>
      <c r="AK35" s="1462"/>
      <c r="AL35" s="1461"/>
      <c r="AM35" s="1422"/>
      <c r="AN35" s="1422"/>
      <c r="AO35" s="1422"/>
    </row>
    <row r="36" spans="1:41" s="1465" customFormat="1" ht="13.5" customHeight="1">
      <c r="A36" s="1459"/>
      <c r="B36" s="763" t="s">
        <v>3</v>
      </c>
      <c r="C36" s="764"/>
      <c r="D36" s="764"/>
      <c r="E36" s="764"/>
      <c r="F36" s="764"/>
      <c r="G36" s="764"/>
      <c r="H36" s="764"/>
      <c r="I36" s="764"/>
      <c r="J36" s="764"/>
      <c r="K36" s="2057"/>
      <c r="L36" s="2057"/>
      <c r="M36" s="2057"/>
      <c r="N36" s="756">
        <f>MEDIAN(N11:N30)</f>
        <v>236619.21100000001</v>
      </c>
      <c r="O36" s="756"/>
      <c r="P36" s="765">
        <f>MEDIAN(P11:P30)</f>
        <v>325119.21100000001</v>
      </c>
      <c r="Q36" s="1449"/>
      <c r="R36" s="1449"/>
      <c r="S36" s="913">
        <f>MEDIAN(S11:S30)</f>
        <v>15.635</v>
      </c>
      <c r="T36" s="1450"/>
      <c r="U36" s="1451"/>
      <c r="V36" s="1458"/>
      <c r="W36" s="1458"/>
      <c r="X36" s="1454"/>
      <c r="Y36" s="1454"/>
      <c r="Z36" s="1454"/>
      <c r="AA36" s="985"/>
      <c r="AB36" s="986"/>
      <c r="AC36" s="978"/>
      <c r="AD36" s="1456"/>
      <c r="AE36" s="1456"/>
      <c r="AF36" s="1457"/>
      <c r="AG36" s="1422"/>
      <c r="AH36" s="1422"/>
      <c r="AI36" s="1422"/>
      <c r="AJ36" s="1463"/>
      <c r="AK36" s="1462"/>
      <c r="AL36" s="1461"/>
      <c r="AM36" s="1422"/>
      <c r="AN36" s="1422"/>
      <c r="AO36" s="1422"/>
    </row>
    <row r="37" spans="1:41" s="1465" customFormat="1" ht="13.5" customHeight="1">
      <c r="A37" s="1459"/>
      <c r="B37" s="763" t="s">
        <v>49</v>
      </c>
      <c r="C37" s="764"/>
      <c r="D37" s="764"/>
      <c r="E37" s="764"/>
      <c r="F37" s="764"/>
      <c r="G37" s="764"/>
      <c r="H37" s="764"/>
      <c r="I37" s="764"/>
      <c r="J37" s="764"/>
      <c r="K37" s="2057"/>
      <c r="L37" s="2057"/>
      <c r="M37" s="2057"/>
      <c r="N37" s="756">
        <f>_xlfn.QUARTILE.INC(N11:N30,1)</f>
        <v>83672.185499999992</v>
      </c>
      <c r="O37" s="756"/>
      <c r="P37" s="765">
        <f>_xlfn.QUARTILE.INC(P11:P30,1)</f>
        <v>146993.454</v>
      </c>
      <c r="Q37" s="1449"/>
      <c r="R37" s="1449"/>
      <c r="S37" s="913">
        <f>_xlfn.QUARTILE.INC(S11:S30,1)</f>
        <v>9.7324999999999999</v>
      </c>
      <c r="T37" s="1450"/>
      <c r="U37" s="1451"/>
      <c r="V37" s="1458"/>
      <c r="W37" s="1458"/>
      <c r="X37" s="1454"/>
      <c r="Y37" s="1454"/>
      <c r="Z37" s="1454"/>
      <c r="AA37" s="985"/>
      <c r="AB37" s="986"/>
      <c r="AC37" s="978"/>
      <c r="AD37" s="1456"/>
      <c r="AE37" s="1456"/>
      <c r="AF37" s="1457"/>
      <c r="AG37" s="1422"/>
      <c r="AH37" s="1422"/>
      <c r="AI37" s="1422"/>
      <c r="AJ37" s="1463"/>
      <c r="AK37" s="1462"/>
      <c r="AL37" s="1461"/>
      <c r="AM37" s="1422"/>
      <c r="AN37" s="1422"/>
      <c r="AO37" s="1422"/>
    </row>
    <row r="38" spans="1:41" s="1465" customFormat="1" ht="13.5" customHeight="1">
      <c r="A38" s="1459"/>
      <c r="B38" s="914" t="s">
        <v>47</v>
      </c>
      <c r="C38" s="766"/>
      <c r="D38" s="766"/>
      <c r="E38" s="766"/>
      <c r="F38" s="766"/>
      <c r="G38" s="766"/>
      <c r="H38" s="766"/>
      <c r="I38" s="766"/>
      <c r="J38" s="766"/>
      <c r="K38" s="2058"/>
      <c r="L38" s="2058"/>
      <c r="M38" s="2058"/>
      <c r="N38" s="757">
        <f>MIN(N11:N30)</f>
        <v>39416.17</v>
      </c>
      <c r="O38" s="757"/>
      <c r="P38" s="767">
        <f>MIN(P11:P30)</f>
        <v>50611.932000000001</v>
      </c>
      <c r="Q38" s="1449"/>
      <c r="R38" s="1449"/>
      <c r="S38" s="1478">
        <f>MIN(S11:S30)</f>
        <v>3.2423000000000002</v>
      </c>
      <c r="T38" s="1450"/>
      <c r="U38" s="1451"/>
      <c r="V38" s="1458"/>
      <c r="W38" s="1458"/>
      <c r="X38" s="1454"/>
      <c r="Y38" s="1454"/>
      <c r="Z38" s="1454"/>
      <c r="AA38" s="985"/>
      <c r="AB38" s="986"/>
      <c r="AC38" s="978"/>
      <c r="AD38" s="1456"/>
      <c r="AE38" s="1456"/>
      <c r="AF38" s="1457"/>
      <c r="AG38" s="1422"/>
      <c r="AH38" s="1422"/>
      <c r="AI38" s="1422"/>
      <c r="AJ38" s="1463"/>
      <c r="AK38" s="1462"/>
      <c r="AL38" s="1461"/>
      <c r="AM38" s="1422"/>
      <c r="AN38" s="1422"/>
      <c r="AO38" s="1422"/>
    </row>
    <row r="39" spans="1:41" s="1465" customFormat="1" ht="13.5" customHeight="1">
      <c r="A39" s="1459"/>
      <c r="B39" s="1443"/>
      <c r="C39" s="1446"/>
      <c r="D39" s="1445"/>
      <c r="E39" s="1446"/>
      <c r="F39" s="1447"/>
      <c r="G39" s="1470"/>
      <c r="H39" s="1471"/>
      <c r="I39" s="1471"/>
      <c r="J39" s="1470"/>
      <c r="K39" s="2051"/>
      <c r="L39" s="2053"/>
      <c r="M39" s="2053"/>
      <c r="N39" s="2054"/>
      <c r="O39" s="2053"/>
      <c r="P39" s="2054"/>
      <c r="Q39" s="1449"/>
      <c r="R39" s="1449"/>
      <c r="S39" s="762"/>
      <c r="T39" s="1450"/>
      <c r="U39" s="1451"/>
      <c r="V39" s="1458"/>
      <c r="W39" s="1458"/>
      <c r="X39" s="1457"/>
      <c r="Y39" s="1454"/>
      <c r="Z39" s="1454"/>
      <c r="AA39" s="985"/>
      <c r="AB39" s="986"/>
      <c r="AC39" s="978"/>
      <c r="AD39" s="1456"/>
      <c r="AE39" s="1456"/>
      <c r="AF39" s="1437"/>
      <c r="AG39" s="1422"/>
      <c r="AH39" s="1422"/>
      <c r="AI39" s="1422"/>
      <c r="AJ39" s="1463"/>
      <c r="AK39" s="1462"/>
      <c r="AL39" s="1461"/>
      <c r="AM39" s="1422"/>
      <c r="AN39" s="1422"/>
      <c r="AO39" s="1422"/>
    </row>
    <row r="40" spans="1:41" s="1465" customFormat="1" ht="13.5" customHeight="1">
      <c r="A40" s="1459"/>
      <c r="B40" s="1479" t="s">
        <v>1170</v>
      </c>
      <c r="C40" s="1446"/>
      <c r="D40" s="1445"/>
      <c r="E40" s="1446"/>
      <c r="F40" s="1447"/>
      <c r="G40" s="1470"/>
      <c r="H40" s="1471"/>
      <c r="I40" s="1471"/>
      <c r="J40" s="1470"/>
      <c r="K40" s="2051"/>
      <c r="L40" s="2053"/>
      <c r="M40" s="2053"/>
      <c r="N40" s="2054"/>
      <c r="O40" s="2053"/>
      <c r="P40" s="2054"/>
      <c r="Q40" s="1449"/>
      <c r="R40" s="1449"/>
      <c r="S40" s="762"/>
      <c r="T40" s="1450"/>
      <c r="U40" s="1451"/>
      <c r="V40" s="1458"/>
      <c r="W40" s="1458"/>
      <c r="X40" s="1457"/>
      <c r="Y40" s="1454"/>
      <c r="Z40" s="1454"/>
      <c r="AA40" s="985"/>
      <c r="AB40" s="986"/>
      <c r="AC40" s="978"/>
      <c r="AD40" s="1456"/>
      <c r="AE40" s="1456"/>
      <c r="AF40" s="1437"/>
      <c r="AG40" s="1422"/>
      <c r="AH40" s="1422"/>
      <c r="AI40" s="1422"/>
      <c r="AJ40" s="1463"/>
      <c r="AK40" s="1462"/>
      <c r="AL40" s="1461"/>
      <c r="AM40" s="1422"/>
      <c r="AN40" s="1422"/>
      <c r="AO40" s="1422"/>
    </row>
    <row r="41" spans="1:41" s="1465" customFormat="1" ht="13.5" customHeight="1">
      <c r="A41" s="1459"/>
      <c r="B41" s="1808" t="s">
        <v>2515</v>
      </c>
      <c r="C41" s="1446" t="s">
        <v>2506</v>
      </c>
      <c r="D41" s="1445" t="s">
        <v>853</v>
      </c>
      <c r="E41" s="1446" t="s">
        <v>2518</v>
      </c>
      <c r="F41" s="1447">
        <v>43300</v>
      </c>
      <c r="G41" s="1470">
        <v>15</v>
      </c>
      <c r="H41" s="1471">
        <v>14</v>
      </c>
      <c r="I41" s="1471">
        <v>16</v>
      </c>
      <c r="J41" s="1470">
        <v>15.13</v>
      </c>
      <c r="K41" s="2059">
        <f t="shared" ref="K41:K84" si="18">+M41-L41</f>
        <v>24138.587</v>
      </c>
      <c r="L41" s="983">
        <f>6700000/1000</f>
        <v>6700</v>
      </c>
      <c r="M41" s="983">
        <f>30838587/1000</f>
        <v>30838.587</v>
      </c>
      <c r="N41" s="2059">
        <f t="shared" ref="N41" si="19">+G41*K41</f>
        <v>362078.80499999999</v>
      </c>
      <c r="O41" s="2059">
        <f t="shared" ref="O41" si="20">+G41*L41</f>
        <v>100500</v>
      </c>
      <c r="P41" s="2059">
        <f t="shared" ref="P41" si="21">+N41+O41</f>
        <v>462578.80499999999</v>
      </c>
      <c r="Q41" s="1449"/>
      <c r="R41" s="1814">
        <v>1</v>
      </c>
      <c r="S41" s="1817">
        <f t="shared" ref="S41" si="22">J41</f>
        <v>15.13</v>
      </c>
      <c r="T41" s="1818">
        <f t="shared" ref="T41" si="23">S41*M41</f>
        <v>466587.82131000003</v>
      </c>
      <c r="U41" s="1819">
        <f t="shared" ref="U41" si="24">T41/P41-1</f>
        <v>8.6666666666668224E-3</v>
      </c>
      <c r="V41" s="1458" t="s">
        <v>2520</v>
      </c>
      <c r="W41" s="1458" t="s">
        <v>2519</v>
      </c>
      <c r="X41" s="1822">
        <f t="shared" ref="X41:X43" si="25">+N41+O41</f>
        <v>462578.80499999999</v>
      </c>
      <c r="Y41" s="1454"/>
      <c r="Z41" s="1454"/>
      <c r="AA41" s="985"/>
      <c r="AB41" s="986"/>
      <c r="AC41" s="978"/>
      <c r="AD41" s="1456"/>
      <c r="AE41" s="1456"/>
      <c r="AF41" s="1457">
        <f t="shared" ref="AF41:AF60" si="26">+P41-X41</f>
        <v>0</v>
      </c>
      <c r="AG41" s="1422"/>
      <c r="AH41" s="1422"/>
      <c r="AI41" s="1422"/>
      <c r="AJ41" s="1463"/>
      <c r="AK41" s="1462"/>
      <c r="AL41" s="1461"/>
      <c r="AM41" s="1422"/>
      <c r="AN41" s="1422"/>
      <c r="AO41" s="1422"/>
    </row>
    <row r="42" spans="1:41" s="1465" customFormat="1" ht="13.5" customHeight="1">
      <c r="A42" s="1459"/>
      <c r="B42" s="1808" t="s">
        <v>2396</v>
      </c>
      <c r="C42" s="1446" t="s">
        <v>2397</v>
      </c>
      <c r="D42" s="1445" t="s">
        <v>421</v>
      </c>
      <c r="E42" s="1446" t="s">
        <v>2398</v>
      </c>
      <c r="F42" s="1447">
        <v>43298</v>
      </c>
      <c r="G42" s="1470">
        <v>17</v>
      </c>
      <c r="H42" s="1471">
        <v>15</v>
      </c>
      <c r="I42" s="1471">
        <v>17</v>
      </c>
      <c r="J42" s="1470">
        <v>25.35</v>
      </c>
      <c r="K42" s="2059">
        <f t="shared" si="18"/>
        <v>17007.960999999999</v>
      </c>
      <c r="L42" s="983">
        <f>6000000/1000</f>
        <v>6000</v>
      </c>
      <c r="M42" s="983">
        <f>23007961/1000</f>
        <v>23007.960999999999</v>
      </c>
      <c r="N42" s="2059">
        <f t="shared" ref="N42" si="27">+G42*K42</f>
        <v>289135.337</v>
      </c>
      <c r="O42" s="2059">
        <f t="shared" ref="O42" si="28">+G42*L42</f>
        <v>102000</v>
      </c>
      <c r="P42" s="2059">
        <f t="shared" ref="P42" si="29">+N42+O42</f>
        <v>391135.337</v>
      </c>
      <c r="Q42" s="1449"/>
      <c r="R42" s="1814">
        <v>1</v>
      </c>
      <c r="S42" s="1817">
        <f t="shared" ref="S42" si="30">J42</f>
        <v>25.35</v>
      </c>
      <c r="T42" s="1818">
        <f t="shared" ref="T42" si="31">S42*M42</f>
        <v>583251.81134999997</v>
      </c>
      <c r="U42" s="1819">
        <f t="shared" ref="U42" si="32">T42/P42-1</f>
        <v>0.49117647058823533</v>
      </c>
      <c r="V42" s="1820" t="s">
        <v>2400</v>
      </c>
      <c r="W42" s="1458" t="s">
        <v>2399</v>
      </c>
      <c r="X42" s="1822">
        <f t="shared" si="25"/>
        <v>391135.337</v>
      </c>
      <c r="Y42" s="1454"/>
      <c r="Z42" s="1454"/>
      <c r="AA42" s="985"/>
      <c r="AB42" s="986"/>
      <c r="AC42" s="978"/>
      <c r="AD42" s="1456"/>
      <c r="AE42" s="1456"/>
      <c r="AF42" s="1457">
        <f t="shared" si="26"/>
        <v>0</v>
      </c>
      <c r="AG42" s="1422"/>
      <c r="AH42" s="1422"/>
      <c r="AI42" s="1422"/>
      <c r="AJ42" s="1463"/>
      <c r="AK42" s="1462"/>
      <c r="AL42" s="1461"/>
      <c r="AM42" s="1422"/>
      <c r="AN42" s="1422"/>
      <c r="AO42" s="1422"/>
    </row>
    <row r="43" spans="1:41" s="1827" customFormat="1" ht="13.5" customHeight="1">
      <c r="A43" s="1816"/>
      <c r="B43" s="1808" t="s">
        <v>1943</v>
      </c>
      <c r="C43" s="1809" t="s">
        <v>1941</v>
      </c>
      <c r="D43" s="1810" t="s">
        <v>2756</v>
      </c>
      <c r="E43" s="1809" t="s">
        <v>2257</v>
      </c>
      <c r="F43" s="1811">
        <v>43278</v>
      </c>
      <c r="G43" s="1812">
        <v>13</v>
      </c>
      <c r="H43" s="1813">
        <v>12</v>
      </c>
      <c r="I43" s="1813">
        <v>14</v>
      </c>
      <c r="J43" s="1812">
        <v>15.57</v>
      </c>
      <c r="K43" s="2059">
        <f t="shared" si="18"/>
        <v>35427.667000000001</v>
      </c>
      <c r="L43" s="983">
        <v>9350</v>
      </c>
      <c r="M43" s="983">
        <v>44777.667000000001</v>
      </c>
      <c r="N43" s="2059">
        <f t="shared" ref="N43" si="33">+G43*K43</f>
        <v>460559.67100000003</v>
      </c>
      <c r="O43" s="2059">
        <f t="shared" ref="O43" si="34">+G43*L43</f>
        <v>121550</v>
      </c>
      <c r="P43" s="2059">
        <f t="shared" ref="P43" si="35">+N43+O43</f>
        <v>582109.67100000009</v>
      </c>
      <c r="Q43" s="1814"/>
      <c r="R43" s="1814">
        <v>1</v>
      </c>
      <c r="S43" s="1817">
        <f t="shared" ref="S43" si="36">J43</f>
        <v>15.57</v>
      </c>
      <c r="T43" s="1818">
        <f t="shared" ref="T43" si="37">S43*M43</f>
        <v>697188.27519000007</v>
      </c>
      <c r="U43" s="1819">
        <f t="shared" ref="U43" si="38">T43/P43-1</f>
        <v>0.19769230769230761</v>
      </c>
      <c r="V43" s="1820" t="s">
        <v>1942</v>
      </c>
      <c r="W43" s="1821" t="s">
        <v>1944</v>
      </c>
      <c r="X43" s="1822">
        <f t="shared" si="25"/>
        <v>582109.67100000009</v>
      </c>
      <c r="Y43" s="1822"/>
      <c r="Z43" s="1822"/>
      <c r="AA43" s="1823"/>
      <c r="AB43" s="1824"/>
      <c r="AC43" s="1825"/>
      <c r="AD43" s="1826"/>
      <c r="AE43" s="1826"/>
      <c r="AF43" s="1457">
        <f t="shared" si="26"/>
        <v>0</v>
      </c>
      <c r="AJ43" s="1815"/>
      <c r="AK43" s="1809"/>
      <c r="AL43" s="1816"/>
    </row>
    <row r="44" spans="1:41" s="1494" customFormat="1" ht="13.5" customHeight="1">
      <c r="A44" s="1459"/>
      <c r="B44" s="1443" t="s">
        <v>2093</v>
      </c>
      <c r="C44" s="1446" t="s">
        <v>2252</v>
      </c>
      <c r="D44" s="1445" t="s">
        <v>421</v>
      </c>
      <c r="E44" s="1446" t="s">
        <v>2094</v>
      </c>
      <c r="F44" s="1447">
        <v>43277</v>
      </c>
      <c r="G44" s="1470">
        <v>16</v>
      </c>
      <c r="H44" s="1471">
        <v>15</v>
      </c>
      <c r="I44" s="1471">
        <v>17</v>
      </c>
      <c r="J44" s="1470">
        <v>12.16</v>
      </c>
      <c r="K44" s="2054">
        <f t="shared" si="18"/>
        <v>21949.263999999999</v>
      </c>
      <c r="L44" s="983">
        <v>6250</v>
      </c>
      <c r="M44" s="983">
        <f>28199264/1000</f>
        <v>28199.263999999999</v>
      </c>
      <c r="N44" s="2054">
        <f t="shared" ref="N44:N84" si="39">+G44*K44</f>
        <v>351188.22399999999</v>
      </c>
      <c r="O44" s="2054">
        <f t="shared" ref="O44:O84" si="40">+G44*L44</f>
        <v>100000</v>
      </c>
      <c r="P44" s="2054">
        <f t="shared" ref="P44:P84" si="41">+N44+O44</f>
        <v>451188.22399999999</v>
      </c>
      <c r="Q44" s="1449"/>
      <c r="R44" s="1449">
        <v>1</v>
      </c>
      <c r="S44" s="762">
        <f t="shared" ref="S44:S50" si="42">J44</f>
        <v>12.16</v>
      </c>
      <c r="T44" s="1503">
        <f t="shared" ref="T44:T50" si="43">S44*M44</f>
        <v>342903.05024000001</v>
      </c>
      <c r="U44" s="1504">
        <f t="shared" ref="U44:U50" si="44">T44/P44-1</f>
        <v>-0.24</v>
      </c>
      <c r="V44" s="1506" t="s">
        <v>2094</v>
      </c>
      <c r="W44" s="1453" t="s">
        <v>2095</v>
      </c>
      <c r="X44" s="1507">
        <f t="shared" ref="X44:X50" si="45">+N44+O44</f>
        <v>451188.22399999999</v>
      </c>
      <c r="Y44" s="1507"/>
      <c r="Z44" s="1507"/>
      <c r="AA44" s="1517"/>
      <c r="AB44" s="1518"/>
      <c r="AC44" s="1519"/>
      <c r="AD44" s="1520"/>
      <c r="AE44" s="1520"/>
      <c r="AF44" s="1457">
        <f t="shared" si="26"/>
        <v>0</v>
      </c>
      <c r="AJ44" s="1463"/>
      <c r="AK44" s="1446"/>
      <c r="AL44" s="1459"/>
    </row>
    <row r="45" spans="1:41" s="1494" customFormat="1" ht="13.5" customHeight="1">
      <c r="A45" s="1459"/>
      <c r="B45" s="1443" t="s">
        <v>2096</v>
      </c>
      <c r="C45" s="1446" t="s">
        <v>2097</v>
      </c>
      <c r="D45" s="1445" t="s">
        <v>853</v>
      </c>
      <c r="E45" s="1446" t="s">
        <v>2098</v>
      </c>
      <c r="F45" s="1447">
        <v>43272</v>
      </c>
      <c r="G45" s="1470">
        <v>17</v>
      </c>
      <c r="H45" s="1471">
        <v>15</v>
      </c>
      <c r="I45" s="1471">
        <v>17</v>
      </c>
      <c r="J45" s="1470">
        <v>25.2</v>
      </c>
      <c r="K45" s="2054">
        <f t="shared" si="18"/>
        <v>29962.684000000001</v>
      </c>
      <c r="L45" s="983">
        <f>8823530/1000</f>
        <v>8823.5300000000007</v>
      </c>
      <c r="M45" s="983">
        <f>38786214/1000</f>
        <v>38786.214</v>
      </c>
      <c r="N45" s="2054">
        <f t="shared" si="39"/>
        <v>509365.62800000003</v>
      </c>
      <c r="O45" s="2054">
        <f t="shared" si="40"/>
        <v>150000.01</v>
      </c>
      <c r="P45" s="2054">
        <f t="shared" si="41"/>
        <v>659365.63800000004</v>
      </c>
      <c r="Q45" s="1449"/>
      <c r="R45" s="1449">
        <v>1</v>
      </c>
      <c r="S45" s="762">
        <f t="shared" si="42"/>
        <v>25.2</v>
      </c>
      <c r="T45" s="1503">
        <f t="shared" si="43"/>
        <v>977412.59279999998</v>
      </c>
      <c r="U45" s="1504">
        <f t="shared" si="44"/>
        <v>0.48235294117647043</v>
      </c>
      <c r="V45" s="1506" t="s">
        <v>2099</v>
      </c>
      <c r="W45" s="1453" t="s">
        <v>2100</v>
      </c>
      <c r="X45" s="1507">
        <f t="shared" si="45"/>
        <v>659365.63800000004</v>
      </c>
      <c r="Y45" s="1507"/>
      <c r="Z45" s="1507"/>
      <c r="AA45" s="1517"/>
      <c r="AB45" s="1518"/>
      <c r="AC45" s="1519"/>
      <c r="AD45" s="1520"/>
      <c r="AE45" s="1520"/>
      <c r="AF45" s="1457">
        <f t="shared" si="26"/>
        <v>0</v>
      </c>
      <c r="AJ45" s="1463"/>
      <c r="AK45" s="1446"/>
      <c r="AL45" s="1459"/>
    </row>
    <row r="46" spans="1:41" s="1494" customFormat="1" ht="13.5" customHeight="1">
      <c r="A46" s="1459"/>
      <c r="B46" s="1443" t="s">
        <v>2101</v>
      </c>
      <c r="C46" s="1446" t="s">
        <v>2102</v>
      </c>
      <c r="D46" s="1445" t="s">
        <v>929</v>
      </c>
      <c r="E46" s="1446" t="s">
        <v>2103</v>
      </c>
      <c r="F46" s="1447">
        <v>43271</v>
      </c>
      <c r="G46" s="1480">
        <v>15</v>
      </c>
      <c r="H46" s="1471">
        <v>14</v>
      </c>
      <c r="I46" s="1471">
        <v>16</v>
      </c>
      <c r="J46" s="1471">
        <v>16.13</v>
      </c>
      <c r="K46" s="2054">
        <f t="shared" si="18"/>
        <v>13321.522000000001</v>
      </c>
      <c r="L46" s="983">
        <f>5000000/1000</f>
        <v>5000</v>
      </c>
      <c r="M46" s="983">
        <f>18321522/1000</f>
        <v>18321.522000000001</v>
      </c>
      <c r="N46" s="2054">
        <f t="shared" si="39"/>
        <v>199822.83000000002</v>
      </c>
      <c r="O46" s="2054">
        <f t="shared" si="40"/>
        <v>75000</v>
      </c>
      <c r="P46" s="2054">
        <f t="shared" si="41"/>
        <v>274822.83</v>
      </c>
      <c r="Q46" s="1449"/>
      <c r="R46" s="1449">
        <v>1</v>
      </c>
      <c r="S46" s="762">
        <f t="shared" si="42"/>
        <v>16.13</v>
      </c>
      <c r="T46" s="1503">
        <f t="shared" si="43"/>
        <v>295526.14986</v>
      </c>
      <c r="U46" s="1504">
        <f t="shared" si="44"/>
        <v>7.5333333333333252E-2</v>
      </c>
      <c r="V46" s="1506" t="s">
        <v>2104</v>
      </c>
      <c r="W46" s="1453" t="s">
        <v>2105</v>
      </c>
      <c r="X46" s="1507">
        <f t="shared" si="45"/>
        <v>274822.83</v>
      </c>
      <c r="Y46" s="1507"/>
      <c r="Z46" s="1507"/>
      <c r="AA46" s="1517"/>
      <c r="AB46" s="1518"/>
      <c r="AC46" s="1519"/>
      <c r="AD46" s="1520"/>
      <c r="AE46" s="1520"/>
      <c r="AF46" s="1457">
        <f t="shared" si="26"/>
        <v>0</v>
      </c>
      <c r="AJ46" s="1463"/>
      <c r="AK46" s="1446"/>
      <c r="AL46" s="1459"/>
    </row>
    <row r="47" spans="1:41" s="1494" customFormat="1" ht="13.5" customHeight="1">
      <c r="A47" s="1459"/>
      <c r="B47" s="1443" t="s">
        <v>2106</v>
      </c>
      <c r="C47" s="1446" t="s">
        <v>2107</v>
      </c>
      <c r="D47" s="1445" t="s">
        <v>853</v>
      </c>
      <c r="E47" s="1446" t="s">
        <v>2108</v>
      </c>
      <c r="F47" s="1447">
        <v>43258</v>
      </c>
      <c r="G47" s="1480">
        <v>15</v>
      </c>
      <c r="H47" s="1471">
        <v>14</v>
      </c>
      <c r="I47" s="1471">
        <v>16</v>
      </c>
      <c r="J47" s="1471">
        <v>12.83</v>
      </c>
      <c r="K47" s="2054">
        <f t="shared" si="18"/>
        <v>22184.132000000001</v>
      </c>
      <c r="L47" s="983">
        <f>5000000/1000</f>
        <v>5000</v>
      </c>
      <c r="M47" s="983">
        <f>27184132/1000</f>
        <v>27184.132000000001</v>
      </c>
      <c r="N47" s="2054">
        <f t="shared" si="39"/>
        <v>332761.98000000004</v>
      </c>
      <c r="O47" s="2054">
        <f t="shared" si="40"/>
        <v>75000</v>
      </c>
      <c r="P47" s="2054">
        <f t="shared" si="41"/>
        <v>407761.98000000004</v>
      </c>
      <c r="Q47" s="1449"/>
      <c r="R47" s="1449">
        <v>1</v>
      </c>
      <c r="S47" s="762">
        <f t="shared" si="42"/>
        <v>12.83</v>
      </c>
      <c r="T47" s="1503">
        <f t="shared" si="43"/>
        <v>348772.41356000002</v>
      </c>
      <c r="U47" s="1504">
        <f t="shared" si="44"/>
        <v>-0.14466666666666672</v>
      </c>
      <c r="V47" s="1506" t="s">
        <v>2109</v>
      </c>
      <c r="W47" s="1453" t="s">
        <v>2110</v>
      </c>
      <c r="X47" s="1507">
        <f t="shared" si="45"/>
        <v>407761.98000000004</v>
      </c>
      <c r="Y47" s="1507"/>
      <c r="Z47" s="1507"/>
      <c r="AA47" s="1517"/>
      <c r="AB47" s="1518"/>
      <c r="AC47" s="1519"/>
      <c r="AD47" s="1520"/>
      <c r="AE47" s="1520"/>
      <c r="AF47" s="1457">
        <f t="shared" si="26"/>
        <v>0</v>
      </c>
      <c r="AJ47" s="1463"/>
      <c r="AK47" s="1446"/>
      <c r="AL47" s="1459"/>
    </row>
    <row r="48" spans="1:41" s="1827" customFormat="1" ht="13.5" customHeight="1">
      <c r="A48" s="1816"/>
      <c r="B48" s="1808" t="s">
        <v>1950</v>
      </c>
      <c r="C48" s="1809" t="s">
        <v>1948</v>
      </c>
      <c r="D48" s="1810" t="s">
        <v>421</v>
      </c>
      <c r="E48" s="1809" t="s">
        <v>2111</v>
      </c>
      <c r="F48" s="1811">
        <v>43243</v>
      </c>
      <c r="G48" s="1812">
        <v>14</v>
      </c>
      <c r="H48" s="1813">
        <v>13</v>
      </c>
      <c r="I48" s="1813">
        <v>15</v>
      </c>
      <c r="J48" s="1812">
        <v>21.62</v>
      </c>
      <c r="K48" s="2059">
        <f t="shared" si="18"/>
        <v>19080.536</v>
      </c>
      <c r="L48" s="1828">
        <f>5360000/1000</f>
        <v>5360</v>
      </c>
      <c r="M48" s="1828">
        <f>24440536/1000</f>
        <v>24440.536</v>
      </c>
      <c r="N48" s="2059">
        <f t="shared" si="39"/>
        <v>267127.50400000002</v>
      </c>
      <c r="O48" s="2059">
        <f t="shared" si="40"/>
        <v>75040</v>
      </c>
      <c r="P48" s="2059">
        <f t="shared" si="41"/>
        <v>342167.50400000002</v>
      </c>
      <c r="Q48" s="1814"/>
      <c r="R48" s="1814">
        <v>1</v>
      </c>
      <c r="S48" s="1817">
        <f t="shared" si="42"/>
        <v>21.62</v>
      </c>
      <c r="T48" s="1818">
        <f t="shared" si="43"/>
        <v>528404.38832000003</v>
      </c>
      <c r="U48" s="1819">
        <f t="shared" si="44"/>
        <v>0.54428571428571426</v>
      </c>
      <c r="V48" s="1820" t="s">
        <v>1949</v>
      </c>
      <c r="W48" s="1821" t="s">
        <v>1951</v>
      </c>
      <c r="X48" s="1822">
        <f t="shared" si="45"/>
        <v>342167.50400000002</v>
      </c>
      <c r="Y48" s="1822"/>
      <c r="Z48" s="1822"/>
      <c r="AA48" s="1823"/>
      <c r="AB48" s="1824"/>
      <c r="AC48" s="1825"/>
      <c r="AD48" s="1826"/>
      <c r="AE48" s="1826"/>
      <c r="AF48" s="1457">
        <f t="shared" si="26"/>
        <v>0</v>
      </c>
      <c r="AJ48" s="1815"/>
      <c r="AK48" s="1809"/>
      <c r="AL48" s="1816"/>
    </row>
    <row r="49" spans="1:73" s="1494" customFormat="1" ht="13.5" customHeight="1">
      <c r="A49" s="1459"/>
      <c r="B49" s="1443" t="s">
        <v>2112</v>
      </c>
      <c r="C49" s="1446" t="s">
        <v>2113</v>
      </c>
      <c r="D49" s="1445" t="s">
        <v>421</v>
      </c>
      <c r="E49" s="1446" t="s">
        <v>2114</v>
      </c>
      <c r="F49" s="1447">
        <v>43228</v>
      </c>
      <c r="G49" s="1471">
        <v>16</v>
      </c>
      <c r="H49" s="1471">
        <v>15</v>
      </c>
      <c r="I49" s="1471">
        <v>17</v>
      </c>
      <c r="J49" s="1471">
        <v>14.75</v>
      </c>
      <c r="K49" s="2054">
        <f t="shared" si="18"/>
        <v>26558.353999999999</v>
      </c>
      <c r="L49" s="983">
        <v>5312.5</v>
      </c>
      <c r="M49" s="983">
        <v>31870.853999999999</v>
      </c>
      <c r="N49" s="2054">
        <f t="shared" si="39"/>
        <v>424933.66399999999</v>
      </c>
      <c r="O49" s="2054">
        <f t="shared" si="40"/>
        <v>85000</v>
      </c>
      <c r="P49" s="2054">
        <f t="shared" si="41"/>
        <v>509933.66399999999</v>
      </c>
      <c r="Q49" s="1449"/>
      <c r="R49" s="1449">
        <v>1</v>
      </c>
      <c r="S49" s="762">
        <f t="shared" si="42"/>
        <v>14.75</v>
      </c>
      <c r="T49" s="1503">
        <f t="shared" si="43"/>
        <v>470095.09649999999</v>
      </c>
      <c r="U49" s="1504">
        <f t="shared" si="44"/>
        <v>-7.8125E-2</v>
      </c>
      <c r="V49" s="1506" t="s">
        <v>2115</v>
      </c>
      <c r="W49" s="1453" t="s">
        <v>2116</v>
      </c>
      <c r="X49" s="1507">
        <f t="shared" si="45"/>
        <v>509933.66399999999</v>
      </c>
      <c r="Y49" s="1507"/>
      <c r="Z49" s="1507"/>
      <c r="AA49" s="1517"/>
      <c r="AB49" s="1518"/>
      <c r="AC49" s="1519"/>
      <c r="AD49" s="1520"/>
      <c r="AE49" s="1520"/>
      <c r="AF49" s="1457">
        <f t="shared" si="26"/>
        <v>0</v>
      </c>
      <c r="AJ49" s="1463"/>
      <c r="AK49" s="1446"/>
      <c r="AL49" s="1459"/>
    </row>
    <row r="50" spans="1:73" s="1494" customFormat="1" ht="13.5" customHeight="1">
      <c r="A50" s="1459"/>
      <c r="B50" s="1443" t="s">
        <v>2117</v>
      </c>
      <c r="C50" s="1446" t="s">
        <v>2118</v>
      </c>
      <c r="D50" s="1445" t="s">
        <v>421</v>
      </c>
      <c r="E50" s="1446" t="s">
        <v>2119</v>
      </c>
      <c r="F50" s="1447">
        <v>43222</v>
      </c>
      <c r="G50" s="1471">
        <v>17</v>
      </c>
      <c r="H50" s="1471">
        <v>16</v>
      </c>
      <c r="I50" s="1471">
        <v>18</v>
      </c>
      <c r="J50" s="1471">
        <v>15.11</v>
      </c>
      <c r="K50" s="2054">
        <f t="shared" si="18"/>
        <v>36903.538</v>
      </c>
      <c r="L50" s="983">
        <v>5000</v>
      </c>
      <c r="M50" s="983">
        <v>41903.538</v>
      </c>
      <c r="N50" s="2054">
        <f t="shared" si="39"/>
        <v>627360.14599999995</v>
      </c>
      <c r="O50" s="2054">
        <f t="shared" si="40"/>
        <v>85000</v>
      </c>
      <c r="P50" s="2054">
        <f t="shared" si="41"/>
        <v>712360.14599999995</v>
      </c>
      <c r="Q50" s="1449"/>
      <c r="R50" s="1449">
        <v>1</v>
      </c>
      <c r="S50" s="762">
        <f t="shared" si="42"/>
        <v>15.11</v>
      </c>
      <c r="T50" s="1503">
        <f t="shared" si="43"/>
        <v>633162.45918000001</v>
      </c>
      <c r="U50" s="1504">
        <f t="shared" si="44"/>
        <v>-0.11117647058823521</v>
      </c>
      <c r="V50" s="1506" t="s">
        <v>2120</v>
      </c>
      <c r="W50" s="1453" t="s">
        <v>2121</v>
      </c>
      <c r="X50" s="1507">
        <f t="shared" si="45"/>
        <v>712360.14599999995</v>
      </c>
      <c r="Y50" s="1507"/>
      <c r="Z50" s="1507"/>
      <c r="AA50" s="1517"/>
      <c r="AB50" s="1518"/>
      <c r="AC50" s="1519"/>
      <c r="AD50" s="1520"/>
      <c r="AE50" s="1520"/>
      <c r="AF50" s="1457">
        <f t="shared" si="26"/>
        <v>0</v>
      </c>
      <c r="AJ50" s="1463"/>
      <c r="AK50" s="1446"/>
      <c r="AL50" s="1459"/>
    </row>
    <row r="51" spans="1:73" s="1494" customFormat="1" ht="13.5" customHeight="1">
      <c r="A51" s="1459"/>
      <c r="B51" s="1443" t="s">
        <v>2122</v>
      </c>
      <c r="C51" s="1446" t="s">
        <v>2123</v>
      </c>
      <c r="D51" s="1445" t="s">
        <v>421</v>
      </c>
      <c r="E51" s="1446" t="s">
        <v>2124</v>
      </c>
      <c r="F51" s="1447">
        <v>43208</v>
      </c>
      <c r="G51" s="1471">
        <v>15</v>
      </c>
      <c r="H51" s="1471">
        <v>13</v>
      </c>
      <c r="I51" s="1471">
        <v>15</v>
      </c>
      <c r="J51" s="1471">
        <v>13.39</v>
      </c>
      <c r="K51" s="2054">
        <f t="shared" si="18"/>
        <v>20397.314999999999</v>
      </c>
      <c r="L51" s="983">
        <v>7200</v>
      </c>
      <c r="M51" s="983">
        <v>27597.314999999999</v>
      </c>
      <c r="N51" s="2054">
        <f t="shared" si="39"/>
        <v>305959.72499999998</v>
      </c>
      <c r="O51" s="2054">
        <f t="shared" si="40"/>
        <v>108000</v>
      </c>
      <c r="P51" s="2054">
        <f t="shared" si="41"/>
        <v>413959.72499999998</v>
      </c>
      <c r="Q51" s="1449"/>
      <c r="R51" s="1449">
        <v>1</v>
      </c>
      <c r="S51" s="762">
        <f>J51</f>
        <v>13.39</v>
      </c>
      <c r="T51" s="1503">
        <f>S51*M51</f>
        <v>369528.04784999997</v>
      </c>
      <c r="U51" s="1504">
        <f>T51/P51-1</f>
        <v>-0.10733333333333339</v>
      </c>
      <c r="V51" s="1506" t="s">
        <v>2125</v>
      </c>
      <c r="W51" s="1453" t="s">
        <v>2126</v>
      </c>
      <c r="X51" s="1507">
        <f>+N51+O51</f>
        <v>413959.72499999998</v>
      </c>
      <c r="Y51" s="1507"/>
      <c r="Z51" s="1507"/>
      <c r="AA51" s="1517"/>
      <c r="AB51" s="1518"/>
      <c r="AC51" s="1519"/>
      <c r="AD51" s="1520"/>
      <c r="AE51" s="1520"/>
      <c r="AF51" s="1457">
        <f t="shared" si="26"/>
        <v>0</v>
      </c>
      <c r="AJ51" s="1463"/>
      <c r="AK51" s="1446"/>
      <c r="AL51" s="1459"/>
    </row>
    <row r="52" spans="1:73" s="1494" customFormat="1" ht="13.5" customHeight="1">
      <c r="A52" s="1459"/>
      <c r="B52" s="1443" t="s">
        <v>2127</v>
      </c>
      <c r="C52" s="1446" t="s">
        <v>2128</v>
      </c>
      <c r="D52" s="1445" t="s">
        <v>421</v>
      </c>
      <c r="E52" s="1446" t="s">
        <v>2129</v>
      </c>
      <c r="F52" s="1447">
        <v>43187</v>
      </c>
      <c r="G52" s="1471">
        <v>12</v>
      </c>
      <c r="H52" s="1471">
        <v>12</v>
      </c>
      <c r="I52" s="1471">
        <v>14</v>
      </c>
      <c r="J52" s="1471">
        <v>11.78</v>
      </c>
      <c r="K52" s="2054">
        <f t="shared" si="18"/>
        <v>23847.718000000001</v>
      </c>
      <c r="L52" s="983">
        <v>5770</v>
      </c>
      <c r="M52" s="983">
        <v>29617.718000000001</v>
      </c>
      <c r="N52" s="2054">
        <f t="shared" si="39"/>
        <v>286172.61600000004</v>
      </c>
      <c r="O52" s="2054">
        <f t="shared" si="40"/>
        <v>69240</v>
      </c>
      <c r="P52" s="2054">
        <f t="shared" si="41"/>
        <v>355412.61600000004</v>
      </c>
      <c r="Q52" s="1449"/>
      <c r="R52" s="1449">
        <v>1</v>
      </c>
      <c r="S52" s="762">
        <f>J52</f>
        <v>11.78</v>
      </c>
      <c r="T52" s="1503">
        <f>S52*M52</f>
        <v>348896.71804000001</v>
      </c>
      <c r="U52" s="1504">
        <f>T52/P52-1</f>
        <v>-1.8333333333333424E-2</v>
      </c>
      <c r="V52" s="1506" t="s">
        <v>2130</v>
      </c>
      <c r="W52" s="1453" t="s">
        <v>2131</v>
      </c>
      <c r="X52" s="1507">
        <f>+N52+O52</f>
        <v>355412.61600000004</v>
      </c>
      <c r="Y52" s="1507"/>
      <c r="Z52" s="1507"/>
      <c r="AA52" s="1517"/>
      <c r="AB52" s="1518"/>
      <c r="AC52" s="1519"/>
      <c r="AD52" s="1520"/>
      <c r="AE52" s="1520"/>
      <c r="AF52" s="1457">
        <f t="shared" si="26"/>
        <v>0</v>
      </c>
      <c r="AJ52" s="1463"/>
      <c r="AK52" s="1446"/>
      <c r="AL52" s="1459"/>
    </row>
    <row r="53" spans="1:73" s="1494" customFormat="1" ht="13.5" customHeight="1">
      <c r="A53" s="1459"/>
      <c r="B53" s="1443" t="s">
        <v>2132</v>
      </c>
      <c r="C53" s="1446" t="s">
        <v>2133</v>
      </c>
      <c r="D53" s="1445" t="s">
        <v>421</v>
      </c>
      <c r="E53" s="1446" t="s">
        <v>2134</v>
      </c>
      <c r="F53" s="1447">
        <v>43173</v>
      </c>
      <c r="G53" s="1471">
        <v>15</v>
      </c>
      <c r="H53" s="1471">
        <v>13</v>
      </c>
      <c r="I53" s="1471">
        <v>15</v>
      </c>
      <c r="J53" s="1471">
        <v>15.27</v>
      </c>
      <c r="K53" s="2054">
        <f t="shared" si="18"/>
        <v>34550.472000000002</v>
      </c>
      <c r="L53" s="983">
        <v>8000</v>
      </c>
      <c r="M53" s="983">
        <v>42550.472000000002</v>
      </c>
      <c r="N53" s="2054">
        <f t="shared" si="39"/>
        <v>518257.08</v>
      </c>
      <c r="O53" s="2054">
        <f t="shared" si="40"/>
        <v>120000</v>
      </c>
      <c r="P53" s="2054">
        <f t="shared" si="41"/>
        <v>638257.08000000007</v>
      </c>
      <c r="Q53" s="1449"/>
      <c r="R53" s="1449">
        <v>1</v>
      </c>
      <c r="S53" s="762">
        <f>J53</f>
        <v>15.27</v>
      </c>
      <c r="T53" s="1503">
        <f>S53*M53</f>
        <v>649745.70744000003</v>
      </c>
      <c r="U53" s="1504">
        <f>T53/P53-1</f>
        <v>1.8000000000000016E-2</v>
      </c>
      <c r="V53" s="1506" t="s">
        <v>2135</v>
      </c>
      <c r="W53" s="1453" t="s">
        <v>2136</v>
      </c>
      <c r="X53" s="1507">
        <f>+N53+O53</f>
        <v>638257.08000000007</v>
      </c>
      <c r="Y53" s="1507"/>
      <c r="Z53" s="1507"/>
      <c r="AA53" s="1517"/>
      <c r="AB53" s="1518"/>
      <c r="AC53" s="1519"/>
      <c r="AD53" s="1520"/>
      <c r="AE53" s="1520"/>
      <c r="AF53" s="1457">
        <f t="shared" si="26"/>
        <v>0</v>
      </c>
      <c r="AJ53" s="1463"/>
      <c r="AK53" s="1446"/>
      <c r="AL53" s="1459"/>
    </row>
    <row r="54" spans="1:73" s="1465" customFormat="1" ht="13.5" customHeight="1">
      <c r="A54" s="1459"/>
      <c r="B54" s="1443" t="s">
        <v>2137</v>
      </c>
      <c r="C54" s="1446" t="s">
        <v>2138</v>
      </c>
      <c r="D54" s="1445" t="s">
        <v>411</v>
      </c>
      <c r="E54" s="1446" t="s">
        <v>2139</v>
      </c>
      <c r="F54" s="1447">
        <v>43167</v>
      </c>
      <c r="G54" s="1471">
        <v>11</v>
      </c>
      <c r="H54" s="1471">
        <v>11</v>
      </c>
      <c r="I54" s="1471">
        <v>13</v>
      </c>
      <c r="J54" s="1471">
        <v>11.05</v>
      </c>
      <c r="K54" s="2054">
        <f t="shared" si="18"/>
        <v>10191</v>
      </c>
      <c r="L54" s="983">
        <v>5454.5450000000001</v>
      </c>
      <c r="M54" s="983">
        <v>15645.545</v>
      </c>
      <c r="N54" s="2055">
        <f t="shared" si="39"/>
        <v>112101</v>
      </c>
      <c r="O54" s="2055">
        <f t="shared" si="40"/>
        <v>59999.995000000003</v>
      </c>
      <c r="P54" s="2055">
        <f t="shared" si="41"/>
        <v>172100.995</v>
      </c>
      <c r="Q54" s="1449"/>
      <c r="R54" s="1426">
        <v>1</v>
      </c>
      <c r="S54" s="762">
        <f>J54</f>
        <v>11.05</v>
      </c>
      <c r="T54" s="1450">
        <f>S54*M54</f>
        <v>172883.27225000001</v>
      </c>
      <c r="U54" s="1451">
        <f>T54/P54-1</f>
        <v>4.5454545454546302E-3</v>
      </c>
      <c r="V54" s="1452" t="s">
        <v>2140</v>
      </c>
      <c r="W54" s="1453" t="s">
        <v>2141</v>
      </c>
      <c r="X54" s="1454">
        <f>+N54+O54</f>
        <v>172100.995</v>
      </c>
      <c r="Y54" s="1454"/>
      <c r="Z54" s="1454"/>
      <c r="AA54" s="985"/>
      <c r="AB54" s="986"/>
      <c r="AC54" s="978"/>
      <c r="AD54" s="1456"/>
      <c r="AE54" s="1456"/>
      <c r="AF54" s="1457">
        <f t="shared" si="26"/>
        <v>0</v>
      </c>
      <c r="AG54" s="1422"/>
      <c r="AH54" s="1422"/>
      <c r="AI54" s="1422"/>
      <c r="AJ54" s="1463"/>
      <c r="AK54" s="1462"/>
      <c r="AL54" s="1461"/>
      <c r="AM54" s="1422"/>
      <c r="AN54" s="1422"/>
      <c r="AO54" s="1422"/>
    </row>
    <row r="55" spans="1:73" s="1827" customFormat="1" ht="13.5" customHeight="1">
      <c r="A55" s="1816"/>
      <c r="B55" s="1808" t="s">
        <v>2142</v>
      </c>
      <c r="C55" s="1809" t="s">
        <v>2143</v>
      </c>
      <c r="D55" s="1810" t="s">
        <v>853</v>
      </c>
      <c r="E55" s="1809" t="s">
        <v>2144</v>
      </c>
      <c r="F55" s="1811">
        <v>43125</v>
      </c>
      <c r="G55" s="1813">
        <v>16</v>
      </c>
      <c r="H55" s="1813">
        <v>16</v>
      </c>
      <c r="I55" s="1813">
        <v>18</v>
      </c>
      <c r="J55" s="1813">
        <v>29.56</v>
      </c>
      <c r="K55" s="2059">
        <f t="shared" si="18"/>
        <v>26338.521999999997</v>
      </c>
      <c r="L55" s="1828">
        <v>7812.5</v>
      </c>
      <c r="M55" s="1828">
        <v>34151.021999999997</v>
      </c>
      <c r="N55" s="2059">
        <f t="shared" si="39"/>
        <v>421416.35199999996</v>
      </c>
      <c r="O55" s="2059">
        <f t="shared" si="40"/>
        <v>125000</v>
      </c>
      <c r="P55" s="2059">
        <f t="shared" si="41"/>
        <v>546416.35199999996</v>
      </c>
      <c r="Q55" s="1814"/>
      <c r="R55" s="1814">
        <v>1</v>
      </c>
      <c r="S55" s="1817">
        <f>J55</f>
        <v>29.56</v>
      </c>
      <c r="T55" s="1818">
        <f>S55*M55</f>
        <v>1009504.2103199998</v>
      </c>
      <c r="U55" s="1819">
        <f>T55/P55-1</f>
        <v>0.84749999999999992</v>
      </c>
      <c r="V55" s="1820" t="s">
        <v>2145</v>
      </c>
      <c r="W55" s="1821" t="s">
        <v>2146</v>
      </c>
      <c r="X55" s="1822">
        <f>+N55+O55</f>
        <v>546416.35199999996</v>
      </c>
      <c r="Y55" s="1822"/>
      <c r="Z55" s="1822"/>
      <c r="AA55" s="1823"/>
      <c r="AB55" s="1824"/>
      <c r="AC55" s="1825"/>
      <c r="AD55" s="1826"/>
      <c r="AE55" s="1826"/>
      <c r="AF55" s="1457">
        <f t="shared" si="26"/>
        <v>0</v>
      </c>
      <c r="AJ55" s="1815"/>
      <c r="AK55" s="1809"/>
      <c r="AL55" s="1816"/>
    </row>
    <row r="56" spans="1:73" s="1482" customFormat="1" ht="13.5" customHeight="1">
      <c r="A56" s="1459"/>
      <c r="B56" s="1443" t="s">
        <v>1371</v>
      </c>
      <c r="C56" s="1446" t="s">
        <v>1372</v>
      </c>
      <c r="D56" s="1445" t="s">
        <v>421</v>
      </c>
      <c r="E56" s="1446" t="s">
        <v>1373</v>
      </c>
      <c r="F56" s="1447">
        <v>43076</v>
      </c>
      <c r="G56" s="1471">
        <v>18</v>
      </c>
      <c r="H56" s="1471">
        <v>17</v>
      </c>
      <c r="I56" s="1471">
        <v>19</v>
      </c>
      <c r="J56" s="1471">
        <v>18.71</v>
      </c>
      <c r="K56" s="2054">
        <f t="shared" si="18"/>
        <v>74090.587</v>
      </c>
      <c r="L56" s="983">
        <v>13888.888000000001</v>
      </c>
      <c r="M56" s="983">
        <v>87979.475000000006</v>
      </c>
      <c r="N56" s="2055">
        <f t="shared" si="39"/>
        <v>1333630.5660000001</v>
      </c>
      <c r="O56" s="2055">
        <f t="shared" si="40"/>
        <v>249999.98400000003</v>
      </c>
      <c r="P56" s="2055">
        <f t="shared" si="41"/>
        <v>1583630.55</v>
      </c>
      <c r="Q56" s="1449"/>
      <c r="R56" s="1426">
        <v>1</v>
      </c>
      <c r="S56" s="762">
        <f t="shared" ref="S56:S84" si="46">J56</f>
        <v>18.71</v>
      </c>
      <c r="T56" s="1450">
        <f t="shared" ref="T56:T84" si="47">S56*M56</f>
        <v>1646095.9772500002</v>
      </c>
      <c r="U56" s="1451">
        <f t="shared" ref="U56:U84" si="48">T56/P56-1</f>
        <v>3.9444444444444615E-2</v>
      </c>
      <c r="V56" s="1452" t="s">
        <v>1374</v>
      </c>
      <c r="W56" s="1458" t="s">
        <v>1375</v>
      </c>
      <c r="X56" s="1454">
        <f t="shared" ref="X56:X84" si="49">+N56+O56</f>
        <v>1583630.55</v>
      </c>
      <c r="Y56" s="986"/>
      <c r="Z56" s="1481"/>
      <c r="AA56" s="985"/>
      <c r="AC56" s="986"/>
      <c r="AD56" s="1483"/>
      <c r="AE56" s="1483"/>
      <c r="AF56" s="1457">
        <f t="shared" si="26"/>
        <v>0</v>
      </c>
      <c r="AG56" s="1437"/>
      <c r="AH56" s="1422"/>
      <c r="AI56" s="1422"/>
      <c r="AJ56" s="1422"/>
      <c r="AK56" s="1463"/>
      <c r="AL56" s="1462"/>
      <c r="AM56" s="1461"/>
      <c r="AN56" s="1422"/>
      <c r="AO56" s="1422"/>
      <c r="AP56" s="1422"/>
      <c r="AQ56" s="1465"/>
      <c r="AR56" s="1465"/>
      <c r="AS56" s="1465"/>
      <c r="AT56" s="1465"/>
      <c r="AU56" s="1465"/>
      <c r="AV56" s="1465"/>
      <c r="AW56" s="1465"/>
      <c r="AX56" s="1465"/>
      <c r="AY56" s="1465"/>
      <c r="AZ56" s="1465"/>
      <c r="BA56" s="1465"/>
      <c r="BB56" s="1465"/>
      <c r="BC56" s="1465"/>
      <c r="BD56" s="1465"/>
      <c r="BE56" s="1465"/>
      <c r="BF56" s="1465"/>
      <c r="BG56" s="1465"/>
      <c r="BH56" s="1465"/>
      <c r="BI56" s="1465"/>
      <c r="BJ56" s="1465"/>
      <c r="BK56" s="1465"/>
      <c r="BL56" s="1465"/>
      <c r="BM56" s="1465"/>
      <c r="BN56" s="1465"/>
      <c r="BO56" s="1465"/>
      <c r="BP56" s="1465"/>
      <c r="BQ56" s="1465"/>
      <c r="BR56" s="1465"/>
      <c r="BS56" s="1465"/>
      <c r="BT56" s="1465"/>
      <c r="BU56" s="1465"/>
    </row>
    <row r="57" spans="1:73" s="1482" customFormat="1" ht="13.5" customHeight="1">
      <c r="A57" s="1459"/>
      <c r="B57" s="1443" t="s">
        <v>1381</v>
      </c>
      <c r="C57" s="1446" t="s">
        <v>1382</v>
      </c>
      <c r="D57" s="1445" t="s">
        <v>421</v>
      </c>
      <c r="E57" s="1446" t="s">
        <v>1383</v>
      </c>
      <c r="F57" s="1447">
        <v>43040</v>
      </c>
      <c r="G57" s="1471">
        <v>14</v>
      </c>
      <c r="H57" s="1471">
        <v>14</v>
      </c>
      <c r="I57" s="1471">
        <v>16</v>
      </c>
      <c r="J57" s="1471">
        <v>12.14</v>
      </c>
      <c r="K57" s="2054">
        <f t="shared" si="18"/>
        <v>8397.6839999999993</v>
      </c>
      <c r="L57" s="983">
        <v>5500</v>
      </c>
      <c r="M57" s="983">
        <v>13897.683999999999</v>
      </c>
      <c r="N57" s="2055">
        <f t="shared" si="39"/>
        <v>117567.57599999999</v>
      </c>
      <c r="O57" s="2055">
        <f t="shared" si="40"/>
        <v>77000</v>
      </c>
      <c r="P57" s="2055">
        <f t="shared" si="41"/>
        <v>194567.576</v>
      </c>
      <c r="Q57" s="1449"/>
      <c r="R57" s="1426">
        <v>1</v>
      </c>
      <c r="S57" s="762">
        <f t="shared" si="46"/>
        <v>12.14</v>
      </c>
      <c r="T57" s="1450">
        <f t="shared" si="47"/>
        <v>168717.88376</v>
      </c>
      <c r="U57" s="1451">
        <f t="shared" si="48"/>
        <v>-0.1328571428571429</v>
      </c>
      <c r="V57" s="1452" t="s">
        <v>1384</v>
      </c>
      <c r="W57" s="1458" t="s">
        <v>1385</v>
      </c>
      <c r="X57" s="1454">
        <f t="shared" si="49"/>
        <v>194567.576</v>
      </c>
      <c r="Y57" s="986"/>
      <c r="Z57" s="1481"/>
      <c r="AA57" s="985"/>
      <c r="AC57" s="986"/>
      <c r="AD57" s="1483"/>
      <c r="AE57" s="1483"/>
      <c r="AF57" s="1457">
        <f t="shared" si="26"/>
        <v>0</v>
      </c>
      <c r="AG57" s="1437"/>
      <c r="AH57" s="1422"/>
      <c r="AI57" s="1422"/>
      <c r="AJ57" s="1422"/>
      <c r="AK57" s="1463"/>
      <c r="AL57" s="1462"/>
      <c r="AM57" s="1461"/>
      <c r="AN57" s="1422"/>
      <c r="AO57" s="1422"/>
      <c r="AP57" s="1422"/>
      <c r="AQ57" s="1465"/>
      <c r="AR57" s="1465"/>
      <c r="AS57" s="1465"/>
      <c r="AT57" s="1465"/>
      <c r="AU57" s="1465"/>
      <c r="AV57" s="1465"/>
      <c r="AW57" s="1465"/>
      <c r="AX57" s="1465"/>
      <c r="AY57" s="1465"/>
      <c r="AZ57" s="1465"/>
      <c r="BA57" s="1465"/>
      <c r="BB57" s="1465"/>
      <c r="BC57" s="1465"/>
      <c r="BD57" s="1465"/>
      <c r="BE57" s="1465"/>
      <c r="BF57" s="1465"/>
      <c r="BG57" s="1465"/>
      <c r="BH57" s="1465"/>
      <c r="BI57" s="1465"/>
      <c r="BJ57" s="1465"/>
      <c r="BK57" s="1465"/>
      <c r="BL57" s="1465"/>
      <c r="BM57" s="1465"/>
      <c r="BN57" s="1465"/>
      <c r="BO57" s="1465"/>
      <c r="BP57" s="1465"/>
      <c r="BQ57" s="1465"/>
      <c r="BR57" s="1465"/>
      <c r="BS57" s="1465"/>
      <c r="BT57" s="1465"/>
      <c r="BU57" s="1465"/>
    </row>
    <row r="58" spans="1:73" s="1482" customFormat="1" ht="13.5" customHeight="1">
      <c r="A58" s="1459"/>
      <c r="B58" s="1443" t="s">
        <v>1300</v>
      </c>
      <c r="C58" s="1446" t="s">
        <v>1301</v>
      </c>
      <c r="D58" s="1445" t="s">
        <v>421</v>
      </c>
      <c r="E58" s="1446" t="s">
        <v>1302</v>
      </c>
      <c r="F58" s="1447">
        <v>43005</v>
      </c>
      <c r="G58" s="1471">
        <v>17</v>
      </c>
      <c r="H58" s="1471">
        <v>15</v>
      </c>
      <c r="I58" s="1471">
        <v>17</v>
      </c>
      <c r="J58" s="1471">
        <v>18.64</v>
      </c>
      <c r="K58" s="2054">
        <f t="shared" si="18"/>
        <v>25091.686000000002</v>
      </c>
      <c r="L58" s="983">
        <v>7500</v>
      </c>
      <c r="M58" s="983">
        <v>32591.686000000002</v>
      </c>
      <c r="N58" s="2055">
        <f t="shared" si="39"/>
        <v>426558.66200000001</v>
      </c>
      <c r="O58" s="2055">
        <f t="shared" si="40"/>
        <v>127500</v>
      </c>
      <c r="P58" s="2055">
        <f t="shared" si="41"/>
        <v>554058.66200000001</v>
      </c>
      <c r="Q58" s="1449"/>
      <c r="R58" s="1426">
        <v>1</v>
      </c>
      <c r="S58" s="762">
        <f t="shared" si="46"/>
        <v>18.64</v>
      </c>
      <c r="T58" s="1450">
        <f t="shared" si="47"/>
        <v>607509.02704000007</v>
      </c>
      <c r="U58" s="1451">
        <f t="shared" si="48"/>
        <v>9.6470588235294308E-2</v>
      </c>
      <c r="V58" s="1452" t="s">
        <v>1303</v>
      </c>
      <c r="W58" s="1458" t="s">
        <v>1304</v>
      </c>
      <c r="X58" s="1454">
        <f t="shared" si="49"/>
        <v>554058.66200000001</v>
      </c>
      <c r="Y58" s="986">
        <v>1575000</v>
      </c>
      <c r="Z58" s="1481">
        <v>93992000</v>
      </c>
      <c r="AA58" s="985"/>
      <c r="AC58" s="986"/>
      <c r="AD58" s="1483"/>
      <c r="AE58" s="1483"/>
      <c r="AF58" s="1457">
        <f t="shared" si="26"/>
        <v>0</v>
      </c>
      <c r="AG58" s="1437"/>
      <c r="AH58" s="1422"/>
      <c r="AI58" s="1422"/>
      <c r="AJ58" s="1422"/>
      <c r="AK58" s="1463"/>
      <c r="AL58" s="1462"/>
      <c r="AM58" s="1461"/>
      <c r="AN58" s="1422"/>
      <c r="AO58" s="1422"/>
      <c r="AP58" s="1422"/>
      <c r="AQ58" s="1465"/>
      <c r="AR58" s="1465"/>
      <c r="AS58" s="1465"/>
      <c r="AT58" s="1465"/>
      <c r="AU58" s="1465"/>
      <c r="AV58" s="1465"/>
      <c r="AW58" s="1465"/>
      <c r="AX58" s="1465"/>
      <c r="AY58" s="1465"/>
      <c r="AZ58" s="1465"/>
      <c r="BA58" s="1465"/>
      <c r="BB58" s="1465"/>
      <c r="BC58" s="1465"/>
      <c r="BD58" s="1465"/>
      <c r="BE58" s="1465"/>
      <c r="BF58" s="1465"/>
      <c r="BG58" s="1465"/>
      <c r="BH58" s="1465"/>
      <c r="BI58" s="1465"/>
      <c r="BJ58" s="1465"/>
      <c r="BK58" s="1465"/>
      <c r="BL58" s="1465"/>
      <c r="BM58" s="1465"/>
      <c r="BN58" s="1465"/>
      <c r="BO58" s="1465"/>
      <c r="BP58" s="1465"/>
      <c r="BQ58" s="1465"/>
      <c r="BR58" s="1465"/>
      <c r="BS58" s="1465"/>
      <c r="BT58" s="1465"/>
      <c r="BU58" s="1465"/>
    </row>
    <row r="59" spans="1:73" s="1482" customFormat="1" ht="13.5" customHeight="1">
      <c r="A59" s="1459"/>
      <c r="B59" s="1443" t="s">
        <v>1386</v>
      </c>
      <c r="C59" s="1446" t="s">
        <v>1387</v>
      </c>
      <c r="D59" s="1445" t="s">
        <v>853</v>
      </c>
      <c r="E59" s="1446" t="s">
        <v>1388</v>
      </c>
      <c r="F59" s="1447">
        <v>43005</v>
      </c>
      <c r="G59" s="1471">
        <v>14</v>
      </c>
      <c r="H59" s="1471">
        <v>13</v>
      </c>
      <c r="I59" s="1471">
        <v>15</v>
      </c>
      <c r="J59" s="1471">
        <v>20.8</v>
      </c>
      <c r="K59" s="2054">
        <f t="shared" si="18"/>
        <v>22740.714</v>
      </c>
      <c r="L59" s="983">
        <v>5360</v>
      </c>
      <c r="M59" s="983">
        <v>28100.714</v>
      </c>
      <c r="N59" s="2055">
        <f t="shared" si="39"/>
        <v>318369.99599999998</v>
      </c>
      <c r="O59" s="2055">
        <f t="shared" si="40"/>
        <v>75040</v>
      </c>
      <c r="P59" s="2055">
        <f t="shared" si="41"/>
        <v>393409.99599999998</v>
      </c>
      <c r="Q59" s="1449"/>
      <c r="R59" s="1426">
        <v>1</v>
      </c>
      <c r="S59" s="762">
        <f t="shared" si="46"/>
        <v>20.8</v>
      </c>
      <c r="T59" s="1450">
        <f t="shared" si="47"/>
        <v>584494.85120000003</v>
      </c>
      <c r="U59" s="1451">
        <f t="shared" si="48"/>
        <v>0.48571428571428577</v>
      </c>
      <c r="V59" s="1452" t="s">
        <v>1389</v>
      </c>
      <c r="W59" s="1458" t="s">
        <v>1390</v>
      </c>
      <c r="X59" s="1454">
        <f t="shared" si="49"/>
        <v>393409.99599999998</v>
      </c>
      <c r="Y59" s="986"/>
      <c r="Z59" s="1481"/>
      <c r="AA59" s="985"/>
      <c r="AC59" s="986"/>
      <c r="AD59" s="1483"/>
      <c r="AE59" s="1483"/>
      <c r="AF59" s="1457">
        <f t="shared" si="26"/>
        <v>0</v>
      </c>
      <c r="AG59" s="1437"/>
      <c r="AH59" s="1422"/>
      <c r="AI59" s="1422"/>
      <c r="AJ59" s="1422"/>
      <c r="AK59" s="1463"/>
      <c r="AL59" s="1462"/>
      <c r="AM59" s="1461"/>
      <c r="AN59" s="1422"/>
      <c r="AO59" s="1422"/>
      <c r="AP59" s="1422"/>
      <c r="AQ59" s="1465"/>
      <c r="AR59" s="1465"/>
      <c r="AS59" s="1465"/>
      <c r="AT59" s="1465"/>
      <c r="AU59" s="1465"/>
      <c r="AV59" s="1465"/>
      <c r="AW59" s="1465"/>
      <c r="AX59" s="1465"/>
      <c r="AY59" s="1465"/>
      <c r="AZ59" s="1465"/>
      <c r="BA59" s="1465"/>
      <c r="BB59" s="1465"/>
      <c r="BC59" s="1465"/>
      <c r="BD59" s="1465"/>
      <c r="BE59" s="1465"/>
      <c r="BF59" s="1465"/>
      <c r="BG59" s="1465"/>
      <c r="BH59" s="1465"/>
      <c r="BI59" s="1465"/>
      <c r="BJ59" s="1465"/>
      <c r="BK59" s="1465"/>
      <c r="BL59" s="1465"/>
      <c r="BM59" s="1465"/>
      <c r="BN59" s="1465"/>
      <c r="BO59" s="1465"/>
      <c r="BP59" s="1465"/>
      <c r="BQ59" s="1465"/>
      <c r="BR59" s="1465"/>
      <c r="BS59" s="1465"/>
      <c r="BT59" s="1465"/>
      <c r="BU59" s="1465"/>
    </row>
    <row r="60" spans="1:73" s="1482" customFormat="1" ht="13.5" customHeight="1">
      <c r="A60" s="1459"/>
      <c r="B60" s="1443" t="s">
        <v>1305</v>
      </c>
      <c r="C60" s="1446" t="s">
        <v>1306</v>
      </c>
      <c r="D60" s="1445" t="s">
        <v>421</v>
      </c>
      <c r="E60" s="1446" t="s">
        <v>1307</v>
      </c>
      <c r="F60" s="1447">
        <v>42997</v>
      </c>
      <c r="G60" s="1471">
        <v>10</v>
      </c>
      <c r="H60" s="1471">
        <v>9</v>
      </c>
      <c r="I60" s="1471">
        <v>11</v>
      </c>
      <c r="J60" s="1471">
        <v>9.99</v>
      </c>
      <c r="K60" s="2054">
        <f t="shared" si="18"/>
        <v>4084.884</v>
      </c>
      <c r="L60" s="983">
        <v>3960</v>
      </c>
      <c r="M60" s="983">
        <v>8044.884</v>
      </c>
      <c r="N60" s="2055">
        <f t="shared" si="39"/>
        <v>40848.839999999997</v>
      </c>
      <c r="O60" s="2055">
        <f t="shared" si="40"/>
        <v>39600</v>
      </c>
      <c r="P60" s="2055">
        <f t="shared" si="41"/>
        <v>80448.84</v>
      </c>
      <c r="Q60" s="1449"/>
      <c r="R60" s="1426">
        <v>1</v>
      </c>
      <c r="S60" s="762">
        <f t="shared" si="46"/>
        <v>9.99</v>
      </c>
      <c r="T60" s="1450">
        <f t="shared" si="47"/>
        <v>80368.391159999999</v>
      </c>
      <c r="U60" s="1451">
        <f t="shared" si="48"/>
        <v>-1.0000000000000009E-3</v>
      </c>
      <c r="V60" s="1452" t="s">
        <v>1308</v>
      </c>
      <c r="W60" s="1458" t="s">
        <v>1309</v>
      </c>
      <c r="X60" s="1454">
        <f t="shared" si="49"/>
        <v>80448.84</v>
      </c>
      <c r="Y60" s="986">
        <v>4142000.0000000005</v>
      </c>
      <c r="Z60" s="1481">
        <v>3518000</v>
      </c>
      <c r="AA60" s="985"/>
      <c r="AC60" s="986"/>
      <c r="AD60" s="1483"/>
      <c r="AE60" s="1483"/>
      <c r="AF60" s="1457">
        <f t="shared" si="26"/>
        <v>0</v>
      </c>
      <c r="AG60" s="1437"/>
      <c r="AH60" s="1422"/>
      <c r="AI60" s="1422"/>
      <c r="AJ60" s="1422"/>
      <c r="AK60" s="1463"/>
      <c r="AL60" s="1462"/>
      <c r="AM60" s="1461"/>
      <c r="AN60" s="1422"/>
      <c r="AO60" s="1422"/>
      <c r="AP60" s="1422"/>
      <c r="AQ60" s="1465"/>
      <c r="AR60" s="1465"/>
      <c r="AS60" s="1465"/>
      <c r="AT60" s="1465"/>
      <c r="AU60" s="1465"/>
      <c r="AV60" s="1465"/>
      <c r="AW60" s="1465"/>
      <c r="AX60" s="1465"/>
      <c r="AY60" s="1465"/>
      <c r="AZ60" s="1465"/>
      <c r="BA60" s="1465"/>
      <c r="BB60" s="1465"/>
      <c r="BC60" s="1465"/>
      <c r="BD60" s="1465"/>
      <c r="BE60" s="1465"/>
      <c r="BF60" s="1465"/>
      <c r="BG60" s="1465"/>
      <c r="BH60" s="1465"/>
      <c r="BI60" s="1465"/>
      <c r="BJ60" s="1465"/>
      <c r="BK60" s="1465"/>
      <c r="BL60" s="1465"/>
      <c r="BM60" s="1465"/>
      <c r="BN60" s="1465"/>
      <c r="BO60" s="1465"/>
      <c r="BP60" s="1465"/>
      <c r="BQ60" s="1465"/>
      <c r="BR60" s="1465"/>
      <c r="BS60" s="1465"/>
      <c r="BT60" s="1465"/>
      <c r="BU60" s="1465"/>
    </row>
    <row r="61" spans="1:73" s="1482" customFormat="1" ht="13.5" customHeight="1">
      <c r="A61" s="1459"/>
      <c r="B61" s="1443" t="s">
        <v>1310</v>
      </c>
      <c r="C61" s="1446" t="s">
        <v>1311</v>
      </c>
      <c r="D61" s="1445" t="s">
        <v>421</v>
      </c>
      <c r="E61" s="1446" t="s">
        <v>1312</v>
      </c>
      <c r="F61" s="1447">
        <v>42913</v>
      </c>
      <c r="G61" s="1471">
        <v>15</v>
      </c>
      <c r="H61" s="1471">
        <v>14</v>
      </c>
      <c r="I61" s="1471">
        <v>16</v>
      </c>
      <c r="J61" s="1471">
        <v>14.61</v>
      </c>
      <c r="K61" s="2054">
        <f t="shared" si="18"/>
        <v>17645.620999999999</v>
      </c>
      <c r="L61" s="983">
        <v>5000</v>
      </c>
      <c r="M61" s="983">
        <v>22645.620999999999</v>
      </c>
      <c r="N61" s="2055">
        <f t="shared" si="39"/>
        <v>264684.315</v>
      </c>
      <c r="O61" s="2055">
        <f t="shared" si="40"/>
        <v>75000</v>
      </c>
      <c r="P61" s="2055">
        <f t="shared" si="41"/>
        <v>339684.315</v>
      </c>
      <c r="Q61" s="1449"/>
      <c r="R61" s="1426">
        <v>1</v>
      </c>
      <c r="S61" s="762">
        <f t="shared" si="46"/>
        <v>14.61</v>
      </c>
      <c r="T61" s="1450">
        <f t="shared" si="47"/>
        <v>330852.52280999999</v>
      </c>
      <c r="U61" s="1451">
        <f t="shared" si="48"/>
        <v>-2.6000000000000023E-2</v>
      </c>
      <c r="V61" s="1452" t="s">
        <v>1313</v>
      </c>
      <c r="W61" s="1458" t="s">
        <v>1314</v>
      </c>
      <c r="X61" s="1454">
        <f t="shared" si="49"/>
        <v>339684.315</v>
      </c>
      <c r="Y61" s="1481">
        <v>0</v>
      </c>
      <c r="Z61" s="1481">
        <v>88515</v>
      </c>
      <c r="AA61" s="985">
        <v>251169.315</v>
      </c>
      <c r="AB61" s="986">
        <v>0</v>
      </c>
      <c r="AC61" s="986">
        <v>0</v>
      </c>
      <c r="AD61" s="1483" t="s">
        <v>1</v>
      </c>
      <c r="AE61" s="1483" t="s">
        <v>1</v>
      </c>
      <c r="AF61" s="1457">
        <f>+P61-X61</f>
        <v>0</v>
      </c>
      <c r="AG61" s="1437"/>
      <c r="AH61" s="1422"/>
      <c r="AI61" s="1422"/>
      <c r="AJ61" s="1422"/>
      <c r="AK61" s="1463"/>
      <c r="AL61" s="1462"/>
      <c r="AM61" s="1461"/>
      <c r="AN61" s="1422"/>
      <c r="AO61" s="1422"/>
      <c r="AP61" s="1422"/>
      <c r="AQ61" s="1465"/>
      <c r="AR61" s="1465"/>
      <c r="AS61" s="1465"/>
      <c r="AT61" s="1465"/>
      <c r="AU61" s="1465"/>
      <c r="AV61" s="1465"/>
      <c r="AW61" s="1465"/>
      <c r="AX61" s="1465"/>
      <c r="AY61" s="1465"/>
      <c r="AZ61" s="1465"/>
      <c r="BA61" s="1465"/>
      <c r="BB61" s="1465"/>
      <c r="BC61" s="1465"/>
      <c r="BD61" s="1465"/>
      <c r="BE61" s="1465"/>
      <c r="BF61" s="1465"/>
      <c r="BG61" s="1465"/>
      <c r="BH61" s="1465"/>
      <c r="BI61" s="1465"/>
      <c r="BJ61" s="1465"/>
      <c r="BK61" s="1465"/>
      <c r="BL61" s="1465"/>
      <c r="BM61" s="1465"/>
      <c r="BN61" s="1465"/>
      <c r="BO61" s="1465"/>
      <c r="BP61" s="1465"/>
      <c r="BQ61" s="1465"/>
      <c r="BR61" s="1465"/>
      <c r="BS61" s="1465"/>
      <c r="BT61" s="1465"/>
      <c r="BU61" s="1465"/>
    </row>
    <row r="62" spans="1:73" s="1482" customFormat="1" ht="13.5" customHeight="1">
      <c r="A62" s="1484"/>
      <c r="B62" s="1485" t="s">
        <v>1315</v>
      </c>
      <c r="C62" s="1486" t="s">
        <v>1316</v>
      </c>
      <c r="D62" s="1487" t="s">
        <v>411</v>
      </c>
      <c r="E62" s="1486" t="s">
        <v>1317</v>
      </c>
      <c r="F62" s="1447">
        <v>42871</v>
      </c>
      <c r="G62" s="1471">
        <v>15</v>
      </c>
      <c r="H62" s="1471">
        <v>15</v>
      </c>
      <c r="I62" s="1471">
        <v>17</v>
      </c>
      <c r="J62" s="1471">
        <v>17.12</v>
      </c>
      <c r="K62" s="2054">
        <f t="shared" si="18"/>
        <v>20413.833999999999</v>
      </c>
      <c r="L62" s="983">
        <v>6250</v>
      </c>
      <c r="M62" s="983">
        <v>26663.833999999999</v>
      </c>
      <c r="N62" s="2055">
        <f t="shared" si="39"/>
        <v>306207.51</v>
      </c>
      <c r="O62" s="2055">
        <f t="shared" si="40"/>
        <v>93750</v>
      </c>
      <c r="P62" s="2055">
        <f t="shared" si="41"/>
        <v>399957.51</v>
      </c>
      <c r="Q62" s="1488"/>
      <c r="R62" s="1426">
        <v>1</v>
      </c>
      <c r="S62" s="762">
        <f t="shared" si="46"/>
        <v>17.12</v>
      </c>
      <c r="T62" s="1450">
        <f t="shared" si="47"/>
        <v>456484.83808000002</v>
      </c>
      <c r="U62" s="1451">
        <f t="shared" si="48"/>
        <v>0.14133333333333331</v>
      </c>
      <c r="V62" s="1489" t="s">
        <v>1318</v>
      </c>
      <c r="W62" s="1490" t="s">
        <v>1319</v>
      </c>
      <c r="X62" s="1491">
        <f t="shared" si="49"/>
        <v>399957.51</v>
      </c>
      <c r="Y62" s="1481">
        <v>0</v>
      </c>
      <c r="Z62" s="1481">
        <v>37726.520000000004</v>
      </c>
      <c r="AA62" s="985">
        <f>X62+Y62-Z62</f>
        <v>362230.99</v>
      </c>
      <c r="AB62" s="986">
        <v>522.42999999999995</v>
      </c>
      <c r="AC62" s="986">
        <v>-15381.439999999999</v>
      </c>
      <c r="AD62" s="1483">
        <f>IFERROR(AA62/AB62,"n/a")</f>
        <v>693.35794269088683</v>
      </c>
      <c r="AE62" s="1483">
        <f>IFERROR(AA62/AC62,"n/a")</f>
        <v>-23.549875044209127</v>
      </c>
      <c r="AF62" s="1492">
        <f>+P62-X62</f>
        <v>0</v>
      </c>
      <c r="AG62" s="1493"/>
      <c r="AH62" s="1493"/>
    </row>
    <row r="63" spans="1:73" s="1465" customFormat="1" ht="13.5" customHeight="1">
      <c r="A63" s="1459"/>
      <c r="B63" s="1443" t="s">
        <v>1391</v>
      </c>
      <c r="C63" s="1446" t="s">
        <v>1392</v>
      </c>
      <c r="D63" s="1445" t="s">
        <v>421</v>
      </c>
      <c r="E63" s="1446" t="s">
        <v>1393</v>
      </c>
      <c r="F63" s="1447">
        <v>42852</v>
      </c>
      <c r="G63" s="1471">
        <v>13</v>
      </c>
      <c r="H63" s="1471">
        <v>13</v>
      </c>
      <c r="I63" s="1471">
        <v>16</v>
      </c>
      <c r="J63" s="1471">
        <v>12.67601</v>
      </c>
      <c r="K63" s="2054">
        <f t="shared" si="18"/>
        <v>20424.460999999999</v>
      </c>
      <c r="L63" s="983">
        <v>4500</v>
      </c>
      <c r="M63" s="983">
        <v>24924.460999999999</v>
      </c>
      <c r="N63" s="2055">
        <f t="shared" si="39"/>
        <v>265517.99300000002</v>
      </c>
      <c r="O63" s="2055">
        <f t="shared" si="40"/>
        <v>58500</v>
      </c>
      <c r="P63" s="2055">
        <f t="shared" si="41"/>
        <v>324017.99300000002</v>
      </c>
      <c r="Q63" s="1449"/>
      <c r="R63" s="1426">
        <v>1</v>
      </c>
      <c r="S63" s="762">
        <f t="shared" si="46"/>
        <v>12.67601</v>
      </c>
      <c r="T63" s="1450">
        <f t="shared" si="47"/>
        <v>315942.71688060998</v>
      </c>
      <c r="U63" s="1451">
        <f t="shared" si="48"/>
        <v>-2.4922307692307855E-2</v>
      </c>
      <c r="V63" s="1452" t="s">
        <v>1394</v>
      </c>
      <c r="W63" s="1458" t="s">
        <v>1395</v>
      </c>
      <c r="X63" s="1454">
        <f t="shared" si="49"/>
        <v>324017.99300000002</v>
      </c>
      <c r="Y63" s="986"/>
      <c r="Z63" s="1481"/>
      <c r="AA63" s="985"/>
      <c r="AB63" s="1482"/>
      <c r="AC63" s="986"/>
      <c r="AD63" s="1483"/>
      <c r="AE63" s="1483"/>
      <c r="AF63" s="1492">
        <f>+P63-X63</f>
        <v>0</v>
      </c>
      <c r="AG63" s="1437"/>
      <c r="AH63" s="1422"/>
      <c r="AI63" s="1422"/>
      <c r="AJ63" s="1422"/>
      <c r="AK63" s="1463"/>
      <c r="AL63" s="1462"/>
      <c r="AM63" s="1461"/>
      <c r="AN63" s="1422"/>
      <c r="AO63" s="1422"/>
      <c r="AP63" s="1422"/>
    </row>
    <row r="64" spans="1:73" s="1494" customFormat="1" ht="13.5" customHeight="1">
      <c r="A64" s="1459"/>
      <c r="B64" s="1443" t="s">
        <v>1171</v>
      </c>
      <c r="C64" s="1446" t="s">
        <v>1172</v>
      </c>
      <c r="D64" s="1445" t="s">
        <v>853</v>
      </c>
      <c r="E64" s="1446" t="s">
        <v>1173</v>
      </c>
      <c r="F64" s="1447">
        <v>42761</v>
      </c>
      <c r="G64" s="1471">
        <v>16</v>
      </c>
      <c r="H64" s="1471">
        <v>13</v>
      </c>
      <c r="I64" s="1471">
        <v>15</v>
      </c>
      <c r="J64" s="1471">
        <v>19.84</v>
      </c>
      <c r="K64" s="2054">
        <f t="shared" si="18"/>
        <v>24802.026000000002</v>
      </c>
      <c r="L64" s="983">
        <f>5360000/1000</f>
        <v>5360</v>
      </c>
      <c r="M64" s="983">
        <f>30162026/1000</f>
        <v>30162.026000000002</v>
      </c>
      <c r="N64" s="2054">
        <f t="shared" si="39"/>
        <v>396832.41600000003</v>
      </c>
      <c r="O64" s="2054">
        <f t="shared" si="40"/>
        <v>85760</v>
      </c>
      <c r="P64" s="2054">
        <f t="shared" si="41"/>
        <v>482592.41600000003</v>
      </c>
      <c r="Q64" s="1449"/>
      <c r="R64" s="1449">
        <v>1</v>
      </c>
      <c r="S64" s="762">
        <f t="shared" si="46"/>
        <v>19.84</v>
      </c>
      <c r="T64" s="1503">
        <f t="shared" si="47"/>
        <v>598414.59584000008</v>
      </c>
      <c r="U64" s="1504">
        <f t="shared" si="48"/>
        <v>0.24</v>
      </c>
      <c r="V64" s="1506" t="s">
        <v>1173</v>
      </c>
      <c r="W64" s="1505" t="s">
        <v>1279</v>
      </c>
      <c r="X64" s="1507">
        <f t="shared" si="49"/>
        <v>482592.41600000003</v>
      </c>
      <c r="Y64" s="1507">
        <v>0</v>
      </c>
      <c r="Z64" s="1507">
        <v>89317</v>
      </c>
      <c r="AA64" s="1517">
        <f t="shared" ref="AA64:AA84" si="50">X64+Y64-Z64</f>
        <v>393275.41600000003</v>
      </c>
      <c r="AB64" s="1518">
        <v>0</v>
      </c>
      <c r="AC64" s="1519">
        <v>-40216</v>
      </c>
      <c r="AD64" s="1520" t="str">
        <f t="shared" ref="AD64:AD84" si="51">IFERROR(AA64/AB64,"n/a")</f>
        <v>n/a</v>
      </c>
      <c r="AE64" s="1520">
        <f t="shared" ref="AE64:AE84" si="52">IFERROR(AA64/AC64,"n/a")</f>
        <v>-9.779078376765467</v>
      </c>
      <c r="AF64" s="1463">
        <f t="shared" ref="AF64:AF84" si="53">+P64-X64</f>
        <v>0</v>
      </c>
      <c r="AJ64" s="1463"/>
      <c r="AK64" s="1446"/>
      <c r="AL64" s="1459"/>
    </row>
    <row r="65" spans="1:42" s="1459" customFormat="1" ht="13.5" customHeight="1">
      <c r="B65" s="1443" t="s">
        <v>1174</v>
      </c>
      <c r="C65" s="1446" t="s">
        <v>1175</v>
      </c>
      <c r="D65" s="1445" t="s">
        <v>421</v>
      </c>
      <c r="E65" s="1446" t="s">
        <v>1176</v>
      </c>
      <c r="F65" s="1447">
        <v>42760</v>
      </c>
      <c r="G65" s="1471">
        <v>15</v>
      </c>
      <c r="H65" s="1471">
        <v>14</v>
      </c>
      <c r="I65" s="1471">
        <v>16</v>
      </c>
      <c r="J65" s="1471">
        <v>24.6</v>
      </c>
      <c r="K65" s="2054">
        <f t="shared" si="18"/>
        <v>14159.332999999999</v>
      </c>
      <c r="L65" s="983">
        <f>4000000/1000</f>
        <v>4000</v>
      </c>
      <c r="M65" s="983">
        <f>18159333/1000</f>
        <v>18159.332999999999</v>
      </c>
      <c r="N65" s="2054">
        <f t="shared" si="39"/>
        <v>212389.995</v>
      </c>
      <c r="O65" s="2054">
        <f t="shared" si="40"/>
        <v>60000</v>
      </c>
      <c r="P65" s="2054">
        <f t="shared" si="41"/>
        <v>272389.995</v>
      </c>
      <c r="Q65" s="1449"/>
      <c r="R65" s="1449">
        <v>1</v>
      </c>
      <c r="S65" s="762">
        <f t="shared" si="46"/>
        <v>24.6</v>
      </c>
      <c r="T65" s="1503">
        <f t="shared" si="47"/>
        <v>446719.59179999999</v>
      </c>
      <c r="U65" s="1504">
        <f t="shared" si="48"/>
        <v>0.6399999999999999</v>
      </c>
      <c r="V65" s="1506" t="s">
        <v>1177</v>
      </c>
      <c r="W65" s="1505" t="s">
        <v>1280</v>
      </c>
      <c r="X65" s="1507">
        <f t="shared" si="49"/>
        <v>272389.995</v>
      </c>
      <c r="Y65" s="1507">
        <v>4983000</v>
      </c>
      <c r="Z65" s="1507">
        <v>47134</v>
      </c>
      <c r="AA65" s="1517">
        <f t="shared" si="50"/>
        <v>5208255.9950000001</v>
      </c>
      <c r="AB65" s="1518">
        <v>19308</v>
      </c>
      <c r="AC65" s="1519">
        <v>-2817</v>
      </c>
      <c r="AD65" s="1520">
        <f t="shared" si="51"/>
        <v>269.74601175678475</v>
      </c>
      <c r="AE65" s="1520">
        <f t="shared" si="52"/>
        <v>-1848.8661679091233</v>
      </c>
      <c r="AF65" s="1463">
        <f t="shared" si="53"/>
        <v>0</v>
      </c>
    </row>
    <row r="66" spans="1:42" s="1459" customFormat="1" ht="13.5" customHeight="1">
      <c r="B66" s="1443" t="s">
        <v>749</v>
      </c>
      <c r="C66" s="1446" t="s">
        <v>750</v>
      </c>
      <c r="D66" s="1445" t="s">
        <v>421</v>
      </c>
      <c r="E66" s="1446" t="s">
        <v>751</v>
      </c>
      <c r="F66" s="1447">
        <v>42668</v>
      </c>
      <c r="G66" s="1471">
        <v>13</v>
      </c>
      <c r="H66" s="1471">
        <v>12</v>
      </c>
      <c r="I66" s="1471">
        <v>14</v>
      </c>
      <c r="J66" s="1471">
        <v>13.14</v>
      </c>
      <c r="K66" s="2054">
        <f t="shared" si="18"/>
        <v>14439.55</v>
      </c>
      <c r="L66" s="983">
        <v>7049.23</v>
      </c>
      <c r="M66" s="983">
        <v>21488.78</v>
      </c>
      <c r="N66" s="2054">
        <f t="shared" si="39"/>
        <v>187714.15</v>
      </c>
      <c r="O66" s="2054">
        <f t="shared" si="40"/>
        <v>91639.989999999991</v>
      </c>
      <c r="P66" s="2054">
        <f t="shared" si="41"/>
        <v>279354.14</v>
      </c>
      <c r="Q66" s="1449"/>
      <c r="R66" s="1449">
        <v>1</v>
      </c>
      <c r="S66" s="762">
        <f t="shared" si="46"/>
        <v>13.14</v>
      </c>
      <c r="T66" s="1503">
        <f t="shared" si="47"/>
        <v>282362.56919999997</v>
      </c>
      <c r="U66" s="1504">
        <f t="shared" si="48"/>
        <v>1.0769230769230642E-2</v>
      </c>
      <c r="V66" s="1506" t="s">
        <v>752</v>
      </c>
      <c r="W66" s="1505" t="s">
        <v>753</v>
      </c>
      <c r="X66" s="1507">
        <f t="shared" si="49"/>
        <v>279354.14</v>
      </c>
      <c r="Y66" s="1507">
        <v>0</v>
      </c>
      <c r="Z66" s="1507">
        <v>40246</v>
      </c>
      <c r="AA66" s="1517">
        <f t="shared" si="50"/>
        <v>239108.14</v>
      </c>
      <c r="AB66" s="1518">
        <v>6845</v>
      </c>
      <c r="AC66" s="1519">
        <v>-15697</v>
      </c>
      <c r="AD66" s="1520">
        <f t="shared" si="51"/>
        <v>34.931795471146827</v>
      </c>
      <c r="AE66" s="1520">
        <f t="shared" si="52"/>
        <v>-15.232728546856087</v>
      </c>
      <c r="AF66" s="1463">
        <f t="shared" si="53"/>
        <v>0</v>
      </c>
    </row>
    <row r="67" spans="1:42" s="1816" customFormat="1" ht="13.5" customHeight="1">
      <c r="B67" s="1808" t="s">
        <v>755</v>
      </c>
      <c r="C67" s="1809" t="s">
        <v>756</v>
      </c>
      <c r="D67" s="1810" t="s">
        <v>1178</v>
      </c>
      <c r="E67" s="1809" t="s">
        <v>757</v>
      </c>
      <c r="F67" s="1811">
        <v>42654</v>
      </c>
      <c r="G67" s="1813">
        <v>5.5</v>
      </c>
      <c r="H67" s="1813">
        <v>6</v>
      </c>
      <c r="I67" s="1813">
        <v>8</v>
      </c>
      <c r="J67" s="1813">
        <v>4.74</v>
      </c>
      <c r="K67" s="2059">
        <f t="shared" si="18"/>
        <v>8671.0879999999997</v>
      </c>
      <c r="L67" s="1828">
        <v>960</v>
      </c>
      <c r="M67" s="1828">
        <v>9631.0879999999997</v>
      </c>
      <c r="N67" s="2059">
        <f t="shared" si="39"/>
        <v>47690.983999999997</v>
      </c>
      <c r="O67" s="2059">
        <f t="shared" si="40"/>
        <v>5280</v>
      </c>
      <c r="P67" s="2059">
        <f t="shared" si="41"/>
        <v>52970.983999999997</v>
      </c>
      <c r="Q67" s="1814"/>
      <c r="R67" s="1814">
        <v>1</v>
      </c>
      <c r="S67" s="1817">
        <f t="shared" si="46"/>
        <v>4.74</v>
      </c>
      <c r="T67" s="1818">
        <f t="shared" si="47"/>
        <v>45651.357120000001</v>
      </c>
      <c r="U67" s="1819">
        <f t="shared" si="48"/>
        <v>-0.13818181818181807</v>
      </c>
      <c r="V67" s="1820" t="s">
        <v>758</v>
      </c>
      <c r="W67" s="1829" t="s">
        <v>759</v>
      </c>
      <c r="X67" s="1822">
        <f t="shared" si="49"/>
        <v>52970.983999999997</v>
      </c>
      <c r="Y67" s="1822">
        <v>9242640</v>
      </c>
      <c r="Z67" s="1822">
        <v>1354.64</v>
      </c>
      <c r="AA67" s="1823">
        <f t="shared" si="50"/>
        <v>9294256.3439999986</v>
      </c>
      <c r="AB67" s="1824">
        <v>0</v>
      </c>
      <c r="AC67" s="1825">
        <v>-4114.3599999999997</v>
      </c>
      <c r="AD67" s="1826" t="str">
        <f t="shared" si="51"/>
        <v>n/a</v>
      </c>
      <c r="AE67" s="1826">
        <f t="shared" si="52"/>
        <v>-2258.9798520304494</v>
      </c>
      <c r="AF67" s="1815">
        <f t="shared" si="53"/>
        <v>0</v>
      </c>
    </row>
    <row r="68" spans="1:42" s="1459" customFormat="1" ht="13.5" customHeight="1">
      <c r="B68" s="1443" t="s">
        <v>765</v>
      </c>
      <c r="C68" s="1446" t="s">
        <v>766</v>
      </c>
      <c r="D68" s="1445" t="s">
        <v>421</v>
      </c>
      <c r="E68" s="1446" t="s">
        <v>767</v>
      </c>
      <c r="F68" s="1447">
        <v>42592</v>
      </c>
      <c r="G68" s="1471">
        <v>12</v>
      </c>
      <c r="H68" s="1471">
        <v>11</v>
      </c>
      <c r="I68" s="1471">
        <v>13</v>
      </c>
      <c r="J68" s="1471">
        <v>12.4</v>
      </c>
      <c r="K68" s="2054">
        <f t="shared" si="18"/>
        <v>8823.5509999999995</v>
      </c>
      <c r="L68" s="983">
        <v>7500</v>
      </c>
      <c r="M68" s="983">
        <v>16323.550999999999</v>
      </c>
      <c r="N68" s="2054">
        <f t="shared" si="39"/>
        <v>105882.61199999999</v>
      </c>
      <c r="O68" s="2054">
        <f t="shared" si="40"/>
        <v>90000</v>
      </c>
      <c r="P68" s="2054">
        <f t="shared" si="41"/>
        <v>195882.61199999999</v>
      </c>
      <c r="Q68" s="1449"/>
      <c r="R68" s="1449">
        <v>1</v>
      </c>
      <c r="S68" s="762">
        <f t="shared" si="46"/>
        <v>12.4</v>
      </c>
      <c r="T68" s="1503">
        <f t="shared" si="47"/>
        <v>202412.0324</v>
      </c>
      <c r="U68" s="1504">
        <f t="shared" si="48"/>
        <v>3.3333333333333437E-2</v>
      </c>
      <c r="V68" s="1506" t="s">
        <v>768</v>
      </c>
      <c r="W68" s="1505" t="s">
        <v>769</v>
      </c>
      <c r="X68" s="1507">
        <f t="shared" si="49"/>
        <v>195882.61199999999</v>
      </c>
      <c r="Y68" s="1507">
        <v>0</v>
      </c>
      <c r="Z68" s="1507">
        <v>28629</v>
      </c>
      <c r="AA68" s="1517">
        <f t="shared" si="50"/>
        <v>167253.61199999999</v>
      </c>
      <c r="AB68" s="1518">
        <v>0</v>
      </c>
      <c r="AC68" s="1519">
        <v>-22858</v>
      </c>
      <c r="AD68" s="1520" t="str">
        <f t="shared" si="51"/>
        <v>n/a</v>
      </c>
      <c r="AE68" s="1520">
        <f t="shared" si="52"/>
        <v>-7.3170711348324433</v>
      </c>
      <c r="AF68" s="1463">
        <f t="shared" si="53"/>
        <v>0</v>
      </c>
    </row>
    <row r="69" spans="1:42" s="1459" customFormat="1" ht="13.5" customHeight="1">
      <c r="B69" s="1443" t="s">
        <v>690</v>
      </c>
      <c r="C69" s="1446" t="s">
        <v>688</v>
      </c>
      <c r="D69" s="1445" t="s">
        <v>421</v>
      </c>
      <c r="E69" s="1446" t="s">
        <v>781</v>
      </c>
      <c r="F69" s="1447">
        <v>42550</v>
      </c>
      <c r="G69" s="1471">
        <v>12.5</v>
      </c>
      <c r="H69" s="1471">
        <v>14</v>
      </c>
      <c r="I69" s="1471">
        <v>16</v>
      </c>
      <c r="J69" s="1471">
        <v>11.58</v>
      </c>
      <c r="K69" s="2054">
        <f t="shared" si="18"/>
        <v>18760.161</v>
      </c>
      <c r="L69" s="983">
        <v>4000</v>
      </c>
      <c r="M69" s="983">
        <v>22760.161</v>
      </c>
      <c r="N69" s="2054">
        <f t="shared" si="39"/>
        <v>234502.01250000001</v>
      </c>
      <c r="O69" s="2054">
        <f t="shared" si="40"/>
        <v>50000</v>
      </c>
      <c r="P69" s="2054">
        <f t="shared" si="41"/>
        <v>284502.01250000001</v>
      </c>
      <c r="Q69" s="1449"/>
      <c r="R69" s="1449">
        <v>1</v>
      </c>
      <c r="S69" s="762">
        <f t="shared" si="46"/>
        <v>11.58</v>
      </c>
      <c r="T69" s="1503">
        <f t="shared" si="47"/>
        <v>263562.66438000003</v>
      </c>
      <c r="U69" s="1504">
        <f t="shared" si="48"/>
        <v>-7.3599999999999888E-2</v>
      </c>
      <c r="V69" s="1506" t="s">
        <v>689</v>
      </c>
      <c r="W69" s="1505" t="s">
        <v>691</v>
      </c>
      <c r="X69" s="1507">
        <f t="shared" si="49"/>
        <v>284502.01250000001</v>
      </c>
      <c r="Y69" s="1507">
        <v>322000</v>
      </c>
      <c r="Z69" s="1507">
        <v>62133</v>
      </c>
      <c r="AA69" s="1517">
        <f t="shared" si="50"/>
        <v>544369.01249999995</v>
      </c>
      <c r="AB69" s="1518">
        <v>0</v>
      </c>
      <c r="AC69" s="1519">
        <v>-40816</v>
      </c>
      <c r="AD69" s="1520" t="str">
        <f t="shared" si="51"/>
        <v>n/a</v>
      </c>
      <c r="AE69" s="1520">
        <f t="shared" si="52"/>
        <v>-13.337147503430026</v>
      </c>
      <c r="AF69" s="1463">
        <f t="shared" si="53"/>
        <v>0</v>
      </c>
    </row>
    <row r="70" spans="1:42" s="1459" customFormat="1" ht="13.5" customHeight="1">
      <c r="B70" s="1443" t="s">
        <v>782</v>
      </c>
      <c r="C70" s="1446" t="s">
        <v>783</v>
      </c>
      <c r="D70" s="1445" t="s">
        <v>421</v>
      </c>
      <c r="E70" s="1446" t="s">
        <v>784</v>
      </c>
      <c r="F70" s="1447">
        <v>42542</v>
      </c>
      <c r="G70" s="1471">
        <v>14</v>
      </c>
      <c r="H70" s="1471">
        <v>14</v>
      </c>
      <c r="I70" s="1471">
        <v>16</v>
      </c>
      <c r="J70" s="1471">
        <v>13.77</v>
      </c>
      <c r="K70" s="2054">
        <f t="shared" si="18"/>
        <v>12899.585999999999</v>
      </c>
      <c r="L70" s="983">
        <v>5000</v>
      </c>
      <c r="M70" s="983">
        <v>17899.585999999999</v>
      </c>
      <c r="N70" s="2054">
        <f t="shared" si="39"/>
        <v>180594.204</v>
      </c>
      <c r="O70" s="2054">
        <f t="shared" si="40"/>
        <v>70000</v>
      </c>
      <c r="P70" s="2054">
        <f t="shared" si="41"/>
        <v>250594.204</v>
      </c>
      <c r="Q70" s="1449"/>
      <c r="R70" s="1449">
        <v>1</v>
      </c>
      <c r="S70" s="762">
        <f t="shared" si="46"/>
        <v>13.77</v>
      </c>
      <c r="T70" s="1503">
        <f t="shared" si="47"/>
        <v>246477.29921999999</v>
      </c>
      <c r="U70" s="1504">
        <f t="shared" si="48"/>
        <v>-1.6428571428571459E-2</v>
      </c>
      <c r="V70" s="1506" t="s">
        <v>785</v>
      </c>
      <c r="W70" s="1505" t="s">
        <v>786</v>
      </c>
      <c r="X70" s="1507">
        <f t="shared" si="49"/>
        <v>250594.204</v>
      </c>
      <c r="Y70" s="1507">
        <v>11842000</v>
      </c>
      <c r="Z70" s="1507">
        <v>17051</v>
      </c>
      <c r="AA70" s="1517">
        <f t="shared" si="50"/>
        <v>12075543.204</v>
      </c>
      <c r="AB70" s="1518">
        <v>7846</v>
      </c>
      <c r="AC70" s="1519">
        <v>-25757</v>
      </c>
      <c r="AD70" s="1520">
        <f t="shared" si="51"/>
        <v>1539.0699979607443</v>
      </c>
      <c r="AE70" s="1520">
        <f t="shared" si="52"/>
        <v>-468.825686376519</v>
      </c>
      <c r="AF70" s="1463">
        <f t="shared" si="53"/>
        <v>0</v>
      </c>
    </row>
    <row r="71" spans="1:42" s="1459" customFormat="1" ht="13.5" customHeight="1">
      <c r="B71" s="1443" t="s">
        <v>797</v>
      </c>
      <c r="C71" s="1446" t="s">
        <v>798</v>
      </c>
      <c r="D71" s="1445" t="s">
        <v>853</v>
      </c>
      <c r="E71" s="1446" t="s">
        <v>799</v>
      </c>
      <c r="F71" s="1447">
        <v>42508</v>
      </c>
      <c r="G71" s="1471">
        <v>10</v>
      </c>
      <c r="H71" s="1471">
        <v>14</v>
      </c>
      <c r="I71" s="1471">
        <v>16</v>
      </c>
      <c r="J71" s="1471">
        <v>9.1691500000000001</v>
      </c>
      <c r="K71" s="2054">
        <f t="shared" si="18"/>
        <v>8740.4410000000007</v>
      </c>
      <c r="L71" s="983">
        <v>5500</v>
      </c>
      <c r="M71" s="983">
        <v>14240.441000000001</v>
      </c>
      <c r="N71" s="2054">
        <f t="shared" si="39"/>
        <v>87404.41</v>
      </c>
      <c r="O71" s="2054">
        <f t="shared" si="40"/>
        <v>55000</v>
      </c>
      <c r="P71" s="2054">
        <f t="shared" si="41"/>
        <v>142404.41</v>
      </c>
      <c r="Q71" s="1449"/>
      <c r="R71" s="1449">
        <v>1</v>
      </c>
      <c r="S71" s="762">
        <f t="shared" si="46"/>
        <v>9.1691500000000001</v>
      </c>
      <c r="T71" s="1503">
        <f t="shared" si="47"/>
        <v>130572.73959515001</v>
      </c>
      <c r="U71" s="1504">
        <f t="shared" si="48"/>
        <v>-8.3084999999999964E-2</v>
      </c>
      <c r="V71" s="1506" t="s">
        <v>800</v>
      </c>
      <c r="W71" s="1505" t="s">
        <v>801</v>
      </c>
      <c r="X71" s="1507">
        <f t="shared" si="49"/>
        <v>142404.41</v>
      </c>
      <c r="Y71" s="1507">
        <v>709200</v>
      </c>
      <c r="Z71" s="1507">
        <v>35678.519999999997</v>
      </c>
      <c r="AA71" s="1517">
        <f t="shared" si="50"/>
        <v>815925.89</v>
      </c>
      <c r="AB71" s="1518">
        <v>2951.86</v>
      </c>
      <c r="AC71" s="1519">
        <v>-22947.420000000002</v>
      </c>
      <c r="AD71" s="1520">
        <f t="shared" si="51"/>
        <v>276.41076812585965</v>
      </c>
      <c r="AE71" s="1520">
        <f t="shared" si="52"/>
        <v>-35.556323543125977</v>
      </c>
      <c r="AF71" s="1463">
        <f t="shared" si="53"/>
        <v>0</v>
      </c>
    </row>
    <row r="72" spans="1:42" s="1459" customFormat="1" ht="13.5" customHeight="1">
      <c r="B72" s="1443" t="s">
        <v>803</v>
      </c>
      <c r="C72" s="1446" t="s">
        <v>804</v>
      </c>
      <c r="D72" s="1445" t="s">
        <v>421</v>
      </c>
      <c r="E72" s="1446" t="s">
        <v>805</v>
      </c>
      <c r="F72" s="1447">
        <v>42502</v>
      </c>
      <c r="G72" s="1471">
        <v>6</v>
      </c>
      <c r="H72" s="1471">
        <v>11</v>
      </c>
      <c r="I72" s="1471">
        <v>13</v>
      </c>
      <c r="J72" s="1471">
        <v>3.35</v>
      </c>
      <c r="K72" s="2054">
        <f t="shared" si="18"/>
        <v>16969.444</v>
      </c>
      <c r="L72" s="983">
        <v>5833.3339999999998</v>
      </c>
      <c r="M72" s="983">
        <v>22802.777999999998</v>
      </c>
      <c r="N72" s="2054">
        <f t="shared" si="39"/>
        <v>101816.66399999999</v>
      </c>
      <c r="O72" s="2054">
        <f t="shared" si="40"/>
        <v>35000.004000000001</v>
      </c>
      <c r="P72" s="2054">
        <f t="shared" si="41"/>
        <v>136816.66800000001</v>
      </c>
      <c r="Q72" s="1449"/>
      <c r="R72" s="1449">
        <v>1</v>
      </c>
      <c r="S72" s="762">
        <f t="shared" si="46"/>
        <v>3.35</v>
      </c>
      <c r="T72" s="1503">
        <f t="shared" si="47"/>
        <v>76389.306299999997</v>
      </c>
      <c r="U72" s="1504">
        <f t="shared" si="48"/>
        <v>-0.44166666666666676</v>
      </c>
      <c r="V72" s="1506" t="s">
        <v>806</v>
      </c>
      <c r="W72" s="1505" t="s">
        <v>807</v>
      </c>
      <c r="X72" s="1507">
        <f t="shared" si="49"/>
        <v>136816.66800000001</v>
      </c>
      <c r="Y72" s="1507">
        <v>15488800</v>
      </c>
      <c r="Z72" s="1507">
        <v>5582.26</v>
      </c>
      <c r="AA72" s="1517">
        <f t="shared" si="50"/>
        <v>15620034.408</v>
      </c>
      <c r="AB72" s="1518">
        <v>2979.58</v>
      </c>
      <c r="AC72" s="1519">
        <v>-56013.52</v>
      </c>
      <c r="AD72" s="1520">
        <f t="shared" si="51"/>
        <v>5242.3611408319293</v>
      </c>
      <c r="AE72" s="1520">
        <f t="shared" si="52"/>
        <v>-278.86186063650348</v>
      </c>
      <c r="AF72" s="1463">
        <f t="shared" si="53"/>
        <v>0</v>
      </c>
      <c r="AK72" s="1463"/>
      <c r="AL72" s="1446"/>
    </row>
    <row r="73" spans="1:42" s="1494" customFormat="1" ht="13.5" customHeight="1">
      <c r="A73" s="1459"/>
      <c r="B73" s="1443" t="s">
        <v>730</v>
      </c>
      <c r="C73" s="1446" t="s">
        <v>818</v>
      </c>
      <c r="D73" s="1445" t="s">
        <v>819</v>
      </c>
      <c r="E73" s="1446" t="s">
        <v>820</v>
      </c>
      <c r="F73" s="1447">
        <v>42451</v>
      </c>
      <c r="G73" s="1471">
        <v>15</v>
      </c>
      <c r="H73" s="1471">
        <v>15</v>
      </c>
      <c r="I73" s="1471">
        <v>17</v>
      </c>
      <c r="J73" s="1471">
        <v>15.13</v>
      </c>
      <c r="K73" s="2054">
        <f t="shared" si="18"/>
        <v>15706.356</v>
      </c>
      <c r="L73" s="983">
        <v>4700</v>
      </c>
      <c r="M73" s="983">
        <v>20406.356</v>
      </c>
      <c r="N73" s="2054">
        <f t="shared" si="39"/>
        <v>235595.34</v>
      </c>
      <c r="O73" s="2054">
        <f t="shared" si="40"/>
        <v>70500</v>
      </c>
      <c r="P73" s="2054">
        <f t="shared" si="41"/>
        <v>306095.33999999997</v>
      </c>
      <c r="Q73" s="1449"/>
      <c r="R73" s="1449">
        <v>1</v>
      </c>
      <c r="S73" s="762">
        <f t="shared" si="46"/>
        <v>15.13</v>
      </c>
      <c r="T73" s="1503">
        <f t="shared" si="47"/>
        <v>308748.16628</v>
      </c>
      <c r="U73" s="1504">
        <f t="shared" si="48"/>
        <v>8.6666666666668224E-3</v>
      </c>
      <c r="V73" s="1506" t="s">
        <v>821</v>
      </c>
      <c r="W73" s="1505" t="s">
        <v>822</v>
      </c>
      <c r="X73" s="1507">
        <f t="shared" si="49"/>
        <v>306095.33999999997</v>
      </c>
      <c r="Y73" s="1507">
        <v>0</v>
      </c>
      <c r="Z73" s="1507">
        <v>0</v>
      </c>
      <c r="AA73" s="1517">
        <f t="shared" si="50"/>
        <v>306095.33999999997</v>
      </c>
      <c r="AB73" s="1518">
        <v>0</v>
      </c>
      <c r="AC73" s="1519">
        <v>-24113</v>
      </c>
      <c r="AD73" s="1520" t="str">
        <f t="shared" si="51"/>
        <v>n/a</v>
      </c>
      <c r="AE73" s="1520">
        <f t="shared" si="52"/>
        <v>-12.69420395637208</v>
      </c>
      <c r="AF73" s="1463">
        <f t="shared" si="53"/>
        <v>0</v>
      </c>
      <c r="AG73" s="1459"/>
      <c r="AK73" s="1463"/>
      <c r="AL73" s="1446"/>
      <c r="AM73" s="1459"/>
    </row>
    <row r="74" spans="1:42" s="1494" customFormat="1" ht="13.5" customHeight="1">
      <c r="A74" s="1459"/>
      <c r="B74" s="1443" t="s">
        <v>731</v>
      </c>
      <c r="C74" s="1446" t="s">
        <v>823</v>
      </c>
      <c r="D74" s="1445" t="s">
        <v>929</v>
      </c>
      <c r="E74" s="1446" t="s">
        <v>824</v>
      </c>
      <c r="F74" s="1447">
        <v>42431</v>
      </c>
      <c r="G74" s="1471">
        <v>12</v>
      </c>
      <c r="H74" s="1471">
        <v>14</v>
      </c>
      <c r="I74" s="1471">
        <v>16</v>
      </c>
      <c r="J74" s="1471">
        <v>13.11</v>
      </c>
      <c r="K74" s="2054">
        <f t="shared" si="18"/>
        <v>12972.674999999999</v>
      </c>
      <c r="L74" s="983">
        <v>4400</v>
      </c>
      <c r="M74" s="983">
        <v>17372.674999999999</v>
      </c>
      <c r="N74" s="2054">
        <f t="shared" si="39"/>
        <v>155672.09999999998</v>
      </c>
      <c r="O74" s="2054">
        <f t="shared" si="40"/>
        <v>52800</v>
      </c>
      <c r="P74" s="2054">
        <f t="shared" si="41"/>
        <v>208472.09999999998</v>
      </c>
      <c r="Q74" s="1449"/>
      <c r="R74" s="1449">
        <v>1</v>
      </c>
      <c r="S74" s="762">
        <f t="shared" si="46"/>
        <v>13.11</v>
      </c>
      <c r="T74" s="1503">
        <f t="shared" si="47"/>
        <v>227755.76924999998</v>
      </c>
      <c r="U74" s="1504">
        <f t="shared" si="48"/>
        <v>9.2500000000000027E-2</v>
      </c>
      <c r="V74" s="1506" t="s">
        <v>825</v>
      </c>
      <c r="W74" s="1505" t="s">
        <v>826</v>
      </c>
      <c r="X74" s="1507">
        <f t="shared" si="49"/>
        <v>208472.09999999998</v>
      </c>
      <c r="Y74" s="1507">
        <v>0</v>
      </c>
      <c r="Z74" s="1507">
        <v>23179</v>
      </c>
      <c r="AA74" s="1517">
        <f t="shared" si="50"/>
        <v>185293.09999999998</v>
      </c>
      <c r="AB74" s="1518">
        <v>1220</v>
      </c>
      <c r="AC74" s="1519">
        <v>-27113</v>
      </c>
      <c r="AD74" s="1520">
        <f t="shared" si="51"/>
        <v>151.87959016393441</v>
      </c>
      <c r="AE74" s="1520">
        <f t="shared" si="52"/>
        <v>-6.8341054106885988</v>
      </c>
      <c r="AF74" s="1463">
        <f t="shared" si="53"/>
        <v>0</v>
      </c>
      <c r="AG74" s="1459"/>
      <c r="AK74" s="1463"/>
      <c r="AL74" s="1446"/>
      <c r="AM74" s="1459"/>
    </row>
    <row r="75" spans="1:42" s="1422" customFormat="1" ht="13.5" customHeight="1">
      <c r="A75" s="1459"/>
      <c r="B75" s="1443" t="s">
        <v>827</v>
      </c>
      <c r="C75" s="1446" t="s">
        <v>828</v>
      </c>
      <c r="D75" s="1445" t="s">
        <v>421</v>
      </c>
      <c r="E75" s="1446" t="s">
        <v>829</v>
      </c>
      <c r="F75" s="1447">
        <v>42410</v>
      </c>
      <c r="G75" s="1471">
        <v>20</v>
      </c>
      <c r="H75" s="1471">
        <v>19</v>
      </c>
      <c r="I75" s="1471">
        <v>21</v>
      </c>
      <c r="J75" s="1471">
        <v>21.15</v>
      </c>
      <c r="K75" s="2054">
        <f t="shared" si="18"/>
        <v>17650.57</v>
      </c>
      <c r="L75" s="983">
        <v>4750</v>
      </c>
      <c r="M75" s="983">
        <v>22400.57</v>
      </c>
      <c r="N75" s="2055">
        <f t="shared" si="39"/>
        <v>353011.4</v>
      </c>
      <c r="O75" s="2055">
        <f t="shared" si="40"/>
        <v>95000</v>
      </c>
      <c r="P75" s="2055">
        <f t="shared" si="41"/>
        <v>448011.4</v>
      </c>
      <c r="Q75" s="1449"/>
      <c r="R75" s="1426">
        <v>1</v>
      </c>
      <c r="S75" s="762">
        <f t="shared" si="46"/>
        <v>21.15</v>
      </c>
      <c r="T75" s="1450">
        <f t="shared" si="47"/>
        <v>473772.05549999996</v>
      </c>
      <c r="U75" s="1451">
        <f t="shared" si="48"/>
        <v>5.7499999999999885E-2</v>
      </c>
      <c r="V75" s="1452" t="s">
        <v>830</v>
      </c>
      <c r="W75" s="1458" t="s">
        <v>831</v>
      </c>
      <c r="X75" s="1454">
        <f t="shared" si="49"/>
        <v>448011.4</v>
      </c>
      <c r="Y75" s="1454">
        <v>0</v>
      </c>
      <c r="Z75" s="1454">
        <v>69706.460000000006</v>
      </c>
      <c r="AA75" s="985">
        <f t="shared" si="50"/>
        <v>378304.94</v>
      </c>
      <c r="AB75" s="986">
        <v>0</v>
      </c>
      <c r="AC75" s="978">
        <v>-59309.03</v>
      </c>
      <c r="AD75" s="1456" t="str">
        <f t="shared" si="51"/>
        <v>n/a</v>
      </c>
      <c r="AE75" s="1456">
        <f t="shared" si="52"/>
        <v>-6.3785386474875754</v>
      </c>
      <c r="AF75" s="1457">
        <f t="shared" si="53"/>
        <v>0</v>
      </c>
      <c r="AG75" s="1437"/>
      <c r="AK75" s="1463"/>
      <c r="AL75" s="1462"/>
      <c r="AM75" s="1461"/>
    </row>
    <row r="76" spans="1:42" s="1422" customFormat="1" ht="13.5" customHeight="1">
      <c r="A76" s="1459"/>
      <c r="B76" s="1443" t="s">
        <v>603</v>
      </c>
      <c r="C76" s="1446" t="s">
        <v>842</v>
      </c>
      <c r="D76" s="1445" t="s">
        <v>411</v>
      </c>
      <c r="E76" s="1446" t="s">
        <v>843</v>
      </c>
      <c r="F76" s="1447">
        <v>42318</v>
      </c>
      <c r="G76" s="1471">
        <v>14</v>
      </c>
      <c r="H76" s="1471">
        <v>15</v>
      </c>
      <c r="I76" s="1471">
        <v>17</v>
      </c>
      <c r="J76" s="1471">
        <v>23.72</v>
      </c>
      <c r="K76" s="2054">
        <f t="shared" si="18"/>
        <v>21034.71</v>
      </c>
      <c r="L76" s="983">
        <v>5000</v>
      </c>
      <c r="M76" s="983">
        <v>26034.71</v>
      </c>
      <c r="N76" s="2055">
        <f t="shared" si="39"/>
        <v>294485.94</v>
      </c>
      <c r="O76" s="2055">
        <f t="shared" si="40"/>
        <v>70000</v>
      </c>
      <c r="P76" s="2055">
        <f t="shared" si="41"/>
        <v>364485.94</v>
      </c>
      <c r="Q76" s="1449"/>
      <c r="R76" s="1426">
        <v>1</v>
      </c>
      <c r="S76" s="762">
        <f t="shared" si="46"/>
        <v>23.72</v>
      </c>
      <c r="T76" s="1450">
        <f t="shared" si="47"/>
        <v>617543.32120000001</v>
      </c>
      <c r="U76" s="1451">
        <f t="shared" si="48"/>
        <v>0.69428571428571439</v>
      </c>
      <c r="V76" s="1464" t="s">
        <v>844</v>
      </c>
      <c r="W76" s="1458" t="s">
        <v>1179</v>
      </c>
      <c r="X76" s="1454">
        <f t="shared" si="49"/>
        <v>364485.94</v>
      </c>
      <c r="Y76" s="1454">
        <v>0</v>
      </c>
      <c r="Z76" s="1454">
        <v>84748</v>
      </c>
      <c r="AA76" s="985">
        <f t="shared" si="50"/>
        <v>279737.94</v>
      </c>
      <c r="AB76" s="986">
        <v>18424</v>
      </c>
      <c r="AC76" s="978">
        <v>-27932</v>
      </c>
      <c r="AD76" s="1456">
        <f t="shared" si="51"/>
        <v>15.183344550586192</v>
      </c>
      <c r="AE76" s="1456">
        <f t="shared" si="52"/>
        <v>-10.014962766719176</v>
      </c>
      <c r="AF76" s="1457">
        <f t="shared" si="53"/>
        <v>0</v>
      </c>
      <c r="AG76" s="1467"/>
      <c r="AH76" s="1466"/>
      <c r="AI76" s="1467"/>
      <c r="AJ76" s="1467"/>
      <c r="AK76" s="1466"/>
      <c r="AL76" s="1462"/>
      <c r="AM76" s="1461"/>
      <c r="AN76" s="1464"/>
      <c r="AO76" s="1469"/>
      <c r="AP76" s="1469"/>
    </row>
    <row r="77" spans="1:42" s="1422" customFormat="1" ht="13.5" customHeight="1">
      <c r="A77" s="1459"/>
      <c r="B77" s="1494" t="s">
        <v>846</v>
      </c>
      <c r="C77" s="1446" t="s">
        <v>847</v>
      </c>
      <c r="D77" s="1445" t="s">
        <v>421</v>
      </c>
      <c r="E77" s="1446" t="s">
        <v>848</v>
      </c>
      <c r="F77" s="1447">
        <v>42305</v>
      </c>
      <c r="G77" s="1471">
        <v>10</v>
      </c>
      <c r="H77" s="1471">
        <v>15</v>
      </c>
      <c r="I77" s="1471">
        <v>17</v>
      </c>
      <c r="J77" s="1471">
        <v>12.4</v>
      </c>
      <c r="K77" s="2054">
        <f t="shared" si="18"/>
        <v>20805.473000000002</v>
      </c>
      <c r="L77" s="983">
        <v>5437.5</v>
      </c>
      <c r="M77" s="983">
        <v>26242.973000000002</v>
      </c>
      <c r="N77" s="2055">
        <f t="shared" si="39"/>
        <v>208054.73</v>
      </c>
      <c r="O77" s="2055">
        <f t="shared" si="40"/>
        <v>54375</v>
      </c>
      <c r="P77" s="2055">
        <f t="shared" si="41"/>
        <v>262429.73</v>
      </c>
      <c r="Q77" s="1449"/>
      <c r="R77" s="1426">
        <v>1</v>
      </c>
      <c r="S77" s="762">
        <f t="shared" si="46"/>
        <v>12.4</v>
      </c>
      <c r="T77" s="1450">
        <f t="shared" si="47"/>
        <v>325412.86520000006</v>
      </c>
      <c r="U77" s="1451">
        <f t="shared" si="48"/>
        <v>0.24000000000000021</v>
      </c>
      <c r="V77" s="1464" t="s">
        <v>849</v>
      </c>
      <c r="W77" s="1458" t="s">
        <v>850</v>
      </c>
      <c r="X77" s="1454">
        <f t="shared" si="49"/>
        <v>262429.73</v>
      </c>
      <c r="Y77" s="1454">
        <v>0</v>
      </c>
      <c r="Z77" s="1454">
        <v>73076</v>
      </c>
      <c r="AA77" s="985">
        <f t="shared" si="50"/>
        <v>189353.72999999998</v>
      </c>
      <c r="AB77" s="986">
        <v>14199</v>
      </c>
      <c r="AC77" s="978">
        <v>-30529</v>
      </c>
      <c r="AD77" s="1456">
        <f t="shared" si="51"/>
        <v>13.335708852736106</v>
      </c>
      <c r="AE77" s="1456">
        <f t="shared" si="52"/>
        <v>-6.2024216318909886</v>
      </c>
      <c r="AF77" s="1457">
        <f t="shared" si="53"/>
        <v>0</v>
      </c>
      <c r="AG77" s="1467"/>
      <c r="AH77" s="1466"/>
      <c r="AI77" s="1467"/>
      <c r="AJ77" s="1467"/>
      <c r="AK77" s="1466"/>
      <c r="AL77" s="1462"/>
      <c r="AM77" s="1461"/>
      <c r="AN77" s="1464"/>
      <c r="AO77" s="1469"/>
      <c r="AP77" s="1469"/>
    </row>
    <row r="78" spans="1:42" s="1422" customFormat="1" ht="13.5" customHeight="1">
      <c r="A78" s="1459"/>
      <c r="B78" s="1443" t="s">
        <v>851</v>
      </c>
      <c r="C78" s="1446" t="s">
        <v>852</v>
      </c>
      <c r="D78" s="1445" t="s">
        <v>421</v>
      </c>
      <c r="E78" s="1446" t="s">
        <v>854</v>
      </c>
      <c r="F78" s="1447">
        <v>42298</v>
      </c>
      <c r="G78" s="1471">
        <v>13</v>
      </c>
      <c r="H78" s="1471">
        <v>14</v>
      </c>
      <c r="I78" s="1471">
        <v>16</v>
      </c>
      <c r="J78" s="1471">
        <v>13.45</v>
      </c>
      <c r="K78" s="2054">
        <f t="shared" si="18"/>
        <v>19379.574000000001</v>
      </c>
      <c r="L78" s="983">
        <v>5500</v>
      </c>
      <c r="M78" s="983">
        <v>24879.574000000001</v>
      </c>
      <c r="N78" s="2055">
        <f t="shared" si="39"/>
        <v>251934.462</v>
      </c>
      <c r="O78" s="2055">
        <f t="shared" si="40"/>
        <v>71500</v>
      </c>
      <c r="P78" s="2055">
        <f t="shared" si="41"/>
        <v>323434.462</v>
      </c>
      <c r="Q78" s="1449"/>
      <c r="R78" s="1426">
        <v>1</v>
      </c>
      <c r="S78" s="762">
        <f t="shared" si="46"/>
        <v>13.45</v>
      </c>
      <c r="T78" s="1450">
        <f t="shared" si="47"/>
        <v>334630.27029999997</v>
      </c>
      <c r="U78" s="1451">
        <f t="shared" si="48"/>
        <v>3.4615384615384492E-2</v>
      </c>
      <c r="V78" s="1452" t="s">
        <v>855</v>
      </c>
      <c r="W78" s="1458" t="s">
        <v>856</v>
      </c>
      <c r="X78" s="1454">
        <f t="shared" si="49"/>
        <v>323434.462</v>
      </c>
      <c r="Y78" s="1454">
        <v>1615000</v>
      </c>
      <c r="Z78" s="1454">
        <v>80653</v>
      </c>
      <c r="AA78" s="985">
        <f t="shared" si="50"/>
        <v>1857781.4620000001</v>
      </c>
      <c r="AB78" s="986">
        <v>8991</v>
      </c>
      <c r="AC78" s="978">
        <v>-40246</v>
      </c>
      <c r="AD78" s="1456">
        <f t="shared" si="51"/>
        <v>206.62678923367812</v>
      </c>
      <c r="AE78" s="1456">
        <f t="shared" si="52"/>
        <v>-46.160648561347713</v>
      </c>
      <c r="AF78" s="1457">
        <f t="shared" si="53"/>
        <v>0</v>
      </c>
      <c r="AG78" s="1437"/>
      <c r="AK78" s="1463"/>
      <c r="AL78" s="1462"/>
      <c r="AM78" s="1461"/>
    </row>
    <row r="79" spans="1:42" s="1422" customFormat="1" ht="13.5" customHeight="1">
      <c r="A79" s="1459"/>
      <c r="B79" s="1443" t="s">
        <v>872</v>
      </c>
      <c r="C79" s="1446" t="s">
        <v>873</v>
      </c>
      <c r="D79" s="1445" t="s">
        <v>421</v>
      </c>
      <c r="E79" s="1446" t="s">
        <v>874</v>
      </c>
      <c r="F79" s="1447">
        <v>42277</v>
      </c>
      <c r="G79" s="1471">
        <v>7</v>
      </c>
      <c r="H79" s="1471">
        <v>13</v>
      </c>
      <c r="I79" s="1471">
        <v>15</v>
      </c>
      <c r="J79" s="1471">
        <v>5.78</v>
      </c>
      <c r="K79" s="2054">
        <f t="shared" si="18"/>
        <v>13806.725999999999</v>
      </c>
      <c r="L79" s="983">
        <v>6250</v>
      </c>
      <c r="M79" s="983">
        <v>20056.725999999999</v>
      </c>
      <c r="N79" s="2055">
        <f t="shared" si="39"/>
        <v>96647.081999999995</v>
      </c>
      <c r="O79" s="2055">
        <f t="shared" si="40"/>
        <v>43750</v>
      </c>
      <c r="P79" s="2055">
        <f t="shared" si="41"/>
        <v>140397.08199999999</v>
      </c>
      <c r="Q79" s="1449"/>
      <c r="R79" s="1426">
        <v>1</v>
      </c>
      <c r="S79" s="762">
        <f t="shared" si="46"/>
        <v>5.78</v>
      </c>
      <c r="T79" s="1450">
        <f t="shared" si="47"/>
        <v>115927.87628</v>
      </c>
      <c r="U79" s="1451">
        <f t="shared" si="48"/>
        <v>-0.17428571428571427</v>
      </c>
      <c r="V79" s="1452" t="s">
        <v>875</v>
      </c>
      <c r="W79" s="1458" t="s">
        <v>1180</v>
      </c>
      <c r="X79" s="1454">
        <f t="shared" si="49"/>
        <v>140397.08199999999</v>
      </c>
      <c r="Y79" s="1454">
        <v>0</v>
      </c>
      <c r="Z79" s="1454">
        <v>41579</v>
      </c>
      <c r="AA79" s="985">
        <f t="shared" si="50"/>
        <v>98818.081999999995</v>
      </c>
      <c r="AB79" s="986">
        <v>0</v>
      </c>
      <c r="AC79" s="978">
        <v>-27374</v>
      </c>
      <c r="AD79" s="1456" t="str">
        <f t="shared" si="51"/>
        <v>n/a</v>
      </c>
      <c r="AE79" s="1456">
        <f t="shared" si="52"/>
        <v>-3.6099248191714763</v>
      </c>
      <c r="AF79" s="1457">
        <f t="shared" si="53"/>
        <v>0</v>
      </c>
      <c r="AG79" s="1437"/>
      <c r="AK79" s="1463"/>
      <c r="AL79" s="1462"/>
      <c r="AM79" s="1461"/>
    </row>
    <row r="80" spans="1:42" s="1422" customFormat="1" ht="13.5" customHeight="1">
      <c r="A80" s="1459"/>
      <c r="B80" s="1443" t="s">
        <v>913</v>
      </c>
      <c r="C80" s="1446" t="s">
        <v>914</v>
      </c>
      <c r="D80" s="1445" t="s">
        <v>853</v>
      </c>
      <c r="E80" s="1446" t="s">
        <v>915</v>
      </c>
      <c r="F80" s="1447">
        <v>42179</v>
      </c>
      <c r="G80" s="1471">
        <v>12</v>
      </c>
      <c r="H80" s="1471">
        <v>13</v>
      </c>
      <c r="I80" s="1471">
        <v>15</v>
      </c>
      <c r="J80" s="1471">
        <v>13.9</v>
      </c>
      <c r="K80" s="2054">
        <f t="shared" si="18"/>
        <v>9547.7960000000003</v>
      </c>
      <c r="L80" s="983">
        <v>5000</v>
      </c>
      <c r="M80" s="983">
        <v>14547.796</v>
      </c>
      <c r="N80" s="2055">
        <f t="shared" si="39"/>
        <v>114573.552</v>
      </c>
      <c r="O80" s="2055">
        <f t="shared" si="40"/>
        <v>60000</v>
      </c>
      <c r="P80" s="2055">
        <f t="shared" si="41"/>
        <v>174573.552</v>
      </c>
      <c r="Q80" s="1449"/>
      <c r="R80" s="1426">
        <v>1</v>
      </c>
      <c r="S80" s="762">
        <f t="shared" si="46"/>
        <v>13.9</v>
      </c>
      <c r="T80" s="1450">
        <f t="shared" si="47"/>
        <v>202214.36440000002</v>
      </c>
      <c r="U80" s="1451">
        <f t="shared" si="48"/>
        <v>0.15833333333333344</v>
      </c>
      <c r="V80" s="1464" t="s">
        <v>916</v>
      </c>
      <c r="W80" s="1458" t="s">
        <v>1181</v>
      </c>
      <c r="X80" s="1454">
        <f t="shared" si="49"/>
        <v>174573.552</v>
      </c>
      <c r="Y80" s="1454">
        <v>9656000</v>
      </c>
      <c r="Z80" s="1454">
        <v>24303</v>
      </c>
      <c r="AA80" s="985">
        <f t="shared" si="50"/>
        <v>9806270.5519999992</v>
      </c>
      <c r="AB80" s="986">
        <v>0</v>
      </c>
      <c r="AC80" s="978">
        <v>-35832</v>
      </c>
      <c r="AD80" s="1456" t="str">
        <f t="shared" si="51"/>
        <v>n/a</v>
      </c>
      <c r="AE80" s="1456">
        <f t="shared" si="52"/>
        <v>-273.67354744362581</v>
      </c>
      <c r="AF80" s="1457">
        <f t="shared" si="53"/>
        <v>0</v>
      </c>
      <c r="AG80" s="1467"/>
      <c r="AH80" s="1466"/>
      <c r="AI80" s="1467"/>
      <c r="AJ80" s="1468"/>
      <c r="AK80" s="1466"/>
      <c r="AL80" s="1462"/>
      <c r="AM80" s="1461"/>
      <c r="AN80" s="1464"/>
      <c r="AO80" s="1469"/>
      <c r="AP80" s="1469"/>
    </row>
    <row r="81" spans="1:42" s="1465" customFormat="1" ht="13.5" customHeight="1">
      <c r="A81" s="1459"/>
      <c r="B81" s="1443" t="s">
        <v>923</v>
      </c>
      <c r="C81" s="1446" t="s">
        <v>924</v>
      </c>
      <c r="D81" s="1445" t="s">
        <v>411</v>
      </c>
      <c r="E81" s="1446" t="s">
        <v>925</v>
      </c>
      <c r="F81" s="1447">
        <v>42171</v>
      </c>
      <c r="G81" s="1471">
        <v>14</v>
      </c>
      <c r="H81" s="1471">
        <v>13</v>
      </c>
      <c r="I81" s="1471">
        <v>15</v>
      </c>
      <c r="J81" s="1471">
        <v>19.010000000000002</v>
      </c>
      <c r="K81" s="2054">
        <f t="shared" si="18"/>
        <v>9126.6830000000009</v>
      </c>
      <c r="L81" s="983">
        <v>5500</v>
      </c>
      <c r="M81" s="983">
        <v>14626.683000000001</v>
      </c>
      <c r="N81" s="2055">
        <f t="shared" si="39"/>
        <v>127773.56200000001</v>
      </c>
      <c r="O81" s="2055">
        <f t="shared" si="40"/>
        <v>77000</v>
      </c>
      <c r="P81" s="2055">
        <f t="shared" si="41"/>
        <v>204773.56200000001</v>
      </c>
      <c r="Q81" s="1449"/>
      <c r="R81" s="1426">
        <v>1</v>
      </c>
      <c r="S81" s="762">
        <f t="shared" si="46"/>
        <v>19.010000000000002</v>
      </c>
      <c r="T81" s="1450">
        <f t="shared" si="47"/>
        <v>278053.24383000005</v>
      </c>
      <c r="U81" s="1451">
        <f t="shared" si="48"/>
        <v>0.3578571428571431</v>
      </c>
      <c r="V81" s="1452" t="s">
        <v>926</v>
      </c>
      <c r="W81" s="1458" t="s">
        <v>927</v>
      </c>
      <c r="X81" s="1454">
        <f t="shared" si="49"/>
        <v>204773.56200000001</v>
      </c>
      <c r="Y81" s="1454">
        <v>0</v>
      </c>
      <c r="Z81" s="1454">
        <v>22864.5</v>
      </c>
      <c r="AA81" s="985">
        <f t="shared" si="50"/>
        <v>181909.06200000001</v>
      </c>
      <c r="AB81" s="986">
        <v>0</v>
      </c>
      <c r="AC81" s="978">
        <v>-29160</v>
      </c>
      <c r="AD81" s="1456" t="str">
        <f t="shared" si="51"/>
        <v>n/a</v>
      </c>
      <c r="AE81" s="1456">
        <f t="shared" si="52"/>
        <v>-6.2383080246913583</v>
      </c>
      <c r="AF81" s="1457">
        <f t="shared" si="53"/>
        <v>0</v>
      </c>
      <c r="AG81" s="1437"/>
      <c r="AH81" s="1422"/>
      <c r="AI81" s="1422"/>
      <c r="AJ81" s="1422"/>
      <c r="AK81" s="1463"/>
      <c r="AL81" s="1462"/>
      <c r="AM81" s="1461"/>
      <c r="AN81" s="1422"/>
      <c r="AO81" s="1422"/>
      <c r="AP81" s="1422"/>
    </row>
    <row r="82" spans="1:42" s="1465" customFormat="1" ht="13.5" customHeight="1">
      <c r="A82" s="1459"/>
      <c r="B82" s="1443" t="s">
        <v>1182</v>
      </c>
      <c r="C82" s="1446" t="s">
        <v>928</v>
      </c>
      <c r="D82" s="1445" t="s">
        <v>929</v>
      </c>
      <c r="E82" s="1446" t="s">
        <v>930</v>
      </c>
      <c r="F82" s="1447">
        <v>42130</v>
      </c>
      <c r="G82" s="1471">
        <v>14</v>
      </c>
      <c r="H82" s="1471">
        <v>13</v>
      </c>
      <c r="I82" s="1471">
        <v>15</v>
      </c>
      <c r="J82" s="1471">
        <v>25.87</v>
      </c>
      <c r="K82" s="2054">
        <f t="shared" si="18"/>
        <v>17189.739000000001</v>
      </c>
      <c r="L82" s="983">
        <v>5360</v>
      </c>
      <c r="M82" s="983">
        <v>22549.739000000001</v>
      </c>
      <c r="N82" s="2055">
        <f t="shared" si="39"/>
        <v>240656.34600000002</v>
      </c>
      <c r="O82" s="2055">
        <f t="shared" si="40"/>
        <v>75040</v>
      </c>
      <c r="P82" s="2055">
        <f t="shared" si="41"/>
        <v>315696.34600000002</v>
      </c>
      <c r="Q82" s="1449"/>
      <c r="R82" s="1426">
        <v>1</v>
      </c>
      <c r="S82" s="762">
        <f t="shared" si="46"/>
        <v>25.87</v>
      </c>
      <c r="T82" s="1450">
        <f t="shared" si="47"/>
        <v>583361.74793000007</v>
      </c>
      <c r="U82" s="1451">
        <f t="shared" si="48"/>
        <v>0.84785714285714286</v>
      </c>
      <c r="V82" s="1452" t="s">
        <v>931</v>
      </c>
      <c r="W82" s="1458" t="s">
        <v>932</v>
      </c>
      <c r="X82" s="1454">
        <f t="shared" si="49"/>
        <v>315696.34600000002</v>
      </c>
      <c r="Y82" s="1454">
        <v>10276000</v>
      </c>
      <c r="Z82" s="1454">
        <v>13899</v>
      </c>
      <c r="AA82" s="985">
        <f t="shared" si="50"/>
        <v>10577797.346000001</v>
      </c>
      <c r="AB82" s="986">
        <v>0</v>
      </c>
      <c r="AC82" s="978">
        <v>-58426</v>
      </c>
      <c r="AD82" s="1456" t="str">
        <f t="shared" si="51"/>
        <v>n/a</v>
      </c>
      <c r="AE82" s="1456">
        <f t="shared" si="52"/>
        <v>-181.04606418375383</v>
      </c>
      <c r="AF82" s="1457">
        <f t="shared" si="53"/>
        <v>0</v>
      </c>
      <c r="AG82" s="1437"/>
      <c r="AH82" s="1422"/>
      <c r="AI82" s="1422"/>
      <c r="AJ82" s="1422"/>
      <c r="AK82" s="1463"/>
      <c r="AL82" s="1462"/>
      <c r="AM82" s="1461"/>
      <c r="AN82" s="1422"/>
      <c r="AO82" s="1422"/>
      <c r="AP82" s="1422"/>
    </row>
    <row r="83" spans="1:42" s="1465" customFormat="1" ht="13.5" customHeight="1">
      <c r="A83" s="1495"/>
      <c r="B83" s="1443" t="s">
        <v>1183</v>
      </c>
      <c r="C83" s="1446" t="s">
        <v>1184</v>
      </c>
      <c r="D83" s="1445" t="s">
        <v>853</v>
      </c>
      <c r="E83" s="1446" t="s">
        <v>1185</v>
      </c>
      <c r="F83" s="1447">
        <v>42130</v>
      </c>
      <c r="G83" s="1471">
        <v>17</v>
      </c>
      <c r="H83" s="1471">
        <v>15</v>
      </c>
      <c r="I83" s="1471">
        <v>17</v>
      </c>
      <c r="J83" s="1471">
        <v>15.34</v>
      </c>
      <c r="K83" s="2054">
        <f t="shared" si="18"/>
        <v>59535.316666666695</v>
      </c>
      <c r="L83" s="983">
        <v>9375</v>
      </c>
      <c r="M83" s="983">
        <v>68910.316666666695</v>
      </c>
      <c r="N83" s="2055">
        <f t="shared" si="39"/>
        <v>1012100.3833333338</v>
      </c>
      <c r="O83" s="2055">
        <f t="shared" si="40"/>
        <v>159375</v>
      </c>
      <c r="P83" s="2055">
        <f t="shared" si="41"/>
        <v>1171475.3833333338</v>
      </c>
      <c r="Q83" s="1449"/>
      <c r="R83" s="1426">
        <v>1</v>
      </c>
      <c r="S83" s="762">
        <f t="shared" si="46"/>
        <v>15.34</v>
      </c>
      <c r="T83" s="1450">
        <f t="shared" si="47"/>
        <v>1057084.257666667</v>
      </c>
      <c r="U83" s="1451">
        <f t="shared" si="48"/>
        <v>-9.764705882352942E-2</v>
      </c>
      <c r="V83" s="1452" t="s">
        <v>1186</v>
      </c>
      <c r="W83" s="1458" t="s">
        <v>1187</v>
      </c>
      <c r="X83" s="1454">
        <f t="shared" si="49"/>
        <v>1171475.3833333338</v>
      </c>
      <c r="Y83" s="1454">
        <v>0</v>
      </c>
      <c r="Z83" s="1454">
        <v>101564.72</v>
      </c>
      <c r="AA83" s="985">
        <f t="shared" si="50"/>
        <v>1069910.6633333338</v>
      </c>
      <c r="AB83" s="986">
        <v>12356.199999999999</v>
      </c>
      <c r="AC83" s="978">
        <v>-65690.23</v>
      </c>
      <c r="AD83" s="1456">
        <f t="shared" si="51"/>
        <v>86.588972607543894</v>
      </c>
      <c r="AE83" s="1456">
        <f t="shared" si="52"/>
        <v>-16.287211406221807</v>
      </c>
      <c r="AF83" s="1457">
        <f t="shared" si="53"/>
        <v>0</v>
      </c>
      <c r="AG83" s="1437"/>
      <c r="AH83" s="1422"/>
      <c r="AI83" s="1422"/>
      <c r="AJ83" s="1422"/>
      <c r="AK83" s="1463"/>
      <c r="AL83" s="1462"/>
      <c r="AM83" s="1461"/>
      <c r="AN83" s="1422"/>
      <c r="AO83" s="1422"/>
      <c r="AP83" s="1422"/>
    </row>
    <row r="84" spans="1:42" s="1465" customFormat="1" ht="13.5" customHeight="1">
      <c r="A84" s="1459"/>
      <c r="B84" s="1443" t="s">
        <v>951</v>
      </c>
      <c r="C84" s="1446" t="s">
        <v>952</v>
      </c>
      <c r="D84" s="1445" t="s">
        <v>421</v>
      </c>
      <c r="E84" s="1446" t="s">
        <v>953</v>
      </c>
      <c r="F84" s="1447">
        <v>42122</v>
      </c>
      <c r="G84" s="1471">
        <v>8</v>
      </c>
      <c r="H84" s="1471">
        <v>10</v>
      </c>
      <c r="I84" s="1471">
        <v>12</v>
      </c>
      <c r="J84" s="1471">
        <v>8.23</v>
      </c>
      <c r="K84" s="2054">
        <f t="shared" si="18"/>
        <v>6154.3289999999997</v>
      </c>
      <c r="L84" s="983">
        <v>3000</v>
      </c>
      <c r="M84" s="983">
        <v>9154.3289999999997</v>
      </c>
      <c r="N84" s="2055">
        <f t="shared" si="39"/>
        <v>49234.631999999998</v>
      </c>
      <c r="O84" s="2055">
        <f t="shared" si="40"/>
        <v>24000</v>
      </c>
      <c r="P84" s="2055">
        <f t="shared" si="41"/>
        <v>73234.631999999998</v>
      </c>
      <c r="Q84" s="1449"/>
      <c r="R84" s="1426">
        <v>1</v>
      </c>
      <c r="S84" s="762">
        <f t="shared" si="46"/>
        <v>8.23</v>
      </c>
      <c r="T84" s="1450">
        <f t="shared" si="47"/>
        <v>75340.127670000002</v>
      </c>
      <c r="U84" s="1451">
        <f t="shared" si="48"/>
        <v>2.8750000000000053E-2</v>
      </c>
      <c r="V84" s="1464" t="s">
        <v>954</v>
      </c>
      <c r="W84" s="1458" t="s">
        <v>955</v>
      </c>
      <c r="X84" s="1454">
        <f t="shared" si="49"/>
        <v>73234.631999999998</v>
      </c>
      <c r="Y84" s="1454">
        <v>1568390</v>
      </c>
      <c r="Z84" s="1454">
        <v>755.86</v>
      </c>
      <c r="AA84" s="985">
        <f t="shared" si="50"/>
        <v>1640868.7719999999</v>
      </c>
      <c r="AB84" s="986">
        <v>0</v>
      </c>
      <c r="AC84" s="978">
        <v>0</v>
      </c>
      <c r="AD84" s="1456" t="str">
        <f t="shared" si="51"/>
        <v>n/a</v>
      </c>
      <c r="AE84" s="1456" t="str">
        <f t="shared" si="52"/>
        <v>n/a</v>
      </c>
      <c r="AF84" s="1457">
        <f t="shared" si="53"/>
        <v>0</v>
      </c>
      <c r="AK84" s="1466"/>
      <c r="AL84" s="1462"/>
      <c r="AM84" s="1461"/>
    </row>
    <row r="85" spans="1:42" s="1465" customFormat="1" ht="13.5" customHeight="1">
      <c r="A85" s="1459"/>
      <c r="B85" s="1443"/>
      <c r="C85" s="1446"/>
      <c r="D85" s="1445"/>
      <c r="E85" s="1446"/>
      <c r="F85" s="1447"/>
      <c r="G85" s="1470"/>
      <c r="H85" s="1471"/>
      <c r="I85" s="1471"/>
      <c r="J85" s="1470"/>
      <c r="K85" s="2051"/>
      <c r="L85" s="2053"/>
      <c r="M85" s="2053"/>
      <c r="N85" s="2054"/>
      <c r="O85" s="2053"/>
      <c r="P85" s="2054"/>
      <c r="Q85" s="1449"/>
      <c r="R85" s="1449"/>
      <c r="S85" s="762"/>
      <c r="T85" s="1450"/>
      <c r="U85" s="1451"/>
      <c r="V85" s="1464"/>
      <c r="W85" s="1458"/>
      <c r="X85" s="1454"/>
      <c r="Y85" s="1454"/>
      <c r="Z85" s="1454"/>
      <c r="AA85" s="985"/>
      <c r="AB85" s="986"/>
      <c r="AC85" s="978"/>
      <c r="AD85" s="1456"/>
      <c r="AE85" s="1456"/>
      <c r="AF85" s="1457"/>
      <c r="AK85" s="1466"/>
      <c r="AL85" s="1462"/>
      <c r="AM85" s="1461"/>
    </row>
    <row r="86" spans="1:42" s="1465" customFormat="1" ht="13.5" customHeight="1">
      <c r="A86" s="1459"/>
      <c r="B86" s="1472" t="s">
        <v>2147</v>
      </c>
      <c r="C86" s="1446"/>
      <c r="D86" s="1445"/>
      <c r="E86" s="1446"/>
      <c r="F86" s="1447"/>
      <c r="G86" s="1470"/>
      <c r="H86" s="1471"/>
      <c r="I86" s="1471"/>
      <c r="J86" s="1470"/>
      <c r="K86" s="2051"/>
      <c r="L86" s="2053"/>
      <c r="M86" s="2053"/>
      <c r="N86" s="2054"/>
      <c r="O86" s="2053"/>
      <c r="P86" s="2054"/>
      <c r="Q86" s="1449"/>
      <c r="R86" s="1449"/>
      <c r="S86" s="762"/>
      <c r="T86" s="1450"/>
      <c r="U86" s="1451"/>
      <c r="V86" s="1464"/>
      <c r="W86" s="1458"/>
      <c r="X86" s="1454"/>
      <c r="Y86" s="1454"/>
      <c r="Z86" s="1454"/>
      <c r="AA86" s="985"/>
      <c r="AB86" s="986"/>
      <c r="AC86" s="978"/>
      <c r="AD86" s="1456"/>
      <c r="AE86" s="1456"/>
      <c r="AF86" s="1457"/>
      <c r="AK86" s="1466"/>
      <c r="AL86" s="1462"/>
      <c r="AM86" s="1461"/>
    </row>
    <row r="87" spans="1:42" s="1465" customFormat="1" ht="13.5" customHeight="1">
      <c r="A87" s="1459"/>
      <c r="B87" s="1473" t="s">
        <v>46</v>
      </c>
      <c r="C87" s="1474"/>
      <c r="D87" s="1474"/>
      <c r="E87" s="1474"/>
      <c r="F87" s="1474"/>
      <c r="G87" s="1474"/>
      <c r="H87" s="1474"/>
      <c r="I87" s="1474"/>
      <c r="J87" s="1474"/>
      <c r="K87" s="2056"/>
      <c r="L87" s="2056"/>
      <c r="M87" s="2056"/>
      <c r="N87" s="1475">
        <f>MAX(N41:N84)</f>
        <v>1333630.5660000001</v>
      </c>
      <c r="O87" s="1475"/>
      <c r="P87" s="1476">
        <f>MAX(P41:P84)</f>
        <v>1583630.55</v>
      </c>
      <c r="Q87" s="1449"/>
      <c r="R87" s="1449"/>
      <c r="S87" s="1477">
        <f>MAX(S41:S84)</f>
        <v>29.56</v>
      </c>
      <c r="T87" s="1450"/>
      <c r="U87" s="1451"/>
      <c r="V87" s="1464"/>
      <c r="W87" s="1458"/>
      <c r="X87" s="1454"/>
      <c r="Y87" s="1454"/>
      <c r="Z87" s="1454"/>
      <c r="AA87" s="985"/>
      <c r="AB87" s="986"/>
      <c r="AC87" s="978"/>
      <c r="AD87" s="1456"/>
      <c r="AE87" s="1456"/>
      <c r="AF87" s="1457"/>
      <c r="AK87" s="1466"/>
      <c r="AL87" s="1462"/>
      <c r="AM87" s="1461"/>
    </row>
    <row r="88" spans="1:42" s="1465" customFormat="1" ht="13.5" customHeight="1">
      <c r="A88" s="1459"/>
      <c r="B88" s="763" t="s">
        <v>50</v>
      </c>
      <c r="C88" s="764"/>
      <c r="D88" s="764"/>
      <c r="E88" s="764"/>
      <c r="F88" s="764"/>
      <c r="G88" s="764"/>
      <c r="H88" s="764"/>
      <c r="I88" s="764"/>
      <c r="J88" s="764"/>
      <c r="K88" s="2057"/>
      <c r="L88" s="2057"/>
      <c r="M88" s="2057"/>
      <c r="N88" s="756">
        <f>_xlfn.QUARTILE.INC(N41:N84,3)</f>
        <v>355278.25125000003</v>
      </c>
      <c r="O88" s="756"/>
      <c r="P88" s="765">
        <f>_xlfn.QUARTILE.INC(P41:P84,3)</f>
        <v>454035.86924999999</v>
      </c>
      <c r="Q88" s="1449"/>
      <c r="R88" s="1449"/>
      <c r="S88" s="913">
        <f>_xlfn.QUARTILE.INC(S41:S84,3)</f>
        <v>18.785</v>
      </c>
      <c r="T88" s="1450"/>
      <c r="U88" s="1451"/>
      <c r="V88" s="1464"/>
      <c r="W88" s="1458"/>
      <c r="X88" s="1454"/>
      <c r="Y88" s="1454"/>
      <c r="Z88" s="1454"/>
      <c r="AA88" s="985"/>
      <c r="AB88" s="986"/>
      <c r="AC88" s="978"/>
      <c r="AD88" s="1456"/>
      <c r="AE88" s="1456"/>
      <c r="AF88" s="1457"/>
      <c r="AK88" s="1466"/>
      <c r="AL88" s="1462"/>
      <c r="AM88" s="1461"/>
    </row>
    <row r="89" spans="1:42" s="1465" customFormat="1" ht="13.5" customHeight="1">
      <c r="A89" s="1459"/>
      <c r="B89" s="763" t="s">
        <v>2</v>
      </c>
      <c r="C89" s="764"/>
      <c r="D89" s="764"/>
      <c r="E89" s="764"/>
      <c r="F89" s="764"/>
      <c r="G89" s="764"/>
      <c r="H89" s="764"/>
      <c r="I89" s="764"/>
      <c r="J89" s="764"/>
      <c r="K89" s="2057"/>
      <c r="L89" s="2057"/>
      <c r="M89" s="2057"/>
      <c r="N89" s="756">
        <f>AVERAGE(N41:N84)</f>
        <v>300822.56810984848</v>
      </c>
      <c r="O89" s="756"/>
      <c r="P89" s="765">
        <f>AVERAGE(P41:P84)</f>
        <v>383634.84045075753</v>
      </c>
      <c r="Q89" s="1449"/>
      <c r="R89" s="1449"/>
      <c r="S89" s="913">
        <f>AVERAGE(S41:S84)</f>
        <v>15.437844545454546</v>
      </c>
      <c r="T89" s="1450"/>
      <c r="U89" s="1451"/>
      <c r="V89" s="1464"/>
      <c r="W89" s="1458"/>
      <c r="X89" s="1454"/>
      <c r="Y89" s="1454"/>
      <c r="Z89" s="1454"/>
      <c r="AA89" s="985"/>
      <c r="AB89" s="986"/>
      <c r="AC89" s="978"/>
      <c r="AD89" s="1456"/>
      <c r="AE89" s="1456"/>
      <c r="AF89" s="1457"/>
      <c r="AK89" s="1466"/>
      <c r="AL89" s="1462"/>
      <c r="AM89" s="1461"/>
    </row>
    <row r="90" spans="1:42" s="1465" customFormat="1" ht="13.5" customHeight="1">
      <c r="A90" s="1459"/>
      <c r="B90" s="763" t="s">
        <v>3</v>
      </c>
      <c r="C90" s="764"/>
      <c r="D90" s="764"/>
      <c r="E90" s="764"/>
      <c r="F90" s="764"/>
      <c r="G90" s="764"/>
      <c r="H90" s="764"/>
      <c r="I90" s="764"/>
      <c r="J90" s="764"/>
      <c r="K90" s="2057"/>
      <c r="L90" s="2057"/>
      <c r="M90" s="2057"/>
      <c r="N90" s="756">
        <f>MEDIAN(N41:N84)</f>
        <v>265101.15399999998</v>
      </c>
      <c r="O90" s="756"/>
      <c r="P90" s="765">
        <f>MEDIAN(P41:P84)</f>
        <v>331851.15399999998</v>
      </c>
      <c r="Q90" s="1449"/>
      <c r="R90" s="1449"/>
      <c r="S90" s="913">
        <f>MEDIAN(S41:S84)</f>
        <v>14.68</v>
      </c>
      <c r="T90" s="1450"/>
      <c r="U90" s="1451"/>
      <c r="V90" s="1464"/>
      <c r="W90" s="1458"/>
      <c r="X90" s="1454"/>
      <c r="Y90" s="1454"/>
      <c r="Z90" s="1454"/>
      <c r="AA90" s="985"/>
      <c r="AB90" s="986"/>
      <c r="AC90" s="978"/>
      <c r="AD90" s="1456"/>
      <c r="AE90" s="1456"/>
      <c r="AF90" s="1457"/>
      <c r="AK90" s="1466"/>
      <c r="AL90" s="1462"/>
      <c r="AM90" s="1461"/>
    </row>
    <row r="91" spans="1:42" s="1465" customFormat="1" ht="13.5" customHeight="1">
      <c r="A91" s="1459"/>
      <c r="B91" s="763" t="s">
        <v>49</v>
      </c>
      <c r="C91" s="764"/>
      <c r="D91" s="764"/>
      <c r="E91" s="764"/>
      <c r="F91" s="764"/>
      <c r="G91" s="764"/>
      <c r="H91" s="764"/>
      <c r="I91" s="764"/>
      <c r="J91" s="764"/>
      <c r="K91" s="2057"/>
      <c r="L91" s="2057"/>
      <c r="M91" s="2057"/>
      <c r="N91" s="756">
        <f>_xlfn.QUARTILE.INC(N41:N84,1)</f>
        <v>148697.46549999999</v>
      </c>
      <c r="O91" s="756"/>
      <c r="P91" s="765">
        <f>_xlfn.QUARTILE.INC(P41:P84,1)</f>
        <v>207547.46549999999</v>
      </c>
      <c r="Q91" s="1449"/>
      <c r="R91" s="1449"/>
      <c r="S91" s="913">
        <f>_xlfn.QUARTILE.INC(S41:S84,1)</f>
        <v>12.34</v>
      </c>
      <c r="T91" s="1450">
        <v>1000</v>
      </c>
      <c r="U91" s="1451"/>
      <c r="V91" s="1464"/>
      <c r="W91" s="1458"/>
      <c r="X91" s="1454"/>
      <c r="Y91" s="1454"/>
      <c r="Z91" s="1454"/>
      <c r="AA91" s="985"/>
      <c r="AB91" s="986"/>
      <c r="AC91" s="978"/>
      <c r="AD91" s="1456"/>
      <c r="AE91" s="1456"/>
      <c r="AF91" s="1457"/>
      <c r="AK91" s="1466"/>
      <c r="AL91" s="1462"/>
      <c r="AM91" s="1461"/>
    </row>
    <row r="92" spans="1:42" s="1465" customFormat="1" ht="13.5" customHeight="1">
      <c r="A92" s="1459"/>
      <c r="B92" s="914" t="s">
        <v>47</v>
      </c>
      <c r="C92" s="766"/>
      <c r="D92" s="766"/>
      <c r="E92" s="766"/>
      <c r="F92" s="766"/>
      <c r="G92" s="766"/>
      <c r="H92" s="766"/>
      <c r="I92" s="766"/>
      <c r="J92" s="766"/>
      <c r="K92" s="2058"/>
      <c r="L92" s="2058"/>
      <c r="M92" s="2058"/>
      <c r="N92" s="757">
        <f>MIN(N41:N84)</f>
        <v>40848.839999999997</v>
      </c>
      <c r="O92" s="757"/>
      <c r="P92" s="767">
        <f>MIN(P41:P84)</f>
        <v>52970.983999999997</v>
      </c>
      <c r="Q92" s="1449"/>
      <c r="R92" s="1449"/>
      <c r="S92" s="1478">
        <f>MIN(S41:S84)</f>
        <v>3.35</v>
      </c>
      <c r="T92" s="1450"/>
      <c r="U92" s="1451"/>
      <c r="V92" s="1464"/>
      <c r="W92" s="1458"/>
      <c r="X92" s="1454"/>
      <c r="Y92" s="1454"/>
      <c r="Z92" s="1454"/>
      <c r="AA92" s="985"/>
      <c r="AB92" s="986"/>
      <c r="AC92" s="978"/>
      <c r="AD92" s="1456"/>
      <c r="AE92" s="1456"/>
      <c r="AF92" s="1457"/>
      <c r="AK92" s="1466"/>
      <c r="AL92" s="1462"/>
      <c r="AM92" s="1461"/>
    </row>
    <row r="93" spans="1:42" s="1465" customFormat="1" ht="13.5" customHeight="1">
      <c r="A93" s="1459"/>
      <c r="B93" s="1443"/>
      <c r="C93" s="1446"/>
      <c r="D93" s="1445"/>
      <c r="E93" s="1446"/>
      <c r="F93" s="1447"/>
      <c r="G93" s="1470"/>
      <c r="H93" s="1471"/>
      <c r="I93" s="1471"/>
      <c r="J93" s="1470"/>
      <c r="K93" s="2051"/>
      <c r="L93" s="2053"/>
      <c r="M93" s="2053"/>
      <c r="N93" s="2054"/>
      <c r="O93" s="2053"/>
      <c r="P93" s="2054"/>
      <c r="Q93" s="1449"/>
      <c r="R93" s="1449"/>
      <c r="S93" s="762"/>
      <c r="T93" s="1450"/>
      <c r="U93" s="1451"/>
      <c r="V93" s="1464"/>
      <c r="W93" s="1458"/>
      <c r="X93" s="1454"/>
      <c r="Y93" s="1454"/>
      <c r="Z93" s="1454"/>
      <c r="AA93" s="985"/>
      <c r="AB93" s="986"/>
      <c r="AC93" s="978"/>
      <c r="AD93" s="1456"/>
      <c r="AE93" s="1456"/>
      <c r="AF93" s="1457"/>
      <c r="AK93" s="1466"/>
      <c r="AL93" s="1462"/>
      <c r="AM93" s="1461"/>
    </row>
    <row r="94" spans="1:42" s="1465" customFormat="1" ht="13.5" customHeight="1">
      <c r="A94" s="1459"/>
      <c r="B94" s="1479" t="s">
        <v>1188</v>
      </c>
      <c r="C94" s="1446"/>
      <c r="D94" s="1445"/>
      <c r="E94" s="1446"/>
      <c r="F94" s="1447"/>
      <c r="G94" s="1470"/>
      <c r="H94" s="1471"/>
      <c r="I94" s="1471"/>
      <c r="J94" s="1470"/>
      <c r="K94" s="2051"/>
      <c r="L94" s="2053"/>
      <c r="M94" s="2053"/>
      <c r="N94" s="2054"/>
      <c r="O94" s="2053"/>
      <c r="P94" s="2054"/>
      <c r="Q94" s="1449"/>
      <c r="R94" s="1449"/>
      <c r="S94" s="762"/>
      <c r="T94" s="1450"/>
      <c r="U94" s="1451"/>
      <c r="V94" s="1464"/>
      <c r="W94" s="1458"/>
      <c r="X94" s="1454"/>
      <c r="Y94" s="1454"/>
      <c r="Z94" s="1454"/>
      <c r="AA94" s="985"/>
      <c r="AB94" s="986"/>
      <c r="AC94" s="978"/>
      <c r="AD94" s="1456"/>
      <c r="AE94" s="1456"/>
      <c r="AF94" s="1457"/>
      <c r="AK94" s="1466"/>
      <c r="AL94" s="1462"/>
      <c r="AM94" s="1461"/>
    </row>
    <row r="95" spans="1:42" s="1465" customFormat="1" ht="13.5" customHeight="1">
      <c r="A95" s="1459"/>
      <c r="B95" s="1443" t="s">
        <v>2498</v>
      </c>
      <c r="C95" s="1910" t="s">
        <v>2499</v>
      </c>
      <c r="D95" s="1445" t="s">
        <v>412</v>
      </c>
      <c r="E95" s="1911" t="s">
        <v>2500</v>
      </c>
      <c r="F95" s="1447">
        <v>43299</v>
      </c>
      <c r="G95" s="1470">
        <v>18</v>
      </c>
      <c r="H95" s="1471">
        <v>15</v>
      </c>
      <c r="I95" s="1471">
        <v>17</v>
      </c>
      <c r="J95" s="1470">
        <v>39.299999999999997</v>
      </c>
      <c r="K95" s="2054">
        <f t="shared" ref="K95:K140" si="54">+M95-L95</f>
        <v>33335.859000000004</v>
      </c>
      <c r="L95" s="983">
        <f>7133333/1000</f>
        <v>7133.3329999999996</v>
      </c>
      <c r="M95" s="983">
        <f>40469192/1000</f>
        <v>40469.192000000003</v>
      </c>
      <c r="N95" s="2054">
        <f t="shared" ref="N95" si="55">+G95*K95</f>
        <v>600045.46200000006</v>
      </c>
      <c r="O95" s="2053">
        <f t="shared" ref="O95" si="56">+G95*L95</f>
        <v>128399.99399999999</v>
      </c>
      <c r="P95" s="2054">
        <f t="shared" ref="P95" si="57">+N95+O95</f>
        <v>728445.45600000001</v>
      </c>
      <c r="Q95" s="1449"/>
      <c r="R95" s="1426">
        <v>1</v>
      </c>
      <c r="S95" s="762">
        <f t="shared" ref="S95" si="58">J95</f>
        <v>39.299999999999997</v>
      </c>
      <c r="T95" s="1450">
        <f t="shared" ref="T95" si="59">S95*M95</f>
        <v>1590439.2456</v>
      </c>
      <c r="U95" s="1451">
        <f t="shared" ref="U95" si="60">T95/P95-1</f>
        <v>1.1833333333333336</v>
      </c>
      <c r="V95" s="1464" t="s">
        <v>2501</v>
      </c>
      <c r="W95" s="1458" t="s">
        <v>2502</v>
      </c>
      <c r="X95" s="1454">
        <f t="shared" ref="X95:X103" si="61">+N95+O95</f>
        <v>728445.45600000001</v>
      </c>
      <c r="Y95" s="1454"/>
      <c r="Z95" s="1454"/>
      <c r="AA95" s="985"/>
      <c r="AB95" s="986"/>
      <c r="AC95" s="978"/>
      <c r="AD95" s="1456"/>
      <c r="AE95" s="1456"/>
      <c r="AF95" s="1457">
        <f t="shared" ref="AF95:AF120" si="62">+P95-X95</f>
        <v>0</v>
      </c>
      <c r="AK95" s="1466"/>
      <c r="AL95" s="1462"/>
      <c r="AM95" s="1461"/>
    </row>
    <row r="96" spans="1:42" s="1465" customFormat="1" ht="13.5" customHeight="1">
      <c r="A96" s="1459"/>
      <c r="B96" s="1808" t="s">
        <v>2514</v>
      </c>
      <c r="C96" s="1446" t="s">
        <v>2516</v>
      </c>
      <c r="D96" s="1445" t="s">
        <v>412</v>
      </c>
      <c r="E96" s="1446" t="s">
        <v>2517</v>
      </c>
      <c r="F96" s="1447">
        <v>43299</v>
      </c>
      <c r="G96" s="1470">
        <v>15</v>
      </c>
      <c r="H96" s="1471">
        <v>14</v>
      </c>
      <c r="I96" s="1471">
        <v>16</v>
      </c>
      <c r="J96" s="1470">
        <v>11.62</v>
      </c>
      <c r="K96" s="2059">
        <f>+M96-L96</f>
        <v>21699.420999999998</v>
      </c>
      <c r="L96" s="983">
        <f>4000000/1000</f>
        <v>4000</v>
      </c>
      <c r="M96" s="983">
        <f>25699421/1000</f>
        <v>25699.420999999998</v>
      </c>
      <c r="N96" s="2059">
        <f>+G96*K96</f>
        <v>325491.315</v>
      </c>
      <c r="O96" s="2059">
        <f>+G96*L96</f>
        <v>60000</v>
      </c>
      <c r="P96" s="2059">
        <f>+N96+O96</f>
        <v>385491.315</v>
      </c>
      <c r="Q96" s="1449"/>
      <c r="R96" s="1814">
        <v>1</v>
      </c>
      <c r="S96" s="1817">
        <f>J96</f>
        <v>11.62</v>
      </c>
      <c r="T96" s="1818">
        <f>S96*M96</f>
        <v>298627.27201999997</v>
      </c>
      <c r="U96" s="1819">
        <f>T96/P96-1</f>
        <v>-0.22533333333333339</v>
      </c>
      <c r="V96" s="1458" t="s">
        <v>2522</v>
      </c>
      <c r="W96" s="1458" t="s">
        <v>2521</v>
      </c>
      <c r="X96" s="1822">
        <f>+N96+O96</f>
        <v>385491.315</v>
      </c>
      <c r="Y96" s="1454"/>
      <c r="Z96" s="1454"/>
      <c r="AA96" s="985"/>
      <c r="AB96" s="986"/>
      <c r="AC96" s="978"/>
      <c r="AD96" s="1456"/>
      <c r="AE96" s="1456"/>
      <c r="AF96" s="1457">
        <f>+P96-X96</f>
        <v>0</v>
      </c>
      <c r="AG96" s="1422"/>
      <c r="AH96" s="1422"/>
      <c r="AI96" s="1422"/>
      <c r="AJ96" s="1463"/>
      <c r="AK96" s="1462"/>
      <c r="AL96" s="1461"/>
      <c r="AM96" s="1422"/>
      <c r="AN96" s="1422"/>
      <c r="AO96" s="1422"/>
    </row>
    <row r="97" spans="1:42" s="1465" customFormat="1" ht="13.5" customHeight="1">
      <c r="A97" s="1459"/>
      <c r="B97" s="1443" t="s">
        <v>2246</v>
      </c>
      <c r="C97" s="1525" t="s">
        <v>2247</v>
      </c>
      <c r="D97" s="1445" t="s">
        <v>1006</v>
      </c>
      <c r="E97" s="1525" t="s">
        <v>2248</v>
      </c>
      <c r="F97" s="1447">
        <v>43278</v>
      </c>
      <c r="G97" s="1470">
        <v>8</v>
      </c>
      <c r="H97" s="1471">
        <v>10</v>
      </c>
      <c r="I97" s="1471">
        <v>12</v>
      </c>
      <c r="J97" s="1470">
        <v>5.36</v>
      </c>
      <c r="K97" s="2054">
        <f t="shared" si="54"/>
        <v>10028.32</v>
      </c>
      <c r="L97" s="983">
        <v>1400</v>
      </c>
      <c r="M97" s="983">
        <v>11428.32</v>
      </c>
      <c r="N97" s="2054">
        <f t="shared" ref="N97:N140" si="63">+G97*K97</f>
        <v>80226.559999999998</v>
      </c>
      <c r="O97" s="2053">
        <f t="shared" ref="O97" si="64">+G97*L97</f>
        <v>11200</v>
      </c>
      <c r="P97" s="2054">
        <f t="shared" ref="P97" si="65">+N97+O97</f>
        <v>91426.559999999998</v>
      </c>
      <c r="Q97" s="1449"/>
      <c r="R97" s="1426">
        <v>1</v>
      </c>
      <c r="S97" s="762">
        <f t="shared" ref="S97" si="66">J97</f>
        <v>5.36</v>
      </c>
      <c r="T97" s="1450">
        <f t="shared" ref="T97" si="67">S97*M97</f>
        <v>61255.7952</v>
      </c>
      <c r="U97" s="1451">
        <f t="shared" ref="U97" si="68">T97/P97-1</f>
        <v>-0.32999999999999996</v>
      </c>
      <c r="V97" s="1526" t="s">
        <v>2249</v>
      </c>
      <c r="W97" s="1458" t="s">
        <v>2250</v>
      </c>
      <c r="X97" s="1454">
        <f t="shared" si="61"/>
        <v>91426.559999999998</v>
      </c>
      <c r="Y97" s="1454"/>
      <c r="Z97" s="1454"/>
      <c r="AA97" s="985"/>
      <c r="AB97" s="986"/>
      <c r="AC97" s="978"/>
      <c r="AD97" s="1456"/>
      <c r="AE97" s="1456"/>
      <c r="AF97" s="1457">
        <f t="shared" si="62"/>
        <v>0</v>
      </c>
      <c r="AK97" s="1466"/>
      <c r="AL97" s="1462"/>
      <c r="AM97" s="1461"/>
    </row>
    <row r="98" spans="1:42" s="1465" customFormat="1" ht="13.5" customHeight="1">
      <c r="A98" s="1459"/>
      <c r="B98" s="1443" t="s">
        <v>2251</v>
      </c>
      <c r="C98" s="1446" t="s">
        <v>2253</v>
      </c>
      <c r="D98" s="1445" t="s">
        <v>412</v>
      </c>
      <c r="E98" s="1446" t="s">
        <v>2254</v>
      </c>
      <c r="F98" s="1447">
        <v>43278</v>
      </c>
      <c r="G98" s="1470">
        <v>16</v>
      </c>
      <c r="H98" s="1471">
        <v>14</v>
      </c>
      <c r="I98" s="1471">
        <v>16</v>
      </c>
      <c r="J98" s="1470">
        <v>16.57</v>
      </c>
      <c r="K98" s="2054">
        <f>+M98-L98</f>
        <v>22925.102999999999</v>
      </c>
      <c r="L98" s="983">
        <v>7035</v>
      </c>
      <c r="M98" s="983">
        <v>29960.102999999999</v>
      </c>
      <c r="N98" s="2054">
        <f t="shared" ref="N98" si="69">+G98*K98</f>
        <v>366801.64799999999</v>
      </c>
      <c r="O98" s="2054">
        <f t="shared" ref="O98" si="70">+G98*L98</f>
        <v>112560</v>
      </c>
      <c r="P98" s="2054">
        <f t="shared" ref="P98" si="71">+N98+O98</f>
        <v>479361.64799999999</v>
      </c>
      <c r="Q98" s="1449"/>
      <c r="R98" s="1449">
        <v>1</v>
      </c>
      <c r="S98" s="762">
        <f t="shared" ref="S98" si="72">J98</f>
        <v>16.57</v>
      </c>
      <c r="T98" s="1503">
        <f t="shared" ref="T98" si="73">S98*M98</f>
        <v>496438.90671000001</v>
      </c>
      <c r="U98" s="1504">
        <f t="shared" ref="U98" si="74">T98/P98-1</f>
        <v>3.5625000000000018E-2</v>
      </c>
      <c r="V98" s="1506" t="s">
        <v>2255</v>
      </c>
      <c r="W98" s="1453" t="s">
        <v>2256</v>
      </c>
      <c r="X98" s="1507">
        <f t="shared" ref="X98" si="75">+N98+O98</f>
        <v>479361.64799999999</v>
      </c>
      <c r="Y98" s="1454"/>
      <c r="Z98" s="1454"/>
      <c r="AA98" s="985"/>
      <c r="AB98" s="986"/>
      <c r="AC98" s="978"/>
      <c r="AD98" s="1456"/>
      <c r="AE98" s="1456"/>
      <c r="AF98" s="1457">
        <f>+P98-X98</f>
        <v>0</v>
      </c>
      <c r="AG98" s="1422"/>
      <c r="AH98" s="1422"/>
      <c r="AI98" s="1422"/>
      <c r="AJ98" s="1463"/>
      <c r="AK98" s="1462"/>
      <c r="AL98" s="1461"/>
      <c r="AM98" s="1422"/>
      <c r="AN98" s="1422"/>
      <c r="AO98" s="1422"/>
    </row>
    <row r="99" spans="1:42" s="1465" customFormat="1" ht="13.5" customHeight="1">
      <c r="A99" s="1459"/>
      <c r="B99" s="1443" t="s">
        <v>2148</v>
      </c>
      <c r="C99" s="1496" t="s">
        <v>2149</v>
      </c>
      <c r="D99" s="1445" t="s">
        <v>412</v>
      </c>
      <c r="E99" s="1486" t="s">
        <v>2150</v>
      </c>
      <c r="F99" s="1447">
        <v>43271</v>
      </c>
      <c r="G99" s="1470">
        <v>19</v>
      </c>
      <c r="H99" s="1471">
        <v>16</v>
      </c>
      <c r="I99" s="1471">
        <v>18</v>
      </c>
      <c r="J99" s="1470">
        <v>37.549999999999997</v>
      </c>
      <c r="K99" s="2054">
        <f t="shared" si="54"/>
        <v>17901.687000000002</v>
      </c>
      <c r="L99" s="983">
        <f>5247958/1000</f>
        <v>5247.9579999999996</v>
      </c>
      <c r="M99" s="983">
        <f>23149645/1000</f>
        <v>23149.645</v>
      </c>
      <c r="N99" s="2054">
        <f t="shared" si="63"/>
        <v>340132.05300000001</v>
      </c>
      <c r="O99" s="2053">
        <f t="shared" ref="O99:O140" si="76">+G99*L99</f>
        <v>99711.20199999999</v>
      </c>
      <c r="P99" s="2054">
        <f t="shared" ref="P99:P140" si="77">+N99+O99</f>
        <v>439843.255</v>
      </c>
      <c r="Q99" s="1449"/>
      <c r="R99" s="1426">
        <v>1</v>
      </c>
      <c r="S99" s="762">
        <f t="shared" ref="S99:S103" si="78">J99</f>
        <v>37.549999999999997</v>
      </c>
      <c r="T99" s="1450">
        <f t="shared" ref="T99:T103" si="79">S99*M99</f>
        <v>869269.16975</v>
      </c>
      <c r="U99" s="1451">
        <f t="shared" ref="U99:U103" si="80">T99/P99-1</f>
        <v>0.97631578947368425</v>
      </c>
      <c r="V99" s="1464" t="s">
        <v>2151</v>
      </c>
      <c r="W99" s="1453" t="s">
        <v>2152</v>
      </c>
      <c r="X99" s="1454">
        <f t="shared" si="61"/>
        <v>439843.255</v>
      </c>
      <c r="Y99" s="1454"/>
      <c r="Z99" s="1454"/>
      <c r="AA99" s="985"/>
      <c r="AB99" s="986"/>
      <c r="AC99" s="978"/>
      <c r="AD99" s="1456"/>
      <c r="AE99" s="1456"/>
      <c r="AF99" s="1457">
        <f t="shared" si="62"/>
        <v>0</v>
      </c>
      <c r="AK99" s="1466"/>
      <c r="AL99" s="1462"/>
      <c r="AM99" s="1461"/>
    </row>
    <row r="100" spans="1:42" s="1465" customFormat="1" ht="13.5" customHeight="1">
      <c r="A100" s="1459"/>
      <c r="B100" s="1443" t="s">
        <v>2153</v>
      </c>
      <c r="C100" s="1496" t="s">
        <v>2154</v>
      </c>
      <c r="D100" s="1445" t="s">
        <v>412</v>
      </c>
      <c r="E100" s="1486" t="s">
        <v>2155</v>
      </c>
      <c r="F100" s="1447">
        <v>43271</v>
      </c>
      <c r="G100" s="1470">
        <v>15</v>
      </c>
      <c r="H100" s="1471">
        <v>14</v>
      </c>
      <c r="I100" s="1471">
        <v>16</v>
      </c>
      <c r="J100" s="1470">
        <v>15</v>
      </c>
      <c r="K100" s="2054">
        <f t="shared" si="54"/>
        <v>27703.599999999999</v>
      </c>
      <c r="L100" s="983">
        <f>6666667/1000</f>
        <v>6666.6670000000004</v>
      </c>
      <c r="M100" s="983">
        <f>34370267/1000</f>
        <v>34370.267</v>
      </c>
      <c r="N100" s="2054">
        <f t="shared" si="63"/>
        <v>415554</v>
      </c>
      <c r="O100" s="2053">
        <f t="shared" si="76"/>
        <v>100000.005</v>
      </c>
      <c r="P100" s="2054">
        <f t="shared" si="77"/>
        <v>515554.005</v>
      </c>
      <c r="Q100" s="1449"/>
      <c r="R100" s="1426">
        <v>1</v>
      </c>
      <c r="S100" s="762">
        <f t="shared" si="78"/>
        <v>15</v>
      </c>
      <c r="T100" s="1450">
        <f t="shared" si="79"/>
        <v>515554.005</v>
      </c>
      <c r="U100" s="1451">
        <f t="shared" si="80"/>
        <v>0</v>
      </c>
      <c r="V100" s="1464" t="s">
        <v>2156</v>
      </c>
      <c r="W100" s="1453" t="s">
        <v>2157</v>
      </c>
      <c r="X100" s="1454">
        <f t="shared" si="61"/>
        <v>515554.005</v>
      </c>
      <c r="Y100" s="1454"/>
      <c r="Z100" s="1454"/>
      <c r="AA100" s="985"/>
      <c r="AB100" s="986"/>
      <c r="AC100" s="978"/>
      <c r="AD100" s="1456"/>
      <c r="AE100" s="1456"/>
      <c r="AF100" s="1457">
        <f t="shared" si="62"/>
        <v>0</v>
      </c>
      <c r="AK100" s="1466"/>
      <c r="AL100" s="1462"/>
      <c r="AM100" s="1461"/>
    </row>
    <row r="101" spans="1:42" s="1465" customFormat="1" ht="13.5" customHeight="1">
      <c r="A101" s="1459"/>
      <c r="B101" s="1443" t="s">
        <v>2158</v>
      </c>
      <c r="C101" s="1496" t="s">
        <v>2159</v>
      </c>
      <c r="D101" s="1445" t="s">
        <v>412</v>
      </c>
      <c r="E101" s="1486" t="s">
        <v>2160</v>
      </c>
      <c r="F101" s="1447">
        <v>43271</v>
      </c>
      <c r="G101" s="1470">
        <v>16</v>
      </c>
      <c r="H101" s="1471">
        <v>14</v>
      </c>
      <c r="I101" s="1471">
        <v>16</v>
      </c>
      <c r="J101" s="1470">
        <v>20.21</v>
      </c>
      <c r="K101" s="2054">
        <f t="shared" si="54"/>
        <v>26136.225999999999</v>
      </c>
      <c r="L101" s="983">
        <f>6399999/1000</f>
        <v>6399.9989999999998</v>
      </c>
      <c r="M101" s="983">
        <f>32536225/1000</f>
        <v>32536.224999999999</v>
      </c>
      <c r="N101" s="2054">
        <f t="shared" si="63"/>
        <v>418179.61599999998</v>
      </c>
      <c r="O101" s="2053">
        <f t="shared" si="76"/>
        <v>102399.984</v>
      </c>
      <c r="P101" s="2054">
        <f t="shared" si="77"/>
        <v>520579.6</v>
      </c>
      <c r="Q101" s="1449"/>
      <c r="R101" s="1426">
        <v>1</v>
      </c>
      <c r="S101" s="762">
        <f t="shared" si="78"/>
        <v>20.21</v>
      </c>
      <c r="T101" s="1450">
        <f t="shared" si="79"/>
        <v>657557.10725</v>
      </c>
      <c r="U101" s="1451">
        <f t="shared" si="80"/>
        <v>0.26312500000000005</v>
      </c>
      <c r="V101" s="1464" t="s">
        <v>2161</v>
      </c>
      <c r="W101" s="1453" t="s">
        <v>2162</v>
      </c>
      <c r="X101" s="1454">
        <f t="shared" si="61"/>
        <v>520579.6</v>
      </c>
      <c r="Y101" s="1454"/>
      <c r="Z101" s="1454"/>
      <c r="AA101" s="985"/>
      <c r="AB101" s="986"/>
      <c r="AC101" s="978"/>
      <c r="AD101" s="1456"/>
      <c r="AE101" s="1456"/>
      <c r="AF101" s="1457">
        <f t="shared" si="62"/>
        <v>0</v>
      </c>
      <c r="AK101" s="1466"/>
      <c r="AL101" s="1462"/>
      <c r="AM101" s="1461"/>
    </row>
    <row r="102" spans="1:42" s="1465" customFormat="1" ht="13.5" customHeight="1">
      <c r="A102" s="1459"/>
      <c r="B102" s="1443" t="s">
        <v>2163</v>
      </c>
      <c r="C102" s="1496" t="s">
        <v>2164</v>
      </c>
      <c r="D102" s="1445" t="s">
        <v>412</v>
      </c>
      <c r="E102" s="1486" t="s">
        <v>2165</v>
      </c>
      <c r="F102" s="1447">
        <v>43270</v>
      </c>
      <c r="G102" s="1470">
        <v>17</v>
      </c>
      <c r="H102" s="1471">
        <v>15</v>
      </c>
      <c r="I102" s="1471">
        <v>17</v>
      </c>
      <c r="J102" s="1470">
        <v>21.28</v>
      </c>
      <c r="K102" s="2054">
        <f t="shared" si="54"/>
        <v>29564.527000000002</v>
      </c>
      <c r="L102" s="983">
        <f>6250000/1000</f>
        <v>6250</v>
      </c>
      <c r="M102" s="983">
        <f>35814527/1000</f>
        <v>35814.527000000002</v>
      </c>
      <c r="N102" s="2054">
        <f t="shared" si="63"/>
        <v>502596.95900000003</v>
      </c>
      <c r="O102" s="2053">
        <f t="shared" si="76"/>
        <v>106250</v>
      </c>
      <c r="P102" s="2054">
        <f t="shared" si="77"/>
        <v>608846.95900000003</v>
      </c>
      <c r="Q102" s="1449"/>
      <c r="R102" s="1426">
        <v>1</v>
      </c>
      <c r="S102" s="762">
        <f t="shared" si="78"/>
        <v>21.28</v>
      </c>
      <c r="T102" s="1450">
        <f t="shared" si="79"/>
        <v>762133.13456000003</v>
      </c>
      <c r="U102" s="1451">
        <f t="shared" si="80"/>
        <v>0.25176470588235289</v>
      </c>
      <c r="V102" s="1464" t="s">
        <v>2166</v>
      </c>
      <c r="W102" s="1453" t="s">
        <v>2167</v>
      </c>
      <c r="X102" s="1454">
        <f t="shared" si="61"/>
        <v>608846.95900000003</v>
      </c>
      <c r="Y102" s="1454"/>
      <c r="Z102" s="1454"/>
      <c r="AA102" s="985"/>
      <c r="AB102" s="986"/>
      <c r="AC102" s="978"/>
      <c r="AD102" s="1456"/>
      <c r="AE102" s="1456"/>
      <c r="AF102" s="1457">
        <f t="shared" si="62"/>
        <v>0</v>
      </c>
      <c r="AK102" s="1466"/>
      <c r="AL102" s="1462"/>
      <c r="AM102" s="1461"/>
    </row>
    <row r="103" spans="1:42" s="1465" customFormat="1" ht="13.5" customHeight="1">
      <c r="A103" s="1459"/>
      <c r="B103" s="1443" t="s">
        <v>2168</v>
      </c>
      <c r="C103" s="1497" t="s">
        <v>2169</v>
      </c>
      <c r="D103" s="1445" t="s">
        <v>412</v>
      </c>
      <c r="E103" s="1497" t="s">
        <v>2170</v>
      </c>
      <c r="F103" s="1447">
        <v>43243</v>
      </c>
      <c r="G103" s="1470">
        <v>18</v>
      </c>
      <c r="H103" s="1498">
        <v>17</v>
      </c>
      <c r="I103" s="1499">
        <v>19</v>
      </c>
      <c r="J103" s="1470">
        <v>19.22</v>
      </c>
      <c r="K103" s="2054">
        <f t="shared" si="54"/>
        <v>6270.5689999999995</v>
      </c>
      <c r="L103" s="983">
        <f>8477777/1000</f>
        <v>8477.777</v>
      </c>
      <c r="M103" s="983">
        <f>14748346/1000</f>
        <v>14748.346</v>
      </c>
      <c r="N103" s="2054">
        <f t="shared" si="63"/>
        <v>112870.242</v>
      </c>
      <c r="O103" s="2053">
        <f t="shared" si="76"/>
        <v>152599.986</v>
      </c>
      <c r="P103" s="2054">
        <f t="shared" si="77"/>
        <v>265470.228</v>
      </c>
      <c r="Q103" s="1449"/>
      <c r="R103" s="1426">
        <v>1</v>
      </c>
      <c r="S103" s="762">
        <f t="shared" si="78"/>
        <v>19.22</v>
      </c>
      <c r="T103" s="1450">
        <f t="shared" si="79"/>
        <v>283463.21012</v>
      </c>
      <c r="U103" s="1451">
        <f t="shared" si="80"/>
        <v>6.7777777777777715E-2</v>
      </c>
      <c r="V103" s="1464" t="s">
        <v>2171</v>
      </c>
      <c r="W103" s="1453" t="s">
        <v>2172</v>
      </c>
      <c r="X103" s="1454">
        <f t="shared" si="61"/>
        <v>265470.228</v>
      </c>
      <c r="Y103" s="1454"/>
      <c r="Z103" s="1454"/>
      <c r="AA103" s="985"/>
      <c r="AB103" s="986"/>
      <c r="AC103" s="978"/>
      <c r="AD103" s="1456"/>
      <c r="AE103" s="1456"/>
      <c r="AF103" s="1457">
        <f t="shared" si="62"/>
        <v>0</v>
      </c>
      <c r="AK103" s="1466"/>
      <c r="AL103" s="1462"/>
      <c r="AM103" s="1461"/>
    </row>
    <row r="104" spans="1:42" s="1465" customFormat="1" ht="13.5" customHeight="1">
      <c r="A104" s="1459"/>
      <c r="B104" s="1443" t="s">
        <v>2173</v>
      </c>
      <c r="C104" s="1446" t="s">
        <v>2174</v>
      </c>
      <c r="D104" s="1445" t="s">
        <v>412</v>
      </c>
      <c r="E104" s="1446" t="s">
        <v>2175</v>
      </c>
      <c r="F104" s="1447">
        <v>43187</v>
      </c>
      <c r="G104" s="1471">
        <v>5</v>
      </c>
      <c r="H104" s="1471">
        <v>4</v>
      </c>
      <c r="I104" s="1471">
        <v>6</v>
      </c>
      <c r="J104" s="1471">
        <v>15.21</v>
      </c>
      <c r="K104" s="2054">
        <f t="shared" si="54"/>
        <v>11755.004000000001</v>
      </c>
      <c r="L104" s="983">
        <v>1280</v>
      </c>
      <c r="M104" s="983">
        <v>13035.004000000001</v>
      </c>
      <c r="N104" s="2054">
        <f t="shared" si="63"/>
        <v>58775.020000000004</v>
      </c>
      <c r="O104" s="2053">
        <f t="shared" si="76"/>
        <v>6400</v>
      </c>
      <c r="P104" s="2054">
        <f t="shared" si="77"/>
        <v>65175.020000000004</v>
      </c>
      <c r="Q104" s="1449"/>
      <c r="R104" s="1426">
        <v>1</v>
      </c>
      <c r="S104" s="762">
        <f>J104</f>
        <v>15.21</v>
      </c>
      <c r="T104" s="1450">
        <f>S104*M104</f>
        <v>198262.41084000003</v>
      </c>
      <c r="U104" s="1451">
        <f>T104/P104-1</f>
        <v>2.0420000000000003</v>
      </c>
      <c r="V104" s="1452" t="s">
        <v>2176</v>
      </c>
      <c r="W104" s="1453" t="s">
        <v>2177</v>
      </c>
      <c r="X104" s="1454">
        <f>+N104+O104</f>
        <v>65175.020000000004</v>
      </c>
      <c r="Y104" s="1454"/>
      <c r="Z104" s="1454"/>
      <c r="AA104" s="985"/>
      <c r="AB104" s="986"/>
      <c r="AC104" s="978"/>
      <c r="AD104" s="1456"/>
      <c r="AE104" s="1456"/>
      <c r="AF104" s="1457">
        <f t="shared" si="62"/>
        <v>0</v>
      </c>
      <c r="AG104" s="1422"/>
      <c r="AH104" s="1422"/>
      <c r="AI104" s="1422"/>
      <c r="AJ104" s="1463"/>
      <c r="AK104" s="1462"/>
      <c r="AL104" s="1461"/>
      <c r="AM104" s="1422"/>
      <c r="AN104" s="1422"/>
      <c r="AO104" s="1422"/>
    </row>
    <row r="105" spans="1:42" s="1465" customFormat="1" ht="13.5" customHeight="1">
      <c r="A105" s="1459"/>
      <c r="B105" s="1443" t="s">
        <v>2178</v>
      </c>
      <c r="C105" s="1446" t="s">
        <v>2179</v>
      </c>
      <c r="D105" s="1445" t="s">
        <v>412</v>
      </c>
      <c r="E105" s="1446" t="s">
        <v>2180</v>
      </c>
      <c r="F105" s="1447">
        <v>43131</v>
      </c>
      <c r="G105" s="1471">
        <v>12</v>
      </c>
      <c r="H105" s="1471">
        <v>11</v>
      </c>
      <c r="I105" s="1471">
        <v>13</v>
      </c>
      <c r="J105" s="1471">
        <v>10.96</v>
      </c>
      <c r="K105" s="2054">
        <f t="shared" si="54"/>
        <v>11735.069</v>
      </c>
      <c r="L105" s="983">
        <v>6250</v>
      </c>
      <c r="M105" s="983">
        <v>17985.069</v>
      </c>
      <c r="N105" s="2054">
        <f t="shared" si="63"/>
        <v>140820.82799999998</v>
      </c>
      <c r="O105" s="2053">
        <f t="shared" si="76"/>
        <v>75000</v>
      </c>
      <c r="P105" s="2054">
        <f t="shared" si="77"/>
        <v>215820.82799999998</v>
      </c>
      <c r="Q105" s="1449"/>
      <c r="R105" s="1426">
        <v>1</v>
      </c>
      <c r="S105" s="762">
        <f>J105</f>
        <v>10.96</v>
      </c>
      <c r="T105" s="1450">
        <f>S105*M105</f>
        <v>197116.35624000002</v>
      </c>
      <c r="U105" s="1451">
        <f>T105/P105-1</f>
        <v>-8.6666666666666448E-2</v>
      </c>
      <c r="V105" s="1452" t="s">
        <v>2181</v>
      </c>
      <c r="W105" s="1453" t="s">
        <v>2182</v>
      </c>
      <c r="X105" s="1454">
        <f>+N105+O105</f>
        <v>215820.82799999998</v>
      </c>
      <c r="Y105" s="1454"/>
      <c r="Z105" s="1454"/>
      <c r="AA105" s="985"/>
      <c r="AB105" s="986"/>
      <c r="AC105" s="978"/>
      <c r="AD105" s="1456"/>
      <c r="AE105" s="1456"/>
      <c r="AF105" s="1457">
        <f t="shared" si="62"/>
        <v>0</v>
      </c>
      <c r="AG105" s="1422"/>
      <c r="AH105" s="1422"/>
      <c r="AI105" s="1422"/>
      <c r="AJ105" s="1463"/>
      <c r="AK105" s="1462"/>
      <c r="AL105" s="1461"/>
      <c r="AM105" s="1422"/>
      <c r="AN105" s="1422"/>
      <c r="AO105" s="1422"/>
    </row>
    <row r="106" spans="1:42" s="1465" customFormat="1" ht="13.5" customHeight="1">
      <c r="A106" s="1459"/>
      <c r="B106" s="1443" t="s">
        <v>2183</v>
      </c>
      <c r="C106" s="1446" t="s">
        <v>2184</v>
      </c>
      <c r="D106" s="1445" t="s">
        <v>919</v>
      </c>
      <c r="E106" s="1446" t="s">
        <v>2185</v>
      </c>
      <c r="F106" s="1447">
        <v>43125</v>
      </c>
      <c r="G106" s="1471">
        <v>15</v>
      </c>
      <c r="H106" s="1471">
        <v>14</v>
      </c>
      <c r="I106" s="1471">
        <v>16</v>
      </c>
      <c r="J106" s="1471">
        <v>20.85</v>
      </c>
      <c r="K106" s="2054">
        <f t="shared" si="54"/>
        <v>21529.647999999997</v>
      </c>
      <c r="L106" s="983">
        <v>5666.6670000000004</v>
      </c>
      <c r="M106" s="983">
        <v>27196.314999999999</v>
      </c>
      <c r="N106" s="2054">
        <f t="shared" si="63"/>
        <v>322944.71999999997</v>
      </c>
      <c r="O106" s="2053">
        <f t="shared" si="76"/>
        <v>85000.005000000005</v>
      </c>
      <c r="P106" s="2054">
        <f t="shared" si="77"/>
        <v>407944.72499999998</v>
      </c>
      <c r="Q106" s="1449"/>
      <c r="R106" s="1426">
        <v>1</v>
      </c>
      <c r="S106" s="762">
        <f>J106</f>
        <v>20.85</v>
      </c>
      <c r="T106" s="1450">
        <f>S106*M106</f>
        <v>567043.16775000002</v>
      </c>
      <c r="U106" s="1451">
        <f>T106/P106-1</f>
        <v>0.39000000000000012</v>
      </c>
      <c r="V106" s="1452" t="s">
        <v>2186</v>
      </c>
      <c r="W106" s="1453" t="s">
        <v>2187</v>
      </c>
      <c r="X106" s="1454">
        <f>+N106+O106</f>
        <v>407944.72499999998</v>
      </c>
      <c r="Y106" s="1454"/>
      <c r="Z106" s="1454"/>
      <c r="AA106" s="985"/>
      <c r="AB106" s="986"/>
      <c r="AC106" s="978"/>
      <c r="AD106" s="1456"/>
      <c r="AE106" s="1456"/>
      <c r="AF106" s="1457">
        <f t="shared" si="62"/>
        <v>0</v>
      </c>
      <c r="AG106" s="1422"/>
      <c r="AH106" s="1422"/>
      <c r="AI106" s="1422"/>
      <c r="AJ106" s="1463"/>
      <c r="AK106" s="1462"/>
      <c r="AL106" s="1461"/>
      <c r="AM106" s="1422"/>
      <c r="AN106" s="1422"/>
      <c r="AO106" s="1422"/>
    </row>
    <row r="107" spans="1:42" s="1465" customFormat="1" ht="13.5" customHeight="1">
      <c r="A107" s="1459"/>
      <c r="B107" s="1443" t="s">
        <v>2188</v>
      </c>
      <c r="C107" s="1446" t="s">
        <v>2189</v>
      </c>
      <c r="D107" s="1445" t="s">
        <v>412</v>
      </c>
      <c r="E107" s="1446" t="s">
        <v>2190</v>
      </c>
      <c r="F107" s="1447">
        <v>43124</v>
      </c>
      <c r="G107" s="1471">
        <v>17</v>
      </c>
      <c r="H107" s="1471">
        <v>14</v>
      </c>
      <c r="I107" s="1471">
        <v>16</v>
      </c>
      <c r="J107" s="1471">
        <v>34.729999999999997</v>
      </c>
      <c r="K107" s="2054">
        <f t="shared" si="54"/>
        <v>14927.998</v>
      </c>
      <c r="L107" s="983">
        <v>7000</v>
      </c>
      <c r="M107" s="983">
        <v>21927.998</v>
      </c>
      <c r="N107" s="2054">
        <f t="shared" si="63"/>
        <v>253775.96599999999</v>
      </c>
      <c r="O107" s="2053">
        <f t="shared" si="76"/>
        <v>119000</v>
      </c>
      <c r="P107" s="2054">
        <f t="shared" si="77"/>
        <v>372775.96600000001</v>
      </c>
      <c r="Q107" s="1449"/>
      <c r="R107" s="1426">
        <v>1</v>
      </c>
      <c r="S107" s="762">
        <f>J107</f>
        <v>34.729999999999997</v>
      </c>
      <c r="T107" s="1450">
        <f>S107*M107</f>
        <v>761559.37053999992</v>
      </c>
      <c r="U107" s="1451">
        <f>T107/P107-1</f>
        <v>1.0429411764705878</v>
      </c>
      <c r="V107" s="1452" t="s">
        <v>2191</v>
      </c>
      <c r="W107" s="1453" t="s">
        <v>2192</v>
      </c>
      <c r="X107" s="1454">
        <f>+N107+O107</f>
        <v>372775.96600000001</v>
      </c>
      <c r="Y107" s="1454"/>
      <c r="Z107" s="1454"/>
      <c r="AA107" s="985"/>
      <c r="AB107" s="986"/>
      <c r="AC107" s="978"/>
      <c r="AD107" s="1456"/>
      <c r="AE107" s="1456"/>
      <c r="AF107" s="1457">
        <f t="shared" si="62"/>
        <v>0</v>
      </c>
      <c r="AG107" s="1422"/>
      <c r="AH107" s="1422"/>
      <c r="AI107" s="1422"/>
      <c r="AJ107" s="1463"/>
      <c r="AK107" s="1462"/>
      <c r="AL107" s="1461"/>
      <c r="AM107" s="1422"/>
      <c r="AN107" s="1422"/>
      <c r="AO107" s="1422"/>
    </row>
    <row r="108" spans="1:42" s="1465" customFormat="1" ht="13.5" customHeight="1">
      <c r="A108" s="1459"/>
      <c r="B108" s="1443" t="s">
        <v>2193</v>
      </c>
      <c r="C108" s="1446" t="s">
        <v>2194</v>
      </c>
      <c r="D108" s="1445" t="s">
        <v>412</v>
      </c>
      <c r="E108" s="1446" t="s">
        <v>2195</v>
      </c>
      <c r="F108" s="1447">
        <v>43124</v>
      </c>
      <c r="G108" s="1471">
        <v>10</v>
      </c>
      <c r="H108" s="1471">
        <v>10</v>
      </c>
      <c r="I108" s="1471">
        <v>12</v>
      </c>
      <c r="J108" s="1471">
        <v>9.5500000000000007</v>
      </c>
      <c r="K108" s="2054">
        <f t="shared" si="54"/>
        <v>7206.7710000000006</v>
      </c>
      <c r="L108" s="983">
        <v>2730</v>
      </c>
      <c r="M108" s="983">
        <v>9936.7710000000006</v>
      </c>
      <c r="N108" s="2054">
        <f t="shared" si="63"/>
        <v>72067.710000000006</v>
      </c>
      <c r="O108" s="2053">
        <f t="shared" si="76"/>
        <v>27300</v>
      </c>
      <c r="P108" s="2054">
        <f t="shared" si="77"/>
        <v>99367.71</v>
      </c>
      <c r="Q108" s="1449"/>
      <c r="R108" s="1426">
        <v>1</v>
      </c>
      <c r="S108" s="762">
        <f>J108</f>
        <v>9.5500000000000007</v>
      </c>
      <c r="T108" s="1450">
        <f>S108*M108</f>
        <v>94896.163050000017</v>
      </c>
      <c r="U108" s="1451">
        <f>T108/P108-1</f>
        <v>-4.4999999999999929E-2</v>
      </c>
      <c r="V108" s="1452" t="s">
        <v>2196</v>
      </c>
      <c r="W108" s="1453" t="s">
        <v>2197</v>
      </c>
      <c r="X108" s="1454">
        <f>+N108+O108</f>
        <v>99367.71</v>
      </c>
      <c r="Y108" s="1454"/>
      <c r="Z108" s="1454"/>
      <c r="AA108" s="985"/>
      <c r="AB108" s="986"/>
      <c r="AC108" s="978"/>
      <c r="AD108" s="1456"/>
      <c r="AE108" s="1456"/>
      <c r="AF108" s="1457">
        <f t="shared" si="62"/>
        <v>0</v>
      </c>
      <c r="AG108" s="1422"/>
      <c r="AH108" s="1422"/>
      <c r="AI108" s="1422"/>
      <c r="AJ108" s="1463"/>
      <c r="AK108" s="1462"/>
      <c r="AL108" s="1461"/>
      <c r="AM108" s="1422"/>
      <c r="AN108" s="1422"/>
      <c r="AO108" s="1422"/>
    </row>
    <row r="109" spans="1:42" s="1465" customFormat="1" ht="13.5" customHeight="1">
      <c r="A109" s="1459"/>
      <c r="B109" s="1443" t="s">
        <v>1376</v>
      </c>
      <c r="C109" s="1446" t="s">
        <v>1377</v>
      </c>
      <c r="D109" s="1445" t="s">
        <v>412</v>
      </c>
      <c r="E109" s="1446" t="s">
        <v>1378</v>
      </c>
      <c r="F109" s="1447">
        <v>43075</v>
      </c>
      <c r="G109" s="1471">
        <v>24</v>
      </c>
      <c r="H109" s="1471">
        <v>24</v>
      </c>
      <c r="I109" s="1471">
        <v>27</v>
      </c>
      <c r="J109" s="1471">
        <v>22.72</v>
      </c>
      <c r="K109" s="2054">
        <f t="shared" si="54"/>
        <v>20640.356</v>
      </c>
      <c r="L109" s="983">
        <v>6250</v>
      </c>
      <c r="M109" s="983">
        <v>26890.356</v>
      </c>
      <c r="N109" s="2054">
        <f t="shared" si="63"/>
        <v>495368.54399999999</v>
      </c>
      <c r="O109" s="2053">
        <f t="shared" si="76"/>
        <v>150000</v>
      </c>
      <c r="P109" s="2054">
        <f t="shared" si="77"/>
        <v>645368.54399999999</v>
      </c>
      <c r="Q109" s="1449"/>
      <c r="R109" s="1426">
        <v>1</v>
      </c>
      <c r="S109" s="762">
        <f t="shared" ref="S109:S140" si="81">J109</f>
        <v>22.72</v>
      </c>
      <c r="T109" s="1450">
        <f t="shared" ref="T109:T140" si="82">S109*M109</f>
        <v>610948.88831999991</v>
      </c>
      <c r="U109" s="1451">
        <f t="shared" ref="U109:U140" si="83">T109/P109-1</f>
        <v>-5.3333333333333455E-2</v>
      </c>
      <c r="V109" s="1452" t="s">
        <v>1379</v>
      </c>
      <c r="W109" s="1458" t="s">
        <v>1380</v>
      </c>
      <c r="X109" s="1454">
        <f t="shared" ref="X109:X140" si="84">+N109+O109</f>
        <v>645368.54399999999</v>
      </c>
      <c r="Y109" s="1481"/>
      <c r="Z109" s="1481"/>
      <c r="AA109" s="985"/>
      <c r="AB109" s="986"/>
      <c r="AC109" s="986"/>
      <c r="AD109" s="1483"/>
      <c r="AE109" s="1483"/>
      <c r="AF109" s="1457">
        <f t="shared" si="62"/>
        <v>0</v>
      </c>
      <c r="AG109" s="1437"/>
      <c r="AH109" s="1422"/>
      <c r="AI109" s="1422"/>
      <c r="AJ109" s="1422"/>
      <c r="AK109" s="1463"/>
      <c r="AL109" s="1462"/>
      <c r="AM109" s="1461"/>
      <c r="AN109" s="1422"/>
      <c r="AO109" s="1422"/>
      <c r="AP109" s="1422"/>
    </row>
    <row r="110" spans="1:42" s="1465" customFormat="1" ht="13.5" customHeight="1">
      <c r="A110" s="1459"/>
      <c r="B110" s="1443" t="s">
        <v>1320</v>
      </c>
      <c r="C110" s="1446" t="s">
        <v>1321</v>
      </c>
      <c r="D110" s="1445" t="s">
        <v>412</v>
      </c>
      <c r="E110" s="1446" t="s">
        <v>1322</v>
      </c>
      <c r="F110" s="1447">
        <v>43054</v>
      </c>
      <c r="G110" s="1471">
        <v>10</v>
      </c>
      <c r="H110" s="1471">
        <v>15</v>
      </c>
      <c r="I110" s="1471">
        <v>17</v>
      </c>
      <c r="J110" s="1471">
        <v>11.2</v>
      </c>
      <c r="K110" s="2054">
        <f t="shared" si="54"/>
        <v>9694.3829999999998</v>
      </c>
      <c r="L110" s="983">
        <v>4000</v>
      </c>
      <c r="M110" s="983">
        <v>13694.383</v>
      </c>
      <c r="N110" s="2054">
        <f t="shared" si="63"/>
        <v>96943.83</v>
      </c>
      <c r="O110" s="2053">
        <f t="shared" si="76"/>
        <v>40000</v>
      </c>
      <c r="P110" s="2054">
        <f t="shared" si="77"/>
        <v>136943.83000000002</v>
      </c>
      <c r="Q110" s="1449"/>
      <c r="R110" s="1426">
        <v>1</v>
      </c>
      <c r="S110" s="762">
        <f t="shared" si="81"/>
        <v>11.2</v>
      </c>
      <c r="T110" s="1450">
        <f t="shared" si="82"/>
        <v>153377.08959999998</v>
      </c>
      <c r="U110" s="1451">
        <f t="shared" si="83"/>
        <v>0.11999999999999966</v>
      </c>
      <c r="V110" s="1452" t="s">
        <v>1323</v>
      </c>
      <c r="W110" s="1458" t="s">
        <v>1324</v>
      </c>
      <c r="X110" s="1454">
        <f t="shared" si="84"/>
        <v>136943.83000000002</v>
      </c>
      <c r="Y110" s="1481"/>
      <c r="Z110" s="1481"/>
      <c r="AA110" s="985"/>
      <c r="AB110" s="986"/>
      <c r="AC110" s="986"/>
      <c r="AD110" s="1483"/>
      <c r="AE110" s="1483"/>
      <c r="AF110" s="1457">
        <f t="shared" si="62"/>
        <v>0</v>
      </c>
      <c r="AG110" s="1437"/>
      <c r="AH110" s="1422"/>
      <c r="AI110" s="1422"/>
      <c r="AJ110" s="1422"/>
      <c r="AK110" s="1463"/>
      <c r="AL110" s="1462"/>
      <c r="AM110" s="1461"/>
      <c r="AN110" s="1422"/>
      <c r="AO110" s="1422"/>
      <c r="AP110" s="1422"/>
    </row>
    <row r="111" spans="1:42" s="1465" customFormat="1" ht="13.5" customHeight="1">
      <c r="A111" s="1459"/>
      <c r="B111" s="1443" t="s">
        <v>1326</v>
      </c>
      <c r="C111" s="1446" t="s">
        <v>1327</v>
      </c>
      <c r="D111" s="1445" t="s">
        <v>412</v>
      </c>
      <c r="E111" s="1446" t="s">
        <v>1328</v>
      </c>
      <c r="F111" s="1447">
        <v>43047</v>
      </c>
      <c r="G111" s="1471">
        <v>15</v>
      </c>
      <c r="H111" s="1471">
        <v>14</v>
      </c>
      <c r="I111" s="1471">
        <v>16</v>
      </c>
      <c r="J111" s="1471">
        <v>19.190000000000001</v>
      </c>
      <c r="K111" s="2054">
        <f t="shared" si="54"/>
        <v>16743.972000000002</v>
      </c>
      <c r="L111" s="983">
        <v>6667</v>
      </c>
      <c r="M111" s="983">
        <v>23410.972000000002</v>
      </c>
      <c r="N111" s="2054">
        <f t="shared" si="63"/>
        <v>251159.58000000002</v>
      </c>
      <c r="O111" s="2053">
        <f t="shared" si="76"/>
        <v>100005</v>
      </c>
      <c r="P111" s="2054">
        <f t="shared" si="77"/>
        <v>351164.58</v>
      </c>
      <c r="Q111" s="1449"/>
      <c r="R111" s="1426">
        <v>1</v>
      </c>
      <c r="S111" s="762">
        <f t="shared" si="81"/>
        <v>19.190000000000001</v>
      </c>
      <c r="T111" s="1450">
        <f t="shared" si="82"/>
        <v>449256.55268000008</v>
      </c>
      <c r="U111" s="1451">
        <f t="shared" si="83"/>
        <v>0.27933333333333343</v>
      </c>
      <c r="V111" s="1452" t="s">
        <v>1329</v>
      </c>
      <c r="W111" s="1458" t="s">
        <v>1330</v>
      </c>
      <c r="X111" s="1454">
        <f t="shared" si="84"/>
        <v>351164.58</v>
      </c>
      <c r="Y111" s="1481"/>
      <c r="Z111" s="1481"/>
      <c r="AA111" s="985"/>
      <c r="AB111" s="986"/>
      <c r="AC111" s="986"/>
      <c r="AD111" s="1483"/>
      <c r="AE111" s="1483"/>
      <c r="AF111" s="1457">
        <f t="shared" si="62"/>
        <v>0</v>
      </c>
      <c r="AG111" s="1437"/>
      <c r="AH111" s="1422"/>
      <c r="AI111" s="1422"/>
      <c r="AJ111" s="1422"/>
      <c r="AK111" s="1463"/>
      <c r="AL111" s="1462"/>
      <c r="AM111" s="1461"/>
      <c r="AN111" s="1422"/>
      <c r="AO111" s="1422"/>
      <c r="AP111" s="1422"/>
    </row>
    <row r="112" spans="1:42" s="1465" customFormat="1" ht="13.5" customHeight="1">
      <c r="A112" s="1459"/>
      <c r="B112" s="1443" t="s">
        <v>1331</v>
      </c>
      <c r="C112" s="1446" t="s">
        <v>1332</v>
      </c>
      <c r="D112" s="1445" t="s">
        <v>412</v>
      </c>
      <c r="E112" s="1446" t="s">
        <v>1333</v>
      </c>
      <c r="F112" s="1447">
        <v>43047</v>
      </c>
      <c r="G112" s="1471">
        <v>14</v>
      </c>
      <c r="H112" s="1471">
        <v>13</v>
      </c>
      <c r="I112" s="1471">
        <v>15</v>
      </c>
      <c r="J112" s="1471">
        <v>14.38</v>
      </c>
      <c r="K112" s="2054">
        <f t="shared" si="54"/>
        <v>38542.936999999998</v>
      </c>
      <c r="L112" s="983">
        <v>10714</v>
      </c>
      <c r="M112" s="983">
        <v>49256.936999999998</v>
      </c>
      <c r="N112" s="2054">
        <f t="shared" si="63"/>
        <v>539601.11800000002</v>
      </c>
      <c r="O112" s="2053">
        <f t="shared" si="76"/>
        <v>149996</v>
      </c>
      <c r="P112" s="2054">
        <f t="shared" si="77"/>
        <v>689597.11800000002</v>
      </c>
      <c r="Q112" s="1449"/>
      <c r="R112" s="1426">
        <v>1</v>
      </c>
      <c r="S112" s="762">
        <f t="shared" si="81"/>
        <v>14.38</v>
      </c>
      <c r="T112" s="1450">
        <f t="shared" si="82"/>
        <v>708314.75406000006</v>
      </c>
      <c r="U112" s="1451">
        <f t="shared" si="83"/>
        <v>2.7142857142857135E-2</v>
      </c>
      <c r="V112" s="1452" t="s">
        <v>1334</v>
      </c>
      <c r="W112" s="1458" t="s">
        <v>1335</v>
      </c>
      <c r="X112" s="1454">
        <f t="shared" si="84"/>
        <v>689597.11800000002</v>
      </c>
      <c r="Y112" s="1481"/>
      <c r="Z112" s="1481"/>
      <c r="AA112" s="985"/>
      <c r="AB112" s="986"/>
      <c r="AC112" s="986"/>
      <c r="AD112" s="1483"/>
      <c r="AE112" s="1483"/>
      <c r="AF112" s="1457">
        <f t="shared" si="62"/>
        <v>0</v>
      </c>
      <c r="AG112" s="1437"/>
      <c r="AH112" s="1422"/>
      <c r="AI112" s="1422"/>
      <c r="AJ112" s="1422"/>
      <c r="AK112" s="1463"/>
      <c r="AL112" s="1462"/>
      <c r="AM112" s="1461"/>
      <c r="AN112" s="1422"/>
      <c r="AO112" s="1422"/>
      <c r="AP112" s="1422"/>
    </row>
    <row r="113" spans="1:73" s="1465" customFormat="1" ht="13.5" customHeight="1">
      <c r="A113" s="1459"/>
      <c r="B113" s="1443" t="s">
        <v>1396</v>
      </c>
      <c r="C113" s="1446" t="s">
        <v>1397</v>
      </c>
      <c r="D113" s="1445" t="s">
        <v>412</v>
      </c>
      <c r="E113" s="1446" t="s">
        <v>1398</v>
      </c>
      <c r="F113" s="1447">
        <v>43040</v>
      </c>
      <c r="G113" s="1471">
        <v>14</v>
      </c>
      <c r="H113" s="1471">
        <v>14</v>
      </c>
      <c r="I113" s="1471">
        <v>16</v>
      </c>
      <c r="J113" s="1471">
        <v>14</v>
      </c>
      <c r="K113" s="2054">
        <f t="shared" si="54"/>
        <v>15288.515000000003</v>
      </c>
      <c r="L113" s="983">
        <v>5333.3329999999996</v>
      </c>
      <c r="M113" s="983">
        <v>20621.848000000002</v>
      </c>
      <c r="N113" s="2054">
        <f t="shared" si="63"/>
        <v>214039.21000000005</v>
      </c>
      <c r="O113" s="2053">
        <f t="shared" si="76"/>
        <v>74666.661999999997</v>
      </c>
      <c r="P113" s="2054">
        <f t="shared" si="77"/>
        <v>288705.87200000003</v>
      </c>
      <c r="Q113" s="1449"/>
      <c r="R113" s="1426">
        <v>1</v>
      </c>
      <c r="S113" s="762">
        <f t="shared" si="81"/>
        <v>14</v>
      </c>
      <c r="T113" s="1450">
        <f t="shared" si="82"/>
        <v>288705.87200000003</v>
      </c>
      <c r="U113" s="1451">
        <f t="shared" si="83"/>
        <v>0</v>
      </c>
      <c r="V113" s="1452" t="s">
        <v>1399</v>
      </c>
      <c r="W113" s="1458" t="s">
        <v>1400</v>
      </c>
      <c r="X113" s="1454">
        <f t="shared" si="84"/>
        <v>288705.87200000003</v>
      </c>
      <c r="Y113" s="1481"/>
      <c r="Z113" s="1481"/>
      <c r="AA113" s="985"/>
      <c r="AB113" s="986"/>
      <c r="AC113" s="986"/>
      <c r="AD113" s="1483"/>
      <c r="AE113" s="1483"/>
      <c r="AF113" s="1457">
        <f t="shared" si="62"/>
        <v>0</v>
      </c>
      <c r="AG113" s="1437"/>
      <c r="AH113" s="1422"/>
      <c r="AI113" s="1422"/>
      <c r="AJ113" s="1422"/>
      <c r="AK113" s="1463"/>
      <c r="AL113" s="1462"/>
      <c r="AM113" s="1461"/>
      <c r="AN113" s="1422"/>
      <c r="AO113" s="1422"/>
      <c r="AP113" s="1422"/>
    </row>
    <row r="114" spans="1:73" s="1465" customFormat="1" ht="13.5" customHeight="1">
      <c r="A114" s="1459"/>
      <c r="B114" s="1443" t="s">
        <v>1349</v>
      </c>
      <c r="C114" s="1446" t="s">
        <v>1350</v>
      </c>
      <c r="D114" s="1445" t="s">
        <v>412</v>
      </c>
      <c r="E114" s="1446" t="s">
        <v>1351</v>
      </c>
      <c r="F114" s="1447">
        <v>43012</v>
      </c>
      <c r="G114" s="1471">
        <v>17</v>
      </c>
      <c r="H114" s="1471">
        <v>14</v>
      </c>
      <c r="I114" s="1471">
        <v>16</v>
      </c>
      <c r="J114" s="1471">
        <v>25.89</v>
      </c>
      <c r="K114" s="2054">
        <f t="shared" si="54"/>
        <v>20081.484</v>
      </c>
      <c r="L114" s="983">
        <v>7050</v>
      </c>
      <c r="M114" s="983">
        <v>27131.484</v>
      </c>
      <c r="N114" s="2054">
        <f t="shared" si="63"/>
        <v>341385.228</v>
      </c>
      <c r="O114" s="2053">
        <f t="shared" si="76"/>
        <v>119850</v>
      </c>
      <c r="P114" s="2054">
        <f t="shared" si="77"/>
        <v>461235.228</v>
      </c>
      <c r="Q114" s="1449"/>
      <c r="R114" s="1426">
        <v>1</v>
      </c>
      <c r="S114" s="762">
        <f t="shared" si="81"/>
        <v>25.89</v>
      </c>
      <c r="T114" s="1450">
        <f t="shared" si="82"/>
        <v>702434.12076000008</v>
      </c>
      <c r="U114" s="1451">
        <f t="shared" si="83"/>
        <v>0.52294117647058846</v>
      </c>
      <c r="V114" s="1452" t="s">
        <v>1352</v>
      </c>
      <c r="W114" s="1458" t="s">
        <v>1353</v>
      </c>
      <c r="X114" s="1454">
        <f t="shared" si="84"/>
        <v>461235.228</v>
      </c>
      <c r="Y114" s="1481"/>
      <c r="Z114" s="1481"/>
      <c r="AA114" s="985"/>
      <c r="AB114" s="986"/>
      <c r="AC114" s="986"/>
      <c r="AD114" s="1483"/>
      <c r="AE114" s="1483"/>
      <c r="AF114" s="1457">
        <f t="shared" si="62"/>
        <v>0</v>
      </c>
      <c r="AG114" s="1437"/>
      <c r="AH114" s="1422"/>
      <c r="AI114" s="1422"/>
      <c r="AJ114" s="1422"/>
      <c r="AK114" s="1463"/>
      <c r="AL114" s="1462"/>
      <c r="AM114" s="1461"/>
      <c r="AN114" s="1422"/>
      <c r="AO114" s="1422"/>
      <c r="AP114" s="1422"/>
    </row>
    <row r="115" spans="1:73" s="1465" customFormat="1" ht="13.5" customHeight="1">
      <c r="A115" s="1459"/>
      <c r="B115" s="1443" t="s">
        <v>1401</v>
      </c>
      <c r="C115" s="1446" t="s">
        <v>1402</v>
      </c>
      <c r="D115" s="1445" t="s">
        <v>412</v>
      </c>
      <c r="E115" s="1446" t="s">
        <v>1403</v>
      </c>
      <c r="F115" s="1447">
        <v>42948</v>
      </c>
      <c r="G115" s="1471">
        <v>15</v>
      </c>
      <c r="H115" s="1471">
        <v>13</v>
      </c>
      <c r="I115" s="1471">
        <v>15</v>
      </c>
      <c r="J115" s="1471">
        <v>17</v>
      </c>
      <c r="K115" s="2054">
        <f t="shared" si="54"/>
        <v>22526.583999999999</v>
      </c>
      <c r="L115" s="983">
        <v>8000</v>
      </c>
      <c r="M115" s="983">
        <v>30526.583999999999</v>
      </c>
      <c r="N115" s="2054">
        <f t="shared" si="63"/>
        <v>337898.76</v>
      </c>
      <c r="O115" s="2053">
        <f t="shared" si="76"/>
        <v>120000</v>
      </c>
      <c r="P115" s="2054">
        <f t="shared" si="77"/>
        <v>457898.76</v>
      </c>
      <c r="Q115" s="1449"/>
      <c r="R115" s="1426">
        <v>1</v>
      </c>
      <c r="S115" s="762">
        <f t="shared" si="81"/>
        <v>17</v>
      </c>
      <c r="T115" s="1450">
        <f t="shared" si="82"/>
        <v>518951.92799999996</v>
      </c>
      <c r="U115" s="1451">
        <f t="shared" si="83"/>
        <v>0.1333333333333333</v>
      </c>
      <c r="V115" s="1452" t="s">
        <v>1404</v>
      </c>
      <c r="W115" s="1458" t="s">
        <v>1405</v>
      </c>
      <c r="X115" s="1454">
        <f t="shared" si="84"/>
        <v>457898.76</v>
      </c>
      <c r="Y115" s="1481"/>
      <c r="Z115" s="1481"/>
      <c r="AA115" s="985"/>
      <c r="AB115" s="986"/>
      <c r="AC115" s="986"/>
      <c r="AD115" s="1483"/>
      <c r="AE115" s="1483"/>
      <c r="AF115" s="1457">
        <f t="shared" si="62"/>
        <v>0</v>
      </c>
      <c r="AG115" s="1437"/>
      <c r="AH115" s="1422"/>
      <c r="AI115" s="1422"/>
      <c r="AJ115" s="1422"/>
      <c r="AK115" s="1463"/>
      <c r="AL115" s="1462"/>
      <c r="AM115" s="1461"/>
      <c r="AN115" s="1422"/>
      <c r="AO115" s="1422"/>
      <c r="AP115" s="1422"/>
    </row>
    <row r="116" spans="1:73" s="1465" customFormat="1" ht="13.5" customHeight="1">
      <c r="A116" s="1459"/>
      <c r="B116" s="1443" t="s">
        <v>1336</v>
      </c>
      <c r="C116" s="1446" t="s">
        <v>1337</v>
      </c>
      <c r="D116" s="1445" t="s">
        <v>919</v>
      </c>
      <c r="E116" s="1446" t="s">
        <v>1338</v>
      </c>
      <c r="F116" s="1447">
        <v>42942</v>
      </c>
      <c r="G116" s="1471">
        <v>15</v>
      </c>
      <c r="H116" s="1471">
        <v>14</v>
      </c>
      <c r="I116" s="1471">
        <v>16</v>
      </c>
      <c r="J116" s="1471">
        <v>24.1</v>
      </c>
      <c r="K116" s="2054">
        <f t="shared" si="54"/>
        <v>15555</v>
      </c>
      <c r="L116" s="983">
        <v>4333</v>
      </c>
      <c r="M116" s="983">
        <v>19888</v>
      </c>
      <c r="N116" s="2054">
        <f t="shared" si="63"/>
        <v>233325</v>
      </c>
      <c r="O116" s="2053">
        <f t="shared" si="76"/>
        <v>64995</v>
      </c>
      <c r="P116" s="2054">
        <f t="shared" si="77"/>
        <v>298320</v>
      </c>
      <c r="Q116" s="1449"/>
      <c r="R116" s="1426">
        <v>1</v>
      </c>
      <c r="S116" s="762">
        <f t="shared" si="81"/>
        <v>24.1</v>
      </c>
      <c r="T116" s="1450">
        <f t="shared" si="82"/>
        <v>479300.80000000005</v>
      </c>
      <c r="U116" s="1451">
        <f t="shared" si="83"/>
        <v>0.60666666666666691</v>
      </c>
      <c r="V116" s="1452" t="s">
        <v>1338</v>
      </c>
      <c r="W116" s="1458" t="s">
        <v>1339</v>
      </c>
      <c r="X116" s="1454">
        <f t="shared" si="84"/>
        <v>298320</v>
      </c>
      <c r="Y116" s="1481" t="s">
        <v>1325</v>
      </c>
      <c r="Z116" s="1481">
        <v>31719000</v>
      </c>
      <c r="AA116" s="985">
        <v>-31420676</v>
      </c>
      <c r="AB116" s="986"/>
      <c r="AC116" s="986"/>
      <c r="AD116" s="1483"/>
      <c r="AE116" s="1483"/>
      <c r="AF116" s="1457">
        <f t="shared" si="62"/>
        <v>0</v>
      </c>
      <c r="AG116" s="1437"/>
      <c r="AH116" s="1422"/>
      <c r="AI116" s="1422"/>
      <c r="AJ116" s="1422"/>
      <c r="AK116" s="1463"/>
      <c r="AL116" s="1462"/>
      <c r="AM116" s="1461"/>
      <c r="AN116" s="1422"/>
      <c r="AO116" s="1422"/>
      <c r="AP116" s="1422"/>
    </row>
    <row r="117" spans="1:73" s="1465" customFormat="1" ht="13.5" customHeight="1">
      <c r="A117" s="1459"/>
      <c r="B117" s="1443" t="s">
        <v>1340</v>
      </c>
      <c r="C117" s="1446" t="s">
        <v>1341</v>
      </c>
      <c r="D117" s="1445" t="s">
        <v>1006</v>
      </c>
      <c r="E117" s="1446" t="s">
        <v>1342</v>
      </c>
      <c r="F117" s="1447">
        <v>42914</v>
      </c>
      <c r="G117" s="1471">
        <v>15</v>
      </c>
      <c r="H117" s="1471">
        <v>15</v>
      </c>
      <c r="I117" s="1471">
        <v>17</v>
      </c>
      <c r="J117" s="1471">
        <v>13.19</v>
      </c>
      <c r="K117" s="2054">
        <f t="shared" si="54"/>
        <v>10960.208000000001</v>
      </c>
      <c r="L117" s="983">
        <v>3750</v>
      </c>
      <c r="M117" s="983">
        <v>14710.208000000001</v>
      </c>
      <c r="N117" s="2054">
        <f t="shared" si="63"/>
        <v>164403.12</v>
      </c>
      <c r="O117" s="2053">
        <f t="shared" si="76"/>
        <v>56250</v>
      </c>
      <c r="P117" s="2054">
        <f t="shared" si="77"/>
        <v>220653.12</v>
      </c>
      <c r="Q117" s="1449"/>
      <c r="R117" s="1426">
        <v>1</v>
      </c>
      <c r="S117" s="762">
        <f t="shared" si="81"/>
        <v>13.19</v>
      </c>
      <c r="T117" s="1450">
        <f t="shared" si="82"/>
        <v>194027.64352000001</v>
      </c>
      <c r="U117" s="1451">
        <f t="shared" si="83"/>
        <v>-0.12066666666666659</v>
      </c>
      <c r="V117" s="1452" t="s">
        <v>1406</v>
      </c>
      <c r="W117" s="1458" t="s">
        <v>1343</v>
      </c>
      <c r="X117" s="1454">
        <f t="shared" si="84"/>
        <v>220653.12</v>
      </c>
      <c r="Y117" s="1481"/>
      <c r="Z117" s="1481"/>
      <c r="AA117" s="985"/>
      <c r="AB117" s="986"/>
      <c r="AC117" s="986"/>
      <c r="AD117" s="1483"/>
      <c r="AE117" s="1483"/>
      <c r="AF117" s="1457">
        <f t="shared" si="62"/>
        <v>0</v>
      </c>
      <c r="AG117" s="1437"/>
      <c r="AH117" s="1422"/>
      <c r="AI117" s="1422"/>
      <c r="AJ117" s="1422"/>
      <c r="AK117" s="1463"/>
      <c r="AL117" s="1462"/>
      <c r="AM117" s="1461"/>
      <c r="AN117" s="1422"/>
      <c r="AO117" s="1422"/>
      <c r="AP117" s="1422"/>
    </row>
    <row r="118" spans="1:73" s="1465" customFormat="1" ht="13.5" customHeight="1">
      <c r="A118" s="1459"/>
      <c r="B118" s="1443" t="s">
        <v>1344</v>
      </c>
      <c r="C118" s="1446" t="s">
        <v>1345</v>
      </c>
      <c r="D118" s="1445" t="s">
        <v>412</v>
      </c>
      <c r="E118" s="1446" t="s">
        <v>1346</v>
      </c>
      <c r="F118" s="1447">
        <v>42912</v>
      </c>
      <c r="G118" s="1471">
        <v>6</v>
      </c>
      <c r="H118" s="1471">
        <v>9</v>
      </c>
      <c r="I118" s="1471">
        <v>11</v>
      </c>
      <c r="J118" s="1471">
        <v>6.98</v>
      </c>
      <c r="K118" s="2054">
        <f t="shared" si="54"/>
        <v>3341.4680000000008</v>
      </c>
      <c r="L118" s="983">
        <v>5500</v>
      </c>
      <c r="M118" s="983">
        <v>8841.4680000000008</v>
      </c>
      <c r="N118" s="2054">
        <f t="shared" si="63"/>
        <v>20048.808000000005</v>
      </c>
      <c r="O118" s="2053">
        <f t="shared" si="76"/>
        <v>33000</v>
      </c>
      <c r="P118" s="2054">
        <f t="shared" si="77"/>
        <v>53048.808000000005</v>
      </c>
      <c r="Q118" s="1449"/>
      <c r="R118" s="1426">
        <v>1</v>
      </c>
      <c r="S118" s="762">
        <f t="shared" si="81"/>
        <v>6.98</v>
      </c>
      <c r="T118" s="1450">
        <f t="shared" si="82"/>
        <v>61713.446640000009</v>
      </c>
      <c r="U118" s="1451">
        <f t="shared" si="83"/>
        <v>0.16333333333333333</v>
      </c>
      <c r="V118" s="1452" t="s">
        <v>1347</v>
      </c>
      <c r="W118" s="1458" t="s">
        <v>1348</v>
      </c>
      <c r="X118" s="1454">
        <f t="shared" si="84"/>
        <v>53048.808000000005</v>
      </c>
      <c r="Y118" s="1481">
        <v>5982</v>
      </c>
      <c r="Z118" s="1481">
        <v>0</v>
      </c>
      <c r="AA118" s="985">
        <v>59030.808000000005</v>
      </c>
      <c r="AB118" s="986">
        <v>0</v>
      </c>
      <c r="AC118" s="986">
        <v>0</v>
      </c>
      <c r="AD118" s="1483" t="s">
        <v>1</v>
      </c>
      <c r="AE118" s="1483" t="s">
        <v>1</v>
      </c>
      <c r="AF118" s="1457">
        <f t="shared" si="62"/>
        <v>0</v>
      </c>
      <c r="AG118" s="1437"/>
      <c r="AH118" s="1422"/>
      <c r="AI118" s="1422"/>
      <c r="AJ118" s="1422"/>
      <c r="AK118" s="1463"/>
      <c r="AL118" s="1462"/>
      <c r="AM118" s="1461"/>
      <c r="AN118" s="1422"/>
      <c r="AO118" s="1422"/>
      <c r="AP118" s="1422"/>
    </row>
    <row r="119" spans="1:73" s="1465" customFormat="1" ht="13.5" customHeight="1">
      <c r="A119" s="1459"/>
      <c r="B119" s="1443" t="s">
        <v>1281</v>
      </c>
      <c r="C119" s="1446" t="s">
        <v>1282</v>
      </c>
      <c r="D119" s="1445" t="s">
        <v>412</v>
      </c>
      <c r="E119" s="1446" t="s">
        <v>1283</v>
      </c>
      <c r="F119" s="1447">
        <v>42859</v>
      </c>
      <c r="G119" s="1471">
        <v>15</v>
      </c>
      <c r="H119" s="1471">
        <v>15</v>
      </c>
      <c r="I119" s="1471">
        <v>17</v>
      </c>
      <c r="J119" s="1471">
        <v>12.15</v>
      </c>
      <c r="K119" s="2054">
        <f t="shared" si="54"/>
        <v>18851.937000000002</v>
      </c>
      <c r="L119" s="983">
        <v>5750</v>
      </c>
      <c r="M119" s="983">
        <v>24601.937000000002</v>
      </c>
      <c r="N119" s="2054">
        <f t="shared" si="63"/>
        <v>282779.05500000005</v>
      </c>
      <c r="O119" s="2053">
        <f t="shared" si="76"/>
        <v>86250</v>
      </c>
      <c r="P119" s="2054">
        <f t="shared" si="77"/>
        <v>369029.05500000005</v>
      </c>
      <c r="Q119" s="1449"/>
      <c r="R119" s="1426">
        <v>1</v>
      </c>
      <c r="S119" s="762">
        <f t="shared" si="81"/>
        <v>12.15</v>
      </c>
      <c r="T119" s="1450">
        <f t="shared" si="82"/>
        <v>298913.53455000004</v>
      </c>
      <c r="U119" s="1451">
        <f t="shared" si="83"/>
        <v>-0.19000000000000006</v>
      </c>
      <c r="V119" s="1464" t="s">
        <v>1284</v>
      </c>
      <c r="W119" s="1458" t="s">
        <v>1285</v>
      </c>
      <c r="X119" s="1454">
        <f t="shared" si="84"/>
        <v>369029.05500000005</v>
      </c>
      <c r="Y119" s="1481" t="e">
        <f ca="1">_xll.ciqfunctions.udf.CIQ(C119, "IQ_TOTAL_DEBT", , F119, , , "USD")*1000</f>
        <v>#NAME?</v>
      </c>
      <c r="Z119" s="1481" t="e">
        <f ca="1">_xll.ciqfunctions.udf.CIQ(C119, "IQ_CASH_EQUIV", , F119, , , "USD")*1000</f>
        <v>#NAME?</v>
      </c>
      <c r="AA119" s="985" t="e">
        <f ca="1">X119+Y119-Z119</f>
        <v>#NAME?</v>
      </c>
      <c r="AB119" s="986" t="e">
        <f ca="1">_xll.ciqfunctions.udf.CIQ($C119, "IQ_TOTAL_REV", IQ_LTM, $F$15, $Y$2, $Y$1, $Y$3, $Y$4)*1000</f>
        <v>#NAME?</v>
      </c>
      <c r="AC119" s="986" t="e">
        <f ca="1">_xll.ciqfunctions.udf.CIQ($C119, "IQ_EBITDA", IQ_LTM, $F$15, $Y$2, $Y$1, $Y$3, $Y$4)*1000</f>
        <v>#NAME?</v>
      </c>
      <c r="AD119" s="1483" t="str">
        <f ca="1">IFERROR(AA119/AB119,"n/a")</f>
        <v>n/a</v>
      </c>
      <c r="AE119" s="1483" t="str">
        <f ca="1">IFERROR(AA119/AC119,"n/a")</f>
        <v>n/a</v>
      </c>
      <c r="AF119" s="1457">
        <f t="shared" si="62"/>
        <v>0</v>
      </c>
      <c r="AK119" s="1466"/>
      <c r="AL119" s="1462"/>
      <c r="AM119" s="1461"/>
    </row>
    <row r="120" spans="1:73" s="1465" customFormat="1" ht="13.5" customHeight="1">
      <c r="A120" s="1459"/>
      <c r="B120" s="1443" t="s">
        <v>1407</v>
      </c>
      <c r="C120" s="1446" t="s">
        <v>1408</v>
      </c>
      <c r="D120" s="1445" t="s">
        <v>1006</v>
      </c>
      <c r="E120" s="1446" t="s">
        <v>1409</v>
      </c>
      <c r="F120" s="1447">
        <v>42858</v>
      </c>
      <c r="G120" s="1471">
        <v>13</v>
      </c>
      <c r="H120" s="1471">
        <v>12</v>
      </c>
      <c r="I120" s="1471">
        <v>14</v>
      </c>
      <c r="J120" s="1471">
        <v>18.64</v>
      </c>
      <c r="K120" s="2054">
        <f t="shared" si="54"/>
        <v>7499.17</v>
      </c>
      <c r="L120" s="983">
        <v>4473.3729999999996</v>
      </c>
      <c r="M120" s="983">
        <v>11972.543</v>
      </c>
      <c r="N120" s="2054">
        <f t="shared" si="63"/>
        <v>97489.21</v>
      </c>
      <c r="O120" s="2053">
        <f t="shared" si="76"/>
        <v>58153.848999999995</v>
      </c>
      <c r="P120" s="2054">
        <f t="shared" si="77"/>
        <v>155643.05900000001</v>
      </c>
      <c r="Q120" s="1449"/>
      <c r="R120" s="1426">
        <v>1</v>
      </c>
      <c r="S120" s="762">
        <f t="shared" si="81"/>
        <v>18.64</v>
      </c>
      <c r="T120" s="1450">
        <f t="shared" si="82"/>
        <v>223168.20152</v>
      </c>
      <c r="U120" s="1451">
        <f t="shared" si="83"/>
        <v>0.43384615384615377</v>
      </c>
      <c r="V120" s="1452" t="s">
        <v>1410</v>
      </c>
      <c r="W120" s="1458" t="s">
        <v>1411</v>
      </c>
      <c r="X120" s="1454">
        <f t="shared" si="84"/>
        <v>155643.05900000001</v>
      </c>
      <c r="Y120" s="1481"/>
      <c r="Z120" s="1481"/>
      <c r="AA120" s="985"/>
      <c r="AB120" s="986"/>
      <c r="AC120" s="986"/>
      <c r="AD120" s="1483"/>
      <c r="AE120" s="1483"/>
      <c r="AF120" s="1457">
        <f t="shared" si="62"/>
        <v>0</v>
      </c>
      <c r="AG120" s="1437"/>
      <c r="AH120" s="1422"/>
      <c r="AI120" s="1422"/>
      <c r="AJ120" s="1422"/>
      <c r="AK120" s="1463"/>
      <c r="AL120" s="1462"/>
      <c r="AM120" s="1461"/>
      <c r="AN120" s="1422"/>
      <c r="AO120" s="1422"/>
      <c r="AP120" s="1422"/>
    </row>
    <row r="121" spans="1:73" s="1465" customFormat="1" ht="13.5" customHeight="1">
      <c r="A121" s="1459"/>
      <c r="B121" s="1443" t="s">
        <v>1286</v>
      </c>
      <c r="C121" s="1446" t="s">
        <v>1287</v>
      </c>
      <c r="D121" s="1445" t="s">
        <v>1191</v>
      </c>
      <c r="E121" s="1446" t="s">
        <v>1288</v>
      </c>
      <c r="F121" s="1447">
        <v>42858</v>
      </c>
      <c r="G121" s="1471">
        <v>17</v>
      </c>
      <c r="H121" s="1471">
        <v>14</v>
      </c>
      <c r="I121" s="1471">
        <v>16</v>
      </c>
      <c r="J121" s="1471">
        <v>21.87</v>
      </c>
      <c r="K121" s="2054">
        <f t="shared" si="54"/>
        <v>24330.582999999999</v>
      </c>
      <c r="L121" s="983">
        <v>8333.3330000000005</v>
      </c>
      <c r="M121" s="983">
        <v>32663.916000000001</v>
      </c>
      <c r="N121" s="2054">
        <f t="shared" si="63"/>
        <v>413619.91099999996</v>
      </c>
      <c r="O121" s="2053">
        <f t="shared" si="76"/>
        <v>141666.66100000002</v>
      </c>
      <c r="P121" s="2054">
        <f t="shared" si="77"/>
        <v>555286.57199999993</v>
      </c>
      <c r="Q121" s="1449"/>
      <c r="R121" s="1426">
        <v>1</v>
      </c>
      <c r="S121" s="762">
        <f t="shared" si="81"/>
        <v>21.87</v>
      </c>
      <c r="T121" s="1450">
        <f t="shared" si="82"/>
        <v>714359.84292000008</v>
      </c>
      <c r="U121" s="1451">
        <f t="shared" si="83"/>
        <v>0.28647058823529448</v>
      </c>
      <c r="V121" s="1464" t="s">
        <v>1290</v>
      </c>
      <c r="W121" s="1458" t="s">
        <v>1289</v>
      </c>
      <c r="X121" s="1454">
        <f t="shared" si="84"/>
        <v>555286.57199999993</v>
      </c>
      <c r="Y121" s="1481" t="e">
        <f ca="1">_xll.ciqfunctions.udf.CIQ(C121, "IQ_TOTAL_DEBT", , F121, , , "USD")*1000</f>
        <v>#NAME?</v>
      </c>
      <c r="Z121" s="1481" t="e">
        <f ca="1">_xll.ciqfunctions.udf.CIQ(C121, "IQ_CASH_EQUIV", , F121, , , "USD")*1000</f>
        <v>#NAME?</v>
      </c>
      <c r="AA121" s="985" t="e">
        <f t="shared" ref="AA121:AA140" ca="1" si="85">X121+Y121-Z121</f>
        <v>#NAME?</v>
      </c>
      <c r="AB121" s="986" t="e">
        <f ca="1">_xll.ciqfunctions.udf.CIQ($C121, "IQ_TOTAL_REV", IQ_LTM, $F$15, $Y$2, $Y$1, $Y$3, $Y$4)*1000</f>
        <v>#NAME?</v>
      </c>
      <c r="AC121" s="986" t="e">
        <f ca="1">_xll.ciqfunctions.udf.CIQ($C121, "IQ_EBITDA", IQ_LTM, $F$15, $Y$2, $Y$1, $Y$3, $Y$4)*1000</f>
        <v>#NAME?</v>
      </c>
      <c r="AD121" s="1483" t="str">
        <f t="shared" ref="AD121:AD140" ca="1" si="86">IFERROR(AA121/AB121,"n/a")</f>
        <v>n/a</v>
      </c>
      <c r="AE121" s="1483" t="str">
        <f t="shared" ref="AE121:AE140" ca="1" si="87">IFERROR(AA121/AC121,"n/a")</f>
        <v>n/a</v>
      </c>
      <c r="AF121" s="1457">
        <f t="shared" ref="AF121:AF140" si="88">+P121-X121</f>
        <v>0</v>
      </c>
      <c r="AK121" s="1466"/>
      <c r="AL121" s="1462"/>
      <c r="AM121" s="1461"/>
    </row>
    <row r="122" spans="1:73" s="1465" customFormat="1" ht="13.5" customHeight="1">
      <c r="A122" s="1459"/>
      <c r="B122" s="1443" t="s">
        <v>1189</v>
      </c>
      <c r="C122" s="1446" t="s">
        <v>1190</v>
      </c>
      <c r="D122" s="1445" t="s">
        <v>1191</v>
      </c>
      <c r="E122" s="1446" t="s">
        <v>1192</v>
      </c>
      <c r="F122" s="1447">
        <v>42837</v>
      </c>
      <c r="G122" s="1471">
        <v>10</v>
      </c>
      <c r="H122" s="1471">
        <v>10</v>
      </c>
      <c r="I122" s="1471">
        <v>12</v>
      </c>
      <c r="J122" s="1471">
        <v>16.690000000000001</v>
      </c>
      <c r="K122" s="2054">
        <f t="shared" si="54"/>
        <v>9897.3070000000007</v>
      </c>
      <c r="L122" s="983">
        <v>7250</v>
      </c>
      <c r="M122" s="983">
        <v>17147.307000000001</v>
      </c>
      <c r="N122" s="2054">
        <f t="shared" si="63"/>
        <v>98973.07</v>
      </c>
      <c r="O122" s="2053">
        <f t="shared" si="76"/>
        <v>72500</v>
      </c>
      <c r="P122" s="2054">
        <f t="shared" si="77"/>
        <v>171473.07</v>
      </c>
      <c r="Q122" s="1449"/>
      <c r="R122" s="1426">
        <v>1</v>
      </c>
      <c r="S122" s="762">
        <f t="shared" si="81"/>
        <v>16.690000000000001</v>
      </c>
      <c r="T122" s="1450">
        <f t="shared" si="82"/>
        <v>286188.55383000005</v>
      </c>
      <c r="U122" s="1451">
        <f t="shared" si="83"/>
        <v>0.66900000000000026</v>
      </c>
      <c r="V122" s="1464" t="s">
        <v>1193</v>
      </c>
      <c r="W122" s="1458" t="s">
        <v>1194</v>
      </c>
      <c r="X122" s="1454">
        <f t="shared" si="84"/>
        <v>171473.07</v>
      </c>
      <c r="Y122" s="1454">
        <v>20839000</v>
      </c>
      <c r="Z122" s="1454">
        <v>5510</v>
      </c>
      <c r="AA122" s="985">
        <f t="shared" si="85"/>
        <v>21004963.07</v>
      </c>
      <c r="AB122" s="986">
        <v>54</v>
      </c>
      <c r="AC122" s="978">
        <v>-25990</v>
      </c>
      <c r="AD122" s="1456">
        <f t="shared" si="86"/>
        <v>388980.7975925926</v>
      </c>
      <c r="AE122" s="1456">
        <f t="shared" si="87"/>
        <v>-808.19403886110047</v>
      </c>
      <c r="AF122" s="1457">
        <f t="shared" si="88"/>
        <v>0</v>
      </c>
      <c r="AK122" s="1466"/>
      <c r="AL122" s="1462"/>
      <c r="AM122" s="1461"/>
    </row>
    <row r="123" spans="1:73" s="1465" customFormat="1" ht="13.5" customHeight="1">
      <c r="A123" s="1459"/>
      <c r="B123" s="1443" t="s">
        <v>1195</v>
      </c>
      <c r="C123" s="1446" t="s">
        <v>1196</v>
      </c>
      <c r="D123" s="1445" t="s">
        <v>919</v>
      </c>
      <c r="E123" s="1446" t="s">
        <v>1197</v>
      </c>
      <c r="F123" s="1447">
        <v>42760</v>
      </c>
      <c r="G123" s="1471">
        <v>15</v>
      </c>
      <c r="H123" s="1471">
        <v>14</v>
      </c>
      <c r="I123" s="1471">
        <v>16</v>
      </c>
      <c r="J123" s="1471">
        <v>13.99</v>
      </c>
      <c r="K123" s="2054">
        <f t="shared" si="54"/>
        <v>23181.261999999999</v>
      </c>
      <c r="L123" s="983">
        <f>6450000/1000</f>
        <v>6450</v>
      </c>
      <c r="M123" s="983">
        <f>29631262/1000</f>
        <v>29631.261999999999</v>
      </c>
      <c r="N123" s="2054">
        <f t="shared" si="63"/>
        <v>347718.93</v>
      </c>
      <c r="O123" s="2053">
        <f t="shared" si="76"/>
        <v>96750</v>
      </c>
      <c r="P123" s="2054">
        <f t="shared" si="77"/>
        <v>444468.93</v>
      </c>
      <c r="Q123" s="1449"/>
      <c r="R123" s="1426">
        <v>1</v>
      </c>
      <c r="S123" s="762">
        <f t="shared" si="81"/>
        <v>13.99</v>
      </c>
      <c r="T123" s="1450">
        <f t="shared" si="82"/>
        <v>414541.35537999996</v>
      </c>
      <c r="U123" s="1451">
        <f t="shared" si="83"/>
        <v>-6.7333333333333356E-2</v>
      </c>
      <c r="V123" s="1460" t="s">
        <v>1197</v>
      </c>
      <c r="W123" s="1458" t="s">
        <v>1198</v>
      </c>
      <c r="X123" s="1454">
        <f t="shared" si="84"/>
        <v>444468.93</v>
      </c>
      <c r="Y123" s="1454">
        <v>0</v>
      </c>
      <c r="Z123" s="1454">
        <v>38910</v>
      </c>
      <c r="AA123" s="985">
        <f t="shared" si="85"/>
        <v>405558.93</v>
      </c>
      <c r="AB123" s="986">
        <v>0</v>
      </c>
      <c r="AC123" s="978">
        <v>-20977</v>
      </c>
      <c r="AD123" s="1456" t="str">
        <f t="shared" si="86"/>
        <v>n/a</v>
      </c>
      <c r="AE123" s="1456">
        <f t="shared" si="87"/>
        <v>-19.333504790961531</v>
      </c>
      <c r="AF123" s="1457">
        <f t="shared" si="88"/>
        <v>0</v>
      </c>
      <c r="AG123" s="1461"/>
      <c r="AH123" s="1437"/>
      <c r="AI123" s="1437"/>
      <c r="AJ123" s="1437"/>
      <c r="AK123" s="1437"/>
      <c r="AL123" s="1437"/>
      <c r="AM123" s="1437" t="s">
        <v>1199</v>
      </c>
      <c r="AN123" s="1437" t="s">
        <v>1200</v>
      </c>
      <c r="AO123" s="1437" t="s">
        <v>1201</v>
      </c>
      <c r="AP123" s="1437"/>
      <c r="AQ123" s="1437">
        <v>6450000</v>
      </c>
      <c r="AR123" s="1437">
        <v>6450000</v>
      </c>
      <c r="AS123" s="1437">
        <v>29631262</v>
      </c>
      <c r="AT123" s="1437"/>
      <c r="AU123" s="1437">
        <f>AQ123-AW123</f>
        <v>0</v>
      </c>
      <c r="AV123" s="1437">
        <f>AS123-AY123</f>
        <v>0</v>
      </c>
      <c r="AW123" s="1437">
        <v>6450000</v>
      </c>
      <c r="AX123" s="1437">
        <f>AW123+BA123</f>
        <v>7417500</v>
      </c>
      <c r="AY123" s="1437">
        <v>29631262</v>
      </c>
      <c r="AZ123" s="1437">
        <f>AY123+BA123</f>
        <v>30598762</v>
      </c>
      <c r="BA123" s="1437">
        <v>967500</v>
      </c>
      <c r="BB123" s="1437">
        <f>BC123*J123</f>
        <v>414541327.40000004</v>
      </c>
      <c r="BC123" s="1437">
        <v>29631260</v>
      </c>
      <c r="BD123" s="1437">
        <f>+J123*M123</f>
        <v>414541.35537999996</v>
      </c>
      <c r="BE123" s="1437">
        <v>42761</v>
      </c>
      <c r="BF123" s="1437">
        <f>+BE123+30</f>
        <v>42791</v>
      </c>
      <c r="BG123" s="1437">
        <f>BE123+90</f>
        <v>42851</v>
      </c>
      <c r="BH123" s="1437">
        <v>29631260</v>
      </c>
      <c r="BI123" s="1437">
        <v>13.62</v>
      </c>
      <c r="BJ123" s="1437">
        <f>BI123*BH123</f>
        <v>403577761.19999999</v>
      </c>
      <c r="BK123" s="1437" t="s">
        <v>1202</v>
      </c>
      <c r="BL123" s="1437">
        <v>38910000</v>
      </c>
      <c r="BM123" s="1437">
        <v>0</v>
      </c>
      <c r="BN123" s="1437" t="e">
        <f ca="1">_xll.ciqfunctions.udf.CIQ(C123, "IQ_MARKETCAP", $BN$1)*1000000</f>
        <v>#NAME?</v>
      </c>
      <c r="BO123" s="1437">
        <v>123139750</v>
      </c>
      <c r="BP123" s="1437" t="e">
        <f ca="1">(BN123-BO123)/BN123</f>
        <v>#NAME?</v>
      </c>
      <c r="BQ123" s="1437"/>
      <c r="BR123" s="1437" t="s">
        <v>1203</v>
      </c>
      <c r="BS123" s="1437"/>
      <c r="BT123" s="1437"/>
      <c r="BU123" s="1437" t="b">
        <f>IF(ABS(O123-P123)&lt;100,TRUE,FALSE)</f>
        <v>0</v>
      </c>
    </row>
    <row r="124" spans="1:73" s="1437" customFormat="1" ht="13.5" customHeight="1">
      <c r="A124" s="1459"/>
      <c r="B124" s="1443" t="s">
        <v>770</v>
      </c>
      <c r="C124" s="1446" t="s">
        <v>771</v>
      </c>
      <c r="D124" s="1445" t="s">
        <v>412</v>
      </c>
      <c r="E124" s="1446" t="s">
        <v>772</v>
      </c>
      <c r="F124" s="1447">
        <v>42586</v>
      </c>
      <c r="G124" s="1471">
        <v>10</v>
      </c>
      <c r="H124" s="1471">
        <v>11</v>
      </c>
      <c r="I124" s="1471">
        <v>13</v>
      </c>
      <c r="J124" s="1471">
        <v>13.23</v>
      </c>
      <c r="K124" s="2054">
        <f t="shared" si="54"/>
        <v>5431.6149999999998</v>
      </c>
      <c r="L124" s="983">
        <v>3000</v>
      </c>
      <c r="M124" s="983">
        <v>8431.6149999999998</v>
      </c>
      <c r="N124" s="2054">
        <f t="shared" si="63"/>
        <v>54316.149999999994</v>
      </c>
      <c r="O124" s="2053">
        <f t="shared" si="76"/>
        <v>30000</v>
      </c>
      <c r="P124" s="2054">
        <f t="shared" si="77"/>
        <v>84316.15</v>
      </c>
      <c r="Q124" s="1449"/>
      <c r="R124" s="1426">
        <v>1</v>
      </c>
      <c r="S124" s="762">
        <f t="shared" si="81"/>
        <v>13.23</v>
      </c>
      <c r="T124" s="1450">
        <f t="shared" si="82"/>
        <v>111550.26645</v>
      </c>
      <c r="U124" s="1451">
        <f t="shared" si="83"/>
        <v>0.32299999999999995</v>
      </c>
      <c r="V124" s="1460" t="s">
        <v>773</v>
      </c>
      <c r="W124" s="1458" t="s">
        <v>774</v>
      </c>
      <c r="X124" s="1454">
        <f t="shared" si="84"/>
        <v>84316.15</v>
      </c>
      <c r="Y124" s="1454">
        <v>6461000</v>
      </c>
      <c r="Z124" s="1454">
        <v>1629</v>
      </c>
      <c r="AA124" s="985">
        <f t="shared" si="85"/>
        <v>6543687.1500000004</v>
      </c>
      <c r="AB124" s="986">
        <v>0</v>
      </c>
      <c r="AC124" s="978">
        <v>0</v>
      </c>
      <c r="AD124" s="1456" t="str">
        <f t="shared" si="86"/>
        <v>n/a</v>
      </c>
      <c r="AE124" s="1456" t="str">
        <f t="shared" si="87"/>
        <v>n/a</v>
      </c>
      <c r="AF124" s="1457">
        <f t="shared" si="88"/>
        <v>0</v>
      </c>
      <c r="AG124" s="1461"/>
    </row>
    <row r="125" spans="1:73" s="1816" customFormat="1" ht="13.5" customHeight="1">
      <c r="B125" s="1808" t="s">
        <v>775</v>
      </c>
      <c r="C125" s="1809" t="s">
        <v>776</v>
      </c>
      <c r="D125" s="1810" t="s">
        <v>412</v>
      </c>
      <c r="E125" s="1809" t="s">
        <v>777</v>
      </c>
      <c r="F125" s="1811">
        <v>42577</v>
      </c>
      <c r="G125" s="1813">
        <v>12</v>
      </c>
      <c r="H125" s="1813">
        <v>0</v>
      </c>
      <c r="I125" s="1813">
        <v>0</v>
      </c>
      <c r="J125" s="1813">
        <v>10.06</v>
      </c>
      <c r="K125" s="2059">
        <f t="shared" si="54"/>
        <v>38620.332000000002</v>
      </c>
      <c r="L125" s="1828">
        <v>6250</v>
      </c>
      <c r="M125" s="1828">
        <v>44870.332000000002</v>
      </c>
      <c r="N125" s="2059">
        <f t="shared" si="63"/>
        <v>463443.98400000005</v>
      </c>
      <c r="O125" s="2052">
        <f t="shared" si="76"/>
        <v>75000</v>
      </c>
      <c r="P125" s="2059">
        <f t="shared" si="77"/>
        <v>538443.98400000005</v>
      </c>
      <c r="Q125" s="1814"/>
      <c r="R125" s="1814">
        <v>1</v>
      </c>
      <c r="S125" s="1817">
        <f t="shared" si="81"/>
        <v>10.06</v>
      </c>
      <c r="T125" s="1818">
        <f t="shared" si="82"/>
        <v>451395.53992000007</v>
      </c>
      <c r="U125" s="1819">
        <f t="shared" si="83"/>
        <v>-0.16166666666666663</v>
      </c>
      <c r="V125" s="1820" t="s">
        <v>778</v>
      </c>
      <c r="W125" s="1829" t="s">
        <v>779</v>
      </c>
      <c r="X125" s="1822">
        <f t="shared" si="84"/>
        <v>538443.98400000005</v>
      </c>
      <c r="Y125" s="1822">
        <v>221589000</v>
      </c>
      <c r="Z125" s="1822">
        <v>8601</v>
      </c>
      <c r="AA125" s="1823">
        <f t="shared" si="85"/>
        <v>222118842.984</v>
      </c>
      <c r="AB125" s="1824">
        <v>35305</v>
      </c>
      <c r="AC125" s="1825">
        <v>-74119</v>
      </c>
      <c r="AD125" s="1826">
        <f t="shared" si="86"/>
        <v>6291.4273611103245</v>
      </c>
      <c r="AE125" s="1826">
        <f t="shared" si="87"/>
        <v>-2996.7868290721676</v>
      </c>
      <c r="AF125" s="1815">
        <f t="shared" si="88"/>
        <v>0</v>
      </c>
    </row>
    <row r="126" spans="1:73" s="1437" customFormat="1" ht="13.5" customHeight="1">
      <c r="A126" s="1459"/>
      <c r="B126" s="1500" t="s">
        <v>809</v>
      </c>
      <c r="C126" s="1446" t="s">
        <v>810</v>
      </c>
      <c r="D126" s="1445" t="s">
        <v>412</v>
      </c>
      <c r="E126" s="1446" t="s">
        <v>811</v>
      </c>
      <c r="F126" s="1447">
        <v>42495</v>
      </c>
      <c r="G126" s="1471">
        <v>12</v>
      </c>
      <c r="H126" s="1471">
        <v>13</v>
      </c>
      <c r="I126" s="1471">
        <v>15</v>
      </c>
      <c r="J126" s="1471">
        <v>11.2</v>
      </c>
      <c r="K126" s="2054">
        <f t="shared" si="54"/>
        <v>6171.0910000000003</v>
      </c>
      <c r="L126" s="983">
        <v>920</v>
      </c>
      <c r="M126" s="983">
        <v>7091.0910000000003</v>
      </c>
      <c r="N126" s="2054">
        <f t="shared" si="63"/>
        <v>74053.092000000004</v>
      </c>
      <c r="O126" s="2053">
        <f t="shared" si="76"/>
        <v>11040</v>
      </c>
      <c r="P126" s="2054">
        <f t="shared" si="77"/>
        <v>85093.092000000004</v>
      </c>
      <c r="Q126" s="1449"/>
      <c r="R126" s="1426">
        <v>1</v>
      </c>
      <c r="S126" s="762">
        <f t="shared" si="81"/>
        <v>11.2</v>
      </c>
      <c r="T126" s="1450">
        <f t="shared" si="82"/>
        <v>79420.219199999992</v>
      </c>
      <c r="U126" s="1451">
        <f t="shared" si="83"/>
        <v>-6.6666666666666763E-2</v>
      </c>
      <c r="V126" s="1452" t="s">
        <v>812</v>
      </c>
      <c r="W126" s="1458" t="s">
        <v>1204</v>
      </c>
      <c r="X126" s="1454">
        <f t="shared" si="84"/>
        <v>85093.092000000004</v>
      </c>
      <c r="Y126" s="1454">
        <v>0</v>
      </c>
      <c r="Z126" s="1454">
        <v>4347</v>
      </c>
      <c r="AA126" s="985">
        <f t="shared" si="85"/>
        <v>80746.092000000004</v>
      </c>
      <c r="AB126" s="986">
        <v>717</v>
      </c>
      <c r="AC126" s="978">
        <v>-18116</v>
      </c>
      <c r="AD126" s="1456">
        <f t="shared" si="86"/>
        <v>112.61658577405858</v>
      </c>
      <c r="AE126" s="1456">
        <f t="shared" si="87"/>
        <v>-4.4571700154559508</v>
      </c>
      <c r="AF126" s="1457">
        <f t="shared" si="88"/>
        <v>0</v>
      </c>
      <c r="AK126" s="1463"/>
      <c r="AL126" s="1462"/>
      <c r="AM126" s="1461"/>
    </row>
    <row r="127" spans="1:73" s="1437" customFormat="1" ht="13.5" customHeight="1">
      <c r="A127" s="1459"/>
      <c r="B127" s="1443" t="s">
        <v>857</v>
      </c>
      <c r="C127" s="1446" t="s">
        <v>858</v>
      </c>
      <c r="D127" s="1445" t="s">
        <v>412</v>
      </c>
      <c r="E127" s="1446" t="s">
        <v>859</v>
      </c>
      <c r="F127" s="1447">
        <v>42291</v>
      </c>
      <c r="G127" s="1471">
        <v>6.5</v>
      </c>
      <c r="H127" s="1471">
        <v>6</v>
      </c>
      <c r="I127" s="1471">
        <v>7</v>
      </c>
      <c r="J127" s="1471">
        <v>3.13</v>
      </c>
      <c r="K127" s="2054">
        <f t="shared" si="54"/>
        <v>4630.143</v>
      </c>
      <c r="L127" s="983">
        <v>4000</v>
      </c>
      <c r="M127" s="983">
        <v>8630.143</v>
      </c>
      <c r="N127" s="2054">
        <f t="shared" si="63"/>
        <v>30095.929499999998</v>
      </c>
      <c r="O127" s="2053">
        <f t="shared" si="76"/>
        <v>26000</v>
      </c>
      <c r="P127" s="2054">
        <f t="shared" si="77"/>
        <v>56095.929499999998</v>
      </c>
      <c r="Q127" s="1449"/>
      <c r="R127" s="1426">
        <v>1</v>
      </c>
      <c r="S127" s="762">
        <f t="shared" si="81"/>
        <v>3.13</v>
      </c>
      <c r="T127" s="1450">
        <f t="shared" si="82"/>
        <v>27012.347589999998</v>
      </c>
      <c r="U127" s="1451">
        <f t="shared" si="83"/>
        <v>-0.51846153846153853</v>
      </c>
      <c r="V127" s="1452" t="s">
        <v>860</v>
      </c>
      <c r="W127" s="1458" t="s">
        <v>861</v>
      </c>
      <c r="X127" s="1454">
        <f t="shared" si="84"/>
        <v>56095.929499999998</v>
      </c>
      <c r="Y127" s="1454">
        <v>7052960</v>
      </c>
      <c r="Z127" s="1454">
        <v>6142.86</v>
      </c>
      <c r="AA127" s="985">
        <f t="shared" si="85"/>
        <v>7102913.0694999993</v>
      </c>
      <c r="AB127" s="986">
        <v>650.49</v>
      </c>
      <c r="AC127" s="978">
        <v>-13304.04</v>
      </c>
      <c r="AD127" s="1456">
        <f t="shared" si="86"/>
        <v>10919.3270757429</v>
      </c>
      <c r="AE127" s="1456">
        <f t="shared" si="87"/>
        <v>-533.891439705533</v>
      </c>
      <c r="AF127" s="1457">
        <f t="shared" si="88"/>
        <v>0</v>
      </c>
      <c r="AH127" s="1422"/>
      <c r="AI127" s="1422"/>
      <c r="AJ127" s="1422"/>
      <c r="AK127" s="1463"/>
      <c r="AL127" s="1462"/>
      <c r="AM127" s="1461"/>
      <c r="AN127" s="1422"/>
      <c r="AO127" s="1422"/>
      <c r="AP127" s="1422"/>
      <c r="AQ127" s="1422"/>
      <c r="AR127" s="1422"/>
      <c r="AS127" s="1422"/>
      <c r="AT127" s="1422"/>
      <c r="AU127" s="1422"/>
      <c r="AV127" s="1422"/>
      <c r="AW127" s="1422"/>
      <c r="AX127" s="1422"/>
      <c r="AY127" s="1422"/>
      <c r="AZ127" s="1422"/>
      <c r="BA127" s="1422"/>
      <c r="BB127" s="1422"/>
      <c r="BC127" s="1422"/>
      <c r="BD127" s="1422"/>
      <c r="BE127" s="1422"/>
      <c r="BF127" s="1422"/>
      <c r="BG127" s="1422"/>
      <c r="BH127" s="1422"/>
      <c r="BI127" s="1422"/>
      <c r="BJ127" s="1422"/>
      <c r="BK127" s="1422"/>
      <c r="BL127" s="1422"/>
      <c r="BM127" s="1422"/>
      <c r="BN127" s="1422"/>
      <c r="BO127" s="1422"/>
      <c r="BP127" s="1422"/>
      <c r="BQ127" s="1422"/>
      <c r="BR127" s="1422"/>
      <c r="BS127" s="1422"/>
      <c r="BT127" s="1422"/>
      <c r="BU127" s="1422"/>
    </row>
    <row r="128" spans="1:73" s="1422" customFormat="1" ht="13.5" customHeight="1">
      <c r="A128" s="1459"/>
      <c r="B128" s="1443" t="s">
        <v>867</v>
      </c>
      <c r="C128" s="1446" t="s">
        <v>868</v>
      </c>
      <c r="D128" s="1445" t="s">
        <v>412</v>
      </c>
      <c r="E128" s="1446" t="s">
        <v>869</v>
      </c>
      <c r="F128" s="1447">
        <v>42283</v>
      </c>
      <c r="G128" s="1471">
        <v>11</v>
      </c>
      <c r="H128" s="1471">
        <v>14</v>
      </c>
      <c r="I128" s="1471">
        <v>16</v>
      </c>
      <c r="J128" s="1471">
        <v>14.67</v>
      </c>
      <c r="K128" s="2054">
        <f t="shared" si="54"/>
        <v>14407.503000000001</v>
      </c>
      <c r="L128" s="983">
        <v>5000</v>
      </c>
      <c r="M128" s="983">
        <v>19407.503000000001</v>
      </c>
      <c r="N128" s="2054">
        <f t="shared" si="63"/>
        <v>158482.533</v>
      </c>
      <c r="O128" s="2053">
        <f t="shared" si="76"/>
        <v>55000</v>
      </c>
      <c r="P128" s="2054">
        <f t="shared" si="77"/>
        <v>213482.533</v>
      </c>
      <c r="Q128" s="1449"/>
      <c r="R128" s="1426">
        <v>1</v>
      </c>
      <c r="S128" s="762">
        <f t="shared" si="81"/>
        <v>14.67</v>
      </c>
      <c r="T128" s="1450">
        <f t="shared" si="82"/>
        <v>284708.06901000004</v>
      </c>
      <c r="U128" s="1451">
        <f t="shared" si="83"/>
        <v>0.33363636363636373</v>
      </c>
      <c r="V128" s="1452" t="s">
        <v>870</v>
      </c>
      <c r="W128" s="1458" t="s">
        <v>871</v>
      </c>
      <c r="X128" s="1454">
        <f t="shared" si="84"/>
        <v>213482.533</v>
      </c>
      <c r="Y128" s="1454">
        <v>0</v>
      </c>
      <c r="Z128" s="1454">
        <v>9853</v>
      </c>
      <c r="AA128" s="985">
        <f t="shared" si="85"/>
        <v>203629.533</v>
      </c>
      <c r="AB128" s="986">
        <v>0</v>
      </c>
      <c r="AC128" s="978">
        <v>-37068</v>
      </c>
      <c r="AD128" s="1456" t="str">
        <f t="shared" si="86"/>
        <v>n/a</v>
      </c>
      <c r="AE128" s="1456">
        <f t="shared" si="87"/>
        <v>-5.4934049044998376</v>
      </c>
      <c r="AF128" s="1457">
        <f t="shared" si="88"/>
        <v>0</v>
      </c>
      <c r="AG128" s="1437"/>
      <c r="AK128" s="1463"/>
      <c r="AL128" s="1462"/>
      <c r="AM128" s="1461"/>
    </row>
    <row r="129" spans="1:73" s="1422" customFormat="1" ht="13.5" customHeight="1">
      <c r="A129" s="1459"/>
      <c r="B129" s="1443" t="s">
        <v>876</v>
      </c>
      <c r="C129" s="1446" t="s">
        <v>877</v>
      </c>
      <c r="D129" s="1445" t="s">
        <v>412</v>
      </c>
      <c r="E129" s="1446" t="s">
        <v>878</v>
      </c>
      <c r="F129" s="1447">
        <v>42277</v>
      </c>
      <c r="G129" s="1471">
        <v>11</v>
      </c>
      <c r="H129" s="1471">
        <v>14</v>
      </c>
      <c r="I129" s="1471">
        <v>16</v>
      </c>
      <c r="J129" s="1471">
        <v>17.88</v>
      </c>
      <c r="K129" s="2054">
        <f t="shared" si="54"/>
        <v>20181.25</v>
      </c>
      <c r="L129" s="983">
        <v>7315.1509999999998</v>
      </c>
      <c r="M129" s="983">
        <v>27496.401000000002</v>
      </c>
      <c r="N129" s="2054">
        <f t="shared" si="63"/>
        <v>221993.75</v>
      </c>
      <c r="O129" s="2053">
        <f t="shared" si="76"/>
        <v>80466.660999999993</v>
      </c>
      <c r="P129" s="2054">
        <f t="shared" si="77"/>
        <v>302460.41099999996</v>
      </c>
      <c r="Q129" s="1449"/>
      <c r="R129" s="1426">
        <v>1</v>
      </c>
      <c r="S129" s="762">
        <f t="shared" si="81"/>
        <v>17.88</v>
      </c>
      <c r="T129" s="1450">
        <f t="shared" si="82"/>
        <v>491635.64987999998</v>
      </c>
      <c r="U129" s="1451">
        <f t="shared" si="83"/>
        <v>0.62545454545454549</v>
      </c>
      <c r="V129" s="1452" t="s">
        <v>879</v>
      </c>
      <c r="W129" s="1458" t="s">
        <v>880</v>
      </c>
      <c r="X129" s="1454">
        <f t="shared" si="84"/>
        <v>302460.41099999996</v>
      </c>
      <c r="Y129" s="1454">
        <v>5864400</v>
      </c>
      <c r="Z129" s="1454">
        <v>58465.08</v>
      </c>
      <c r="AA129" s="985">
        <f t="shared" si="85"/>
        <v>6108395.3310000002</v>
      </c>
      <c r="AB129" s="986">
        <v>0</v>
      </c>
      <c r="AC129" s="978">
        <v>-35591.700000000004</v>
      </c>
      <c r="AD129" s="1456" t="str">
        <f t="shared" si="86"/>
        <v>n/a</v>
      </c>
      <c r="AE129" s="1456">
        <f t="shared" si="87"/>
        <v>-171.62415200735001</v>
      </c>
      <c r="AF129" s="1457">
        <f t="shared" si="88"/>
        <v>0</v>
      </c>
      <c r="AG129" s="1437"/>
      <c r="AK129" s="1463"/>
      <c r="AL129" s="1462"/>
      <c r="AM129" s="1461"/>
    </row>
    <row r="130" spans="1:73" s="1422" customFormat="1" ht="13.5" customHeight="1">
      <c r="A130" s="1459"/>
      <c r="B130" s="1494" t="s">
        <v>882</v>
      </c>
      <c r="C130" s="1446" t="s">
        <v>883</v>
      </c>
      <c r="D130" s="1445" t="s">
        <v>412</v>
      </c>
      <c r="E130" s="1446" t="s">
        <v>884</v>
      </c>
      <c r="F130" s="1447">
        <v>42227</v>
      </c>
      <c r="G130" s="1471">
        <v>20</v>
      </c>
      <c r="H130" s="1471">
        <v>16</v>
      </c>
      <c r="I130" s="1471">
        <v>18</v>
      </c>
      <c r="J130" s="1471">
        <v>52.72</v>
      </c>
      <c r="K130" s="2054">
        <f t="shared" si="54"/>
        <v>21808.456999999999</v>
      </c>
      <c r="L130" s="983">
        <v>6000</v>
      </c>
      <c r="M130" s="983">
        <v>27808.456999999999</v>
      </c>
      <c r="N130" s="2054">
        <f t="shared" si="63"/>
        <v>436169.13999999996</v>
      </c>
      <c r="O130" s="2053">
        <f t="shared" si="76"/>
        <v>120000</v>
      </c>
      <c r="P130" s="2054">
        <f t="shared" si="77"/>
        <v>556169.1399999999</v>
      </c>
      <c r="Q130" s="1449"/>
      <c r="R130" s="1426">
        <v>1</v>
      </c>
      <c r="S130" s="762">
        <f t="shared" si="81"/>
        <v>52.72</v>
      </c>
      <c r="T130" s="1450">
        <f t="shared" si="82"/>
        <v>1466061.85304</v>
      </c>
      <c r="U130" s="1451">
        <f t="shared" si="83"/>
        <v>1.6360000000000006</v>
      </c>
      <c r="V130" s="1464" t="s">
        <v>885</v>
      </c>
      <c r="W130" s="1458" t="s">
        <v>886</v>
      </c>
      <c r="X130" s="1454">
        <f t="shared" si="84"/>
        <v>556169.1399999999</v>
      </c>
      <c r="Y130" s="1454">
        <v>0</v>
      </c>
      <c r="Z130" s="1454">
        <v>45800</v>
      </c>
      <c r="AA130" s="985">
        <f t="shared" si="85"/>
        <v>510369.1399999999</v>
      </c>
      <c r="AB130" s="986">
        <v>0</v>
      </c>
      <c r="AC130" s="978">
        <v>-63892</v>
      </c>
      <c r="AD130" s="1456" t="str">
        <f t="shared" si="86"/>
        <v>n/a</v>
      </c>
      <c r="AE130" s="1456">
        <f t="shared" si="87"/>
        <v>-7.9879975583797647</v>
      </c>
      <c r="AF130" s="1457">
        <f t="shared" si="88"/>
        <v>0</v>
      </c>
      <c r="AG130" s="1467"/>
      <c r="AH130" s="1466"/>
      <c r="AI130" s="1467"/>
      <c r="AJ130" s="1467"/>
      <c r="AK130" s="1466"/>
      <c r="AL130" s="1462"/>
      <c r="AM130" s="1461"/>
      <c r="AN130" s="1464"/>
      <c r="AO130" s="1469"/>
      <c r="AP130" s="1469"/>
    </row>
    <row r="131" spans="1:73" s="1422" customFormat="1" ht="13.5" customHeight="1">
      <c r="A131" s="1459"/>
      <c r="B131" s="1443" t="s">
        <v>887</v>
      </c>
      <c r="C131" s="1446" t="s">
        <v>888</v>
      </c>
      <c r="D131" s="1445" t="s">
        <v>412</v>
      </c>
      <c r="E131" s="1446" t="s">
        <v>889</v>
      </c>
      <c r="F131" s="1447">
        <v>42221</v>
      </c>
      <c r="G131" s="1471">
        <v>16</v>
      </c>
      <c r="H131" s="1471">
        <v>14</v>
      </c>
      <c r="I131" s="1471">
        <v>16</v>
      </c>
      <c r="J131" s="1471">
        <v>22.59</v>
      </c>
      <c r="K131" s="2054">
        <f t="shared" si="54"/>
        <v>30679.538</v>
      </c>
      <c r="L131" s="983">
        <v>10000</v>
      </c>
      <c r="M131" s="983">
        <v>40679.538</v>
      </c>
      <c r="N131" s="2054">
        <f t="shared" si="63"/>
        <v>490872.60800000001</v>
      </c>
      <c r="O131" s="2053">
        <f t="shared" si="76"/>
        <v>160000</v>
      </c>
      <c r="P131" s="2054">
        <f t="shared" si="77"/>
        <v>650872.60800000001</v>
      </c>
      <c r="Q131" s="1449"/>
      <c r="R131" s="1426">
        <v>1</v>
      </c>
      <c r="S131" s="762">
        <f t="shared" si="81"/>
        <v>22.59</v>
      </c>
      <c r="T131" s="1450">
        <f t="shared" si="82"/>
        <v>918950.76341999997</v>
      </c>
      <c r="U131" s="1451">
        <f t="shared" si="83"/>
        <v>0.41187499999999999</v>
      </c>
      <c r="V131" s="1452" t="s">
        <v>890</v>
      </c>
      <c r="W131" s="1458" t="s">
        <v>891</v>
      </c>
      <c r="X131" s="1454">
        <f t="shared" si="84"/>
        <v>650872.60800000001</v>
      </c>
      <c r="Y131" s="1454">
        <v>0</v>
      </c>
      <c r="Z131" s="1454">
        <v>65313</v>
      </c>
      <c r="AA131" s="985">
        <f t="shared" si="85"/>
        <v>585559.60800000001</v>
      </c>
      <c r="AB131" s="986">
        <v>0</v>
      </c>
      <c r="AC131" s="978">
        <v>-58822</v>
      </c>
      <c r="AD131" s="1456" t="str">
        <f t="shared" si="86"/>
        <v>n/a</v>
      </c>
      <c r="AE131" s="1456">
        <f t="shared" si="87"/>
        <v>-9.9547721600761623</v>
      </c>
      <c r="AF131" s="1457">
        <f t="shared" si="88"/>
        <v>0</v>
      </c>
      <c r="AG131" s="1437"/>
      <c r="AK131" s="1463"/>
      <c r="AL131" s="1462"/>
      <c r="AM131" s="1461"/>
    </row>
    <row r="132" spans="1:73" s="1422" customFormat="1" ht="13.5" customHeight="1">
      <c r="A132" s="1495"/>
      <c r="B132" s="1443" t="s">
        <v>677</v>
      </c>
      <c r="C132" s="1446" t="s">
        <v>675</v>
      </c>
      <c r="D132" s="1445" t="s">
        <v>412</v>
      </c>
      <c r="E132" s="1446" t="s">
        <v>897</v>
      </c>
      <c r="F132" s="1447">
        <v>42213</v>
      </c>
      <c r="G132" s="1471">
        <v>25</v>
      </c>
      <c r="H132" s="1471">
        <v>20</v>
      </c>
      <c r="I132" s="1471">
        <v>23</v>
      </c>
      <c r="J132" s="1471">
        <v>19.510000000000002</v>
      </c>
      <c r="K132" s="2054">
        <f t="shared" si="54"/>
        <v>70643.631999999998</v>
      </c>
      <c r="L132" s="983">
        <v>8288</v>
      </c>
      <c r="M132" s="983">
        <v>78931.631999999998</v>
      </c>
      <c r="N132" s="2054">
        <f t="shared" si="63"/>
        <v>1766090.8</v>
      </c>
      <c r="O132" s="2053">
        <f t="shared" si="76"/>
        <v>207200</v>
      </c>
      <c r="P132" s="2054">
        <f t="shared" si="77"/>
        <v>1973290.8</v>
      </c>
      <c r="Q132" s="1449"/>
      <c r="R132" s="1426">
        <v>1</v>
      </c>
      <c r="S132" s="762">
        <f t="shared" si="81"/>
        <v>19.510000000000002</v>
      </c>
      <c r="T132" s="1450">
        <f t="shared" si="82"/>
        <v>1539956.14032</v>
      </c>
      <c r="U132" s="1451">
        <f t="shared" si="83"/>
        <v>-0.21960000000000002</v>
      </c>
      <c r="V132" s="1452" t="s">
        <v>676</v>
      </c>
      <c r="W132" s="1458" t="s">
        <v>678</v>
      </c>
      <c r="X132" s="1454">
        <f t="shared" si="84"/>
        <v>1973290.8</v>
      </c>
      <c r="Y132" s="1454">
        <v>0</v>
      </c>
      <c r="Z132" s="1454">
        <v>49854</v>
      </c>
      <c r="AA132" s="985">
        <f t="shared" si="85"/>
        <v>1923436.8</v>
      </c>
      <c r="AB132" s="986">
        <v>43</v>
      </c>
      <c r="AC132" s="978">
        <v>-141477</v>
      </c>
      <c r="AD132" s="1456">
        <f t="shared" si="86"/>
        <v>44731.088372093021</v>
      </c>
      <c r="AE132" s="1456">
        <f t="shared" si="87"/>
        <v>-13.595402786318624</v>
      </c>
      <c r="AF132" s="1457">
        <f t="shared" si="88"/>
        <v>0</v>
      </c>
      <c r="AG132" s="1437"/>
      <c r="AK132" s="1463"/>
      <c r="AL132" s="1462"/>
      <c r="AM132" s="1461"/>
    </row>
    <row r="133" spans="1:73" s="1422" customFormat="1" ht="13.5" customHeight="1">
      <c r="A133" s="1459"/>
      <c r="B133" s="1443" t="s">
        <v>908</v>
      </c>
      <c r="C133" s="1446" t="s">
        <v>909</v>
      </c>
      <c r="D133" s="1445" t="s">
        <v>412</v>
      </c>
      <c r="E133" s="1446" t="s">
        <v>910</v>
      </c>
      <c r="F133" s="1447">
        <v>42180</v>
      </c>
      <c r="G133" s="1471">
        <v>18</v>
      </c>
      <c r="H133" s="1471">
        <v>15</v>
      </c>
      <c r="I133" s="1471">
        <v>17</v>
      </c>
      <c r="J133" s="1471">
        <v>38.200000000000003</v>
      </c>
      <c r="K133" s="2054">
        <f t="shared" si="54"/>
        <v>30403.502</v>
      </c>
      <c r="L133" s="983">
        <v>7430.5550000000003</v>
      </c>
      <c r="M133" s="983">
        <v>37834.057000000001</v>
      </c>
      <c r="N133" s="2054">
        <f t="shared" si="63"/>
        <v>547263.03599999996</v>
      </c>
      <c r="O133" s="2053">
        <f t="shared" si="76"/>
        <v>133749.99</v>
      </c>
      <c r="P133" s="2054">
        <f t="shared" si="77"/>
        <v>681013.02599999995</v>
      </c>
      <c r="Q133" s="1449"/>
      <c r="R133" s="1426">
        <v>1</v>
      </c>
      <c r="S133" s="762">
        <f t="shared" si="81"/>
        <v>38.200000000000003</v>
      </c>
      <c r="T133" s="1450">
        <f t="shared" si="82"/>
        <v>1445260.9774000002</v>
      </c>
      <c r="U133" s="1451">
        <f t="shared" si="83"/>
        <v>1.1222222222222227</v>
      </c>
      <c r="V133" s="1464" t="s">
        <v>911</v>
      </c>
      <c r="W133" s="1458" t="s">
        <v>912</v>
      </c>
      <c r="X133" s="1454">
        <f t="shared" si="84"/>
        <v>681013.02599999995</v>
      </c>
      <c r="Y133" s="1454">
        <v>2216000</v>
      </c>
      <c r="Z133" s="1454">
        <v>45045</v>
      </c>
      <c r="AA133" s="985">
        <f t="shared" si="85"/>
        <v>2851968.0260000001</v>
      </c>
      <c r="AB133" s="986">
        <v>5714</v>
      </c>
      <c r="AC133" s="978">
        <v>-80629</v>
      </c>
      <c r="AD133" s="1456">
        <f t="shared" si="86"/>
        <v>499.11936051802593</v>
      </c>
      <c r="AE133" s="1456">
        <f t="shared" si="87"/>
        <v>-35.371491969390668</v>
      </c>
      <c r="AF133" s="1457">
        <f t="shared" si="88"/>
        <v>0</v>
      </c>
      <c r="AG133" s="1467"/>
      <c r="AH133" s="1466"/>
      <c r="AI133" s="1467"/>
      <c r="AJ133" s="1468"/>
      <c r="AK133" s="1466"/>
      <c r="AL133" s="1462"/>
      <c r="AM133" s="1461"/>
      <c r="AN133" s="1464"/>
      <c r="AO133" s="1469"/>
      <c r="AP133" s="1469"/>
    </row>
    <row r="134" spans="1:73" s="1422" customFormat="1" ht="13.5" customHeight="1">
      <c r="A134" s="1459"/>
      <c r="B134" s="1443" t="s">
        <v>917</v>
      </c>
      <c r="C134" s="1446" t="s">
        <v>918</v>
      </c>
      <c r="D134" s="1445" t="s">
        <v>1006</v>
      </c>
      <c r="E134" s="1446" t="s">
        <v>920</v>
      </c>
      <c r="F134" s="1447">
        <v>42179</v>
      </c>
      <c r="G134" s="1471">
        <v>5</v>
      </c>
      <c r="H134" s="1471">
        <v>0</v>
      </c>
      <c r="I134" s="1471">
        <v>0</v>
      </c>
      <c r="J134" s="1471">
        <v>4.1599000000000004</v>
      </c>
      <c r="K134" s="2054">
        <f t="shared" si="54"/>
        <v>3788.0600000000004</v>
      </c>
      <c r="L134" s="983">
        <v>4000</v>
      </c>
      <c r="M134" s="983">
        <v>7788.06</v>
      </c>
      <c r="N134" s="2054">
        <f t="shared" si="63"/>
        <v>18940.300000000003</v>
      </c>
      <c r="O134" s="2053">
        <f t="shared" si="76"/>
        <v>20000</v>
      </c>
      <c r="P134" s="2054">
        <f t="shared" si="77"/>
        <v>38940.300000000003</v>
      </c>
      <c r="Q134" s="1449"/>
      <c r="R134" s="1426">
        <v>1</v>
      </c>
      <c r="S134" s="762">
        <f t="shared" si="81"/>
        <v>4.1599000000000004</v>
      </c>
      <c r="T134" s="1450">
        <f t="shared" si="82"/>
        <v>32397.550794000006</v>
      </c>
      <c r="U134" s="1451">
        <f t="shared" si="83"/>
        <v>-0.16801999999999995</v>
      </c>
      <c r="V134" s="1452" t="s">
        <v>921</v>
      </c>
      <c r="W134" s="1458" t="s">
        <v>922</v>
      </c>
      <c r="X134" s="1454">
        <f t="shared" si="84"/>
        <v>38940.300000000003</v>
      </c>
      <c r="Y134" s="1454">
        <v>0</v>
      </c>
      <c r="Z134" s="1454">
        <v>1975.31</v>
      </c>
      <c r="AA134" s="985">
        <f t="shared" si="85"/>
        <v>36964.990000000005</v>
      </c>
      <c r="AB134" s="986">
        <v>0</v>
      </c>
      <c r="AC134" s="978">
        <v>-12714.72</v>
      </c>
      <c r="AD134" s="1456" t="str">
        <f t="shared" si="86"/>
        <v>n/a</v>
      </c>
      <c r="AE134" s="1456">
        <f t="shared" si="87"/>
        <v>-2.9072594599015948</v>
      </c>
      <c r="AF134" s="1457">
        <f t="shared" si="88"/>
        <v>0</v>
      </c>
      <c r="AG134" s="1437"/>
      <c r="AK134" s="1463"/>
      <c r="AL134" s="1462"/>
      <c r="AM134" s="1461"/>
    </row>
    <row r="135" spans="1:73" s="1422" customFormat="1" ht="13.5" customHeight="1">
      <c r="A135" s="1459"/>
      <c r="B135" s="1443" t="s">
        <v>956</v>
      </c>
      <c r="C135" s="1446" t="s">
        <v>957</v>
      </c>
      <c r="D135" s="1445" t="s">
        <v>412</v>
      </c>
      <c r="E135" s="1446" t="s">
        <v>958</v>
      </c>
      <c r="F135" s="1447">
        <v>42109</v>
      </c>
      <c r="G135" s="1471">
        <v>11</v>
      </c>
      <c r="H135" s="1471">
        <v>12</v>
      </c>
      <c r="I135" s="1471">
        <v>14</v>
      </c>
      <c r="J135" s="1471">
        <v>12.5</v>
      </c>
      <c r="K135" s="2054">
        <f t="shared" si="54"/>
        <v>8371.7650000000012</v>
      </c>
      <c r="L135" s="983">
        <v>5090.9089999999997</v>
      </c>
      <c r="M135" s="983">
        <v>13462.674000000001</v>
      </c>
      <c r="N135" s="2054">
        <f t="shared" si="63"/>
        <v>92089.415000000008</v>
      </c>
      <c r="O135" s="2053">
        <f t="shared" si="76"/>
        <v>55999.998999999996</v>
      </c>
      <c r="P135" s="2054">
        <f t="shared" si="77"/>
        <v>148089.41399999999</v>
      </c>
      <c r="Q135" s="1449"/>
      <c r="R135" s="1426">
        <v>1</v>
      </c>
      <c r="S135" s="762">
        <f t="shared" si="81"/>
        <v>12.5</v>
      </c>
      <c r="T135" s="1450">
        <f t="shared" si="82"/>
        <v>168283.42500000002</v>
      </c>
      <c r="U135" s="1451">
        <f t="shared" si="83"/>
        <v>0.13636363636363646</v>
      </c>
      <c r="V135" s="1464" t="s">
        <v>959</v>
      </c>
      <c r="W135" s="1458" t="s">
        <v>960</v>
      </c>
      <c r="X135" s="1454">
        <f t="shared" si="84"/>
        <v>148089.41399999999</v>
      </c>
      <c r="Y135" s="1454">
        <v>18146520</v>
      </c>
      <c r="Z135" s="1454">
        <v>10255.02</v>
      </c>
      <c r="AA135" s="985">
        <f t="shared" si="85"/>
        <v>18284354.394000001</v>
      </c>
      <c r="AB135" s="986">
        <v>0</v>
      </c>
      <c r="AC135" s="978">
        <v>-29908</v>
      </c>
      <c r="AD135" s="1456" t="str">
        <f t="shared" si="86"/>
        <v>n/a</v>
      </c>
      <c r="AE135" s="1456">
        <f t="shared" si="87"/>
        <v>-611.35329657616694</v>
      </c>
      <c r="AF135" s="1457">
        <f t="shared" si="88"/>
        <v>0</v>
      </c>
      <c r="AG135" s="1465"/>
      <c r="AH135" s="1465"/>
      <c r="AI135" s="1465"/>
      <c r="AJ135" s="1465"/>
      <c r="AK135" s="1466"/>
      <c r="AL135" s="1462"/>
      <c r="AM135" s="1461"/>
      <c r="AN135" s="1465"/>
      <c r="AO135" s="1465"/>
      <c r="AP135" s="1465"/>
      <c r="AQ135" s="1465"/>
      <c r="AR135" s="1465"/>
      <c r="AS135" s="1465"/>
      <c r="AT135" s="1465"/>
      <c r="AU135" s="1465"/>
      <c r="AV135" s="1465"/>
      <c r="AW135" s="1465"/>
      <c r="AX135" s="1465"/>
      <c r="AY135" s="1465"/>
      <c r="AZ135" s="1465"/>
      <c r="BA135" s="1465"/>
      <c r="BB135" s="1465"/>
      <c r="BC135" s="1465"/>
      <c r="BD135" s="1465"/>
      <c r="BE135" s="1465"/>
      <c r="BF135" s="1465"/>
      <c r="BG135" s="1465"/>
      <c r="BH135" s="1465"/>
      <c r="BI135" s="1465"/>
      <c r="BJ135" s="1465"/>
      <c r="BK135" s="1465"/>
      <c r="BL135" s="1465"/>
      <c r="BM135" s="1465"/>
      <c r="BN135" s="1465"/>
      <c r="BO135" s="1465"/>
      <c r="BP135" s="1465"/>
      <c r="BQ135" s="1465"/>
      <c r="BR135" s="1465"/>
      <c r="BS135" s="1465"/>
      <c r="BT135" s="1465"/>
      <c r="BU135" s="1465"/>
    </row>
    <row r="136" spans="1:73" s="1494" customFormat="1" ht="13.5" customHeight="1">
      <c r="A136" s="1459"/>
      <c r="B136" s="1443" t="s">
        <v>966</v>
      </c>
      <c r="C136" s="1446" t="s">
        <v>967</v>
      </c>
      <c r="D136" s="1445" t="s">
        <v>919</v>
      </c>
      <c r="E136" s="1446" t="s">
        <v>968</v>
      </c>
      <c r="F136" s="1447">
        <v>42108</v>
      </c>
      <c r="G136" s="1471">
        <v>17</v>
      </c>
      <c r="H136" s="1471">
        <v>14</v>
      </c>
      <c r="I136" s="1471">
        <v>16</v>
      </c>
      <c r="J136" s="1471">
        <v>31.47</v>
      </c>
      <c r="K136" s="2054">
        <f t="shared" si="54"/>
        <v>51950.504000000001</v>
      </c>
      <c r="L136" s="983">
        <v>7000</v>
      </c>
      <c r="M136" s="983">
        <v>58950.504000000001</v>
      </c>
      <c r="N136" s="2054">
        <f t="shared" si="63"/>
        <v>883158.56799999997</v>
      </c>
      <c r="O136" s="2053">
        <f t="shared" si="76"/>
        <v>119000</v>
      </c>
      <c r="P136" s="2054">
        <f t="shared" si="77"/>
        <v>1002158.568</v>
      </c>
      <c r="Q136" s="1449"/>
      <c r="R136" s="1449">
        <v>1</v>
      </c>
      <c r="S136" s="762">
        <f t="shared" si="81"/>
        <v>31.47</v>
      </c>
      <c r="T136" s="1503">
        <f t="shared" si="82"/>
        <v>1855172.3608800001</v>
      </c>
      <c r="U136" s="1504">
        <f t="shared" si="83"/>
        <v>0.85117647058823542</v>
      </c>
      <c r="V136" s="1505" t="s">
        <v>969</v>
      </c>
      <c r="W136" s="1505" t="s">
        <v>1205</v>
      </c>
      <c r="X136" s="1507">
        <f t="shared" si="84"/>
        <v>1002158.568</v>
      </c>
      <c r="Y136" s="1507">
        <v>0</v>
      </c>
      <c r="Z136" s="1507">
        <v>119456</v>
      </c>
      <c r="AA136" s="1517">
        <f t="shared" si="85"/>
        <v>882702.56799999997</v>
      </c>
      <c r="AB136" s="1518">
        <v>96531</v>
      </c>
      <c r="AC136" s="1519">
        <v>-17434</v>
      </c>
      <c r="AD136" s="1520">
        <f t="shared" si="86"/>
        <v>9.1442393428017947</v>
      </c>
      <c r="AE136" s="1520">
        <f t="shared" si="87"/>
        <v>-50.63109831364001</v>
      </c>
      <c r="AF136" s="1463">
        <f t="shared" si="88"/>
        <v>0</v>
      </c>
      <c r="AI136" s="1443"/>
      <c r="AJ136" s="1463"/>
      <c r="AK136" s="1446"/>
      <c r="AL136" s="1459"/>
    </row>
    <row r="137" spans="1:73" s="1465" customFormat="1" ht="13.5" customHeight="1">
      <c r="A137" s="1459"/>
      <c r="B137" s="1443" t="s">
        <v>975</v>
      </c>
      <c r="C137" s="1446" t="s">
        <v>976</v>
      </c>
      <c r="D137" s="1445" t="s">
        <v>412</v>
      </c>
      <c r="E137" s="1446" t="s">
        <v>977</v>
      </c>
      <c r="F137" s="1447">
        <v>42053</v>
      </c>
      <c r="G137" s="1471">
        <v>6</v>
      </c>
      <c r="H137" s="1471">
        <v>13</v>
      </c>
      <c r="I137" s="1471">
        <v>15</v>
      </c>
      <c r="J137" s="1471">
        <v>5.75</v>
      </c>
      <c r="K137" s="2054">
        <f t="shared" si="54"/>
        <v>9210.49</v>
      </c>
      <c r="L137" s="983">
        <v>6667</v>
      </c>
      <c r="M137" s="983">
        <v>15877.49</v>
      </c>
      <c r="N137" s="2054">
        <f t="shared" si="63"/>
        <v>55262.94</v>
      </c>
      <c r="O137" s="2053">
        <f t="shared" si="76"/>
        <v>40002</v>
      </c>
      <c r="P137" s="2054">
        <f t="shared" si="77"/>
        <v>95264.94</v>
      </c>
      <c r="Q137" s="1449"/>
      <c r="R137" s="1426">
        <v>1</v>
      </c>
      <c r="S137" s="762">
        <f t="shared" si="81"/>
        <v>5.75</v>
      </c>
      <c r="T137" s="1450">
        <f t="shared" si="82"/>
        <v>91295.567500000005</v>
      </c>
      <c r="U137" s="1451">
        <f t="shared" si="83"/>
        <v>-4.166666666666663E-2</v>
      </c>
      <c r="V137" s="1458" t="s">
        <v>978</v>
      </c>
      <c r="W137" s="1458" t="s">
        <v>979</v>
      </c>
      <c r="X137" s="1454">
        <f t="shared" si="84"/>
        <v>95264.94</v>
      </c>
      <c r="Y137" s="1454">
        <v>6274000</v>
      </c>
      <c r="Z137" s="1454">
        <v>5357</v>
      </c>
      <c r="AA137" s="985">
        <f t="shared" si="85"/>
        <v>6363907.9400000004</v>
      </c>
      <c r="AB137" s="986">
        <v>0</v>
      </c>
      <c r="AC137" s="978">
        <v>-32466</v>
      </c>
      <c r="AD137" s="1456" t="str">
        <f t="shared" si="86"/>
        <v>n/a</v>
      </c>
      <c r="AE137" s="1456">
        <f t="shared" si="87"/>
        <v>-196.01761658350276</v>
      </c>
      <c r="AF137" s="1457">
        <f t="shared" si="88"/>
        <v>0</v>
      </c>
      <c r="AG137" s="1422"/>
      <c r="AH137" s="1422"/>
      <c r="AI137" s="1501"/>
      <c r="AJ137" s="1463"/>
      <c r="AK137" s="1462"/>
      <c r="AL137" s="1461"/>
      <c r="AM137" s="1422"/>
      <c r="AN137" s="1422"/>
      <c r="AO137" s="1422"/>
    </row>
    <row r="138" spans="1:73" s="1465" customFormat="1" ht="13.5" customHeight="1">
      <c r="A138" s="1459"/>
      <c r="B138" s="1443" t="s">
        <v>980</v>
      </c>
      <c r="C138" s="1446" t="s">
        <v>981</v>
      </c>
      <c r="D138" s="1445" t="s">
        <v>412</v>
      </c>
      <c r="E138" s="1446" t="s">
        <v>982</v>
      </c>
      <c r="F138" s="1447">
        <v>42048</v>
      </c>
      <c r="G138" s="1471">
        <v>12</v>
      </c>
      <c r="H138" s="1471">
        <v>14</v>
      </c>
      <c r="I138" s="1471">
        <v>16</v>
      </c>
      <c r="J138" s="1471">
        <v>9.75</v>
      </c>
      <c r="K138" s="2054">
        <f t="shared" si="54"/>
        <v>7905.3259999999991</v>
      </c>
      <c r="L138" s="983">
        <v>5000</v>
      </c>
      <c r="M138" s="983">
        <v>12905.325999999999</v>
      </c>
      <c r="N138" s="2054">
        <f t="shared" si="63"/>
        <v>94863.911999999982</v>
      </c>
      <c r="O138" s="2053">
        <f t="shared" si="76"/>
        <v>60000</v>
      </c>
      <c r="P138" s="2054">
        <f t="shared" si="77"/>
        <v>154863.91199999998</v>
      </c>
      <c r="Q138" s="1449"/>
      <c r="R138" s="1426">
        <v>1</v>
      </c>
      <c r="S138" s="762">
        <f t="shared" si="81"/>
        <v>9.75</v>
      </c>
      <c r="T138" s="1450">
        <f t="shared" si="82"/>
        <v>125826.92849999999</v>
      </c>
      <c r="U138" s="1451">
        <f t="shared" si="83"/>
        <v>-0.18749999999999989</v>
      </c>
      <c r="V138" s="1458" t="s">
        <v>983</v>
      </c>
      <c r="W138" s="1458" t="s">
        <v>984</v>
      </c>
      <c r="X138" s="1454">
        <f t="shared" si="84"/>
        <v>154863.91199999998</v>
      </c>
      <c r="Y138" s="1454">
        <v>0</v>
      </c>
      <c r="Z138" s="1454">
        <v>30605</v>
      </c>
      <c r="AA138" s="985">
        <f t="shared" si="85"/>
        <v>124258.91199999998</v>
      </c>
      <c r="AB138" s="986">
        <v>0</v>
      </c>
      <c r="AC138" s="978">
        <v>-32861</v>
      </c>
      <c r="AD138" s="1456" t="str">
        <f t="shared" si="86"/>
        <v>n/a</v>
      </c>
      <c r="AE138" s="1456">
        <f t="shared" si="87"/>
        <v>-3.7813490764127682</v>
      </c>
      <c r="AF138" s="1457">
        <f t="shared" si="88"/>
        <v>0</v>
      </c>
      <c r="AG138" s="1422"/>
      <c r="AH138" s="1422"/>
      <c r="AI138" s="1501"/>
      <c r="AJ138" s="1463"/>
      <c r="AK138" s="1462"/>
      <c r="AL138" s="1461"/>
      <c r="AM138" s="1422"/>
      <c r="AN138" s="1422"/>
      <c r="AO138" s="1422"/>
    </row>
    <row r="139" spans="1:73" s="1465" customFormat="1" ht="13.5" customHeight="1">
      <c r="A139" s="1459"/>
      <c r="B139" s="1443" t="s">
        <v>720</v>
      </c>
      <c r="C139" s="1446" t="s">
        <v>991</v>
      </c>
      <c r="D139" s="1445" t="s">
        <v>412</v>
      </c>
      <c r="E139" s="1446" t="s">
        <v>992</v>
      </c>
      <c r="F139" s="1447">
        <v>42033</v>
      </c>
      <c r="G139" s="1471">
        <v>10</v>
      </c>
      <c r="H139" s="1471">
        <v>12</v>
      </c>
      <c r="I139" s="1471">
        <v>14</v>
      </c>
      <c r="J139" s="1471">
        <v>13.43</v>
      </c>
      <c r="K139" s="2054">
        <f t="shared" si="54"/>
        <v>8492.8060000000005</v>
      </c>
      <c r="L139" s="983">
        <v>3600</v>
      </c>
      <c r="M139" s="983">
        <v>12092.806</v>
      </c>
      <c r="N139" s="2054">
        <f t="shared" si="63"/>
        <v>84928.06</v>
      </c>
      <c r="O139" s="2053">
        <f t="shared" si="76"/>
        <v>36000</v>
      </c>
      <c r="P139" s="2054">
        <f t="shared" si="77"/>
        <v>120928.06</v>
      </c>
      <c r="Q139" s="1449"/>
      <c r="R139" s="1426">
        <v>1</v>
      </c>
      <c r="S139" s="762">
        <f t="shared" si="81"/>
        <v>13.43</v>
      </c>
      <c r="T139" s="1450">
        <f t="shared" si="82"/>
        <v>162406.38458000001</v>
      </c>
      <c r="U139" s="1451">
        <f t="shared" si="83"/>
        <v>0.34300000000000019</v>
      </c>
      <c r="V139" s="1458" t="s">
        <v>993</v>
      </c>
      <c r="W139" s="1458" t="s">
        <v>994</v>
      </c>
      <c r="X139" s="1454">
        <f t="shared" si="84"/>
        <v>120928.06</v>
      </c>
      <c r="Y139" s="1454">
        <v>9464000</v>
      </c>
      <c r="Z139" s="1454">
        <v>39207</v>
      </c>
      <c r="AA139" s="985">
        <f t="shared" si="85"/>
        <v>9545721.0600000005</v>
      </c>
      <c r="AB139" s="986">
        <v>4592</v>
      </c>
      <c r="AC139" s="978">
        <v>-31294</v>
      </c>
      <c r="AD139" s="1456">
        <f t="shared" si="86"/>
        <v>2078.7720078397215</v>
      </c>
      <c r="AE139" s="1456">
        <f t="shared" si="87"/>
        <v>-305.03358663002496</v>
      </c>
      <c r="AF139" s="1457">
        <f t="shared" si="88"/>
        <v>0</v>
      </c>
      <c r="AI139" s="1502"/>
      <c r="AJ139" s="1466"/>
      <c r="AK139" s="1462"/>
      <c r="AL139" s="1461"/>
    </row>
    <row r="140" spans="1:73" s="1465" customFormat="1" ht="13.5" customHeight="1">
      <c r="A140" s="1459"/>
      <c r="B140" s="1443" t="s">
        <v>999</v>
      </c>
      <c r="C140" s="1446" t="s">
        <v>1000</v>
      </c>
      <c r="D140" s="1445" t="s">
        <v>412</v>
      </c>
      <c r="E140" s="1446" t="s">
        <v>1001</v>
      </c>
      <c r="F140" s="1447">
        <v>42030</v>
      </c>
      <c r="G140" s="1471">
        <v>11</v>
      </c>
      <c r="H140" s="1471">
        <v>10</v>
      </c>
      <c r="I140" s="1471">
        <v>12</v>
      </c>
      <c r="J140" s="1471">
        <v>11.04</v>
      </c>
      <c r="K140" s="2054">
        <f t="shared" si="54"/>
        <v>7316.1119999999992</v>
      </c>
      <c r="L140" s="983">
        <v>4500</v>
      </c>
      <c r="M140" s="983">
        <v>11816.111999999999</v>
      </c>
      <c r="N140" s="2054">
        <f t="shared" si="63"/>
        <v>80477.231999999989</v>
      </c>
      <c r="O140" s="2053">
        <f t="shared" si="76"/>
        <v>49500</v>
      </c>
      <c r="P140" s="2054">
        <f t="shared" si="77"/>
        <v>129977.23199999999</v>
      </c>
      <c r="Q140" s="1449"/>
      <c r="R140" s="1426">
        <v>1</v>
      </c>
      <c r="S140" s="762">
        <f t="shared" si="81"/>
        <v>11.04</v>
      </c>
      <c r="T140" s="1450">
        <f t="shared" si="82"/>
        <v>130449.87647999998</v>
      </c>
      <c r="U140" s="1451">
        <f t="shared" si="83"/>
        <v>3.6363636363634377E-3</v>
      </c>
      <c r="V140" s="1458" t="s">
        <v>1002</v>
      </c>
      <c r="W140" s="1458" t="s">
        <v>1003</v>
      </c>
      <c r="X140" s="1454">
        <f t="shared" si="84"/>
        <v>129977.23199999999</v>
      </c>
      <c r="Y140" s="1454">
        <v>20263000</v>
      </c>
      <c r="Z140" s="1454">
        <v>2303</v>
      </c>
      <c r="AA140" s="985">
        <f t="shared" si="85"/>
        <v>20390674.232000001</v>
      </c>
      <c r="AB140" s="986">
        <v>0</v>
      </c>
      <c r="AC140" s="978">
        <v>-26747</v>
      </c>
      <c r="AD140" s="1456" t="str">
        <f t="shared" si="86"/>
        <v>n/a</v>
      </c>
      <c r="AE140" s="1456">
        <f t="shared" si="87"/>
        <v>-762.35369319923734</v>
      </c>
      <c r="AF140" s="1457">
        <f t="shared" si="88"/>
        <v>0</v>
      </c>
      <c r="AG140" s="1422"/>
      <c r="AH140" s="1422"/>
      <c r="AI140" s="1422"/>
      <c r="AJ140" s="1463"/>
      <c r="AK140" s="1462"/>
      <c r="AL140" s="1461"/>
      <c r="AM140" s="1422"/>
      <c r="AN140" s="1422"/>
      <c r="AO140" s="1422"/>
    </row>
    <row r="141" spans="1:73" s="1465" customFormat="1" ht="13.5" customHeight="1">
      <c r="A141" s="1495"/>
      <c r="B141" s="1443"/>
      <c r="C141" s="1446"/>
      <c r="D141" s="1445"/>
      <c r="E141" s="1446"/>
      <c r="F141" s="1447"/>
      <c r="G141" s="1471"/>
      <c r="H141" s="1471"/>
      <c r="I141" s="1471"/>
      <c r="J141" s="1471"/>
      <c r="K141" s="2054"/>
      <c r="L141" s="983"/>
      <c r="M141" s="983"/>
      <c r="N141" s="2054"/>
      <c r="O141" s="2053"/>
      <c r="P141" s="2054"/>
      <c r="Q141" s="1449"/>
      <c r="R141" s="1426"/>
      <c r="S141" s="762"/>
      <c r="T141" s="1450"/>
      <c r="U141" s="1451"/>
      <c r="V141" s="1458"/>
      <c r="W141" s="1458"/>
      <c r="X141" s="1454"/>
      <c r="Y141" s="1454"/>
      <c r="Z141" s="1454"/>
      <c r="AA141" s="985"/>
      <c r="AB141" s="986"/>
      <c r="AC141" s="978"/>
      <c r="AD141" s="1456"/>
      <c r="AE141" s="1456"/>
      <c r="AF141" s="1457"/>
      <c r="AG141" s="1422"/>
      <c r="AH141" s="1422"/>
      <c r="AI141" s="1422"/>
      <c r="AJ141" s="1463"/>
      <c r="AK141" s="1462"/>
      <c r="AL141" s="1461"/>
      <c r="AM141" s="1422"/>
      <c r="AN141" s="1422"/>
      <c r="AO141" s="1422"/>
    </row>
    <row r="142" spans="1:73" s="1494" customFormat="1" ht="13.5" customHeight="1">
      <c r="A142" s="1459"/>
      <c r="B142" s="1472" t="s">
        <v>2198</v>
      </c>
      <c r="C142" s="1446"/>
      <c r="D142" s="1445"/>
      <c r="E142" s="1446"/>
      <c r="F142" s="1447"/>
      <c r="G142" s="1470"/>
      <c r="H142" s="1471"/>
      <c r="I142" s="1471"/>
      <c r="J142" s="1470"/>
      <c r="K142" s="2051"/>
      <c r="L142" s="2053"/>
      <c r="M142" s="2053"/>
      <c r="N142" s="2054"/>
      <c r="O142" s="2053"/>
      <c r="P142" s="2054"/>
      <c r="Q142" s="1449"/>
      <c r="R142" s="1449"/>
      <c r="S142" s="762"/>
      <c r="T142" s="1503"/>
      <c r="U142" s="1504"/>
      <c r="V142" s="1505"/>
      <c r="W142" s="1505"/>
      <c r="X142" s="1463"/>
      <c r="Y142" s="1454"/>
      <c r="Z142" s="1454"/>
      <c r="AA142" s="985"/>
      <c r="AB142" s="986"/>
      <c r="AC142" s="978"/>
      <c r="AD142" s="1456"/>
      <c r="AE142" s="1456"/>
      <c r="AF142" s="1459"/>
      <c r="AJ142" s="1463"/>
      <c r="AK142" s="1446"/>
      <c r="AL142" s="1459"/>
    </row>
    <row r="143" spans="1:73" s="1465" customFormat="1" ht="13.5" customHeight="1">
      <c r="A143" s="1459"/>
      <c r="B143" s="1473" t="s">
        <v>46</v>
      </c>
      <c r="C143" s="1474"/>
      <c r="D143" s="1474"/>
      <c r="E143" s="1474"/>
      <c r="F143" s="1474"/>
      <c r="G143" s="1474"/>
      <c r="H143" s="1474"/>
      <c r="I143" s="1474"/>
      <c r="J143" s="1474"/>
      <c r="K143" s="2056"/>
      <c r="L143" s="2056"/>
      <c r="M143" s="2056"/>
      <c r="N143" s="1475">
        <f>MAX(N95:N140)</f>
        <v>1766090.8</v>
      </c>
      <c r="O143" s="1475"/>
      <c r="P143" s="1476">
        <f>MAX(P95:P140)</f>
        <v>1973290.8</v>
      </c>
      <c r="Q143" s="1449"/>
      <c r="R143" s="1449"/>
      <c r="S143" s="1477">
        <f>MAX(S95:S140)</f>
        <v>52.72</v>
      </c>
      <c r="T143" s="1450"/>
      <c r="U143" s="1451"/>
      <c r="V143" s="1464"/>
      <c r="W143" s="1458"/>
      <c r="X143" s="1454"/>
      <c r="Y143" s="1454"/>
      <c r="Z143" s="1454"/>
      <c r="AA143" s="985"/>
      <c r="AB143" s="986"/>
      <c r="AC143" s="978"/>
      <c r="AD143" s="1456"/>
      <c r="AE143" s="1456"/>
      <c r="AF143" s="1457"/>
      <c r="AK143" s="1466"/>
      <c r="AL143" s="1462"/>
      <c r="AM143" s="1461"/>
    </row>
    <row r="144" spans="1:73" s="1465" customFormat="1" ht="13.5" customHeight="1">
      <c r="A144" s="1459"/>
      <c r="B144" s="763" t="s">
        <v>50</v>
      </c>
      <c r="C144" s="764"/>
      <c r="D144" s="764"/>
      <c r="E144" s="764"/>
      <c r="F144" s="764"/>
      <c r="G144" s="764"/>
      <c r="H144" s="764"/>
      <c r="I144" s="764"/>
      <c r="J144" s="764"/>
      <c r="K144" s="2057"/>
      <c r="L144" s="2057"/>
      <c r="M144" s="2057"/>
      <c r="N144" s="756">
        <f>_xlfn.QUARTILE.INC(N95:N140,3)</f>
        <v>415070.47774999996</v>
      </c>
      <c r="O144" s="756"/>
      <c r="P144" s="765">
        <f>_xlfn.QUARTILE.INC(P95:P140,3)</f>
        <v>519323.20124999998</v>
      </c>
      <c r="Q144" s="1449"/>
      <c r="R144" s="1449"/>
      <c r="S144" s="913">
        <f>_xlfn.QUARTILE.INC(S95:S140,3)</f>
        <v>21.172499999999999</v>
      </c>
      <c r="T144" s="1450"/>
      <c r="U144" s="1451"/>
      <c r="V144" s="1464"/>
      <c r="W144" s="1458"/>
      <c r="X144" s="1454"/>
      <c r="Y144" s="1454"/>
      <c r="Z144" s="1454"/>
      <c r="AA144" s="985"/>
      <c r="AB144" s="986"/>
      <c r="AC144" s="978"/>
      <c r="AD144" s="1456"/>
      <c r="AE144" s="1456"/>
      <c r="AF144" s="1457"/>
      <c r="AK144" s="1466"/>
      <c r="AL144" s="1462"/>
      <c r="AM144" s="1461"/>
    </row>
    <row r="145" spans="1:41" s="1465" customFormat="1" ht="13.5" customHeight="1">
      <c r="A145" s="1459"/>
      <c r="B145" s="763" t="s">
        <v>2</v>
      </c>
      <c r="C145" s="764"/>
      <c r="D145" s="764"/>
      <c r="E145" s="764"/>
      <c r="F145" s="764"/>
      <c r="G145" s="764"/>
      <c r="H145" s="764"/>
      <c r="I145" s="764"/>
      <c r="J145" s="764"/>
      <c r="K145" s="2057"/>
      <c r="L145" s="2057"/>
      <c r="M145" s="2057"/>
      <c r="N145" s="756">
        <f>AVERAGE(N95:N140)</f>
        <v>293424.71570652176</v>
      </c>
      <c r="O145" s="756"/>
      <c r="P145" s="765">
        <f>AVERAGE(P95:P140)</f>
        <v>376660.86783695669</v>
      </c>
      <c r="Q145" s="1449"/>
      <c r="R145" s="1449"/>
      <c r="S145" s="913">
        <f>AVERAGE(S95:S140)</f>
        <v>17.841084782608696</v>
      </c>
      <c r="T145" s="1450"/>
      <c r="U145" s="1451"/>
      <c r="V145" s="1464"/>
      <c r="W145" s="1458"/>
      <c r="X145" s="1454"/>
      <c r="Y145" s="1454"/>
      <c r="Z145" s="1454"/>
      <c r="AA145" s="985"/>
      <c r="AB145" s="986"/>
      <c r="AC145" s="978"/>
      <c r="AD145" s="1456"/>
      <c r="AE145" s="1456"/>
      <c r="AF145" s="1457"/>
      <c r="AK145" s="1466"/>
      <c r="AL145" s="1462"/>
      <c r="AM145" s="1461"/>
    </row>
    <row r="146" spans="1:41" s="1465" customFormat="1" ht="13.5" customHeight="1">
      <c r="A146" s="1459"/>
      <c r="B146" s="763" t="s">
        <v>3</v>
      </c>
      <c r="C146" s="764"/>
      <c r="D146" s="764"/>
      <c r="E146" s="764"/>
      <c r="F146" s="764"/>
      <c r="G146" s="764"/>
      <c r="H146" s="764"/>
      <c r="I146" s="764"/>
      <c r="J146" s="764"/>
      <c r="K146" s="2057"/>
      <c r="L146" s="2057"/>
      <c r="M146" s="2057"/>
      <c r="N146" s="756">
        <f>MEDIAN(N95:N140)</f>
        <v>242242.29</v>
      </c>
      <c r="O146" s="756"/>
      <c r="P146" s="765">
        <f>MEDIAN(P95:P140)</f>
        <v>326812.49549999996</v>
      </c>
      <c r="Q146" s="1449"/>
      <c r="R146" s="1449"/>
      <c r="S146" s="913">
        <f>MEDIAN(S95:S140)</f>
        <v>15.105</v>
      </c>
      <c r="T146" s="1450"/>
      <c r="U146" s="1451"/>
      <c r="V146" s="1464"/>
      <c r="W146" s="1458"/>
      <c r="X146" s="1454"/>
      <c r="Y146" s="1454"/>
      <c r="Z146" s="1454"/>
      <c r="AA146" s="985"/>
      <c r="AB146" s="986"/>
      <c r="AC146" s="978"/>
      <c r="AD146" s="1456"/>
      <c r="AE146" s="1456"/>
      <c r="AF146" s="1457"/>
      <c r="AK146" s="1466"/>
      <c r="AL146" s="1462"/>
      <c r="AM146" s="1461"/>
    </row>
    <row r="147" spans="1:41" s="1465" customFormat="1" ht="13.5" customHeight="1">
      <c r="A147" s="1459"/>
      <c r="B147" s="763" t="s">
        <v>49</v>
      </c>
      <c r="C147" s="764"/>
      <c r="D147" s="764"/>
      <c r="E147" s="764"/>
      <c r="F147" s="764"/>
      <c r="G147" s="764"/>
      <c r="H147" s="764"/>
      <c r="I147" s="764"/>
      <c r="J147" s="764"/>
      <c r="K147" s="2057"/>
      <c r="L147" s="2057"/>
      <c r="M147" s="2057"/>
      <c r="N147" s="756">
        <f>_xlfn.QUARTILE.INC(N95:N140,1)</f>
        <v>92783.039250000002</v>
      </c>
      <c r="O147" s="756"/>
      <c r="P147" s="765">
        <f>_xlfn.QUARTILE.INC(P95:P140,1)</f>
        <v>139730.22600000002</v>
      </c>
      <c r="Q147" s="1449"/>
      <c r="R147" s="1449"/>
      <c r="S147" s="913">
        <f>_xlfn.QUARTILE.INC(S95:S140,1)</f>
        <v>11.305</v>
      </c>
      <c r="T147" s="1450"/>
      <c r="U147" s="1451"/>
      <c r="V147" s="1464"/>
      <c r="W147" s="1458"/>
      <c r="X147" s="1454"/>
      <c r="Y147" s="1454"/>
      <c r="Z147" s="1454"/>
      <c r="AA147" s="985"/>
      <c r="AB147" s="986"/>
      <c r="AC147" s="978"/>
      <c r="AD147" s="1456"/>
      <c r="AE147" s="1456"/>
      <c r="AF147" s="1457"/>
      <c r="AK147" s="1466"/>
      <c r="AL147" s="1462"/>
      <c r="AM147" s="1461"/>
    </row>
    <row r="148" spans="1:41" s="1465" customFormat="1" ht="13.5" customHeight="1">
      <c r="A148" s="1459"/>
      <c r="B148" s="914" t="s">
        <v>47</v>
      </c>
      <c r="C148" s="766"/>
      <c r="D148" s="766"/>
      <c r="E148" s="766"/>
      <c r="F148" s="766"/>
      <c r="G148" s="766"/>
      <c r="H148" s="766"/>
      <c r="I148" s="766"/>
      <c r="J148" s="766"/>
      <c r="K148" s="2058"/>
      <c r="L148" s="2058"/>
      <c r="M148" s="2058"/>
      <c r="N148" s="757">
        <f>MIN(N95:N140)</f>
        <v>18940.300000000003</v>
      </c>
      <c r="O148" s="757"/>
      <c r="P148" s="767">
        <f>MIN(P95:P140)</f>
        <v>38940.300000000003</v>
      </c>
      <c r="Q148" s="1449"/>
      <c r="R148" s="1449"/>
      <c r="S148" s="1478">
        <f>MIN(S95:S140)</f>
        <v>3.13</v>
      </c>
      <c r="T148" s="1450"/>
      <c r="U148" s="1451"/>
      <c r="V148" s="1464"/>
      <c r="W148" s="1458"/>
      <c r="X148" s="1454"/>
      <c r="Y148" s="1454"/>
      <c r="Z148" s="1454"/>
      <c r="AA148" s="985"/>
      <c r="AB148" s="986"/>
      <c r="AC148" s="978"/>
      <c r="AD148" s="1456"/>
      <c r="AE148" s="1456"/>
      <c r="AF148" s="1457"/>
      <c r="AK148" s="1466"/>
      <c r="AL148" s="1462"/>
      <c r="AM148" s="1461"/>
    </row>
    <row r="149" spans="1:41" s="1465" customFormat="1" ht="13.5" customHeight="1">
      <c r="A149" s="1459"/>
      <c r="B149" s="1443"/>
      <c r="C149" s="1446"/>
      <c r="D149" s="1445"/>
      <c r="E149" s="1446"/>
      <c r="F149" s="1447"/>
      <c r="G149" s="1470"/>
      <c r="H149" s="1471"/>
      <c r="I149" s="1471"/>
      <c r="J149" s="1470"/>
      <c r="K149" s="2051"/>
      <c r="L149" s="2053"/>
      <c r="M149" s="2053"/>
      <c r="N149" s="2054"/>
      <c r="O149" s="2053"/>
      <c r="P149" s="2054"/>
      <c r="Q149" s="1449"/>
      <c r="R149" s="1449"/>
      <c r="S149" s="762"/>
      <c r="T149" s="1450"/>
      <c r="U149" s="1451"/>
      <c r="V149" s="1464"/>
      <c r="W149" s="1458"/>
      <c r="X149" s="1454"/>
      <c r="Y149" s="1454"/>
      <c r="Z149" s="1454"/>
      <c r="AA149" s="985"/>
      <c r="AB149" s="986"/>
      <c r="AC149" s="978"/>
      <c r="AD149" s="1456"/>
      <c r="AE149" s="1456"/>
      <c r="AF149" s="1457"/>
      <c r="AK149" s="1466"/>
      <c r="AL149" s="1462"/>
      <c r="AM149" s="1461"/>
    </row>
    <row r="150" spans="1:41" s="1465" customFormat="1" ht="13.5" customHeight="1">
      <c r="A150" s="1459"/>
      <c r="B150" s="1479" t="s">
        <v>1412</v>
      </c>
      <c r="C150" s="1446"/>
      <c r="D150" s="1445"/>
      <c r="E150" s="1446"/>
      <c r="F150" s="1447"/>
      <c r="G150" s="1470"/>
      <c r="H150" s="1471"/>
      <c r="I150" s="1471"/>
      <c r="J150" s="1470"/>
      <c r="K150" s="2051"/>
      <c r="L150" s="2053"/>
      <c r="M150" s="2053"/>
      <c r="N150" s="2054"/>
      <c r="O150" s="2053"/>
      <c r="P150" s="2054"/>
      <c r="Q150" s="1449"/>
      <c r="R150" s="1449"/>
      <c r="S150" s="762"/>
      <c r="T150" s="1450"/>
      <c r="U150" s="1451"/>
      <c r="V150" s="1458"/>
      <c r="W150" s="1458"/>
      <c r="X150" s="1457"/>
      <c r="Y150" s="1454"/>
      <c r="Z150" s="1454"/>
      <c r="AA150" s="985"/>
      <c r="AB150" s="986"/>
      <c r="AC150" s="978"/>
      <c r="AD150" s="1456"/>
      <c r="AE150" s="1456"/>
      <c r="AF150" s="1437"/>
      <c r="AG150" s="1422"/>
      <c r="AH150" s="1422"/>
      <c r="AI150" s="1422"/>
      <c r="AJ150" s="1463"/>
      <c r="AK150" s="1462"/>
      <c r="AL150" s="1461"/>
      <c r="AM150" s="1422"/>
      <c r="AN150" s="1422"/>
      <c r="AO150" s="1422"/>
    </row>
    <row r="151" spans="1:41" s="1465" customFormat="1" ht="13.5" customHeight="1">
      <c r="A151" s="1459"/>
      <c r="B151" s="1443" t="s">
        <v>2504</v>
      </c>
      <c r="C151" s="1912" t="s">
        <v>2505</v>
      </c>
      <c r="D151" s="1445" t="s">
        <v>732</v>
      </c>
      <c r="E151" s="1915" t="s">
        <v>2509</v>
      </c>
      <c r="F151" s="1919">
        <v>43305</v>
      </c>
      <c r="G151" s="1920">
        <v>15</v>
      </c>
      <c r="H151" s="1920">
        <v>14</v>
      </c>
      <c r="I151" s="1921">
        <v>16</v>
      </c>
      <c r="J151" s="1921">
        <v>16.05</v>
      </c>
      <c r="K151" s="2054">
        <f t="shared" ref="K151:K177" si="89">+M151-L151</f>
        <v>20000</v>
      </c>
      <c r="L151" s="983">
        <v>4500</v>
      </c>
      <c r="M151" s="983">
        <v>24500</v>
      </c>
      <c r="N151" s="2054">
        <f t="shared" ref="N151:N152" si="90">+G151*K151</f>
        <v>300000</v>
      </c>
      <c r="O151" s="2053">
        <f t="shared" ref="O151:O152" si="91">+G151*L151</f>
        <v>67500</v>
      </c>
      <c r="P151" s="2054">
        <f t="shared" ref="P151:P152" si="92">+N151+O151</f>
        <v>367500</v>
      </c>
      <c r="Q151" s="1449"/>
      <c r="R151" s="1426">
        <v>1</v>
      </c>
      <c r="S151" s="762">
        <f t="shared" ref="S151:S152" si="93">J151</f>
        <v>16.05</v>
      </c>
      <c r="T151" s="1450">
        <f t="shared" ref="T151:T152" si="94">S151*M151</f>
        <v>393225</v>
      </c>
      <c r="U151" s="1451">
        <f t="shared" ref="U151:U152" si="95">T151/P151-1</f>
        <v>7.0000000000000062E-2</v>
      </c>
      <c r="V151" s="1923" t="s">
        <v>2511</v>
      </c>
      <c r="W151" s="1922" t="s">
        <v>2510</v>
      </c>
      <c r="X151" s="1454">
        <f t="shared" ref="X151:X153" si="96">+N151+O151</f>
        <v>367500</v>
      </c>
      <c r="Y151" s="1454"/>
      <c r="Z151" s="1454"/>
      <c r="AA151" s="985"/>
      <c r="AB151" s="986"/>
      <c r="AC151" s="978"/>
      <c r="AD151" s="1456"/>
      <c r="AE151" s="1456"/>
      <c r="AF151" s="1437"/>
      <c r="AG151" s="1422"/>
      <c r="AH151" s="1422"/>
      <c r="AI151" s="1422"/>
      <c r="AJ151" s="1463"/>
      <c r="AK151" s="1462"/>
      <c r="AL151" s="1461"/>
      <c r="AM151" s="1422"/>
      <c r="AN151" s="1422"/>
      <c r="AO151" s="1422"/>
    </row>
    <row r="152" spans="1:41" s="1465" customFormat="1" ht="13.5" customHeight="1">
      <c r="A152" s="1459"/>
      <c r="B152" s="1443" t="s">
        <v>2503</v>
      </c>
      <c r="C152" s="1913" t="s">
        <v>2507</v>
      </c>
      <c r="D152" s="1445" t="s">
        <v>422</v>
      </c>
      <c r="E152" s="1914" t="s">
        <v>2508</v>
      </c>
      <c r="F152" s="1916">
        <v>43300</v>
      </c>
      <c r="G152" s="1917">
        <v>4</v>
      </c>
      <c r="H152" s="1917">
        <v>0</v>
      </c>
      <c r="I152" s="1918">
        <v>0</v>
      </c>
      <c r="J152" s="1918">
        <v>4.41</v>
      </c>
      <c r="K152" s="2054">
        <f t="shared" si="89"/>
        <v>17506.999000000003</v>
      </c>
      <c r="L152" s="983">
        <f>16375000/1000</f>
        <v>16375</v>
      </c>
      <c r="M152" s="983">
        <f>33881999/1000</f>
        <v>33881.999000000003</v>
      </c>
      <c r="N152" s="2054">
        <f t="shared" si="90"/>
        <v>70027.996000000014</v>
      </c>
      <c r="O152" s="2053">
        <f t="shared" si="91"/>
        <v>65500</v>
      </c>
      <c r="P152" s="2054">
        <f t="shared" si="92"/>
        <v>135527.99600000001</v>
      </c>
      <c r="Q152" s="1449"/>
      <c r="R152" s="1426">
        <v>1</v>
      </c>
      <c r="S152" s="762">
        <f t="shared" si="93"/>
        <v>4.41</v>
      </c>
      <c r="T152" s="1450">
        <f t="shared" si="94"/>
        <v>149419.61559000003</v>
      </c>
      <c r="U152" s="1451">
        <f t="shared" si="95"/>
        <v>0.10250000000000004</v>
      </c>
      <c r="V152" s="1924" t="s">
        <v>2512</v>
      </c>
      <c r="W152" s="1925" t="s">
        <v>2513</v>
      </c>
      <c r="X152" s="1454">
        <f t="shared" si="96"/>
        <v>135527.99600000001</v>
      </c>
      <c r="Y152" s="1454"/>
      <c r="Z152" s="1454"/>
      <c r="AA152" s="985"/>
      <c r="AB152" s="986"/>
      <c r="AC152" s="978"/>
      <c r="AD152" s="1456"/>
      <c r="AE152" s="1456"/>
      <c r="AF152" s="1437"/>
      <c r="AG152" s="1422"/>
      <c r="AH152" s="1422"/>
      <c r="AI152" s="1422"/>
      <c r="AJ152" s="1463"/>
      <c r="AK152" s="1462"/>
      <c r="AL152" s="1461"/>
      <c r="AM152" s="1422"/>
      <c r="AN152" s="1422"/>
      <c r="AO152" s="1422"/>
    </row>
    <row r="153" spans="1:41" s="1465" customFormat="1" ht="13.5" customHeight="1">
      <c r="A153" s="1459"/>
      <c r="B153" s="1443" t="s">
        <v>2258</v>
      </c>
      <c r="C153" s="1446" t="s">
        <v>2259</v>
      </c>
      <c r="D153" s="1445" t="s">
        <v>422</v>
      </c>
      <c r="E153" s="1446" t="s">
        <v>2260</v>
      </c>
      <c r="F153" s="1447">
        <v>43278</v>
      </c>
      <c r="G153" s="1470">
        <v>19</v>
      </c>
      <c r="H153" s="1471">
        <v>16</v>
      </c>
      <c r="I153" s="1471">
        <v>18</v>
      </c>
      <c r="J153" s="1470">
        <v>27.06</v>
      </c>
      <c r="K153" s="2054">
        <f t="shared" si="89"/>
        <v>28489.449000000001</v>
      </c>
      <c r="L153" s="983">
        <f>11700000/1000</f>
        <v>11700</v>
      </c>
      <c r="M153" s="983">
        <f>40189449/1000</f>
        <v>40189.449000000001</v>
      </c>
      <c r="N153" s="2054">
        <f t="shared" ref="N153" si="97">+G153*K153</f>
        <v>541299.53099999996</v>
      </c>
      <c r="O153" s="2053">
        <f t="shared" ref="O153" si="98">+G153*L153</f>
        <v>222300</v>
      </c>
      <c r="P153" s="2054">
        <f t="shared" ref="P153" si="99">+N153+O153</f>
        <v>763599.53099999996</v>
      </c>
      <c r="Q153" s="1449"/>
      <c r="R153" s="1426">
        <v>1</v>
      </c>
      <c r="S153" s="762">
        <f t="shared" ref="S153" si="100">J153</f>
        <v>27.06</v>
      </c>
      <c r="T153" s="1450">
        <f t="shared" ref="T153" si="101">S153*M153</f>
        <v>1087526.48994</v>
      </c>
      <c r="U153" s="1451">
        <f t="shared" ref="U153" si="102">T153/P153-1</f>
        <v>0.42421052631578959</v>
      </c>
      <c r="V153" s="1506" t="s">
        <v>2261</v>
      </c>
      <c r="W153" s="1453" t="s">
        <v>2262</v>
      </c>
      <c r="X153" s="1454">
        <f t="shared" si="96"/>
        <v>763599.53099999996</v>
      </c>
      <c r="Y153" s="1454"/>
      <c r="Z153" s="1454"/>
      <c r="AA153" s="985"/>
      <c r="AB153" s="986"/>
      <c r="AC153" s="978"/>
      <c r="AD153" s="1456"/>
      <c r="AE153" s="1456"/>
      <c r="AF153" s="1437"/>
      <c r="AG153" s="1422"/>
      <c r="AH153" s="1422"/>
      <c r="AI153" s="1422"/>
      <c r="AJ153" s="1463"/>
      <c r="AK153" s="1462"/>
      <c r="AL153" s="1461"/>
      <c r="AM153" s="1422"/>
      <c r="AN153" s="1422"/>
      <c r="AO153" s="1422"/>
    </row>
    <row r="154" spans="1:41" s="1465" customFormat="1" ht="13.5" customHeight="1">
      <c r="A154" s="1459"/>
      <c r="B154" s="1443" t="s">
        <v>2199</v>
      </c>
      <c r="C154" s="1496" t="s">
        <v>2200</v>
      </c>
      <c r="D154" s="1445" t="s">
        <v>422</v>
      </c>
      <c r="E154" s="1486" t="s">
        <v>2201</v>
      </c>
      <c r="F154" s="1447">
        <v>43271</v>
      </c>
      <c r="G154" s="1470">
        <v>15</v>
      </c>
      <c r="H154" s="1471">
        <v>14</v>
      </c>
      <c r="I154" s="1471">
        <v>16</v>
      </c>
      <c r="J154" s="1470">
        <v>20.85</v>
      </c>
      <c r="K154" s="2054">
        <f t="shared" si="89"/>
        <v>14035.651000000002</v>
      </c>
      <c r="L154" s="983">
        <f>5700000/1000</f>
        <v>5700</v>
      </c>
      <c r="M154" s="983">
        <f>19735651/1000</f>
        <v>19735.651000000002</v>
      </c>
      <c r="N154" s="2054">
        <f t="shared" ref="N154:N155" si="103">+G154*K154</f>
        <v>210534.76500000001</v>
      </c>
      <c r="O154" s="2053">
        <f t="shared" ref="O154:O155" si="104">+G154*L154</f>
        <v>85500</v>
      </c>
      <c r="P154" s="2054">
        <f t="shared" ref="P154:P155" si="105">+N154+O154</f>
        <v>296034.76500000001</v>
      </c>
      <c r="Q154" s="1449"/>
      <c r="R154" s="1426">
        <v>1</v>
      </c>
      <c r="S154" s="762">
        <f t="shared" ref="S154:S155" si="106">J154</f>
        <v>20.85</v>
      </c>
      <c r="T154" s="1450">
        <f t="shared" ref="T154:T155" si="107">S154*M154</f>
        <v>411488.32335000008</v>
      </c>
      <c r="U154" s="1451">
        <f t="shared" ref="U154:U155" si="108">T154/P154-1</f>
        <v>0.39000000000000012</v>
      </c>
      <c r="V154" s="1506" t="s">
        <v>2202</v>
      </c>
      <c r="W154" s="1453" t="s">
        <v>2203</v>
      </c>
      <c r="X154" s="1454">
        <f t="shared" ref="X154:X155" si="109">+N154+O154</f>
        <v>296034.76500000001</v>
      </c>
      <c r="Y154" s="1454"/>
      <c r="Z154" s="1454"/>
      <c r="AA154" s="985"/>
      <c r="AB154" s="986"/>
      <c r="AC154" s="978"/>
      <c r="AD154" s="1456"/>
      <c r="AE154" s="1456"/>
      <c r="AF154" s="1437"/>
      <c r="AG154" s="1422"/>
      <c r="AH154" s="1422"/>
      <c r="AI154" s="1422"/>
      <c r="AJ154" s="1463"/>
      <c r="AK154" s="1462"/>
      <c r="AL154" s="1461"/>
      <c r="AM154" s="1422"/>
      <c r="AN154" s="1422"/>
      <c r="AO154" s="1422"/>
    </row>
    <row r="155" spans="1:41" s="1465" customFormat="1" ht="13.5" customHeight="1">
      <c r="A155" s="1459"/>
      <c r="B155" s="1443" t="s">
        <v>2204</v>
      </c>
      <c r="C155" s="1496" t="s">
        <v>2205</v>
      </c>
      <c r="D155" s="1445" t="s">
        <v>422</v>
      </c>
      <c r="E155" s="1486" t="s">
        <v>2206</v>
      </c>
      <c r="F155" s="1447">
        <v>43265</v>
      </c>
      <c r="G155" s="1470">
        <v>15</v>
      </c>
      <c r="H155" s="1471">
        <v>14</v>
      </c>
      <c r="I155" s="1471">
        <v>16</v>
      </c>
      <c r="J155" s="1470">
        <v>18.87</v>
      </c>
      <c r="K155" s="2054">
        <f t="shared" si="89"/>
        <v>19946.370999999999</v>
      </c>
      <c r="L155" s="983">
        <f>5000000/1000</f>
        <v>5000</v>
      </c>
      <c r="M155" s="983">
        <f>24946371/1000</f>
        <v>24946.370999999999</v>
      </c>
      <c r="N155" s="2054">
        <f t="shared" si="103"/>
        <v>299195.565</v>
      </c>
      <c r="O155" s="2053">
        <f t="shared" si="104"/>
        <v>75000</v>
      </c>
      <c r="P155" s="2054">
        <f t="shared" si="105"/>
        <v>374195.565</v>
      </c>
      <c r="Q155" s="1449"/>
      <c r="R155" s="1426">
        <v>1</v>
      </c>
      <c r="S155" s="762">
        <f t="shared" si="106"/>
        <v>18.87</v>
      </c>
      <c r="T155" s="1450">
        <f t="shared" si="107"/>
        <v>470738.02077</v>
      </c>
      <c r="U155" s="1451">
        <f t="shared" si="108"/>
        <v>0.25800000000000001</v>
      </c>
      <c r="V155" s="1506" t="s">
        <v>2207</v>
      </c>
      <c r="W155" s="1453" t="s">
        <v>2208</v>
      </c>
      <c r="X155" s="1454">
        <f t="shared" si="109"/>
        <v>374195.565</v>
      </c>
      <c r="Y155" s="1454"/>
      <c r="Z155" s="1454"/>
      <c r="AA155" s="985"/>
      <c r="AB155" s="986"/>
      <c r="AC155" s="978"/>
      <c r="AD155" s="1456"/>
      <c r="AE155" s="1456"/>
      <c r="AF155" s="1463" t="s">
        <v>1325</v>
      </c>
      <c r="AG155" s="1422"/>
      <c r="AH155" s="1422"/>
      <c r="AI155" s="1422"/>
      <c r="AJ155" s="1463"/>
      <c r="AK155" s="1462"/>
      <c r="AL155" s="1461"/>
      <c r="AM155" s="1422"/>
      <c r="AN155" s="1422"/>
      <c r="AO155" s="1422"/>
    </row>
    <row r="156" spans="1:41" s="1465" customFormat="1" ht="13.5" customHeight="1">
      <c r="A156" s="1459"/>
      <c r="B156" s="1443" t="s">
        <v>2209</v>
      </c>
      <c r="C156" s="1496" t="s">
        <v>2210</v>
      </c>
      <c r="D156" s="1445" t="s">
        <v>422</v>
      </c>
      <c r="E156" s="1486" t="s">
        <v>2211</v>
      </c>
      <c r="F156" s="1447">
        <v>43244</v>
      </c>
      <c r="G156" s="1470">
        <v>13</v>
      </c>
      <c r="H156" s="1480">
        <v>14</v>
      </c>
      <c r="I156" s="1471">
        <v>16</v>
      </c>
      <c r="J156" s="1470">
        <v>12.17</v>
      </c>
      <c r="K156" s="2054">
        <f>+M156-L156</f>
        <v>7809.4230000000007</v>
      </c>
      <c r="L156" s="983">
        <f>6150000/1000</f>
        <v>6150</v>
      </c>
      <c r="M156" s="983">
        <f>13959423/1000</f>
        <v>13959.423000000001</v>
      </c>
      <c r="N156" s="2054">
        <f>+G156*K156</f>
        <v>101522.49900000001</v>
      </c>
      <c r="O156" s="2053">
        <f>+G156*L156</f>
        <v>79950</v>
      </c>
      <c r="P156" s="2054">
        <f>+N156+O156</f>
        <v>181472.49900000001</v>
      </c>
      <c r="Q156" s="1449"/>
      <c r="R156" s="1426">
        <v>1</v>
      </c>
      <c r="S156" s="762">
        <f>J156</f>
        <v>12.17</v>
      </c>
      <c r="T156" s="1450">
        <f>S156*M156</f>
        <v>169886.17791</v>
      </c>
      <c r="U156" s="1451">
        <f>T156/P156-1</f>
        <v>-6.3846153846153886E-2</v>
      </c>
      <c r="V156" s="1464" t="s">
        <v>2212</v>
      </c>
      <c r="W156" s="1453" t="s">
        <v>2213</v>
      </c>
      <c r="X156" s="1454">
        <f>+N156+O156</f>
        <v>181472.49900000001</v>
      </c>
      <c r="Y156" s="1454"/>
      <c r="Z156" s="1454"/>
      <c r="AA156" s="985"/>
      <c r="AB156" s="986"/>
      <c r="AC156" s="978"/>
      <c r="AD156" s="1456"/>
      <c r="AE156" s="1456"/>
      <c r="AF156" s="1463" t="s">
        <v>1325</v>
      </c>
      <c r="AK156" s="1466"/>
      <c r="AL156" s="1462"/>
      <c r="AM156" s="1461"/>
    </row>
    <row r="157" spans="1:41" s="1465" customFormat="1" ht="13.5" customHeight="1">
      <c r="A157" s="1459"/>
      <c r="B157" s="1443" t="s">
        <v>2214</v>
      </c>
      <c r="C157" s="1446" t="s">
        <v>2215</v>
      </c>
      <c r="D157" s="1445" t="s">
        <v>2216</v>
      </c>
      <c r="E157" s="1446" t="s">
        <v>2217</v>
      </c>
      <c r="F157" s="1447">
        <v>43161</v>
      </c>
      <c r="G157" s="1471">
        <v>4.4329499999999999</v>
      </c>
      <c r="H157" s="1471">
        <v>4.4329499999999999</v>
      </c>
      <c r="I157" s="1471">
        <v>5.6643299999999996</v>
      </c>
      <c r="J157" s="1471">
        <v>3.81304</v>
      </c>
      <c r="K157" s="2054">
        <f t="shared" si="89"/>
        <v>41807.949999999997</v>
      </c>
      <c r="L157" s="983">
        <v>11111.111000000001</v>
      </c>
      <c r="M157" s="983">
        <v>52919.061000000002</v>
      </c>
      <c r="N157" s="2054">
        <f t="shared" ref="N157:N177" si="110">+G157*K157</f>
        <v>185332.55195249998</v>
      </c>
      <c r="O157" s="2053">
        <f t="shared" ref="O157:O177" si="111">+G157*L157</f>
        <v>49254.999507450004</v>
      </c>
      <c r="P157" s="2054">
        <f t="shared" ref="P157:P177" si="112">+N157+O157</f>
        <v>234587.55145994999</v>
      </c>
      <c r="Q157" s="1449"/>
      <c r="R157" s="1426">
        <v>1</v>
      </c>
      <c r="S157" s="762">
        <f>J157</f>
        <v>3.81304</v>
      </c>
      <c r="T157" s="1450">
        <f>S157*M157</f>
        <v>201782.49635544</v>
      </c>
      <c r="U157" s="1451">
        <f>T157/P157-1</f>
        <v>-0.13984141485917945</v>
      </c>
      <c r="V157" s="1452" t="s">
        <v>2218</v>
      </c>
      <c r="W157" s="1453" t="s">
        <v>2219</v>
      </c>
      <c r="X157" s="1454">
        <f>+N157+O157</f>
        <v>234587.55145994999</v>
      </c>
      <c r="Y157" s="1454"/>
      <c r="Z157" s="1454"/>
      <c r="AA157" s="985"/>
      <c r="AB157" s="986"/>
      <c r="AC157" s="978"/>
      <c r="AD157" s="1456"/>
      <c r="AE157" s="1456"/>
      <c r="AF157" s="1463" t="s">
        <v>1325</v>
      </c>
      <c r="AG157" s="1422"/>
      <c r="AH157" s="1422"/>
      <c r="AI157" s="1422"/>
      <c r="AJ157" s="1463"/>
      <c r="AK157" s="1462"/>
      <c r="AL157" s="1461"/>
      <c r="AM157" s="1422"/>
      <c r="AN157" s="1422"/>
      <c r="AO157" s="1422"/>
    </row>
    <row r="158" spans="1:41" s="1494" customFormat="1" ht="13.5" customHeight="1">
      <c r="A158" s="1459"/>
      <c r="B158" s="1443" t="s">
        <v>2220</v>
      </c>
      <c r="C158" s="1446" t="s">
        <v>2221</v>
      </c>
      <c r="D158" s="1445" t="s">
        <v>422</v>
      </c>
      <c r="E158" s="1446" t="s">
        <v>2222</v>
      </c>
      <c r="F158" s="1447">
        <v>43125</v>
      </c>
      <c r="G158" s="1471">
        <v>17</v>
      </c>
      <c r="H158" s="1471">
        <v>14</v>
      </c>
      <c r="I158" s="1471">
        <v>16</v>
      </c>
      <c r="J158" s="1471">
        <v>46.06</v>
      </c>
      <c r="K158" s="2054">
        <f t="shared" si="89"/>
        <v>21746.286</v>
      </c>
      <c r="L158" s="983">
        <v>7529.4120000000003</v>
      </c>
      <c r="M158" s="983">
        <v>29275.698</v>
      </c>
      <c r="N158" s="2054">
        <f t="shared" si="110"/>
        <v>369686.86200000002</v>
      </c>
      <c r="O158" s="2053">
        <f t="shared" si="111"/>
        <v>128000.004</v>
      </c>
      <c r="P158" s="2054">
        <f t="shared" si="112"/>
        <v>497686.86600000004</v>
      </c>
      <c r="Q158" s="1449"/>
      <c r="R158" s="1449">
        <v>1</v>
      </c>
      <c r="S158" s="762">
        <f>J158</f>
        <v>46.06</v>
      </c>
      <c r="T158" s="1503">
        <f>S158*M158</f>
        <v>1348438.6498800002</v>
      </c>
      <c r="U158" s="1504">
        <f>T158/P158-1</f>
        <v>1.7094117647058824</v>
      </c>
      <c r="V158" s="1506" t="s">
        <v>2223</v>
      </c>
      <c r="W158" s="1453" t="s">
        <v>2224</v>
      </c>
      <c r="X158" s="1507">
        <f>+N158+O158</f>
        <v>497686.86600000004</v>
      </c>
      <c r="Y158" s="1507"/>
      <c r="Z158" s="1507"/>
      <c r="AA158" s="1517"/>
      <c r="AB158" s="1518"/>
      <c r="AC158" s="1519"/>
      <c r="AD158" s="1520"/>
      <c r="AE158" s="1520"/>
      <c r="AF158" s="1463" t="s">
        <v>1325</v>
      </c>
      <c r="AJ158" s="1463"/>
      <c r="AK158" s="1446"/>
      <c r="AL158" s="1459"/>
    </row>
    <row r="159" spans="1:41" s="1494" customFormat="1" ht="13.5" customHeight="1">
      <c r="A159" s="1459"/>
      <c r="B159" s="1443" t="s">
        <v>1413</v>
      </c>
      <c r="C159" s="1446" t="s">
        <v>1414</v>
      </c>
      <c r="D159" s="1445" t="s">
        <v>733</v>
      </c>
      <c r="E159" s="1446" t="s">
        <v>1415</v>
      </c>
      <c r="F159" s="1447">
        <v>43055</v>
      </c>
      <c r="G159" s="1471">
        <v>14</v>
      </c>
      <c r="H159" s="1471">
        <v>14</v>
      </c>
      <c r="I159" s="1471">
        <v>16</v>
      </c>
      <c r="J159" s="1471">
        <v>13.5</v>
      </c>
      <c r="K159" s="2054">
        <f t="shared" si="89"/>
        <v>11210.151000000002</v>
      </c>
      <c r="L159" s="983">
        <v>6400</v>
      </c>
      <c r="M159" s="983">
        <v>17610.151000000002</v>
      </c>
      <c r="N159" s="2054">
        <f t="shared" si="110"/>
        <v>156942.11400000003</v>
      </c>
      <c r="O159" s="2053">
        <f t="shared" si="111"/>
        <v>89600</v>
      </c>
      <c r="P159" s="2054">
        <f t="shared" si="112"/>
        <v>246542.11400000003</v>
      </c>
      <c r="Q159" s="1449"/>
      <c r="R159" s="1449">
        <v>1</v>
      </c>
      <c r="S159" s="762">
        <f t="shared" ref="S159:S177" si="113">J159</f>
        <v>13.5</v>
      </c>
      <c r="T159" s="1503">
        <f t="shared" ref="T159:T177" si="114">S159*M159</f>
        <v>237737.03850000002</v>
      </c>
      <c r="U159" s="1504">
        <f t="shared" ref="U159:U165" si="115">T159/P159-1</f>
        <v>-3.5714285714285698E-2</v>
      </c>
      <c r="V159" s="1506" t="s">
        <v>1416</v>
      </c>
      <c r="W159" s="1453" t="s">
        <v>2225</v>
      </c>
      <c r="X159" s="1507">
        <f t="shared" ref="X159:X161" si="116">+N159+O159</f>
        <v>246542.11400000003</v>
      </c>
      <c r="Y159" s="1521"/>
      <c r="Z159" s="1521"/>
      <c r="AA159" s="1517"/>
      <c r="AB159" s="1518"/>
      <c r="AC159" s="1518"/>
      <c r="AD159" s="1522"/>
      <c r="AE159" s="1522"/>
      <c r="AF159" s="1463" t="s">
        <v>1325</v>
      </c>
      <c r="AG159" s="1459"/>
      <c r="AK159" s="1463"/>
      <c r="AL159" s="1446"/>
      <c r="AM159" s="1459"/>
    </row>
    <row r="160" spans="1:41" s="1494" customFormat="1" ht="13.5" customHeight="1">
      <c r="A160" s="1459"/>
      <c r="B160" s="1443" t="s">
        <v>1417</v>
      </c>
      <c r="C160" s="1446" t="s">
        <v>1418</v>
      </c>
      <c r="D160" s="1445" t="s">
        <v>422</v>
      </c>
      <c r="E160" s="1446" t="s">
        <v>1419</v>
      </c>
      <c r="F160" s="1447">
        <v>43005</v>
      </c>
      <c r="G160" s="1471">
        <v>15</v>
      </c>
      <c r="H160" s="1471">
        <v>14</v>
      </c>
      <c r="I160" s="1471">
        <v>16</v>
      </c>
      <c r="J160" s="1471">
        <v>12.5</v>
      </c>
      <c r="K160" s="2054">
        <f t="shared" si="89"/>
        <v>24214.641</v>
      </c>
      <c r="L160" s="983">
        <v>6667</v>
      </c>
      <c r="M160" s="983">
        <v>30881.641</v>
      </c>
      <c r="N160" s="2054">
        <f t="shared" si="110"/>
        <v>363219.61499999999</v>
      </c>
      <c r="O160" s="2053">
        <f t="shared" si="111"/>
        <v>100005</v>
      </c>
      <c r="P160" s="2054">
        <f t="shared" si="112"/>
        <v>463224.61499999999</v>
      </c>
      <c r="Q160" s="1449"/>
      <c r="R160" s="1449">
        <v>1</v>
      </c>
      <c r="S160" s="762">
        <f t="shared" si="113"/>
        <v>12.5</v>
      </c>
      <c r="T160" s="1503">
        <f t="shared" si="114"/>
        <v>386020.51250000001</v>
      </c>
      <c r="U160" s="1504">
        <f t="shared" si="115"/>
        <v>-0.16666666666666663</v>
      </c>
      <c r="V160" s="1506" t="s">
        <v>1420</v>
      </c>
      <c r="W160" s="1505" t="s">
        <v>1421</v>
      </c>
      <c r="X160" s="1507">
        <f t="shared" si="116"/>
        <v>463224.61499999999</v>
      </c>
      <c r="Y160" s="1521"/>
      <c r="Z160" s="1521"/>
      <c r="AA160" s="1517"/>
      <c r="AB160" s="1518"/>
      <c r="AC160" s="1518"/>
      <c r="AD160" s="1522"/>
      <c r="AE160" s="1522"/>
      <c r="AF160" s="1463" t="s">
        <v>1325</v>
      </c>
      <c r="AG160" s="1459"/>
      <c r="AK160" s="1463"/>
      <c r="AL160" s="1446"/>
      <c r="AM160" s="1459"/>
    </row>
    <row r="161" spans="1:73" s="1494" customFormat="1" ht="13.5" customHeight="1">
      <c r="A161" s="1459"/>
      <c r="B161" s="1443" t="s">
        <v>1422</v>
      </c>
      <c r="C161" s="1446" t="s">
        <v>1423</v>
      </c>
      <c r="D161" s="1445" t="s">
        <v>732</v>
      </c>
      <c r="E161" s="1446" t="s">
        <v>1424</v>
      </c>
      <c r="F161" s="1447">
        <v>42998</v>
      </c>
      <c r="G161" s="1471">
        <v>18</v>
      </c>
      <c r="H161" s="1471">
        <v>16</v>
      </c>
      <c r="I161" s="1471">
        <v>18</v>
      </c>
      <c r="J161" s="1471">
        <v>28.64</v>
      </c>
      <c r="K161" s="2054">
        <f t="shared" si="89"/>
        <v>40972.57</v>
      </c>
      <c r="L161" s="983">
        <v>8333.3330000000005</v>
      </c>
      <c r="M161" s="983">
        <v>49305.902999999998</v>
      </c>
      <c r="N161" s="2054">
        <f t="shared" si="110"/>
        <v>737506.26</v>
      </c>
      <c r="O161" s="2053">
        <f t="shared" si="111"/>
        <v>149999.99400000001</v>
      </c>
      <c r="P161" s="2054">
        <f t="shared" si="112"/>
        <v>887506.25399999996</v>
      </c>
      <c r="Q161" s="1449"/>
      <c r="R161" s="1449">
        <v>1</v>
      </c>
      <c r="S161" s="762">
        <f t="shared" si="113"/>
        <v>28.64</v>
      </c>
      <c r="T161" s="1503">
        <f t="shared" si="114"/>
        <v>1412121.06192</v>
      </c>
      <c r="U161" s="1504">
        <f t="shared" si="115"/>
        <v>0.59111111111111114</v>
      </c>
      <c r="V161" s="1506" t="s">
        <v>1425</v>
      </c>
      <c r="W161" s="1505" t="s">
        <v>1426</v>
      </c>
      <c r="X161" s="1507">
        <f t="shared" si="116"/>
        <v>887506.25399999996</v>
      </c>
      <c r="Y161" s="1521"/>
      <c r="Z161" s="1521"/>
      <c r="AA161" s="1517"/>
      <c r="AB161" s="1518"/>
      <c r="AC161" s="1518"/>
      <c r="AD161" s="1522"/>
      <c r="AE161" s="1522"/>
      <c r="AF161" s="1463" t="s">
        <v>1325</v>
      </c>
      <c r="AG161" s="1459"/>
      <c r="AK161" s="1463"/>
      <c r="AL161" s="1446"/>
      <c r="AM161" s="1459"/>
    </row>
    <row r="162" spans="1:73" s="1494" customFormat="1" ht="13.5" customHeight="1">
      <c r="A162" s="1459"/>
      <c r="B162" s="1443" t="s">
        <v>1354</v>
      </c>
      <c r="C162" s="1446" t="s">
        <v>1355</v>
      </c>
      <c r="D162" s="1445" t="s">
        <v>422</v>
      </c>
      <c r="E162" s="1446" t="s">
        <v>1356</v>
      </c>
      <c r="F162" s="1447">
        <v>42935</v>
      </c>
      <c r="G162" s="1471">
        <v>15</v>
      </c>
      <c r="H162" s="1471">
        <v>14</v>
      </c>
      <c r="I162" s="1471">
        <v>16</v>
      </c>
      <c r="J162" s="1471">
        <v>21.36</v>
      </c>
      <c r="K162" s="2054">
        <f t="shared" si="89"/>
        <v>17283</v>
      </c>
      <c r="L162" s="983">
        <v>6000</v>
      </c>
      <c r="M162" s="983">
        <v>23283</v>
      </c>
      <c r="N162" s="2054">
        <f t="shared" si="110"/>
        <v>259245</v>
      </c>
      <c r="O162" s="2053">
        <f t="shared" si="111"/>
        <v>90000</v>
      </c>
      <c r="P162" s="2054">
        <f t="shared" si="112"/>
        <v>349245</v>
      </c>
      <c r="Q162" s="1449"/>
      <c r="R162" s="1449">
        <v>1</v>
      </c>
      <c r="S162" s="762">
        <f t="shared" si="113"/>
        <v>21.36</v>
      </c>
      <c r="T162" s="1503">
        <f t="shared" si="114"/>
        <v>497324.88</v>
      </c>
      <c r="U162" s="1504">
        <f t="shared" si="115"/>
        <v>0.42399999999999993</v>
      </c>
      <c r="V162" s="1506" t="s">
        <v>2226</v>
      </c>
      <c r="W162" s="1505" t="s">
        <v>1357</v>
      </c>
      <c r="X162" s="1507">
        <f>+N162+O162</f>
        <v>349245</v>
      </c>
      <c r="Y162" s="1521">
        <v>9710000</v>
      </c>
      <c r="Z162" s="1521">
        <v>26350000</v>
      </c>
      <c r="AA162" s="1517">
        <v>-16290749</v>
      </c>
      <c r="AB162" s="1518"/>
      <c r="AC162" s="1518"/>
      <c r="AD162" s="1522"/>
      <c r="AE162" s="1522"/>
      <c r="AF162" s="1463" t="s">
        <v>1325</v>
      </c>
      <c r="AG162" s="1459"/>
      <c r="AK162" s="1463"/>
      <c r="AL162" s="1446"/>
      <c r="AM162" s="1459"/>
    </row>
    <row r="163" spans="1:73" s="1494" customFormat="1" ht="13.5" customHeight="1">
      <c r="A163" s="1459"/>
      <c r="B163" s="1443" t="s">
        <v>1427</v>
      </c>
      <c r="C163" s="1446" t="s">
        <v>1428</v>
      </c>
      <c r="D163" s="1445" t="s">
        <v>422</v>
      </c>
      <c r="E163" s="1446" t="s">
        <v>1429</v>
      </c>
      <c r="F163" s="1447">
        <v>42929</v>
      </c>
      <c r="G163" s="1471">
        <v>8</v>
      </c>
      <c r="H163" s="1471">
        <v>12</v>
      </c>
      <c r="I163" s="1471">
        <v>14</v>
      </c>
      <c r="J163" s="1471">
        <v>14.21</v>
      </c>
      <c r="K163" s="2054">
        <f t="shared" si="89"/>
        <v>48572.879000000001</v>
      </c>
      <c r="L163" s="983">
        <v>15625</v>
      </c>
      <c r="M163" s="983">
        <v>64197.879000000001</v>
      </c>
      <c r="N163" s="2054">
        <f t="shared" si="110"/>
        <v>388583.03200000001</v>
      </c>
      <c r="O163" s="2053">
        <f t="shared" si="111"/>
        <v>125000</v>
      </c>
      <c r="P163" s="2054">
        <f t="shared" si="112"/>
        <v>513583.03200000001</v>
      </c>
      <c r="Q163" s="1449"/>
      <c r="R163" s="1449">
        <v>1</v>
      </c>
      <c r="S163" s="762">
        <f t="shared" si="113"/>
        <v>14.21</v>
      </c>
      <c r="T163" s="1503">
        <f t="shared" si="114"/>
        <v>912251.86059000005</v>
      </c>
      <c r="U163" s="1504">
        <f t="shared" si="115"/>
        <v>0.77625000000000011</v>
      </c>
      <c r="V163" s="1506" t="s">
        <v>1430</v>
      </c>
      <c r="W163" s="1505" t="s">
        <v>1431</v>
      </c>
      <c r="X163" s="1507"/>
      <c r="Y163" s="1521"/>
      <c r="Z163" s="1521"/>
      <c r="AA163" s="1517"/>
      <c r="AB163" s="1518"/>
      <c r="AC163" s="1518"/>
      <c r="AD163" s="1522"/>
      <c r="AE163" s="1522"/>
      <c r="AF163" s="1463" t="s">
        <v>1325</v>
      </c>
      <c r="AG163" s="1459"/>
      <c r="AK163" s="1463"/>
      <c r="AL163" s="1446"/>
      <c r="AM163" s="1459"/>
    </row>
    <row r="164" spans="1:73" s="1459" customFormat="1" ht="13.5" customHeight="1">
      <c r="B164" s="1443" t="s">
        <v>1358</v>
      </c>
      <c r="C164" s="1446" t="s">
        <v>1359</v>
      </c>
      <c r="D164" s="1445" t="s">
        <v>422</v>
      </c>
      <c r="E164" s="1446" t="s">
        <v>1360</v>
      </c>
      <c r="F164" s="1447">
        <v>42914</v>
      </c>
      <c r="G164" s="1471">
        <v>17</v>
      </c>
      <c r="H164" s="1471">
        <v>15</v>
      </c>
      <c r="I164" s="1471">
        <v>17</v>
      </c>
      <c r="J164" s="1471">
        <v>19.5</v>
      </c>
      <c r="K164" s="2054">
        <f t="shared" si="89"/>
        <v>20575.206999999999</v>
      </c>
      <c r="L164" s="983">
        <v>4415</v>
      </c>
      <c r="M164" s="983">
        <v>24990.206999999999</v>
      </c>
      <c r="N164" s="2054">
        <f t="shared" si="110"/>
        <v>349778.51899999997</v>
      </c>
      <c r="O164" s="2053">
        <f t="shared" si="111"/>
        <v>75055</v>
      </c>
      <c r="P164" s="2054">
        <f t="shared" si="112"/>
        <v>424833.51899999997</v>
      </c>
      <c r="Q164" s="1449"/>
      <c r="R164" s="1449">
        <v>1</v>
      </c>
      <c r="S164" s="762">
        <f t="shared" si="113"/>
        <v>19.5</v>
      </c>
      <c r="T164" s="1503">
        <f t="shared" si="114"/>
        <v>487309.03649999999</v>
      </c>
      <c r="U164" s="1504">
        <f t="shared" si="115"/>
        <v>0.14705882352941191</v>
      </c>
      <c r="V164" s="1506" t="s">
        <v>1361</v>
      </c>
      <c r="W164" s="1505" t="s">
        <v>1362</v>
      </c>
      <c r="X164" s="1507">
        <f t="shared" ref="X164:X177" si="117">+N164+O164</f>
        <v>424833.51899999997</v>
      </c>
      <c r="Y164" s="1521">
        <v>13640</v>
      </c>
      <c r="Z164" s="1521">
        <v>28709</v>
      </c>
      <c r="AA164" s="1517">
        <v>409764.51899999997</v>
      </c>
      <c r="AB164" s="1518">
        <v>0</v>
      </c>
      <c r="AC164" s="1518">
        <v>0</v>
      </c>
      <c r="AD164" s="1522" t="s">
        <v>1</v>
      </c>
      <c r="AE164" s="1522" t="s">
        <v>1</v>
      </c>
      <c r="AF164" s="1463">
        <f>+P164-X164</f>
        <v>0</v>
      </c>
      <c r="AH164" s="1494"/>
      <c r="AI164" s="1494"/>
      <c r="AJ164" s="1494"/>
      <c r="AK164" s="1463"/>
      <c r="AL164" s="1446"/>
      <c r="AN164" s="1494"/>
      <c r="AO164" s="1494"/>
      <c r="AP164" s="1494"/>
      <c r="AQ164" s="1494"/>
      <c r="AR164" s="1494"/>
      <c r="AS164" s="1494"/>
      <c r="AT164" s="1494"/>
      <c r="AU164" s="1494"/>
      <c r="AV164" s="1494"/>
      <c r="AW164" s="1494"/>
      <c r="AX164" s="1494"/>
      <c r="AY164" s="1494"/>
      <c r="AZ164" s="1494"/>
      <c r="BA164" s="1494"/>
      <c r="BB164" s="1494"/>
      <c r="BC164" s="1494"/>
      <c r="BD164" s="1494"/>
      <c r="BE164" s="1494"/>
      <c r="BF164" s="1494"/>
      <c r="BG164" s="1494"/>
      <c r="BH164" s="1494"/>
      <c r="BI164" s="1494"/>
      <c r="BJ164" s="1494"/>
      <c r="BK164" s="1494"/>
      <c r="BL164" s="1494"/>
      <c r="BM164" s="1494"/>
      <c r="BN164" s="1494"/>
      <c r="BO164" s="1494"/>
      <c r="BP164" s="1494"/>
      <c r="BQ164" s="1494"/>
      <c r="BR164" s="1494"/>
      <c r="BS164" s="1494"/>
      <c r="BT164" s="1494"/>
      <c r="BU164" s="1494"/>
    </row>
    <row r="165" spans="1:73" s="1494" customFormat="1" ht="13.5" customHeight="1">
      <c r="A165" s="1459"/>
      <c r="B165" s="1443" t="s">
        <v>1363</v>
      </c>
      <c r="C165" s="1446" t="s">
        <v>1364</v>
      </c>
      <c r="D165" s="1445" t="s">
        <v>422</v>
      </c>
      <c r="E165" s="1446" t="s">
        <v>1365</v>
      </c>
      <c r="F165" s="1447">
        <v>42900</v>
      </c>
      <c r="G165" s="1471">
        <v>11</v>
      </c>
      <c r="H165" s="1471">
        <v>11</v>
      </c>
      <c r="I165" s="1471">
        <v>13</v>
      </c>
      <c r="J165" s="1471">
        <v>18.82</v>
      </c>
      <c r="K165" s="2054">
        <f t="shared" si="89"/>
        <v>49248.567999999999</v>
      </c>
      <c r="L165" s="983">
        <v>6000</v>
      </c>
      <c r="M165" s="983">
        <v>55248.567999999999</v>
      </c>
      <c r="N165" s="2054">
        <f t="shared" si="110"/>
        <v>541734.24800000002</v>
      </c>
      <c r="O165" s="2053">
        <f t="shared" si="111"/>
        <v>66000</v>
      </c>
      <c r="P165" s="2054">
        <f t="shared" si="112"/>
        <v>607734.24800000002</v>
      </c>
      <c r="Q165" s="1449"/>
      <c r="R165" s="1449">
        <v>1</v>
      </c>
      <c r="S165" s="762">
        <f t="shared" si="113"/>
        <v>18.82</v>
      </c>
      <c r="T165" s="1503">
        <f t="shared" si="114"/>
        <v>1039778.04976</v>
      </c>
      <c r="U165" s="1504">
        <f t="shared" si="115"/>
        <v>0.71090909090909071</v>
      </c>
      <c r="V165" s="1506" t="s">
        <v>1366</v>
      </c>
      <c r="W165" s="1505" t="s">
        <v>1367</v>
      </c>
      <c r="X165" s="1507">
        <f t="shared" si="117"/>
        <v>607734.24800000002</v>
      </c>
      <c r="Y165" s="1521">
        <v>45816</v>
      </c>
      <c r="Z165" s="1521">
        <v>26034</v>
      </c>
      <c r="AA165" s="1517">
        <v>627516.24800000002</v>
      </c>
      <c r="AB165" s="1518">
        <v>0</v>
      </c>
      <c r="AC165" s="1518">
        <v>0</v>
      </c>
      <c r="AD165" s="1522" t="s">
        <v>1</v>
      </c>
      <c r="AE165" s="1522" t="s">
        <v>1</v>
      </c>
      <c r="AF165" s="1463">
        <f>+P165-X165</f>
        <v>0</v>
      </c>
      <c r="AG165" s="1459"/>
      <c r="AK165" s="1463"/>
      <c r="AL165" s="1446"/>
      <c r="AM165" s="1459"/>
    </row>
    <row r="166" spans="1:73" s="1494" customFormat="1" ht="13.5" customHeight="1">
      <c r="A166" s="1459"/>
      <c r="B166" s="1443" t="s">
        <v>1206</v>
      </c>
      <c r="C166" s="1446" t="s">
        <v>1207</v>
      </c>
      <c r="D166" s="1445" t="s">
        <v>422</v>
      </c>
      <c r="E166" s="1446" t="s">
        <v>1208</v>
      </c>
      <c r="F166" s="1447">
        <v>42802</v>
      </c>
      <c r="G166" s="1471">
        <v>20</v>
      </c>
      <c r="H166" s="1471">
        <v>20</v>
      </c>
      <c r="I166" s="1471">
        <v>22</v>
      </c>
      <c r="J166" s="1471">
        <v>20.100000000000001</v>
      </c>
      <c r="K166" s="2054">
        <f t="shared" si="89"/>
        <v>21381.206999999999</v>
      </c>
      <c r="L166" s="983">
        <v>174.286</v>
      </c>
      <c r="M166" s="983">
        <v>21555.492999999999</v>
      </c>
      <c r="N166" s="2054">
        <f t="shared" si="110"/>
        <v>427624.13999999996</v>
      </c>
      <c r="O166" s="2053">
        <f t="shared" si="111"/>
        <v>3485.7200000000003</v>
      </c>
      <c r="P166" s="2054">
        <f t="shared" si="112"/>
        <v>431109.85999999993</v>
      </c>
      <c r="Q166" s="1449"/>
      <c r="R166" s="1449">
        <v>1</v>
      </c>
      <c r="S166" s="762">
        <f t="shared" si="113"/>
        <v>20.100000000000001</v>
      </c>
      <c r="T166" s="1503">
        <f t="shared" si="114"/>
        <v>433265.4093</v>
      </c>
      <c r="U166" s="1504">
        <f>IFERROR(T166/P166-1,"n/a")</f>
        <v>5.0000000000001155E-3</v>
      </c>
      <c r="V166" s="1506" t="s">
        <v>1209</v>
      </c>
      <c r="W166" s="1505" t="s">
        <v>1210</v>
      </c>
      <c r="X166" s="1507">
        <f t="shared" si="117"/>
        <v>431109.85999999993</v>
      </c>
      <c r="Y166" s="1507">
        <v>0</v>
      </c>
      <c r="Z166" s="1507">
        <v>17329</v>
      </c>
      <c r="AA166" s="1517">
        <f t="shared" ref="AA166:AA173" si="118">X166+Y166-Z166</f>
        <v>413780.85999999993</v>
      </c>
      <c r="AB166" s="1518">
        <v>0</v>
      </c>
      <c r="AC166" s="1519">
        <v>-9209</v>
      </c>
      <c r="AD166" s="1520" t="str">
        <f t="shared" ref="AD166:AD177" si="119">IFERROR(AA166/AB166,"n/a")</f>
        <v>n/a</v>
      </c>
      <c r="AE166" s="1520">
        <f t="shared" ref="AE166:AE177" si="120">IFERROR(AA166/AC166,"n/a")</f>
        <v>-44.932224997285253</v>
      </c>
      <c r="AF166" s="1463">
        <f>+P166-X166</f>
        <v>0</v>
      </c>
      <c r="AG166" s="1459"/>
      <c r="AH166" s="1523" t="s">
        <v>1211</v>
      </c>
      <c r="AI166" s="1459"/>
      <c r="AJ166" s="1459"/>
      <c r="AK166" s="1459"/>
      <c r="AL166" s="1459"/>
      <c r="AM166" s="1459"/>
      <c r="AN166" s="1459"/>
      <c r="AO166" s="1459"/>
      <c r="AP166" s="1459"/>
      <c r="AQ166" s="1459"/>
      <c r="AR166" s="1459"/>
      <c r="AS166" s="1459"/>
      <c r="AT166" s="1459"/>
      <c r="AU166" s="1459"/>
      <c r="AV166" s="1459"/>
      <c r="AW166" s="1459"/>
      <c r="AX166" s="1459"/>
      <c r="AY166" s="1459"/>
      <c r="AZ166" s="1459"/>
      <c r="BA166" s="1459"/>
      <c r="BB166" s="1459"/>
      <c r="BC166" s="1459"/>
      <c r="BD166" s="1459"/>
      <c r="BE166" s="1459"/>
      <c r="BF166" s="1459"/>
      <c r="BG166" s="1459"/>
      <c r="BH166" s="1459"/>
      <c r="BI166" s="1459"/>
      <c r="BJ166" s="1459"/>
      <c r="BK166" s="1459"/>
      <c r="BL166" s="1459"/>
      <c r="BM166" s="1459"/>
      <c r="BN166" s="1459"/>
      <c r="BO166" s="1459"/>
      <c r="BP166" s="1459"/>
      <c r="BQ166" s="1459"/>
      <c r="BR166" s="1459"/>
      <c r="BS166" s="1459"/>
      <c r="BT166" s="1459"/>
      <c r="BU166" s="1459"/>
    </row>
    <row r="167" spans="1:73" s="1459" customFormat="1" ht="13.5" customHeight="1">
      <c r="B167" s="1443" t="s">
        <v>760</v>
      </c>
      <c r="C167" s="1446" t="s">
        <v>761</v>
      </c>
      <c r="D167" s="1445" t="s">
        <v>422</v>
      </c>
      <c r="E167" s="1446" t="s">
        <v>762</v>
      </c>
      <c r="F167" s="1447">
        <v>42633</v>
      </c>
      <c r="G167" s="1471">
        <v>11</v>
      </c>
      <c r="H167" s="1471">
        <v>11</v>
      </c>
      <c r="I167" s="1471">
        <v>13</v>
      </c>
      <c r="J167" s="1471">
        <v>20.59</v>
      </c>
      <c r="K167" s="2054">
        <f t="shared" si="89"/>
        <v>11223.659</v>
      </c>
      <c r="L167" s="983">
        <v>4100</v>
      </c>
      <c r="M167" s="983">
        <v>15323.659</v>
      </c>
      <c r="N167" s="2054">
        <f t="shared" si="110"/>
        <v>123460.249</v>
      </c>
      <c r="O167" s="2053">
        <f t="shared" si="111"/>
        <v>45100</v>
      </c>
      <c r="P167" s="2054">
        <f t="shared" si="112"/>
        <v>168560.24900000001</v>
      </c>
      <c r="Q167" s="1449"/>
      <c r="R167" s="1449">
        <v>1</v>
      </c>
      <c r="S167" s="762">
        <f t="shared" si="113"/>
        <v>20.59</v>
      </c>
      <c r="T167" s="1503">
        <f t="shared" si="114"/>
        <v>315514.13880999997</v>
      </c>
      <c r="U167" s="1504">
        <f>T167/P167-1</f>
        <v>0.8718181818181816</v>
      </c>
      <c r="V167" s="1506" t="s">
        <v>763</v>
      </c>
      <c r="W167" s="1505" t="s">
        <v>764</v>
      </c>
      <c r="X167" s="1507">
        <f t="shared" si="117"/>
        <v>168560.24900000001</v>
      </c>
      <c r="Y167" s="1507">
        <v>5146000</v>
      </c>
      <c r="Z167" s="1507">
        <v>19602</v>
      </c>
      <c r="AA167" s="1517">
        <f t="shared" si="118"/>
        <v>5294958.2489999998</v>
      </c>
      <c r="AB167" s="1519">
        <v>0</v>
      </c>
      <c r="AC167" s="1519">
        <v>-44204</v>
      </c>
      <c r="AD167" s="1520" t="str">
        <f t="shared" si="119"/>
        <v>n/a</v>
      </c>
      <c r="AE167" s="1520">
        <f t="shared" si="120"/>
        <v>-119.78459526287213</v>
      </c>
      <c r="AF167" s="1463">
        <f>+P167-X167</f>
        <v>0</v>
      </c>
    </row>
    <row r="168" spans="1:73" s="1459" customFormat="1" ht="13.5" customHeight="1">
      <c r="B168" s="1443" t="s">
        <v>1212</v>
      </c>
      <c r="C168" s="1446" t="s">
        <v>1213</v>
      </c>
      <c r="D168" s="1445" t="s">
        <v>422</v>
      </c>
      <c r="E168" s="1446" t="s">
        <v>1214</v>
      </c>
      <c r="F168" s="1447">
        <v>42522</v>
      </c>
      <c r="G168" s="1471">
        <v>7</v>
      </c>
      <c r="H168" s="1471">
        <v>14</v>
      </c>
      <c r="I168" s="1471">
        <v>16</v>
      </c>
      <c r="J168" s="1471">
        <v>6.78</v>
      </c>
      <c r="K168" s="2054">
        <f t="shared" si="89"/>
        <v>12251.079</v>
      </c>
      <c r="L168" s="983">
        <f>4000000/1000</f>
        <v>4000</v>
      </c>
      <c r="M168" s="983">
        <f>16251079/1000</f>
        <v>16251.079</v>
      </c>
      <c r="N168" s="2054">
        <f t="shared" si="110"/>
        <v>85757.553</v>
      </c>
      <c r="O168" s="2053">
        <f t="shared" si="111"/>
        <v>28000</v>
      </c>
      <c r="P168" s="2054">
        <f t="shared" si="112"/>
        <v>113757.553</v>
      </c>
      <c r="Q168" s="1449"/>
      <c r="R168" s="1426">
        <v>1</v>
      </c>
      <c r="S168" s="762">
        <f t="shared" si="113"/>
        <v>6.78</v>
      </c>
      <c r="T168" s="1450">
        <f t="shared" si="114"/>
        <v>110182.31562000001</v>
      </c>
      <c r="U168" s="1504">
        <v>-3.1428571428571361E-2</v>
      </c>
      <c r="V168" s="1506" t="s">
        <v>2227</v>
      </c>
      <c r="W168" s="1505" t="s">
        <v>1215</v>
      </c>
      <c r="X168" s="1507">
        <f t="shared" si="117"/>
        <v>113757.553</v>
      </c>
      <c r="Y168" s="1454">
        <v>6035000</v>
      </c>
      <c r="Z168" s="1454">
        <v>15887</v>
      </c>
      <c r="AA168" s="985">
        <f t="shared" si="118"/>
        <v>6132870.5530000003</v>
      </c>
      <c r="AB168" s="978">
        <v>510</v>
      </c>
      <c r="AC168" s="978">
        <v>-18864</v>
      </c>
      <c r="AD168" s="1456">
        <f t="shared" si="119"/>
        <v>12025.236378431373</v>
      </c>
      <c r="AE168" s="1456">
        <f t="shared" si="120"/>
        <v>-325.10976213952506</v>
      </c>
      <c r="AF168" s="1463"/>
    </row>
    <row r="169" spans="1:73" s="1437" customFormat="1" ht="13.5" customHeight="1">
      <c r="A169" s="1459"/>
      <c r="B169" s="1443" t="s">
        <v>792</v>
      </c>
      <c r="C169" s="1446" t="s">
        <v>793</v>
      </c>
      <c r="D169" s="1445" t="s">
        <v>422</v>
      </c>
      <c r="E169" s="1446" t="s">
        <v>794</v>
      </c>
      <c r="F169" s="1447">
        <v>42515</v>
      </c>
      <c r="G169" s="1471">
        <v>11</v>
      </c>
      <c r="H169" s="1471">
        <v>14</v>
      </c>
      <c r="I169" s="1471">
        <v>16</v>
      </c>
      <c r="J169" s="1471">
        <v>20.14</v>
      </c>
      <c r="K169" s="2054">
        <f t="shared" si="89"/>
        <v>15998.106</v>
      </c>
      <c r="L169" s="983">
        <v>5500</v>
      </c>
      <c r="M169" s="983">
        <v>21498.106</v>
      </c>
      <c r="N169" s="2054">
        <f t="shared" si="110"/>
        <v>175979.166</v>
      </c>
      <c r="O169" s="2053">
        <f t="shared" si="111"/>
        <v>60500</v>
      </c>
      <c r="P169" s="2054">
        <f t="shared" si="112"/>
        <v>236479.166</v>
      </c>
      <c r="Q169" s="1449"/>
      <c r="R169" s="1426">
        <v>1</v>
      </c>
      <c r="S169" s="762">
        <f t="shared" si="113"/>
        <v>20.14</v>
      </c>
      <c r="T169" s="1450">
        <f t="shared" si="114"/>
        <v>432971.85483999999</v>
      </c>
      <c r="U169" s="1451">
        <f t="shared" ref="U169:U177" si="121">T169/P169-1</f>
        <v>0.83090909090909082</v>
      </c>
      <c r="V169" s="1460" t="s">
        <v>795</v>
      </c>
      <c r="W169" s="1458" t="s">
        <v>796</v>
      </c>
      <c r="X169" s="1454">
        <f t="shared" si="117"/>
        <v>236479.166</v>
      </c>
      <c r="Y169" s="1454">
        <v>0</v>
      </c>
      <c r="Z169" s="1454">
        <v>41853</v>
      </c>
      <c r="AA169" s="985">
        <f t="shared" si="118"/>
        <v>194626.166</v>
      </c>
      <c r="AB169" s="978">
        <v>49731</v>
      </c>
      <c r="AC169" s="978">
        <v>-641</v>
      </c>
      <c r="AD169" s="1456">
        <f t="shared" si="119"/>
        <v>3.9135783716394199</v>
      </c>
      <c r="AE169" s="1456">
        <f t="shared" si="120"/>
        <v>-303.62896411856474</v>
      </c>
      <c r="AF169" s="1457">
        <f t="shared" ref="AF169:AF177" si="122">+P169-X169</f>
        <v>0</v>
      </c>
      <c r="AG169" s="1461"/>
    </row>
    <row r="170" spans="1:73" s="1422" customFormat="1" ht="13.5" customHeight="1">
      <c r="A170" s="1459"/>
      <c r="B170" s="1443" t="s">
        <v>838</v>
      </c>
      <c r="C170" s="1446" t="s">
        <v>1274</v>
      </c>
      <c r="D170" s="1445" t="s">
        <v>422</v>
      </c>
      <c r="E170" s="1446" t="s">
        <v>839</v>
      </c>
      <c r="F170" s="1447">
        <v>42327</v>
      </c>
      <c r="G170" s="1471">
        <v>9</v>
      </c>
      <c r="H170" s="1471">
        <v>11</v>
      </c>
      <c r="I170" s="1471">
        <v>13</v>
      </c>
      <c r="J170" s="1471">
        <v>9.11</v>
      </c>
      <c r="K170" s="2054">
        <f t="shared" si="89"/>
        <v>13470.476999999999</v>
      </c>
      <c r="L170" s="983">
        <v>5666.6670000000004</v>
      </c>
      <c r="M170" s="983">
        <v>19137.144</v>
      </c>
      <c r="N170" s="2054">
        <f t="shared" si="110"/>
        <v>121234.29299999999</v>
      </c>
      <c r="O170" s="2053">
        <f t="shared" si="111"/>
        <v>51000.003000000004</v>
      </c>
      <c r="P170" s="2054">
        <f t="shared" si="112"/>
        <v>172234.296</v>
      </c>
      <c r="Q170" s="1449"/>
      <c r="R170" s="1426">
        <v>1</v>
      </c>
      <c r="S170" s="762">
        <f t="shared" si="113"/>
        <v>9.11</v>
      </c>
      <c r="T170" s="1450">
        <f t="shared" si="114"/>
        <v>174339.38183999999</v>
      </c>
      <c r="U170" s="1451">
        <f t="shared" si="121"/>
        <v>1.2222222222222134E-2</v>
      </c>
      <c r="V170" s="1464" t="s">
        <v>840</v>
      </c>
      <c r="W170" s="1458" t="s">
        <v>841</v>
      </c>
      <c r="X170" s="1454">
        <f t="shared" si="117"/>
        <v>172234.296</v>
      </c>
      <c r="Y170" s="1454">
        <v>15137820</v>
      </c>
      <c r="Z170" s="1454">
        <v>4620.87</v>
      </c>
      <c r="AA170" s="985">
        <f t="shared" si="118"/>
        <v>15305433.426000001</v>
      </c>
      <c r="AB170" s="978">
        <v>0</v>
      </c>
      <c r="AC170" s="978">
        <v>-17881.009999999998</v>
      </c>
      <c r="AD170" s="1456" t="str">
        <f t="shared" si="119"/>
        <v>n/a</v>
      </c>
      <c r="AE170" s="1456">
        <f t="shared" si="120"/>
        <v>-855.96022965145721</v>
      </c>
      <c r="AF170" s="1457">
        <f t="shared" si="122"/>
        <v>0</v>
      </c>
      <c r="AG170" s="1465"/>
      <c r="AH170" s="1465"/>
      <c r="AI170" s="1465"/>
      <c r="AJ170" s="1465"/>
      <c r="AK170" s="1466"/>
      <c r="AL170" s="1462"/>
      <c r="AM170" s="1461"/>
      <c r="AN170" s="1465"/>
      <c r="AO170" s="1465"/>
      <c r="AP170" s="1465"/>
    </row>
    <row r="171" spans="1:73" s="1422" customFormat="1" ht="13.5" customHeight="1">
      <c r="A171" s="1459"/>
      <c r="B171" s="1443" t="s">
        <v>898</v>
      </c>
      <c r="C171" s="1446" t="s">
        <v>899</v>
      </c>
      <c r="D171" s="1445" t="s">
        <v>422</v>
      </c>
      <c r="E171" s="1446" t="s">
        <v>900</v>
      </c>
      <c r="F171" s="1447">
        <v>42208</v>
      </c>
      <c r="G171" s="1471">
        <v>15</v>
      </c>
      <c r="H171" s="1471">
        <v>14</v>
      </c>
      <c r="I171" s="1471">
        <v>16</v>
      </c>
      <c r="J171" s="1471">
        <v>24.9</v>
      </c>
      <c r="K171" s="2054">
        <f t="shared" si="89"/>
        <v>9688.7160000000003</v>
      </c>
      <c r="L171" s="983">
        <v>4800</v>
      </c>
      <c r="M171" s="983">
        <v>14488.716</v>
      </c>
      <c r="N171" s="2054">
        <f t="shared" si="110"/>
        <v>145330.74</v>
      </c>
      <c r="O171" s="2053">
        <f t="shared" si="111"/>
        <v>72000</v>
      </c>
      <c r="P171" s="2054">
        <f t="shared" si="112"/>
        <v>217330.74</v>
      </c>
      <c r="Q171" s="1449"/>
      <c r="R171" s="1426">
        <v>1</v>
      </c>
      <c r="S171" s="762">
        <f t="shared" si="113"/>
        <v>24.9</v>
      </c>
      <c r="T171" s="1450">
        <f t="shared" si="114"/>
        <v>360769.02840000001</v>
      </c>
      <c r="U171" s="1451">
        <f t="shared" si="121"/>
        <v>0.66000000000000014</v>
      </c>
      <c r="V171" s="1452" t="s">
        <v>901</v>
      </c>
      <c r="W171" s="1458" t="s">
        <v>902</v>
      </c>
      <c r="X171" s="1454">
        <f t="shared" si="117"/>
        <v>217330.74</v>
      </c>
      <c r="Y171" s="1454">
        <v>29619000</v>
      </c>
      <c r="Z171" s="1454">
        <v>26169</v>
      </c>
      <c r="AA171" s="985">
        <f t="shared" si="118"/>
        <v>29810161.739999998</v>
      </c>
      <c r="AB171" s="978">
        <v>5948</v>
      </c>
      <c r="AC171" s="978">
        <v>-48634</v>
      </c>
      <c r="AD171" s="1456">
        <f t="shared" si="119"/>
        <v>5011.7958540685941</v>
      </c>
      <c r="AE171" s="1456">
        <f t="shared" si="120"/>
        <v>-612.94900152156924</v>
      </c>
      <c r="AF171" s="1457">
        <f t="shared" si="122"/>
        <v>0</v>
      </c>
      <c r="AG171" s="1437"/>
      <c r="AK171" s="1463"/>
      <c r="AL171" s="1462"/>
      <c r="AM171" s="1461"/>
    </row>
    <row r="172" spans="1:73" s="1465" customFormat="1" ht="13.5" customHeight="1">
      <c r="A172" s="1459"/>
      <c r="B172" s="1443" t="s">
        <v>903</v>
      </c>
      <c r="C172" s="1446" t="s">
        <v>904</v>
      </c>
      <c r="D172" s="1445" t="s">
        <v>1216</v>
      </c>
      <c r="E172" s="1446" t="s">
        <v>905</v>
      </c>
      <c r="F172" s="1447">
        <v>42200</v>
      </c>
      <c r="G172" s="1471">
        <v>16</v>
      </c>
      <c r="H172" s="1471">
        <v>13</v>
      </c>
      <c r="I172" s="1471">
        <v>15</v>
      </c>
      <c r="J172" s="1471">
        <v>28.27</v>
      </c>
      <c r="K172" s="2054">
        <f t="shared" si="89"/>
        <v>16609.642</v>
      </c>
      <c r="L172" s="983">
        <v>6365</v>
      </c>
      <c r="M172" s="983">
        <v>22974.642</v>
      </c>
      <c r="N172" s="2054">
        <f t="shared" si="110"/>
        <v>265754.272</v>
      </c>
      <c r="O172" s="2053">
        <f t="shared" si="111"/>
        <v>101840</v>
      </c>
      <c r="P172" s="2054">
        <f t="shared" si="112"/>
        <v>367594.272</v>
      </c>
      <c r="Q172" s="1449"/>
      <c r="R172" s="1426">
        <v>1</v>
      </c>
      <c r="S172" s="762">
        <f t="shared" si="113"/>
        <v>28.27</v>
      </c>
      <c r="T172" s="1450">
        <f t="shared" si="114"/>
        <v>649493.12933999998</v>
      </c>
      <c r="U172" s="1451">
        <f t="shared" si="121"/>
        <v>0.76687499999999997</v>
      </c>
      <c r="V172" s="1464" t="s">
        <v>906</v>
      </c>
      <c r="W172" s="1458" t="s">
        <v>907</v>
      </c>
      <c r="X172" s="1454">
        <f t="shared" si="117"/>
        <v>367594.272</v>
      </c>
      <c r="Y172" s="1454">
        <v>0</v>
      </c>
      <c r="Z172" s="1454">
        <v>70871.77</v>
      </c>
      <c r="AA172" s="985">
        <f t="shared" si="118"/>
        <v>296722.50199999998</v>
      </c>
      <c r="AB172" s="978">
        <v>0</v>
      </c>
      <c r="AC172" s="978">
        <v>-60684</v>
      </c>
      <c r="AD172" s="1456" t="str">
        <f t="shared" si="119"/>
        <v>n/a</v>
      </c>
      <c r="AE172" s="1456">
        <f t="shared" si="120"/>
        <v>-4.8896332146859134</v>
      </c>
      <c r="AF172" s="1457">
        <f t="shared" si="122"/>
        <v>0</v>
      </c>
      <c r="AG172" s="1467"/>
      <c r="AH172" s="1466"/>
      <c r="AI172" s="1467"/>
      <c r="AJ172" s="1468"/>
      <c r="AK172" s="1466"/>
      <c r="AL172" s="1462"/>
      <c r="AM172" s="1461"/>
      <c r="AN172" s="1464"/>
      <c r="AO172" s="1469"/>
      <c r="AP172" s="1469"/>
      <c r="AQ172" s="1422"/>
      <c r="AR172" s="1422"/>
      <c r="AS172" s="1422"/>
      <c r="AT172" s="1422"/>
      <c r="AU172" s="1422"/>
      <c r="AV172" s="1422"/>
      <c r="AW172" s="1422"/>
      <c r="AX172" s="1422"/>
      <c r="AY172" s="1422"/>
      <c r="AZ172" s="1422"/>
      <c r="BA172" s="1422"/>
      <c r="BB172" s="1422"/>
      <c r="BC172" s="1422"/>
      <c r="BD172" s="1422"/>
      <c r="BE172" s="1422"/>
      <c r="BF172" s="1422"/>
      <c r="BG172" s="1422"/>
      <c r="BH172" s="1422"/>
      <c r="BI172" s="1422"/>
      <c r="BJ172" s="1422"/>
      <c r="BK172" s="1422"/>
      <c r="BL172" s="1422"/>
      <c r="BM172" s="1422"/>
      <c r="BN172" s="1422"/>
      <c r="BO172" s="1422"/>
      <c r="BP172" s="1422"/>
      <c r="BQ172" s="1422"/>
      <c r="BR172" s="1422"/>
      <c r="BS172" s="1422"/>
      <c r="BT172" s="1422"/>
      <c r="BU172" s="1422"/>
    </row>
    <row r="173" spans="1:73" s="1465" customFormat="1" ht="13.5" customHeight="1">
      <c r="A173" s="1459"/>
      <c r="B173" s="1443" t="s">
        <v>933</v>
      </c>
      <c r="C173" s="1446" t="s">
        <v>934</v>
      </c>
      <c r="D173" s="1445" t="s">
        <v>1216</v>
      </c>
      <c r="E173" s="1446" t="s">
        <v>935</v>
      </c>
      <c r="F173" s="1447">
        <v>42130</v>
      </c>
      <c r="G173" s="1471">
        <v>12</v>
      </c>
      <c r="H173" s="1471">
        <v>12</v>
      </c>
      <c r="I173" s="1471">
        <v>14</v>
      </c>
      <c r="J173" s="1471">
        <v>19.079999999999998</v>
      </c>
      <c r="K173" s="2054">
        <f t="shared" si="89"/>
        <v>13907.935000000001</v>
      </c>
      <c r="L173" s="983">
        <v>5800</v>
      </c>
      <c r="M173" s="983">
        <v>19707.935000000001</v>
      </c>
      <c r="N173" s="2054">
        <f t="shared" si="110"/>
        <v>166895.22000000003</v>
      </c>
      <c r="O173" s="2053">
        <f t="shared" si="111"/>
        <v>69600</v>
      </c>
      <c r="P173" s="2054">
        <f t="shared" si="112"/>
        <v>236495.22000000003</v>
      </c>
      <c r="Q173" s="1449"/>
      <c r="R173" s="1426">
        <v>1</v>
      </c>
      <c r="S173" s="762">
        <f t="shared" si="113"/>
        <v>19.079999999999998</v>
      </c>
      <c r="T173" s="1450">
        <f t="shared" si="114"/>
        <v>376027.39980000001</v>
      </c>
      <c r="U173" s="1451">
        <f t="shared" si="121"/>
        <v>0.58999999999999986</v>
      </c>
      <c r="V173" s="1452" t="s">
        <v>936</v>
      </c>
      <c r="W173" s="1458" t="s">
        <v>937</v>
      </c>
      <c r="X173" s="1454">
        <f t="shared" si="117"/>
        <v>236495.22000000003</v>
      </c>
      <c r="Y173" s="1454">
        <v>13007000</v>
      </c>
      <c r="Z173" s="1454">
        <v>1634</v>
      </c>
      <c r="AA173" s="985">
        <f t="shared" si="118"/>
        <v>13241861.220000001</v>
      </c>
      <c r="AB173" s="978">
        <v>0</v>
      </c>
      <c r="AC173" s="978">
        <v>-58596</v>
      </c>
      <c r="AD173" s="1456" t="str">
        <f t="shared" si="119"/>
        <v>n/a</v>
      </c>
      <c r="AE173" s="1456">
        <f t="shared" si="120"/>
        <v>-225.98575363506043</v>
      </c>
      <c r="AF173" s="1457">
        <f t="shared" si="122"/>
        <v>0</v>
      </c>
      <c r="AG173" s="1437"/>
      <c r="AH173" s="1422"/>
      <c r="AI173" s="1422"/>
      <c r="AJ173" s="1422"/>
      <c r="AK173" s="1463"/>
      <c r="AL173" s="1462"/>
      <c r="AM173" s="1461"/>
      <c r="AN173" s="1422"/>
      <c r="AO173" s="1422"/>
      <c r="AP173" s="1422"/>
    </row>
    <row r="174" spans="1:73" s="1465" customFormat="1" ht="13.5" customHeight="1">
      <c r="A174" s="1459"/>
      <c r="B174" s="1443" t="s">
        <v>938</v>
      </c>
      <c r="C174" s="1446" t="s">
        <v>939</v>
      </c>
      <c r="D174" s="1445" t="s">
        <v>422</v>
      </c>
      <c r="E174" s="1446" t="s">
        <v>940</v>
      </c>
      <c r="F174" s="1447">
        <v>42129</v>
      </c>
      <c r="G174" s="1471">
        <v>10</v>
      </c>
      <c r="H174" s="1471">
        <v>13</v>
      </c>
      <c r="I174" s="1471">
        <v>15</v>
      </c>
      <c r="J174" s="1471">
        <v>8.4499999999999993</v>
      </c>
      <c r="K174" s="2054">
        <f t="shared" si="89"/>
        <v>9638.9889999999996</v>
      </c>
      <c r="L174" s="983">
        <v>5500</v>
      </c>
      <c r="M174" s="983">
        <v>15138.989</v>
      </c>
      <c r="N174" s="2054">
        <f t="shared" si="110"/>
        <v>96389.89</v>
      </c>
      <c r="O174" s="2053">
        <f t="shared" si="111"/>
        <v>55000</v>
      </c>
      <c r="P174" s="2054">
        <f t="shared" si="112"/>
        <v>151389.89000000001</v>
      </c>
      <c r="Q174" s="1449"/>
      <c r="R174" s="1426">
        <v>1</v>
      </c>
      <c r="S174" s="762">
        <f t="shared" si="113"/>
        <v>8.4499999999999993</v>
      </c>
      <c r="T174" s="1450">
        <f t="shared" si="114"/>
        <v>127924.45704999998</v>
      </c>
      <c r="U174" s="1451">
        <f t="shared" si="121"/>
        <v>-0.15500000000000014</v>
      </c>
      <c r="V174" s="1464" t="s">
        <v>941</v>
      </c>
      <c r="W174" s="1458" t="s">
        <v>942</v>
      </c>
      <c r="X174" s="1454">
        <f t="shared" si="117"/>
        <v>151389.89000000001</v>
      </c>
      <c r="Y174" s="1454" t="s">
        <v>1</v>
      </c>
      <c r="Z174" s="1454" t="s">
        <v>1</v>
      </c>
      <c r="AA174" s="1454" t="s">
        <v>1</v>
      </c>
      <c r="AB174" s="1454" t="s">
        <v>1</v>
      </c>
      <c r="AC174" s="1454" t="s">
        <v>1</v>
      </c>
      <c r="AD174" s="1456" t="str">
        <f t="shared" si="119"/>
        <v>n/a</v>
      </c>
      <c r="AE174" s="1456" t="str">
        <f t="shared" si="120"/>
        <v>n/a</v>
      </c>
      <c r="AF174" s="1457">
        <f t="shared" si="122"/>
        <v>0</v>
      </c>
      <c r="AK174" s="1508"/>
      <c r="AL174" s="1462"/>
      <c r="AM174" s="1461"/>
    </row>
    <row r="175" spans="1:73" s="1494" customFormat="1" ht="13.5" customHeight="1">
      <c r="A175" s="1459"/>
      <c r="B175" s="1443" t="s">
        <v>970</v>
      </c>
      <c r="C175" s="1446" t="s">
        <v>971</v>
      </c>
      <c r="D175" s="1445" t="s">
        <v>422</v>
      </c>
      <c r="E175" s="1446" t="s">
        <v>972</v>
      </c>
      <c r="F175" s="1447">
        <v>42108</v>
      </c>
      <c r="G175" s="1471">
        <v>19</v>
      </c>
      <c r="H175" s="1471">
        <v>18</v>
      </c>
      <c r="I175" s="1471">
        <v>20</v>
      </c>
      <c r="J175" s="1471">
        <v>19.93</v>
      </c>
      <c r="K175" s="2054">
        <f t="shared" si="89"/>
        <v>27716.631000000001</v>
      </c>
      <c r="L175" s="983">
        <v>4000</v>
      </c>
      <c r="M175" s="983">
        <v>31716.631000000001</v>
      </c>
      <c r="N175" s="2054">
        <f t="shared" si="110"/>
        <v>526615.98900000006</v>
      </c>
      <c r="O175" s="2053">
        <f t="shared" si="111"/>
        <v>76000</v>
      </c>
      <c r="P175" s="2054">
        <f t="shared" si="112"/>
        <v>602615.98900000006</v>
      </c>
      <c r="Q175" s="1449"/>
      <c r="R175" s="1449">
        <v>1</v>
      </c>
      <c r="S175" s="762">
        <f t="shared" si="113"/>
        <v>19.93</v>
      </c>
      <c r="T175" s="1503">
        <f t="shared" si="114"/>
        <v>632112.45582999999</v>
      </c>
      <c r="U175" s="1504">
        <f t="shared" si="121"/>
        <v>4.8947368421052406E-2</v>
      </c>
      <c r="V175" s="1505" t="s">
        <v>973</v>
      </c>
      <c r="W175" s="1505" t="s">
        <v>974</v>
      </c>
      <c r="X175" s="1507">
        <f t="shared" si="117"/>
        <v>602615.98900000006</v>
      </c>
      <c r="Y175" s="1507">
        <v>0</v>
      </c>
      <c r="Z175" s="1507">
        <v>57329</v>
      </c>
      <c r="AA175" s="1517">
        <f>X175+Y175-Z175</f>
        <v>545286.98900000006</v>
      </c>
      <c r="AB175" s="1519">
        <v>0</v>
      </c>
      <c r="AC175" s="1519">
        <v>-46039</v>
      </c>
      <c r="AD175" s="1520" t="str">
        <f t="shared" si="119"/>
        <v>n/a</v>
      </c>
      <c r="AE175" s="1520">
        <f t="shared" si="120"/>
        <v>-11.844023306327246</v>
      </c>
      <c r="AF175" s="1463">
        <f t="shared" si="122"/>
        <v>0</v>
      </c>
      <c r="AI175" s="1443"/>
      <c r="AJ175" s="1463"/>
      <c r="AK175" s="1446"/>
      <c r="AL175" s="1459"/>
    </row>
    <row r="176" spans="1:73" s="1422" customFormat="1" ht="13.5" customHeight="1">
      <c r="A176" s="1459"/>
      <c r="B176" s="1443" t="s">
        <v>985</v>
      </c>
      <c r="C176" s="1446" t="s">
        <v>986</v>
      </c>
      <c r="D176" s="1445" t="s">
        <v>422</v>
      </c>
      <c r="E176" s="1446" t="s">
        <v>987</v>
      </c>
      <c r="F176" s="1447">
        <v>42047</v>
      </c>
      <c r="G176" s="1471">
        <v>6</v>
      </c>
      <c r="H176" s="1471">
        <v>12</v>
      </c>
      <c r="I176" s="1471">
        <v>14</v>
      </c>
      <c r="J176" s="1471">
        <v>3.1</v>
      </c>
      <c r="K176" s="2054">
        <f t="shared" si="89"/>
        <v>5645.3540000000003</v>
      </c>
      <c r="L176" s="983">
        <v>683.25</v>
      </c>
      <c r="M176" s="983">
        <v>6328.6040000000003</v>
      </c>
      <c r="N176" s="2054">
        <f t="shared" si="110"/>
        <v>33872.124000000003</v>
      </c>
      <c r="O176" s="2053">
        <f t="shared" si="111"/>
        <v>4099.5</v>
      </c>
      <c r="P176" s="2054">
        <f t="shared" si="112"/>
        <v>37971.624000000003</v>
      </c>
      <c r="Q176" s="1449"/>
      <c r="R176" s="1426">
        <v>1</v>
      </c>
      <c r="S176" s="762">
        <f t="shared" si="113"/>
        <v>3.1</v>
      </c>
      <c r="T176" s="1450">
        <f t="shared" si="114"/>
        <v>19618.672400000003</v>
      </c>
      <c r="U176" s="1451">
        <f t="shared" si="121"/>
        <v>-0.48333333333333328</v>
      </c>
      <c r="V176" s="1458" t="s">
        <v>988</v>
      </c>
      <c r="W176" s="1458" t="s">
        <v>989</v>
      </c>
      <c r="X176" s="1454">
        <f t="shared" si="117"/>
        <v>37971.624000000003</v>
      </c>
      <c r="Y176" s="1454">
        <v>2842130</v>
      </c>
      <c r="Z176" s="1454">
        <v>311.09999999999997</v>
      </c>
      <c r="AA176" s="985">
        <f>X176+Y176-Z176</f>
        <v>2879790.5239999997</v>
      </c>
      <c r="AB176" s="978">
        <v>234.6</v>
      </c>
      <c r="AC176" s="978">
        <v>-10063.75</v>
      </c>
      <c r="AD176" s="1456">
        <f t="shared" si="119"/>
        <v>12275.321926683717</v>
      </c>
      <c r="AE176" s="1456">
        <f t="shared" si="120"/>
        <v>-286.15481545149669</v>
      </c>
      <c r="AF176" s="1457">
        <f t="shared" si="122"/>
        <v>0</v>
      </c>
      <c r="AG176" s="1465"/>
      <c r="AH176" s="1465"/>
      <c r="AI176" s="1465"/>
      <c r="AJ176" s="1466"/>
      <c r="AK176" s="1462"/>
      <c r="AL176" s="1461"/>
      <c r="AM176" s="1465"/>
      <c r="AN176" s="1465"/>
      <c r="AO176" s="1465"/>
      <c r="AP176" s="1465"/>
      <c r="AQ176" s="1465"/>
      <c r="AR176" s="1465"/>
      <c r="AS176" s="1465"/>
      <c r="AT176" s="1465"/>
      <c r="AU176" s="1465"/>
      <c r="AV176" s="1465"/>
      <c r="AW176" s="1465"/>
      <c r="AX176" s="1465"/>
      <c r="AY176" s="1465"/>
      <c r="AZ176" s="1465"/>
      <c r="BA176" s="1465"/>
      <c r="BB176" s="1465"/>
      <c r="BC176" s="1465"/>
      <c r="BD176" s="1465"/>
      <c r="BE176" s="1465"/>
      <c r="BF176" s="1465"/>
      <c r="BG176" s="1465"/>
      <c r="BH176" s="1465"/>
      <c r="BI176" s="1465"/>
      <c r="BJ176" s="1465"/>
      <c r="BK176" s="1465"/>
      <c r="BL176" s="1465"/>
      <c r="BM176" s="1465"/>
      <c r="BN176" s="1465"/>
      <c r="BO176" s="1465"/>
      <c r="BP176" s="1465"/>
      <c r="BQ176" s="1465"/>
      <c r="BR176" s="1465"/>
      <c r="BS176" s="1465"/>
      <c r="BT176" s="1465"/>
      <c r="BU176" s="1465"/>
    </row>
    <row r="177" spans="1:41" s="1465" customFormat="1" ht="13.5" customHeight="1">
      <c r="A177" s="1459"/>
      <c r="B177" s="1443" t="s">
        <v>657</v>
      </c>
      <c r="C177" s="1446" t="s">
        <v>655</v>
      </c>
      <c r="D177" s="1445" t="s">
        <v>422</v>
      </c>
      <c r="E177" s="1446" t="s">
        <v>990</v>
      </c>
      <c r="F177" s="1447">
        <v>42033</v>
      </c>
      <c r="G177" s="1471">
        <v>23</v>
      </c>
      <c r="H177" s="1471">
        <v>15</v>
      </c>
      <c r="I177" s="1471">
        <v>17</v>
      </c>
      <c r="J177" s="1471">
        <v>57.59</v>
      </c>
      <c r="K177" s="2054">
        <f t="shared" si="89"/>
        <v>16490.366999999998</v>
      </c>
      <c r="L177" s="983">
        <v>7000</v>
      </c>
      <c r="M177" s="983">
        <v>23490.366999999998</v>
      </c>
      <c r="N177" s="2054">
        <f t="shared" si="110"/>
        <v>379278.44099999999</v>
      </c>
      <c r="O177" s="2053">
        <f t="shared" si="111"/>
        <v>161000</v>
      </c>
      <c r="P177" s="2054">
        <f t="shared" si="112"/>
        <v>540278.44099999999</v>
      </c>
      <c r="Q177" s="1449"/>
      <c r="R177" s="1426">
        <v>1</v>
      </c>
      <c r="S177" s="762">
        <f t="shared" si="113"/>
        <v>57.59</v>
      </c>
      <c r="T177" s="1450">
        <f t="shared" si="114"/>
        <v>1352810.2355299999</v>
      </c>
      <c r="U177" s="1451">
        <f t="shared" si="121"/>
        <v>1.5039130434782608</v>
      </c>
      <c r="V177" s="1458" t="s">
        <v>656</v>
      </c>
      <c r="W177" s="1458" t="s">
        <v>658</v>
      </c>
      <c r="X177" s="1454">
        <f t="shared" si="117"/>
        <v>540278.44099999999</v>
      </c>
      <c r="Y177" s="1454">
        <v>0</v>
      </c>
      <c r="Z177" s="1454">
        <v>67272.599999999991</v>
      </c>
      <c r="AA177" s="985">
        <f>X177+Y177-Z177</f>
        <v>473005.84100000001</v>
      </c>
      <c r="AB177" s="978">
        <v>21077.84</v>
      </c>
      <c r="AC177" s="978">
        <v>-75140.02</v>
      </c>
      <c r="AD177" s="1456">
        <f t="shared" si="119"/>
        <v>22.440906705810463</v>
      </c>
      <c r="AE177" s="1456">
        <f t="shared" si="120"/>
        <v>-6.2949922158657925</v>
      </c>
      <c r="AF177" s="1457">
        <f t="shared" si="122"/>
        <v>0</v>
      </c>
      <c r="AG177" s="1422"/>
      <c r="AH177" s="1422"/>
      <c r="AI177" s="1422"/>
      <c r="AJ177" s="1463"/>
      <c r="AK177" s="1462"/>
      <c r="AL177" s="1461"/>
      <c r="AM177" s="1422"/>
      <c r="AN177" s="1422"/>
      <c r="AO177" s="1422"/>
    </row>
    <row r="178" spans="1:41" s="1465" customFormat="1" ht="13.5" customHeight="1">
      <c r="A178" s="1459"/>
      <c r="B178" s="1443"/>
      <c r="C178" s="1446"/>
      <c r="D178" s="1445"/>
      <c r="E178" s="1446"/>
      <c r="F178" s="1447"/>
      <c r="G178" s="1471"/>
      <c r="H178" s="1471"/>
      <c r="I178" s="1471"/>
      <c r="J178" s="1471"/>
      <c r="K178" s="2054"/>
      <c r="L178" s="983"/>
      <c r="M178" s="983"/>
      <c r="N178" s="2054"/>
      <c r="O178" s="2053"/>
      <c r="P178" s="2054"/>
      <c r="Q178" s="1449"/>
      <c r="R178" s="1426"/>
      <c r="S178" s="762"/>
      <c r="T178" s="1450"/>
      <c r="U178" s="1451"/>
      <c r="V178" s="1458"/>
      <c r="W178" s="1458"/>
      <c r="X178" s="1454"/>
      <c r="Y178" s="1454"/>
      <c r="Z178" s="1454"/>
      <c r="AA178" s="985"/>
      <c r="AB178" s="978"/>
      <c r="AC178" s="978"/>
      <c r="AD178" s="1456"/>
      <c r="AE178" s="1456"/>
      <c r="AF178" s="1457"/>
      <c r="AG178" s="1422"/>
      <c r="AH178" s="1422"/>
      <c r="AI178" s="1422"/>
      <c r="AJ178" s="1463"/>
      <c r="AK178" s="1462"/>
      <c r="AL178" s="1461"/>
      <c r="AM178" s="1422"/>
      <c r="AN178" s="1422"/>
      <c r="AO178" s="1422"/>
    </row>
    <row r="179" spans="1:41" s="1422" customFormat="1" ht="12.75" customHeight="1">
      <c r="A179" s="1494"/>
      <c r="B179" s="1472" t="s">
        <v>2228</v>
      </c>
      <c r="C179" s="1443"/>
      <c r="D179" s="1443"/>
      <c r="E179" s="1443"/>
      <c r="F179" s="1509"/>
      <c r="G179" s="1509"/>
      <c r="H179" s="1509"/>
      <c r="I179" s="1509"/>
      <c r="J179" s="1509"/>
      <c r="K179" s="2054"/>
      <c r="L179" s="2054"/>
      <c r="M179" s="2054"/>
      <c r="N179" s="2054"/>
      <c r="O179" s="2054"/>
      <c r="P179" s="2054"/>
      <c r="Q179" s="1449"/>
      <c r="R179" s="1449"/>
      <c r="S179" s="1510"/>
    </row>
    <row r="180" spans="1:41" s="1422" customFormat="1" ht="12.75" customHeight="1">
      <c r="B180" s="1473" t="s">
        <v>46</v>
      </c>
      <c r="C180" s="1474"/>
      <c r="D180" s="1474"/>
      <c r="E180" s="1474"/>
      <c r="F180" s="1474"/>
      <c r="G180" s="1474"/>
      <c r="H180" s="1474"/>
      <c r="I180" s="1474"/>
      <c r="J180" s="1474"/>
      <c r="K180" s="2056"/>
      <c r="L180" s="2056"/>
      <c r="M180" s="2056"/>
      <c r="N180" s="1475">
        <f>MAX(N151:N177)</f>
        <v>737506.26</v>
      </c>
      <c r="O180" s="1475"/>
      <c r="P180" s="1476">
        <f>MAX(P151:P177)</f>
        <v>887506.25399999996</v>
      </c>
      <c r="Q180" s="1426"/>
      <c r="R180" s="1426"/>
      <c r="S180" s="1511">
        <f>MAX(S151:S177)</f>
        <v>57.59</v>
      </c>
    </row>
    <row r="181" spans="1:41" s="1422" customFormat="1" ht="12.75" customHeight="1">
      <c r="B181" s="763" t="s">
        <v>50</v>
      </c>
      <c r="C181" s="764"/>
      <c r="D181" s="764"/>
      <c r="E181" s="764"/>
      <c r="F181" s="764"/>
      <c r="G181" s="764"/>
      <c r="H181" s="764"/>
      <c r="I181" s="764"/>
      <c r="J181" s="764"/>
      <c r="K181" s="2057"/>
      <c r="L181" s="2057"/>
      <c r="M181" s="2057"/>
      <c r="N181" s="756">
        <f>QUARTILE(N151:N177,3)</f>
        <v>374482.65150000004</v>
      </c>
      <c r="O181" s="756"/>
      <c r="P181" s="765">
        <f>QUARTILE(P151:P177,3)</f>
        <v>480455.74050000001</v>
      </c>
      <c r="Q181" s="1426"/>
      <c r="R181" s="1426"/>
      <c r="S181" s="1512">
        <f>QUARTILE(S151:S177,3)</f>
        <v>21.105</v>
      </c>
    </row>
    <row r="182" spans="1:41" s="1422" customFormat="1">
      <c r="B182" s="763" t="s">
        <v>2</v>
      </c>
      <c r="C182" s="764"/>
      <c r="D182" s="764"/>
      <c r="E182" s="764"/>
      <c r="F182" s="764"/>
      <c r="G182" s="764"/>
      <c r="H182" s="764"/>
      <c r="I182" s="764"/>
      <c r="J182" s="764"/>
      <c r="K182" s="2057"/>
      <c r="L182" s="2057"/>
      <c r="M182" s="2057"/>
      <c r="N182" s="756">
        <f>AVERAGE(N151:N177)</f>
        <v>274918.5420352777</v>
      </c>
      <c r="O182" s="756"/>
      <c r="P182" s="765">
        <f>AVERAGE(P151:P177)</f>
        <v>356262.62427629443</v>
      </c>
      <c r="Q182" s="1426"/>
      <c r="R182" s="1426"/>
      <c r="S182" s="1512">
        <f>AVERAGE(S151:S177)</f>
        <v>19.105668148148148</v>
      </c>
    </row>
    <row r="183" spans="1:41" s="1422" customFormat="1">
      <c r="B183" s="763" t="s">
        <v>3</v>
      </c>
      <c r="C183" s="764"/>
      <c r="D183" s="764"/>
      <c r="E183" s="764"/>
      <c r="F183" s="764"/>
      <c r="G183" s="764"/>
      <c r="H183" s="764"/>
      <c r="I183" s="764"/>
      <c r="J183" s="764"/>
      <c r="K183" s="2057"/>
      <c r="L183" s="2057"/>
      <c r="M183" s="2057"/>
      <c r="N183" s="756">
        <f>MEDIAN(N151:N177)</f>
        <v>259245</v>
      </c>
      <c r="O183" s="756"/>
      <c r="P183" s="765">
        <f>MEDIAN(P151:P177)</f>
        <v>349245</v>
      </c>
      <c r="Q183" s="1426"/>
      <c r="R183" s="1426"/>
      <c r="S183" s="1512">
        <f>MEDIAN(S151:S177)</f>
        <v>19.079999999999998</v>
      </c>
    </row>
    <row r="184" spans="1:41" s="1422" customFormat="1">
      <c r="B184" s="763" t="s">
        <v>49</v>
      </c>
      <c r="C184" s="764"/>
      <c r="D184" s="764"/>
      <c r="E184" s="764"/>
      <c r="F184" s="764"/>
      <c r="G184" s="764"/>
      <c r="H184" s="764"/>
      <c r="I184" s="764"/>
      <c r="J184" s="764"/>
      <c r="K184" s="2057"/>
      <c r="L184" s="2057"/>
      <c r="M184" s="2057"/>
      <c r="N184" s="756">
        <f>QUARTILE(N151:N177,1)</f>
        <v>134395.4945</v>
      </c>
      <c r="O184" s="756"/>
      <c r="P184" s="765">
        <f>QUARTILE(P151:P177,1)</f>
        <v>199401.6195</v>
      </c>
      <c r="Q184" s="1426"/>
      <c r="R184" s="1426"/>
      <c r="S184" s="1512">
        <f>QUARTILE(S151:S177,1)</f>
        <v>12.335000000000001</v>
      </c>
    </row>
    <row r="185" spans="1:41" s="1422" customFormat="1">
      <c r="B185" s="914" t="s">
        <v>47</v>
      </c>
      <c r="C185" s="766"/>
      <c r="D185" s="766"/>
      <c r="E185" s="766"/>
      <c r="F185" s="766"/>
      <c r="G185" s="766"/>
      <c r="H185" s="766"/>
      <c r="I185" s="766"/>
      <c r="J185" s="766"/>
      <c r="K185" s="2058"/>
      <c r="L185" s="2058"/>
      <c r="M185" s="2058"/>
      <c r="N185" s="757">
        <f>MIN(N151:N177)</f>
        <v>33872.124000000003</v>
      </c>
      <c r="O185" s="757"/>
      <c r="P185" s="767">
        <f>MIN(P151:P177)</f>
        <v>37971.624000000003</v>
      </c>
      <c r="Q185" s="1426"/>
      <c r="R185" s="1426"/>
      <c r="S185" s="1513">
        <f>MIN(S151:S177)</f>
        <v>3.1</v>
      </c>
    </row>
    <row r="186" spans="1:41" s="1422" customFormat="1">
      <c r="B186" s="1501"/>
      <c r="C186" s="1501"/>
      <c r="D186" s="1501"/>
      <c r="E186" s="1501"/>
      <c r="F186" s="1510"/>
      <c r="G186" s="1510"/>
      <c r="H186" s="1510"/>
      <c r="I186" s="1510"/>
      <c r="J186" s="1510"/>
      <c r="K186" s="2055"/>
      <c r="L186" s="2055"/>
      <c r="M186" s="2055"/>
      <c r="N186" s="2055"/>
      <c r="O186" s="2055"/>
      <c r="P186" s="2055"/>
      <c r="Q186" s="1426"/>
      <c r="R186" s="1426"/>
      <c r="S186" s="1510"/>
    </row>
    <row r="187" spans="1:41" s="1422" customFormat="1" ht="13.5">
      <c r="B187" s="1514" t="s">
        <v>1217</v>
      </c>
      <c r="C187" s="1501"/>
      <c r="D187" s="1501"/>
      <c r="E187" s="1501"/>
      <c r="F187" s="1510"/>
      <c r="G187" s="1510"/>
      <c r="H187" s="1510"/>
      <c r="I187" s="1510"/>
      <c r="J187" s="1510"/>
      <c r="K187" s="2055"/>
      <c r="L187" s="2055"/>
      <c r="M187" s="2055"/>
      <c r="N187" s="2055"/>
      <c r="O187" s="2055"/>
      <c r="P187" s="2055"/>
      <c r="Q187" s="1426"/>
      <c r="R187" s="1426"/>
      <c r="S187" s="1510"/>
    </row>
    <row r="188" spans="1:41" s="1422" customFormat="1">
      <c r="B188" s="1473" t="s">
        <v>46</v>
      </c>
      <c r="C188" s="1474"/>
      <c r="D188" s="1474"/>
      <c r="E188" s="1474"/>
      <c r="F188" s="1474"/>
      <c r="G188" s="1474"/>
      <c r="H188" s="1474"/>
      <c r="I188" s="1474"/>
      <c r="J188" s="1474"/>
      <c r="K188" s="2056"/>
      <c r="L188" s="2056"/>
      <c r="M188" s="2056"/>
      <c r="N188" s="1475">
        <f t="array" ref="N188">MAX(IF($R$10:$R$177=1,N$10:N$177,""))</f>
        <v>1766090.8</v>
      </c>
      <c r="O188" s="1475"/>
      <c r="P188" s="1476">
        <f t="array" ref="P188">MAX(IF($R$10:$R$177=1,P$10:P$177,""))</f>
        <v>1973290.8</v>
      </c>
      <c r="Q188" s="1426"/>
      <c r="R188" s="1426"/>
      <c r="S188" s="1510"/>
    </row>
    <row r="189" spans="1:41" s="1422" customFormat="1">
      <c r="B189" s="763" t="s">
        <v>50</v>
      </c>
      <c r="C189" s="764"/>
      <c r="D189" s="764"/>
      <c r="E189" s="764"/>
      <c r="F189" s="764"/>
      <c r="G189" s="764"/>
      <c r="H189" s="764"/>
      <c r="I189" s="764"/>
      <c r="J189" s="764"/>
      <c r="K189" s="2057"/>
      <c r="L189" s="2057"/>
      <c r="M189" s="2057"/>
      <c r="N189" s="756">
        <f t="array" ref="N189">QUARTILE(IF($R$10:$R$177=1,N$10:N$177,""),3)</f>
        <v>388583.03200000001</v>
      </c>
      <c r="O189" s="756"/>
      <c r="P189" s="765">
        <f t="array" ref="P189">QUARTILE(IF($R$10:$R$177=1,P$10:P$177,""),3)</f>
        <v>497686.86600000004</v>
      </c>
      <c r="Q189" s="1426"/>
      <c r="R189" s="1426"/>
      <c r="S189" s="1510"/>
    </row>
    <row r="190" spans="1:41" s="1422" customFormat="1">
      <c r="B190" s="763" t="s">
        <v>2</v>
      </c>
      <c r="C190" s="764"/>
      <c r="D190" s="764"/>
      <c r="E190" s="764"/>
      <c r="F190" s="764"/>
      <c r="G190" s="764"/>
      <c r="H190" s="764"/>
      <c r="I190" s="764"/>
      <c r="J190" s="764"/>
      <c r="K190" s="2057"/>
      <c r="L190" s="2057"/>
      <c r="M190" s="2057"/>
      <c r="N190" s="756">
        <f t="array" ref="N190">AVERAGE(IF($R$10:$R$177=1,N$10:N$177,""))</f>
        <v>294551.77735861362</v>
      </c>
      <c r="O190" s="756"/>
      <c r="P190" s="765">
        <f t="array" ref="P190">AVERAGE(IF($R$10:$R$177=1,P$10:P$177,""))</f>
        <v>377739.95584502164</v>
      </c>
      <c r="Q190" s="1426"/>
      <c r="R190" s="1426"/>
      <c r="S190" s="1510"/>
    </row>
    <row r="191" spans="1:41" s="1422" customFormat="1">
      <c r="B191" s="763" t="s">
        <v>3</v>
      </c>
      <c r="C191" s="764"/>
      <c r="D191" s="764"/>
      <c r="E191" s="764"/>
      <c r="F191" s="764"/>
      <c r="G191" s="764"/>
      <c r="H191" s="764"/>
      <c r="I191" s="764"/>
      <c r="J191" s="764"/>
      <c r="K191" s="2057"/>
      <c r="L191" s="2057"/>
      <c r="M191" s="2057"/>
      <c r="N191" s="756">
        <f t="array" ref="N191">MEDIAN(IF($R$10:$R$177=1,N$10:N$177,""))</f>
        <v>251934.462</v>
      </c>
      <c r="O191" s="756"/>
      <c r="P191" s="765">
        <f t="array" ref="P191">MEDIAN(IF($R$10:$R$177=1,P$10:P$177,""))</f>
        <v>334932.75199999998</v>
      </c>
      <c r="Q191" s="1426"/>
      <c r="R191" s="1426"/>
      <c r="S191" s="1510"/>
    </row>
    <row r="192" spans="1:41" s="1422" customFormat="1">
      <c r="B192" s="763" t="s">
        <v>49</v>
      </c>
      <c r="C192" s="764"/>
      <c r="D192" s="764"/>
      <c r="E192" s="764"/>
      <c r="F192" s="764"/>
      <c r="G192" s="764"/>
      <c r="H192" s="764"/>
      <c r="I192" s="764"/>
      <c r="J192" s="764"/>
      <c r="K192" s="2057"/>
      <c r="L192" s="2057"/>
      <c r="M192" s="2057"/>
      <c r="N192" s="756">
        <f t="array" ref="N192">QUARTILE(IF($R$10:$R$177=1,N$10:N$177,""),1)</f>
        <v>105882.61199999999</v>
      </c>
      <c r="O192" s="756"/>
      <c r="P192" s="765">
        <f t="array" ref="P192">QUARTILE(IF($R$10:$R$177=1,P$10:P$177,""),1)</f>
        <v>172100.995</v>
      </c>
      <c r="Q192" s="1426"/>
      <c r="R192" s="1426"/>
      <c r="S192" s="1510"/>
    </row>
    <row r="193" spans="2:19" s="1422" customFormat="1">
      <c r="B193" s="914" t="s">
        <v>47</v>
      </c>
      <c r="C193" s="766"/>
      <c r="D193" s="766"/>
      <c r="E193" s="766"/>
      <c r="F193" s="766"/>
      <c r="G193" s="766"/>
      <c r="H193" s="766"/>
      <c r="I193" s="766"/>
      <c r="J193" s="766"/>
      <c r="K193" s="2058"/>
      <c r="L193" s="2058"/>
      <c r="M193" s="2058"/>
      <c r="N193" s="757">
        <f t="array" ref="N193">MIN(IF($R$10:$R$177=1,N$10:N$177,""))</f>
        <v>18940.300000000003</v>
      </c>
      <c r="O193" s="757"/>
      <c r="P193" s="767">
        <f t="array" ref="P193">MIN(IF($R$10:$R$177=1,P$10:P$177,""))</f>
        <v>37971.624000000003</v>
      </c>
      <c r="Q193" s="1426"/>
      <c r="R193" s="1426"/>
      <c r="S193" s="1510"/>
    </row>
    <row r="194" spans="2:19" s="1422" customFormat="1">
      <c r="F194" s="1515"/>
      <c r="G194" s="1515"/>
      <c r="H194" s="1515"/>
      <c r="I194" s="1515"/>
      <c r="J194" s="1515"/>
      <c r="K194" s="1515"/>
      <c r="L194" s="1515"/>
      <c r="M194" s="1515"/>
      <c r="N194" s="1515"/>
      <c r="O194" s="1515"/>
      <c r="P194" s="1515"/>
      <c r="Q194" s="1515"/>
      <c r="R194" s="1515"/>
      <c r="S194" s="1515"/>
    </row>
    <row r="195" spans="2:19" s="1422" customFormat="1">
      <c r="B195" s="8" t="s">
        <v>51</v>
      </c>
      <c r="C195" s="1516"/>
      <c r="D195" s="1516"/>
      <c r="E195" s="1516"/>
      <c r="F195" s="1516"/>
      <c r="G195" s="1516"/>
      <c r="H195" s="1516"/>
      <c r="I195" s="1516"/>
      <c r="J195" s="1516"/>
      <c r="K195" s="1516"/>
      <c r="L195" s="1516"/>
      <c r="M195" s="1516"/>
      <c r="N195" s="1516"/>
      <c r="O195" s="1516"/>
      <c r="P195" s="1516"/>
      <c r="Q195" s="1515"/>
      <c r="R195" s="1515"/>
      <c r="S195" s="1515"/>
    </row>
    <row r="196" spans="2:19">
      <c r="S196" s="1408"/>
    </row>
    <row r="197" spans="2:19">
      <c r="S197" s="1408"/>
    </row>
    <row r="198" spans="2:19">
      <c r="S198" s="1408"/>
    </row>
    <row r="199" spans="2:19">
      <c r="S199" s="1408"/>
    </row>
    <row r="200" spans="2:19">
      <c r="S200" s="1408"/>
    </row>
    <row r="201" spans="2:19">
      <c r="S201" s="1408"/>
    </row>
    <row r="202" spans="2:19">
      <c r="S202" s="1408"/>
    </row>
    <row r="203" spans="2:19">
      <c r="S203" s="1408"/>
    </row>
    <row r="204" spans="2:19">
      <c r="S204" s="1408"/>
    </row>
    <row r="205" spans="2:19">
      <c r="S205" s="1408"/>
    </row>
    <row r="206" spans="2:19">
      <c r="S206" s="1408"/>
    </row>
    <row r="207" spans="2:19">
      <c r="S207" s="1408"/>
    </row>
    <row r="208" spans="2:19">
      <c r="S208" s="1408"/>
    </row>
    <row r="209" spans="19:19">
      <c r="S209" s="1408"/>
    </row>
    <row r="210" spans="19:19">
      <c r="S210" s="1408"/>
    </row>
    <row r="211" spans="19:19">
      <c r="S211" s="1408"/>
    </row>
    <row r="212" spans="19:19">
      <c r="S212" s="1408"/>
    </row>
    <row r="213" spans="19:19">
      <c r="S213" s="1408"/>
    </row>
    <row r="214" spans="19:19">
      <c r="S214" s="1408"/>
    </row>
    <row r="215" spans="19:19">
      <c r="S215" s="1408"/>
    </row>
    <row r="216" spans="19:19">
      <c r="S216" s="1408"/>
    </row>
    <row r="217" spans="19:19">
      <c r="S217" s="1408"/>
    </row>
    <row r="218" spans="19:19">
      <c r="S218" s="1408"/>
    </row>
    <row r="219" spans="19:19">
      <c r="S219" s="1408"/>
    </row>
    <row r="220" spans="19:19">
      <c r="S220" s="1408"/>
    </row>
    <row r="221" spans="19:19">
      <c r="S221" s="1408"/>
    </row>
    <row r="222" spans="19:19">
      <c r="S222" s="1408"/>
    </row>
    <row r="223" spans="19:19">
      <c r="S223" s="1408"/>
    </row>
  </sheetData>
  <mergeCells count="21">
    <mergeCell ref="S7:S8"/>
    <mergeCell ref="D7:D8"/>
    <mergeCell ref="F7:F8"/>
    <mergeCell ref="G7:G8"/>
    <mergeCell ref="H7:I7"/>
    <mergeCell ref="J7:J8"/>
    <mergeCell ref="K7:K8"/>
    <mergeCell ref="L7:L8"/>
    <mergeCell ref="M7:M8"/>
    <mergeCell ref="N7:N8"/>
    <mergeCell ref="O7:O8"/>
    <mergeCell ref="P7:P8"/>
    <mergeCell ref="AC7:AC8"/>
    <mergeCell ref="AD7:AD8"/>
    <mergeCell ref="AE7:AE8"/>
    <mergeCell ref="T7:T8"/>
    <mergeCell ref="U7:U8"/>
    <mergeCell ref="V7:V8"/>
    <mergeCell ref="X7:X8"/>
    <mergeCell ref="AA7:AA8"/>
    <mergeCell ref="AB7:AB8"/>
  </mergeCells>
  <conditionalFormatting sqref="C4:E4">
    <cfRule type="cellIs" dxfId="166" priority="7" stopIfTrue="1" operator="equal">
      <formula>"input"</formula>
    </cfRule>
  </conditionalFormatting>
  <conditionalFormatting sqref="F4:G4">
    <cfRule type="cellIs" dxfId="165" priority="6" stopIfTrue="1" operator="equal">
      <formula>"input"</formula>
    </cfRule>
  </conditionalFormatting>
  <conditionalFormatting sqref="H4:I4">
    <cfRule type="cellIs" dxfId="164" priority="5" stopIfTrue="1" operator="equal">
      <formula>"input"</formula>
    </cfRule>
  </conditionalFormatting>
  <conditionalFormatting sqref="J4:K4">
    <cfRule type="cellIs" dxfId="163" priority="4" stopIfTrue="1" operator="equal">
      <formula>"input"</formula>
    </cfRule>
  </conditionalFormatting>
  <conditionalFormatting sqref="L4:M4">
    <cfRule type="cellIs" dxfId="162" priority="3" stopIfTrue="1" operator="equal">
      <formula>"input"</formula>
    </cfRule>
  </conditionalFormatting>
  <conditionalFormatting sqref="N4:O4">
    <cfRule type="cellIs" dxfId="161" priority="2" stopIfTrue="1" operator="equal">
      <formula>"input"</formula>
    </cfRule>
  </conditionalFormatting>
  <conditionalFormatting sqref="P4">
    <cfRule type="cellIs" dxfId="160" priority="1" stopIfTrue="1" operator="equal">
      <formula>"input"</formula>
    </cfRule>
  </conditionalFormatting>
  <pageMargins left="0.5" right="0.5" top="0.5" bottom="0.5" header="0.5" footer="0.5"/>
  <pageSetup scale="80" fitToWidth="0" fitToHeight="0" orientation="landscape" r:id="rId1"/>
  <rowBreaks count="3" manualBreakCount="3">
    <brk id="39" max="16" man="1"/>
    <brk id="78" max="16" man="1"/>
    <brk id="117" max="16" man="1"/>
  </rowBreaks>
  <legacyDrawing r:id="rId2"/>
  <legacyDrawingHF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1"/>
    <pageSetUpPr fitToPage="1"/>
  </sheetPr>
  <dimension ref="B4:J28"/>
  <sheetViews>
    <sheetView showGridLines="0" view="pageBreakPreview" zoomScaleNormal="100" zoomScaleSheetLayoutView="100" workbookViewId="0"/>
  </sheetViews>
  <sheetFormatPr defaultColWidth="9.33203125" defaultRowHeight="15"/>
  <cols>
    <col min="1" max="1" width="4.5" style="258" customWidth="1"/>
    <col min="2" max="2" width="3.83203125" style="258" customWidth="1"/>
    <col min="3" max="3" width="15.83203125" style="258" customWidth="1"/>
    <col min="4" max="4" width="115.83203125" style="259" customWidth="1"/>
    <col min="5" max="5" width="8.33203125" style="258" customWidth="1"/>
    <col min="6" max="6" width="3.83203125" style="258" customWidth="1"/>
    <col min="7" max="7" width="4.5" style="258" customWidth="1"/>
    <col min="8" max="8" width="9.33203125" style="258"/>
    <col min="9" max="9" width="21.33203125" style="258" customWidth="1"/>
    <col min="10" max="10" width="19" style="258" bestFit="1" customWidth="1"/>
    <col min="11" max="11" width="9.33203125" style="258"/>
    <col min="12" max="12" width="15.6640625" style="258" bestFit="1" customWidth="1"/>
    <col min="13" max="16384" width="9.33203125" style="258"/>
  </cols>
  <sheetData>
    <row r="4" spans="2:8">
      <c r="H4" s="952"/>
    </row>
    <row r="6" spans="2:8">
      <c r="B6" s="260"/>
      <c r="C6" s="249"/>
      <c r="D6" s="250"/>
      <c r="E6" s="249"/>
      <c r="F6" s="249"/>
    </row>
    <row r="7" spans="2:8" ht="15.75" thickBot="1">
      <c r="B7" s="260"/>
      <c r="C7" s="249"/>
      <c r="D7" s="250"/>
      <c r="E7" s="249"/>
      <c r="F7" s="249"/>
    </row>
    <row r="8" spans="2:8" ht="15.75" thickTop="1">
      <c r="B8" s="14"/>
      <c r="C8" s="261"/>
      <c r="D8" s="262"/>
      <c r="E8" s="261"/>
      <c r="F8" s="261"/>
    </row>
    <row r="9" spans="2:8" s="263" customFormat="1" ht="40.5">
      <c r="B9" s="264"/>
      <c r="C9" s="267"/>
      <c r="D9" s="283" t="str">
        <f>+'MASTER PubCo Inputs'!C8</f>
        <v>IRC 409A and ASC 718 Common Stock Independent Appraisal</v>
      </c>
      <c r="E9" s="265"/>
      <c r="F9" s="265"/>
    </row>
    <row r="10" spans="2:8">
      <c r="B10" s="251"/>
      <c r="C10" s="267"/>
      <c r="D10" s="284"/>
      <c r="E10" s="267"/>
      <c r="F10" s="267"/>
    </row>
    <row r="11" spans="2:8" ht="23.25">
      <c r="B11" s="251"/>
      <c r="C11" s="267"/>
      <c r="D11" s="252" t="s">
        <v>460</v>
      </c>
      <c r="E11" s="267"/>
      <c r="F11" s="267"/>
    </row>
    <row r="12" spans="2:8" ht="19.5">
      <c r="B12" s="251"/>
      <c r="C12" s="267"/>
      <c r="D12" s="285" t="s">
        <v>293</v>
      </c>
      <c r="E12" s="267"/>
      <c r="F12" s="267"/>
    </row>
    <row r="13" spans="2:8" ht="23.25">
      <c r="B13" s="251"/>
      <c r="C13" s="267"/>
      <c r="D13" s="252" t="str">
        <f>IF('MASTER PubCo Inputs'!C5="","",'MASTER PubCo Inputs'!C5)</f>
        <v>Pliant Therapeutics, Inc.</v>
      </c>
      <c r="E13" s="267"/>
      <c r="F13" s="267"/>
    </row>
    <row r="14" spans="2:8">
      <c r="B14" s="251"/>
      <c r="C14" s="267"/>
      <c r="D14" s="284"/>
      <c r="E14" s="267"/>
      <c r="F14" s="267"/>
    </row>
    <row r="15" spans="2:8" ht="23.25">
      <c r="B15" s="251"/>
      <c r="C15" s="267"/>
      <c r="D15" s="252" t="str">
        <f>"Valuation Date as of "&amp;TEXT('MASTER PubCo Inputs'!$C$6,"mmmm d, yyyy")&amp;""</f>
        <v>Valuation Date as of July 31, 2018</v>
      </c>
      <c r="E15" s="267"/>
      <c r="F15" s="267"/>
    </row>
    <row r="16" spans="2:8" ht="15.75" thickBot="1">
      <c r="B16" s="253"/>
      <c r="C16" s="268"/>
      <c r="D16" s="269"/>
      <c r="E16" s="268"/>
      <c r="F16" s="268"/>
    </row>
    <row r="17" spans="4:10" ht="15.75" thickTop="1"/>
    <row r="19" spans="4:10" ht="18.75">
      <c r="D19" s="254" t="s">
        <v>294</v>
      </c>
    </row>
    <row r="20" spans="4:10" ht="18.75">
      <c r="D20" s="255" t="str">
        <f ca="1">TEXT(J20,"mmmm d, yyyy")</f>
        <v>November 29, 2018</v>
      </c>
      <c r="I20" s="258" t="s">
        <v>296</v>
      </c>
      <c r="J20" s="282">
        <f ca="1">Title!J20</f>
        <v>43433</v>
      </c>
    </row>
    <row r="25" spans="4:10" ht="23.25">
      <c r="D25" s="856" t="s">
        <v>646</v>
      </c>
    </row>
    <row r="27" spans="4:10" ht="18.75">
      <c r="D27" s="256" t="s">
        <v>470</v>
      </c>
    </row>
    <row r="28" spans="4:10" ht="37.5">
      <c r="D28" s="257" t="s">
        <v>295</v>
      </c>
    </row>
  </sheetData>
  <pageMargins left="0.5" right="0.5" top="0.5" bottom="0.5" header="0.5" footer="0.5"/>
  <pageSetup scale="98" orientation="landscape"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F24"/>
  <sheetViews>
    <sheetView showGridLines="0" view="pageBreakPreview" zoomScaleNormal="145" zoomScaleSheetLayoutView="100" workbookViewId="0"/>
  </sheetViews>
  <sheetFormatPr defaultRowHeight="12.75"/>
  <cols>
    <col min="1" max="1" width="4.5" style="385" customWidth="1"/>
    <col min="2" max="2" width="20.83203125" style="385" customWidth="1"/>
    <col min="3" max="4" width="14.83203125" style="385" customWidth="1"/>
    <col min="5" max="5" width="64.1640625" style="391" customWidth="1"/>
    <col min="6" max="6" width="30.83203125" style="385" customWidth="1"/>
    <col min="7" max="7" width="4.5" style="385" customWidth="1"/>
    <col min="8" max="8" width="2.83203125" style="385" customWidth="1"/>
    <col min="9" max="16384" width="9.33203125" style="385"/>
  </cols>
  <sheetData>
    <row r="1" spans="2:6" ht="10.7" customHeight="1" thickBot="1"/>
    <row r="2" spans="2:6" ht="16.5" customHeight="1" thickTop="1">
      <c r="B2" s="10" t="str">
        <f>'MASTER PubCo Inputs'!$C$5</f>
        <v>Pliant Therapeutics, Inc.</v>
      </c>
      <c r="C2" s="10"/>
      <c r="D2" s="10"/>
      <c r="E2" s="345"/>
      <c r="F2" s="10"/>
    </row>
    <row r="3" spans="2:6" ht="16.5" customHeight="1" thickBot="1">
      <c r="B3" s="12" t="s">
        <v>1154</v>
      </c>
      <c r="C3" s="12"/>
      <c r="D3" s="12"/>
      <c r="E3" s="346"/>
      <c r="F3" s="12"/>
    </row>
    <row r="4" spans="2:6" ht="12.75" customHeight="1" thickTop="1"/>
    <row r="5" spans="2:6" ht="12.75" customHeight="1"/>
    <row r="6" spans="2:6" ht="12.75" customHeight="1">
      <c r="B6" s="342" t="s">
        <v>1155</v>
      </c>
      <c r="C6" s="1"/>
      <c r="D6" s="1"/>
      <c r="E6" s="1545" t="s">
        <v>1156</v>
      </c>
      <c r="F6" s="1"/>
    </row>
    <row r="7" spans="2:6" ht="12.75" customHeight="1">
      <c r="B7" s="358"/>
      <c r="C7" s="1"/>
      <c r="D7" s="1"/>
      <c r="E7" s="342"/>
      <c r="F7" s="1"/>
    </row>
    <row r="8" spans="2:6">
      <c r="B8" s="359" t="str">
        <f>Outline!B51</f>
        <v>#1</v>
      </c>
      <c r="E8" s="391" t="str">
        <f>Outline!E51</f>
        <v>Hybrid OPM</v>
      </c>
    </row>
    <row r="9" spans="2:6">
      <c r="B9" s="359" t="str">
        <f>Outline!B52</f>
        <v>#2</v>
      </c>
      <c r="E9" s="391" t="str">
        <f>Outline!E52</f>
        <v>Waterfall Analysis</v>
      </c>
    </row>
    <row r="10" spans="2:6">
      <c r="B10" s="359" t="str">
        <f>Outline!B53</f>
        <v>#3</v>
      </c>
      <c r="E10" s="391" t="str">
        <f>Outline!E53</f>
        <v>Option Pricing Method - Breakpoints &amp; Allocation (Hybrid OPM)</v>
      </c>
    </row>
    <row r="11" spans="2:6">
      <c r="B11" s="359" t="str">
        <f>Outline!B54</f>
        <v>#4</v>
      </c>
      <c r="E11" s="391" t="str">
        <f>Outline!E54</f>
        <v>Option Pricing Method - Implied Value Per Share (Hybrid OPM)</v>
      </c>
    </row>
    <row r="12" spans="2:6">
      <c r="B12" s="359" t="str">
        <f>Outline!B55</f>
        <v>#5</v>
      </c>
      <c r="E12" s="391" t="str">
        <f>Outline!E55</f>
        <v>Asset Volatility - Hybrid OPM</v>
      </c>
    </row>
    <row r="13" spans="2:6">
      <c r="B13" s="359" t="str">
        <f>Outline!B56</f>
        <v>#6</v>
      </c>
      <c r="E13" s="391" t="str">
        <f>Outline!E56</f>
        <v>Discount for Lack of Marketability - Hybrid OPM</v>
      </c>
    </row>
    <row r="14" spans="2:6">
      <c r="B14" s="359" t="str">
        <f>Outline!B57</f>
        <v>#7</v>
      </c>
      <c r="E14" s="391" t="str">
        <f>Outline!E57</f>
        <v>Market Trends since Previous Valuation</v>
      </c>
    </row>
    <row r="15" spans="2:6">
      <c r="B15" s="359" t="str">
        <f>Outline!B58</f>
        <v>#8</v>
      </c>
      <c r="E15" s="391" t="str">
        <f>Outline!E58</f>
        <v>Comparative Sheet</v>
      </c>
    </row>
    <row r="16" spans="2:6">
      <c r="B16" s="359" t="str">
        <f>Outline!B59</f>
        <v>#9</v>
      </c>
      <c r="E16" s="391" t="str">
        <f>Outline!E59</f>
        <v>Option Pricing Method - Breakpoints &amp; Allocation (OPM Backsolve)</v>
      </c>
    </row>
    <row r="17" spans="2:5">
      <c r="B17" s="359" t="str">
        <f>Outline!B60</f>
        <v>#10</v>
      </c>
      <c r="E17" s="391" t="str">
        <f>Outline!E60</f>
        <v>Option Pricing Method - Implied Value Per Share (OPM Backsolve)</v>
      </c>
    </row>
    <row r="18" spans="2:5">
      <c r="B18" s="359" t="str">
        <f>Outline!B61</f>
        <v>#11</v>
      </c>
      <c r="E18" s="281" t="str">
        <f>Outline!E62</f>
        <v>Discount for Lack of Marketability - OPM Backsolve</v>
      </c>
    </row>
    <row r="19" spans="2:5">
      <c r="B19" s="359" t="str">
        <f>Outline!B62</f>
        <v>#12</v>
      </c>
      <c r="E19" s="281" t="str">
        <f>Outline!E63</f>
        <v>Additional Adjustment Factor Calculation</v>
      </c>
    </row>
    <row r="21" spans="2:5">
      <c r="E21" s="385"/>
    </row>
    <row r="22" spans="2:5">
      <c r="E22" s="385"/>
    </row>
    <row r="23" spans="2:5">
      <c r="E23" s="385"/>
    </row>
    <row r="24" spans="2:5">
      <c r="E24" s="385"/>
    </row>
  </sheetData>
  <conditionalFormatting sqref="B3:F3">
    <cfRule type="cellIs" dxfId="159" priority="15" stopIfTrue="1" operator="equal">
      <formula>"input"</formula>
    </cfRule>
  </conditionalFormatting>
  <conditionalFormatting sqref="B7 B14:B19">
    <cfRule type="expression" dxfId="158" priority="14">
      <formula>OR($B7="Exhibits",$B7="Workpapers")</formula>
    </cfRule>
  </conditionalFormatting>
  <conditionalFormatting sqref="E7">
    <cfRule type="expression" dxfId="157" priority="13">
      <formula>$B7=""</formula>
    </cfRule>
  </conditionalFormatting>
  <conditionalFormatting sqref="B8:B13">
    <cfRule type="expression" dxfId="156" priority="7">
      <formula>OR($B8="Exhibits",$B8="Workpapers")</formula>
    </cfRule>
  </conditionalFormatting>
  <conditionalFormatting sqref="E18:E19">
    <cfRule type="expression" dxfId="155" priority="8">
      <formula>$B16=""</formula>
    </cfRule>
  </conditionalFormatting>
  <conditionalFormatting sqref="B8:B10">
    <cfRule type="expression" dxfId="154" priority="3">
      <formula>OR($B8="Exhibits",$B8="Workpapers")</formula>
    </cfRule>
  </conditionalFormatting>
  <conditionalFormatting sqref="B11:B13">
    <cfRule type="expression" dxfId="153" priority="2">
      <formula>$B9=""</formula>
    </cfRule>
  </conditionalFormatting>
  <pageMargins left="0.5" right="0.5" top="0.5" bottom="0.5" header="0.5" footer="0.5"/>
  <pageSetup scale="99" orientation="landscape"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I45"/>
  <sheetViews>
    <sheetView showGridLines="0" view="pageBreakPreview" topLeftCell="A13" zoomScaleNormal="100" zoomScaleSheetLayoutView="100" workbookViewId="0">
      <selection activeCell="C33" sqref="C33"/>
    </sheetView>
  </sheetViews>
  <sheetFormatPr defaultRowHeight="12.75" outlineLevelRow="1"/>
  <cols>
    <col min="1" max="1" width="4.5" customWidth="1"/>
    <col min="2" max="2" width="47.1640625" customWidth="1"/>
    <col min="3" max="5" width="25.83203125" customWidth="1"/>
    <col min="6" max="6" width="4.5" customWidth="1"/>
    <col min="7" max="7" width="18.6640625" customWidth="1"/>
    <col min="8" max="8" width="15.6640625" customWidth="1"/>
    <col min="9" max="9" width="11.5" bestFit="1" customWidth="1"/>
  </cols>
  <sheetData>
    <row r="1" spans="2:9" s="385" customFormat="1" ht="10.7" customHeight="1" thickBot="1">
      <c r="F1"/>
      <c r="G1"/>
      <c r="H1"/>
      <c r="I1"/>
    </row>
    <row r="2" spans="2:9" s="385" customFormat="1" ht="16.5" customHeight="1" thickTop="1">
      <c r="B2" s="10" t="str">
        <f>'MASTER PubCo Inputs'!$C$5</f>
        <v>Pliant Therapeutics, Inc.</v>
      </c>
      <c r="C2" s="10"/>
      <c r="D2" s="10"/>
      <c r="E2" s="10"/>
      <c r="F2"/>
      <c r="G2"/>
      <c r="H2"/>
      <c r="I2"/>
    </row>
    <row r="3" spans="2:9" s="385" customFormat="1" ht="15.75" customHeight="1">
      <c r="B3" s="11" t="str">
        <f>VLOOKUP(B4,Outline!$E$8:$G$69,COLUMNS(Outline!$E$8:$G$8),FALSE)</f>
        <v>Workpaper #1</v>
      </c>
      <c r="C3" s="11"/>
      <c r="D3" s="11"/>
      <c r="E3" s="11"/>
      <c r="F3"/>
      <c r="G3"/>
      <c r="H3"/>
      <c r="I3"/>
    </row>
    <row r="4" spans="2:9" s="385" customFormat="1" ht="16.5" customHeight="1" thickBot="1">
      <c r="B4" s="12" t="s">
        <v>1222</v>
      </c>
      <c r="C4" s="12"/>
      <c r="D4" s="12"/>
      <c r="E4" s="13" t="str">
        <f>+'MASTER PubCo Inputs'!$C$20</f>
        <v>(in thousands of USD and shares, except price per share)</v>
      </c>
      <c r="F4"/>
      <c r="G4"/>
      <c r="H4"/>
      <c r="I4"/>
    </row>
    <row r="5" spans="2:9" s="385" customFormat="1" ht="8.25" customHeight="1" thickTop="1">
      <c r="B5" s="917"/>
      <c r="C5" s="244"/>
      <c r="D5" s="244"/>
      <c r="E5" s="244"/>
    </row>
    <row r="6" spans="2:9" s="16" customFormat="1" ht="12.75" customHeight="1">
      <c r="B6" s="385"/>
      <c r="C6" s="385"/>
      <c r="D6" s="2151">
        <f>A42</f>
        <v>1</v>
      </c>
      <c r="E6" s="2151">
        <f>A43</f>
        <v>2</v>
      </c>
      <c r="F6" s="385"/>
    </row>
    <row r="7" spans="2:9" s="6" customFormat="1">
      <c r="B7" s="2034" t="s">
        <v>1223</v>
      </c>
      <c r="C7" s="2035"/>
      <c r="D7" s="2033" t="s">
        <v>399</v>
      </c>
      <c r="E7" s="2132" t="str">
        <f>PWERM_2!D6</f>
        <v>IPO - Early</v>
      </c>
    </row>
    <row r="8" spans="2:9" s="385" customFormat="1" ht="12.75" customHeight="1"/>
    <row r="9" spans="2:9" s="385" customFormat="1" ht="12.75" customHeight="1">
      <c r="B9" s="385" t="str">
        <f>"Probability Weightings "&amp;TEXT(A44,"(0)")</f>
        <v>Probability Weightings (3)</v>
      </c>
      <c r="C9" s="54">
        <f>SUM(D9:E9)</f>
        <v>1</v>
      </c>
      <c r="D9" s="918">
        <f>1-E9</f>
        <v>0.93500000000000005</v>
      </c>
      <c r="E9" s="1832">
        <f>PWERM_2!D105</f>
        <v>6.5000000000000002E-2</v>
      </c>
    </row>
    <row r="10" spans="2:9" s="385" customFormat="1" ht="12.75" customHeight="1">
      <c r="C10" s="169"/>
      <c r="D10" s="169"/>
      <c r="E10" s="919"/>
    </row>
    <row r="11" spans="2:9" s="385" customFormat="1" ht="12.75" customHeight="1">
      <c r="B11" s="385" t="s">
        <v>1224</v>
      </c>
      <c r="C11" s="169"/>
      <c r="D11" s="1376">
        <f ca="1">'Hybrid OPM 2'!H14</f>
        <v>0.75885668154845121</v>
      </c>
      <c r="E11" s="1376">
        <f>'Waterfall Analysis'!D104</f>
        <v>1.130791464554167</v>
      </c>
    </row>
    <row r="12" spans="2:9" s="385" customFormat="1" ht="12.75" customHeight="1">
      <c r="C12" s="169"/>
      <c r="D12" s="391"/>
      <c r="E12" s="918"/>
    </row>
    <row r="13" spans="2:9" s="385" customFormat="1" ht="12.75" customHeight="1">
      <c r="B13" s="8" t="str">
        <f>"DLOM % "&amp;TEXT(A45,"(0)")</f>
        <v>DLOM % (4)</v>
      </c>
      <c r="C13" s="169"/>
      <c r="D13" s="1378">
        <f ca="1">'DLOM Hybrid OPM'!D59</f>
        <v>0.4</v>
      </c>
      <c r="E13" s="1378">
        <f ca="1">'PWERM DLOM'!D66</f>
        <v>0.31</v>
      </c>
    </row>
    <row r="14" spans="2:9" s="385" customFormat="1" ht="12.75" customHeight="1">
      <c r="B14" s="385" t="s">
        <v>1250</v>
      </c>
      <c r="C14" s="169"/>
      <c r="D14" s="1377">
        <f ca="1">-D11*D13</f>
        <v>-0.3035426726193805</v>
      </c>
      <c r="E14" s="1377">
        <f ca="1">-E11*E13</f>
        <v>-0.35054535401179177</v>
      </c>
    </row>
    <row r="15" spans="2:9" s="385" customFormat="1" ht="12.75" customHeight="1">
      <c r="B15" s="385" t="s">
        <v>2070</v>
      </c>
      <c r="C15" s="169"/>
      <c r="D15" s="163">
        <f ca="1">D11+D14</f>
        <v>0.4553140089290707</v>
      </c>
      <c r="E15" s="163">
        <f ca="1">E11+E14</f>
        <v>0.78024611054237525</v>
      </c>
    </row>
    <row r="16" spans="2:9" s="385" customFormat="1" ht="12.75" customHeight="1">
      <c r="C16" s="169"/>
      <c r="D16" s="391"/>
      <c r="E16" s="180"/>
    </row>
    <row r="17" spans="2:9" s="385" customFormat="1" ht="12.75" customHeight="1">
      <c r="B17" s="2028" t="s">
        <v>2774</v>
      </c>
      <c r="C17" s="2029"/>
      <c r="D17" s="2030"/>
      <c r="E17" s="2134"/>
    </row>
    <row r="18" spans="2:9" s="385" customFormat="1" ht="12.75" customHeight="1">
      <c r="C18" s="169"/>
      <c r="D18" s="391"/>
      <c r="E18" s="180"/>
    </row>
    <row r="19" spans="2:9" s="385" customFormat="1" ht="12.75" customHeight="1">
      <c r="B19" s="74" t="s">
        <v>2775</v>
      </c>
      <c r="C19" s="169"/>
      <c r="D19" s="391"/>
      <c r="E19" s="180"/>
      <c r="G19" s="1" t="s">
        <v>329</v>
      </c>
    </row>
    <row r="20" spans="2:9" s="385" customFormat="1" ht="12.75" customHeight="1">
      <c r="B20" s="2" t="s">
        <v>271</v>
      </c>
      <c r="C20" s="169"/>
      <c r="D20" s="920"/>
      <c r="E20" s="1384">
        <f>'Waterfall Analysis'!D149</f>
        <v>59166.410061332041</v>
      </c>
      <c r="G20" s="1387">
        <f>'Waterfall Analysis'!D132</f>
        <v>58024.860129814719</v>
      </c>
    </row>
    <row r="21" spans="2:9" s="385" customFormat="1" ht="12.75" customHeight="1">
      <c r="B21" s="2" t="s">
        <v>274</v>
      </c>
      <c r="C21" s="169"/>
      <c r="D21" s="729"/>
      <c r="E21" s="1385">
        <f>'Waterfall Analysis'!D157</f>
        <v>6310.4850620723992</v>
      </c>
      <c r="G21" s="2207">
        <f>'Waterfall Analysis'!D140</f>
        <v>20981.231869551502</v>
      </c>
    </row>
    <row r="22" spans="2:9" s="385" customFormat="1" ht="12.75" customHeight="1">
      <c r="B22" s="2" t="s">
        <v>1225</v>
      </c>
      <c r="C22" s="169"/>
      <c r="D22" s="921"/>
      <c r="E22" s="922">
        <f>SUM(E20:E21)</f>
        <v>65476.895123404436</v>
      </c>
      <c r="G22" s="922">
        <f>SUM(G20:G21)</f>
        <v>79006.091999366225</v>
      </c>
    </row>
    <row r="23" spans="2:9" s="385" customFormat="1" ht="12.75" customHeight="1">
      <c r="B23" s="161" t="s">
        <v>2776</v>
      </c>
      <c r="C23" s="923" t="str">
        <f>+'Cap Table'!B3</f>
        <v>Exhibit G.1</v>
      </c>
      <c r="D23" s="729"/>
      <c r="E23" s="1385">
        <f>'Waterfall Analysis'!$F$70</f>
        <v>45142.960008861766</v>
      </c>
      <c r="G23" s="433">
        <f>'Waterfall Analysis'!F69</f>
        <v>56000</v>
      </c>
      <c r="H23" s="902"/>
    </row>
    <row r="24" spans="2:9" ht="12.75" customHeight="1">
      <c r="H24" s="16"/>
    </row>
    <row r="25" spans="2:9" s="385" customFormat="1" ht="12.75" customHeight="1">
      <c r="B25" s="74" t="s">
        <v>1226</v>
      </c>
      <c r="C25" s="1386"/>
      <c r="D25" s="1376">
        <f ca="1">'Hybrid OPM 2'!H10</f>
        <v>1.3715740901864562</v>
      </c>
      <c r="E25" s="163">
        <f>+E22/E23</f>
        <v>1.450434245130382</v>
      </c>
      <c r="G25" s="163">
        <f>+G22/G23</f>
        <v>1.410823071417254</v>
      </c>
      <c r="H25" s="927">
        <f ca="1">'Hybrid OPM 2'!H9</f>
        <v>0.85145534545970669</v>
      </c>
    </row>
    <row r="26" spans="2:9" s="385" customFormat="1" ht="12.75" customHeight="1">
      <c r="C26" s="391"/>
      <c r="D26" s="391"/>
      <c r="E26" s="180"/>
      <c r="G26" s="177">
        <f>E9</f>
        <v>6.5000000000000002E-2</v>
      </c>
      <c r="H26" s="2237">
        <f>D9</f>
        <v>0.93500000000000005</v>
      </c>
    </row>
    <row r="27" spans="2:9" s="385" customFormat="1" ht="12.75" customHeight="1">
      <c r="B27" s="385" t="s">
        <v>1227</v>
      </c>
      <c r="C27" s="391"/>
      <c r="D27" s="428">
        <f>'Hybrid OPM 1'!D9</f>
        <v>135516.52092281019</v>
      </c>
      <c r="E27" s="1384">
        <f>'Waterfall Analysis'!D166</f>
        <v>180058.91863337508</v>
      </c>
      <c r="G27" s="2238">
        <f ca="1">SUMPRODUCT(G25:H25,G26:H26)</f>
        <v>0.88781424764694739</v>
      </c>
      <c r="H27" s="924"/>
    </row>
    <row r="28" spans="2:9" s="385" customFormat="1" ht="12.75" customHeight="1">
      <c r="C28" s="391"/>
      <c r="D28" s="428"/>
      <c r="E28" s="1384"/>
      <c r="H28" s="924"/>
    </row>
    <row r="29" spans="2:9" s="385" customFormat="1" ht="12.75" hidden="1" customHeight="1" outlineLevel="1">
      <c r="B29" s="385" t="s">
        <v>2076</v>
      </c>
      <c r="C29" s="391"/>
      <c r="D29" s="428">
        <f ca="1">'Hybrid OPM 2'!D20</f>
        <v>127694.06904776875</v>
      </c>
      <c r="E29" s="1384">
        <f>'Waterfall Analysis'!D175</f>
        <v>172157.49956141479</v>
      </c>
      <c r="H29" s="924"/>
    </row>
    <row r="30" spans="2:9" s="385" customFormat="1" ht="12.75" hidden="1" customHeight="1" outlineLevel="1">
      <c r="C30" s="391"/>
      <c r="D30" s="391"/>
      <c r="E30" s="180"/>
      <c r="H30" s="925"/>
    </row>
    <row r="31" spans="2:9" s="385" customFormat="1" ht="12.75" customHeight="1" collapsed="1">
      <c r="B31" s="2031" t="s">
        <v>1228</v>
      </c>
      <c r="C31" s="2032"/>
      <c r="D31" s="2032"/>
      <c r="E31" s="2133"/>
    </row>
    <row r="32" spans="2:9" s="385" customFormat="1" ht="12.75" customHeight="1">
      <c r="C32" s="391"/>
      <c r="D32" s="391"/>
      <c r="E32" s="180"/>
      <c r="I32" s="16"/>
    </row>
    <row r="33" spans="1:9" s="385" customFormat="1" ht="12.75" customHeight="1">
      <c r="B33" s="926" t="s">
        <v>78</v>
      </c>
      <c r="C33" s="176">
        <f ca="1">SUMPRODUCT(D9:E9,D15:E15)</f>
        <v>0.47643459553393552</v>
      </c>
      <c r="E33" s="180"/>
      <c r="I33" s="16"/>
    </row>
    <row r="34" spans="1:9" s="385" customFormat="1" ht="12.75" customHeight="1">
      <c r="B34" s="1"/>
      <c r="E34" s="180"/>
      <c r="G34" s="385" t="s">
        <v>2544</v>
      </c>
      <c r="H34" s="941" t="s">
        <v>1229</v>
      </c>
      <c r="I34" s="16"/>
    </row>
    <row r="35" spans="1:9" s="385" customFormat="1" ht="12.75" customHeight="1">
      <c r="B35" s="1388" t="s">
        <v>335</v>
      </c>
      <c r="C35" s="176">
        <f ca="1">SUMPRODUCT(D9:E9,D25:E25)</f>
        <v>1.3767000002578116</v>
      </c>
      <c r="E35" s="180"/>
      <c r="G35" s="461">
        <f>PWERM_2!L20</f>
        <v>1.3742914032097344</v>
      </c>
      <c r="H35" s="927">
        <f>'Econ Rights'!F11</f>
        <v>1.3767</v>
      </c>
      <c r="I35" s="385" t="s">
        <v>1231</v>
      </c>
    </row>
    <row r="36" spans="1:9" s="385" customFormat="1" ht="12.75" customHeight="1">
      <c r="B36" s="1"/>
      <c r="E36" s="180"/>
      <c r="H36" s="871" t="s">
        <v>1230</v>
      </c>
      <c r="I36" s="928">
        <v>135516.52092281019</v>
      </c>
    </row>
    <row r="37" spans="1:9" s="385" customFormat="1" ht="12.75" customHeight="1">
      <c r="B37" s="926" t="s">
        <v>2555</v>
      </c>
      <c r="C37" s="36">
        <f>ROUND(SUMPRODUCT(D9:E9,D27:E27),-3)</f>
        <v>138000</v>
      </c>
      <c r="E37" s="180"/>
      <c r="H37" s="924" t="s">
        <v>449</v>
      </c>
      <c r="I37" s="871">
        <f ca="1">C35-H35</f>
        <v>2.5781154988635535E-10</v>
      </c>
    </row>
    <row r="38" spans="1:9" s="385" customFormat="1" ht="12.75" customHeight="1">
      <c r="E38" s="180"/>
      <c r="G38" s="16"/>
      <c r="H38" s="929"/>
      <c r="I38" s="960" t="str">
        <f ca="1">IF(OR(I37&lt;-0.01,I37&gt;0.01),"Check","")</f>
        <v/>
      </c>
    </row>
    <row r="39" spans="1:9" s="385" customFormat="1" ht="12.75" hidden="1" customHeight="1" outlineLevel="1">
      <c r="B39" s="926" t="s">
        <v>2077</v>
      </c>
      <c r="C39" s="36">
        <f ca="1">ROUND(SUMPRODUCT(D9:E9,D29:E29),-3)</f>
        <v>131000</v>
      </c>
      <c r="E39" s="180"/>
      <c r="G39" s="16"/>
      <c r="H39" s="929"/>
      <c r="I39" s="942"/>
    </row>
    <row r="40" spans="1:9" s="385" customFormat="1" ht="12.75" hidden="1" customHeight="1" outlineLevel="1">
      <c r="B40" s="930"/>
      <c r="G40" s="16"/>
      <c r="H40" s="16"/>
      <c r="I40" s="16"/>
    </row>
    <row r="41" spans="1:9" s="385" customFormat="1" ht="12.75" customHeight="1" collapsed="1">
      <c r="B41" s="931" t="s">
        <v>21</v>
      </c>
    </row>
    <row r="42" spans="1:9" s="385" customFormat="1" ht="12.75" customHeight="1">
      <c r="A42" s="2124">
        <v>1</v>
      </c>
      <c r="B42" s="932" t="str">
        <f>"Refer to "&amp;'Hybrid OPM 1'!B3&amp;"."</f>
        <v>Refer to Workpaper #3.</v>
      </c>
    </row>
    <row r="43" spans="1:9">
      <c r="A43" s="2152">
        <f>+A42+1</f>
        <v>2</v>
      </c>
      <c r="B43" s="932" t="str">
        <f>"Refer to "&amp;'Waterfall Analysis'!B3&amp;"."</f>
        <v>Refer to Workpaper #2.</v>
      </c>
      <c r="C43" s="933"/>
    </row>
    <row r="44" spans="1:9" s="934" customFormat="1" ht="25.5" customHeight="1">
      <c r="A44" s="2152">
        <f t="shared" ref="A44:A45" si="0">+A43+1</f>
        <v>3</v>
      </c>
      <c r="B44" s="2309" t="str">
        <f>"Probability weight for the IPO-Early scenario is based on the information provided by Management. Refer to "&amp;'Waterfall Analysis'!B3&amp;" for details. Residual probability has been assigned to the OPM value conclusion."</f>
        <v>Probability weight for the IPO-Early scenario is based on the information provided by Management. Refer to Workpaper #2 for details. Residual probability has been assigned to the OPM value conclusion.</v>
      </c>
      <c r="C44" s="2309"/>
      <c r="D44" s="2309"/>
      <c r="E44" s="2309"/>
    </row>
    <row r="45" spans="1:9">
      <c r="A45" s="2152">
        <f t="shared" si="0"/>
        <v>4</v>
      </c>
      <c r="B45" s="932" t="str">
        <f>"Refer to "&amp;'PWERM DLOM'!B3&amp;" and "&amp;'DLOM Hybrid OPM'!B3&amp;" for DLOM calculations."</f>
        <v>Refer to Exhibit H.1 and Workpaper #6 for DLOM calculations.</v>
      </c>
    </row>
  </sheetData>
  <mergeCells count="1">
    <mergeCell ref="B44:E44"/>
  </mergeCells>
  <conditionalFormatting sqref="B5:E5 B4:D4">
    <cfRule type="cellIs" dxfId="152" priority="9" stopIfTrue="1" operator="equal">
      <formula>"input"</formula>
    </cfRule>
  </conditionalFormatting>
  <conditionalFormatting sqref="E4">
    <cfRule type="cellIs" dxfId="151" priority="3" stopIfTrue="1" operator="equal">
      <formula>"input"</formula>
    </cfRule>
  </conditionalFormatting>
  <conditionalFormatting sqref="E4">
    <cfRule type="cellIs" dxfId="150" priority="4" stopIfTrue="1" operator="equal">
      <formula>"input"</formula>
    </cfRule>
  </conditionalFormatting>
  <conditionalFormatting sqref="E4">
    <cfRule type="cellIs" dxfId="149" priority="1" stopIfTrue="1" operator="equal">
      <formula>"input"</formula>
    </cfRule>
  </conditionalFormatting>
  <conditionalFormatting sqref="E4">
    <cfRule type="cellIs" dxfId="148" priority="2" stopIfTrue="1" operator="equal">
      <formula>"input"</formula>
    </cfRule>
  </conditionalFormatting>
  <pageMargins left="0.5" right="0.5" top="0.5" bottom="0.5" header="0.5" footer="0.5"/>
  <pageSetup fitToWidth="0" fitToHeight="0" orientation="landscape" r:id="rId1"/>
  <legacyDrawingHF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XEU191"/>
  <sheetViews>
    <sheetView showGridLines="0" view="pageBreakPreview" topLeftCell="A50" zoomScaleNormal="100" zoomScaleSheetLayoutView="100" workbookViewId="0">
      <selection activeCell="B145" sqref="B145"/>
    </sheetView>
  </sheetViews>
  <sheetFormatPr defaultRowHeight="12.75" outlineLevelRow="1"/>
  <cols>
    <col min="1" max="1" width="4.5" style="385" customWidth="1"/>
    <col min="2" max="2" width="58.1640625" style="385" customWidth="1"/>
    <col min="3" max="3" width="39.1640625" style="385" customWidth="1"/>
    <col min="4" max="4" width="25.5" style="385" customWidth="1"/>
    <col min="5" max="5" width="4.5" style="385" customWidth="1"/>
    <col min="6" max="6" width="12" style="385" customWidth="1"/>
    <col min="7" max="7" width="23.83203125" style="385" bestFit="1" customWidth="1"/>
    <col min="8" max="10" width="22.33203125" style="385" customWidth="1"/>
    <col min="11" max="11" width="23.6640625" style="385" customWidth="1"/>
    <col min="12" max="12" width="8.6640625" style="385" customWidth="1"/>
    <col min="13" max="16384" width="9.33203125" style="385"/>
  </cols>
  <sheetData>
    <row r="1" spans="2:12" ht="10.7" customHeight="1" thickBot="1"/>
    <row r="2" spans="2:12" ht="16.5" customHeight="1" thickTop="1">
      <c r="B2" s="10" t="str">
        <f>'MASTER PubCo Inputs'!$C$5</f>
        <v>Pliant Therapeutics, Inc.</v>
      </c>
      <c r="C2" s="10"/>
      <c r="D2" s="10"/>
    </row>
    <row r="3" spans="2:12" ht="15.75" customHeight="1">
      <c r="B3" s="11" t="str">
        <f>VLOOKUP(B4,Outline!$E$8:$G$69,COLUMNS(Outline!$E$8:$G$8),FALSE)</f>
        <v>Workpaper #2</v>
      </c>
      <c r="C3" s="11"/>
      <c r="D3" s="11"/>
    </row>
    <row r="4" spans="2:12" ht="16.5" customHeight="1" thickBot="1">
      <c r="B4" s="12" t="s">
        <v>2735</v>
      </c>
      <c r="C4" s="12"/>
      <c r="D4" s="13" t="str">
        <f>+'MASTER PubCo Inputs'!$C$20</f>
        <v>(in thousands of USD and shares, except price per share)</v>
      </c>
    </row>
    <row r="5" spans="2:12" ht="12.75" customHeight="1" thickTop="1"/>
    <row r="6" spans="2:12" ht="14.25">
      <c r="B6" s="31" t="s">
        <v>413</v>
      </c>
      <c r="D6" s="2135" t="s">
        <v>737</v>
      </c>
      <c r="G6" s="1006"/>
      <c r="H6" s="1006"/>
    </row>
    <row r="7" spans="2:12" ht="8.1" customHeight="1"/>
    <row r="8" spans="2:12" ht="12.75" customHeight="1">
      <c r="B8" s="2031" t="s">
        <v>248</v>
      </c>
      <c r="C8" s="2036"/>
      <c r="D8" s="2136"/>
      <c r="E8" s="74"/>
    </row>
    <row r="9" spans="2:12" ht="12.75" customHeight="1">
      <c r="B9" s="2" t="s">
        <v>244</v>
      </c>
      <c r="D9" s="552">
        <f>'MASTER PubCo Inputs'!$C$6</f>
        <v>43312</v>
      </c>
      <c r="F9" s="385" t="s">
        <v>3353</v>
      </c>
    </row>
    <row r="10" spans="2:12" ht="8.1" customHeight="1">
      <c r="B10" s="2"/>
    </row>
    <row r="11" spans="2:12" ht="12.75" customHeight="1">
      <c r="B11" s="2" t="s">
        <v>246</v>
      </c>
      <c r="D11" s="371">
        <f>YEARFRAC(D9,D13,3)</f>
        <v>1.4191780821917808</v>
      </c>
      <c r="F11" s="1009">
        <f>D11+SUMPRODUCT('Econ Rights'!J51:O51,'Econ Rights'!J46:O46)/SUM('Econ Rights'!J46:O46)</f>
        <v>2.7119618395303329</v>
      </c>
    </row>
    <row r="12" spans="2:12" ht="8.1" customHeight="1">
      <c r="B12" s="2"/>
    </row>
    <row r="13" spans="2:12" ht="12.75" customHeight="1">
      <c r="B13" s="39" t="s">
        <v>245</v>
      </c>
      <c r="C13" s="1"/>
      <c r="D13" s="700">
        <f>PWERM_2!D15</f>
        <v>43830</v>
      </c>
    </row>
    <row r="14" spans="2:12" ht="8.1" customHeight="1"/>
    <row r="15" spans="2:12" ht="12.75" customHeight="1">
      <c r="B15" s="2031" t="s">
        <v>247</v>
      </c>
      <c r="C15" s="2036"/>
      <c r="D15" s="2137"/>
    </row>
    <row r="16" spans="2:12" ht="8.1" customHeight="1">
      <c r="D16" s="1368"/>
      <c r="G16" s="196"/>
      <c r="H16" s="196"/>
      <c r="I16" s="196"/>
      <c r="J16" s="196"/>
      <c r="K16" s="196"/>
      <c r="L16" s="196"/>
    </row>
    <row r="17" spans="2:12">
      <c r="B17" s="2" t="s">
        <v>249</v>
      </c>
      <c r="D17" s="1896" t="s">
        <v>2069</v>
      </c>
      <c r="G17" s="1393"/>
      <c r="H17" s="1394"/>
      <c r="I17" s="1393"/>
      <c r="J17" s="1394"/>
      <c r="K17" s="1393"/>
      <c r="L17" s="1394"/>
    </row>
    <row r="18" spans="2:12" ht="12.75" customHeight="1">
      <c r="B18" s="2" t="s">
        <v>250</v>
      </c>
      <c r="D18" s="1543">
        <f>PWERM_2!D20</f>
        <v>125999.9993464</v>
      </c>
      <c r="G18" s="326"/>
      <c r="H18" s="1395"/>
      <c r="I18" s="1394"/>
      <c r="J18" s="1394"/>
      <c r="K18" s="326"/>
      <c r="L18" s="196"/>
    </row>
    <row r="19" spans="2:12" ht="12.75" customHeight="1">
      <c r="B19" s="2" t="s">
        <v>251</v>
      </c>
      <c r="D19" s="2076">
        <f>PWERM_2!D21</f>
        <v>1.7857142949773244</v>
      </c>
      <c r="G19" s="326"/>
      <c r="H19" s="1395"/>
      <c r="I19" s="326"/>
      <c r="J19" s="1395"/>
      <c r="K19" s="326"/>
      <c r="L19" s="1396"/>
    </row>
    <row r="20" spans="2:12" ht="8.1" customHeight="1">
      <c r="B20" s="5"/>
      <c r="C20" s="5"/>
      <c r="D20" s="5"/>
    </row>
    <row r="21" spans="2:12" ht="12.75" customHeight="1">
      <c r="B21" s="39" t="s">
        <v>247</v>
      </c>
      <c r="D21" s="2175">
        <f>PWERM_2!D23</f>
        <v>225000</v>
      </c>
    </row>
    <row r="22" spans="2:12" ht="8.1" customHeight="1"/>
    <row r="23" spans="2:12" ht="12.75" customHeight="1">
      <c r="B23" s="76" t="s">
        <v>252</v>
      </c>
      <c r="C23" s="105"/>
      <c r="D23" s="2137"/>
    </row>
    <row r="24" spans="2:12" ht="8.1" customHeight="1"/>
    <row r="25" spans="2:12" ht="12.75" customHeight="1">
      <c r="B25" s="77" t="s">
        <v>337</v>
      </c>
      <c r="G25" s="376" t="s">
        <v>476</v>
      </c>
      <c r="H25" s="377"/>
    </row>
    <row r="26" spans="2:12" ht="12.75" customHeight="1">
      <c r="B26" s="2" t="s">
        <v>254</v>
      </c>
      <c r="D26" s="553">
        <f>IF(D13&gt;$H$26,$H$26,0)</f>
        <v>0</v>
      </c>
      <c r="G26" s="378" t="s">
        <v>477</v>
      </c>
      <c r="H26" s="2037">
        <f>PWERM_2!L33</f>
        <v>43830</v>
      </c>
    </row>
    <row r="27" spans="2:12" ht="12.75" customHeight="1">
      <c r="B27" s="2" t="s">
        <v>253</v>
      </c>
      <c r="D27" s="371">
        <f>IF(D26=0,0,$H$27)</f>
        <v>0</v>
      </c>
      <c r="G27" s="378" t="s">
        <v>478</v>
      </c>
      <c r="H27" s="2038">
        <f>PWERM_2!L34</f>
        <v>70000</v>
      </c>
    </row>
    <row r="28" spans="2:12" ht="12.75" customHeight="1">
      <c r="B28" s="2" t="s">
        <v>255</v>
      </c>
      <c r="D28" s="372">
        <f>IF(D26=0,0,$H$28)</f>
        <v>0</v>
      </c>
      <c r="G28" s="369" t="s">
        <v>479</v>
      </c>
      <c r="H28" s="710">
        <f>+'WACC PWERM'!P21</f>
        <v>0.16</v>
      </c>
    </row>
    <row r="29" spans="2:12" ht="8.1" customHeight="1">
      <c r="B29" s="5"/>
      <c r="C29" s="5"/>
      <c r="D29" s="5"/>
    </row>
    <row r="30" spans="2:12" ht="12.75" customHeight="1">
      <c r="B30" s="39" t="s">
        <v>86</v>
      </c>
      <c r="D30" s="371">
        <f>D27*(1+D28)^(YEARFRAC(D26,D$13,3))</f>
        <v>0</v>
      </c>
    </row>
    <row r="31" spans="2:12" ht="8.1" hidden="1" customHeight="1" outlineLevel="1"/>
    <row r="32" spans="2:12" ht="12.75" hidden="1" customHeight="1" outlineLevel="1">
      <c r="B32" s="171" t="s">
        <v>256</v>
      </c>
    </row>
    <row r="33" spans="2:8" ht="12.75" hidden="1" customHeight="1" outlineLevel="1">
      <c r="B33" s="2" t="s">
        <v>254</v>
      </c>
      <c r="D33" s="553">
        <f>IF(D13&gt;$H$33,$H$33,0)</f>
        <v>0</v>
      </c>
      <c r="G33" s="378" t="s">
        <v>477</v>
      </c>
      <c r="H33" s="379"/>
    </row>
    <row r="34" spans="2:8" ht="12.75" hidden="1" customHeight="1" outlineLevel="1">
      <c r="B34" s="2" t="s">
        <v>253</v>
      </c>
      <c r="D34" s="371">
        <f>IF(D33=0,0,$H$34)</f>
        <v>0</v>
      </c>
      <c r="G34" s="378" t="s">
        <v>478</v>
      </c>
      <c r="H34" s="380"/>
    </row>
    <row r="35" spans="2:8" ht="12.75" hidden="1" customHeight="1" outlineLevel="1">
      <c r="B35" s="2" t="s">
        <v>255</v>
      </c>
      <c r="D35" s="372">
        <f>IF(D33=0,0,$H$35)</f>
        <v>0</v>
      </c>
      <c r="G35" s="369" t="s">
        <v>479</v>
      </c>
      <c r="H35" s="709">
        <f>+H28</f>
        <v>0.16</v>
      </c>
    </row>
    <row r="36" spans="2:8" ht="8.1" hidden="1" customHeight="1" outlineLevel="1">
      <c r="B36" s="5"/>
      <c r="C36" s="5"/>
      <c r="D36" s="5"/>
    </row>
    <row r="37" spans="2:8" ht="12.75" hidden="1" customHeight="1" outlineLevel="1">
      <c r="B37" s="39" t="s">
        <v>86</v>
      </c>
      <c r="D37" s="371">
        <f>D34*(1+D35)^(YEARFRAC(D33,D$13,3))</f>
        <v>0</v>
      </c>
    </row>
    <row r="38" spans="2:8" ht="8.1" hidden="1" customHeight="1" outlineLevel="1"/>
    <row r="39" spans="2:8" ht="12.75" hidden="1" customHeight="1" outlineLevel="1">
      <c r="B39" s="171" t="s">
        <v>257</v>
      </c>
    </row>
    <row r="40" spans="2:8" ht="12.75" hidden="1" customHeight="1" outlineLevel="1">
      <c r="B40" s="2" t="s">
        <v>254</v>
      </c>
      <c r="D40" s="553">
        <f>IF(D13&gt;$H$40,$H$40,0)</f>
        <v>0</v>
      </c>
      <c r="G40" s="378" t="s">
        <v>477</v>
      </c>
      <c r="H40" s="379"/>
    </row>
    <row r="41" spans="2:8" ht="12.75" hidden="1" customHeight="1" outlineLevel="1">
      <c r="B41" s="2" t="s">
        <v>253</v>
      </c>
      <c r="D41" s="371">
        <f>IF(D40=0,0,$H$41)</f>
        <v>0</v>
      </c>
      <c r="G41" s="378" t="s">
        <v>478</v>
      </c>
      <c r="H41" s="380"/>
    </row>
    <row r="42" spans="2:8" ht="12.75" hidden="1" customHeight="1" outlineLevel="1">
      <c r="B42" s="2" t="s">
        <v>255</v>
      </c>
      <c r="D42" s="372">
        <f>IF(D40=0,0,$H$42)</f>
        <v>0</v>
      </c>
      <c r="G42" s="369" t="s">
        <v>479</v>
      </c>
      <c r="H42" s="709">
        <f>+H35</f>
        <v>0.16</v>
      </c>
    </row>
    <row r="43" spans="2:8" ht="8.1" hidden="1" customHeight="1" outlineLevel="1">
      <c r="B43" s="5"/>
      <c r="C43" s="5"/>
      <c r="D43" s="5"/>
    </row>
    <row r="44" spans="2:8" ht="12.75" hidden="1" customHeight="1" outlineLevel="1">
      <c r="B44" s="39" t="s">
        <v>86</v>
      </c>
      <c r="D44" s="371">
        <f>D41*(1+D42)^(YEARFRAC(D40,D$13,3))</f>
        <v>0</v>
      </c>
    </row>
    <row r="45" spans="2:8" ht="8.1" hidden="1" customHeight="1" outlineLevel="1"/>
    <row r="46" spans="2:8" ht="15" hidden="1" customHeight="1" outlineLevel="1" collapsed="1" thickBot="1">
      <c r="B46" s="418" t="s">
        <v>204</v>
      </c>
      <c r="C46" s="172"/>
      <c r="D46" s="173">
        <f>D44+D37+D30</f>
        <v>0</v>
      </c>
    </row>
    <row r="47" spans="2:8" ht="12.75" customHeight="1" collapsed="1"/>
    <row r="48" spans="2:8" ht="12.75" customHeight="1" collapsed="1">
      <c r="B48" s="2031" t="s">
        <v>258</v>
      </c>
      <c r="C48" s="2036"/>
      <c r="D48" s="2137"/>
    </row>
    <row r="49" spans="2:10" ht="8.1" customHeight="1"/>
    <row r="50" spans="2:10" ht="12.75" customHeight="1">
      <c r="B50" s="385" t="s">
        <v>247</v>
      </c>
      <c r="D50" s="386">
        <f>D21</f>
        <v>225000</v>
      </c>
    </row>
    <row r="51" spans="2:10" ht="12.75" customHeight="1">
      <c r="B51" s="2" t="s">
        <v>179</v>
      </c>
      <c r="D51" s="386">
        <f>-MIN(D30,D50)</f>
        <v>0</v>
      </c>
    </row>
    <row r="52" spans="2:10" ht="8.1" customHeight="1">
      <c r="B52" s="5"/>
      <c r="C52" s="5"/>
      <c r="D52" s="5"/>
    </row>
    <row r="53" spans="2:10" ht="12.75" customHeight="1">
      <c r="B53" s="1" t="s">
        <v>259</v>
      </c>
      <c r="D53" s="2176">
        <f t="shared" ref="D53" si="0">SUM(D50:D51)</f>
        <v>225000</v>
      </c>
    </row>
    <row r="54" spans="2:10" ht="8.1" customHeight="1"/>
    <row r="55" spans="2:10" s="74" customFormat="1" ht="12.75" customHeight="1">
      <c r="B55" s="161" t="s">
        <v>1081</v>
      </c>
      <c r="D55" s="245">
        <f>-'Hist BS'!$H$52</f>
        <v>0</v>
      </c>
    </row>
    <row r="56" spans="2:10" ht="8.1" customHeight="1">
      <c r="B56" s="5"/>
      <c r="C56" s="5"/>
      <c r="D56" s="5"/>
    </row>
    <row r="57" spans="2:10" ht="12.75" customHeight="1">
      <c r="B57" s="1" t="s">
        <v>269</v>
      </c>
      <c r="D57" s="2176">
        <f>MAX(SUM(D53:D55),0)</f>
        <v>225000</v>
      </c>
    </row>
    <row r="58" spans="2:10" ht="8.1" customHeight="1"/>
    <row r="59" spans="2:10" ht="12.75" customHeight="1">
      <c r="B59" s="1" t="s">
        <v>260</v>
      </c>
      <c r="F59" s="1" t="s">
        <v>223</v>
      </c>
      <c r="H59" s="169" t="str">
        <f>D6</f>
        <v>IPO</v>
      </c>
      <c r="I59" s="169" t="e">
        <f>#REF!</f>
        <v>#REF!</v>
      </c>
      <c r="J59" s="169" t="e">
        <f>#REF!</f>
        <v>#REF!</v>
      </c>
    </row>
    <row r="60" spans="2:10" ht="12.75" customHeight="1">
      <c r="B60" s="2" t="str">
        <f>'Cap Table'!$D$6</f>
        <v>Series A</v>
      </c>
      <c r="D60" s="1373"/>
      <c r="F60" s="433">
        <f>PWERM_2!L53</f>
        <v>68149.589041095896</v>
      </c>
      <c r="G60" s="392">
        <f>+F60/$F$64</f>
        <v>0.46594551906769821</v>
      </c>
      <c r="H60" s="433">
        <f>PWERM_2!L53</f>
        <v>68149.589041095896</v>
      </c>
      <c r="I60" s="433">
        <f>PWERM_2!O53</f>
        <v>68149.589041095896</v>
      </c>
      <c r="J60" s="433">
        <f>PWERM_2!P53</f>
        <v>74863.452054794529</v>
      </c>
    </row>
    <row r="61" spans="2:10" ht="12.75" customHeight="1">
      <c r="B61" s="2" t="s">
        <v>2264</v>
      </c>
      <c r="D61" s="1373"/>
      <c r="F61" s="433">
        <f>PWERM_2!L54</f>
        <v>69490.327450955898</v>
      </c>
      <c r="G61" s="392">
        <f>+F61/$F$64</f>
        <v>0.47511228093825775</v>
      </c>
      <c r="H61" s="433">
        <f>PWERM_2!L54</f>
        <v>69490.327450955898</v>
      </c>
      <c r="I61" s="433">
        <f>PWERM_2!O54</f>
        <v>69490.327450955898</v>
      </c>
      <c r="J61" s="433">
        <f>PWERM_2!P54</f>
        <v>76941.314242227658</v>
      </c>
    </row>
    <row r="62" spans="2:10" ht="12.75" customHeight="1">
      <c r="B62" s="2" t="s">
        <v>2265</v>
      </c>
      <c r="D62" s="1373"/>
      <c r="F62" s="433">
        <f>PWERM_2!L55</f>
        <v>8620.9364451223882</v>
      </c>
      <c r="G62" s="392">
        <f>+F62/$F$64</f>
        <v>5.894219999404407E-2</v>
      </c>
      <c r="H62" s="433">
        <f>PWERM_2!L55</f>
        <v>8620.9364451223882</v>
      </c>
      <c r="I62" s="433">
        <f>PWERM_2!O55</f>
        <v>8620.9364451223882</v>
      </c>
      <c r="J62" s="433">
        <f>PWERM_2!P55</f>
        <v>9562.2783426135447</v>
      </c>
    </row>
    <row r="63" spans="2:10" ht="12.75" customHeight="1">
      <c r="B63" s="5"/>
      <c r="C63" s="5"/>
      <c r="D63" s="5"/>
      <c r="G63" s="392"/>
    </row>
    <row r="64" spans="2:10" ht="12.75" customHeight="1">
      <c r="B64" s="175" t="str">
        <f>CONCATENATE("Total ",B59)</f>
        <v>Total Liquidation Preferences</v>
      </c>
      <c r="D64" s="2176">
        <f>SUM(D60:D62)</f>
        <v>0</v>
      </c>
      <c r="F64" s="873">
        <f>SUM(F60:F62)</f>
        <v>146260.85293717418</v>
      </c>
      <c r="G64" s="874">
        <f>SUM(G60:G62)</f>
        <v>1</v>
      </c>
      <c r="H64" s="873">
        <f t="shared" ref="H64:J64" si="1">SUM(H60:H62)</f>
        <v>146260.85293717418</v>
      </c>
      <c r="I64" s="873">
        <f t="shared" si="1"/>
        <v>146260.85293717418</v>
      </c>
      <c r="J64" s="873">
        <f t="shared" si="1"/>
        <v>161367.04463963571</v>
      </c>
    </row>
    <row r="65" spans="2:10" ht="8.1" customHeight="1"/>
    <row r="66" spans="2:10" ht="12.75" customHeight="1">
      <c r="B66" s="1" t="s">
        <v>261</v>
      </c>
      <c r="C66" s="1"/>
      <c r="D66" s="36">
        <f>D57-D64</f>
        <v>225000</v>
      </c>
    </row>
    <row r="67" spans="2:10" ht="8.1" customHeight="1"/>
    <row r="68" spans="2:10" ht="12.75" customHeight="1">
      <c r="B68" s="1" t="s">
        <v>262</v>
      </c>
    </row>
    <row r="69" spans="2:10" ht="12.75" customHeight="1">
      <c r="B69" s="161" t="str">
        <f>+$B60</f>
        <v>Series A</v>
      </c>
      <c r="D69" s="386">
        <f>F69</f>
        <v>56000</v>
      </c>
      <c r="F69" s="433">
        <f t="array" ref="F69:F71">TRANSPOSE('Cap Table'!D20:F20)</f>
        <v>56000</v>
      </c>
      <c r="H69" s="433">
        <f>PWERM_2!L62</f>
        <v>173956.22758172406</v>
      </c>
      <c r="I69" s="433">
        <f>PWERM_2!O62</f>
        <v>173956.22758172406</v>
      </c>
      <c r="J69" s="433">
        <f>PWERM_2!P62</f>
        <v>192015.03344813088</v>
      </c>
    </row>
    <row r="70" spans="2:10" ht="12.75" customHeight="1">
      <c r="B70" s="161" t="str">
        <f>+$B61</f>
        <v>Series B Tranche I</v>
      </c>
      <c r="D70" s="386">
        <f t="shared" ref="D70:D76" si="2">F70</f>
        <v>45142.960008861766</v>
      </c>
      <c r="F70" s="433">
        <v>45142.960008861766</v>
      </c>
      <c r="H70" s="433">
        <f>PWERM_2!L63</f>
        <v>200107.46134266412</v>
      </c>
      <c r="I70" s="433">
        <f>PWERM_2!O63</f>
        <v>200107.46134266412</v>
      </c>
      <c r="J70" s="433">
        <f>PWERM_2!P63</f>
        <v>221807.62916188932</v>
      </c>
    </row>
    <row r="71" spans="2:10" ht="12.75" customHeight="1">
      <c r="B71" s="161" t="str">
        <f>+$B62</f>
        <v>Series B Tranche II</v>
      </c>
      <c r="D71" s="386">
        <f t="shared" si="2"/>
        <v>5703.2659999999996</v>
      </c>
      <c r="F71" s="433">
        <v>5703.2659999999996</v>
      </c>
      <c r="G71" s="1374"/>
      <c r="H71" s="433">
        <f>PWERM_2!L64</f>
        <v>200107.46134266412</v>
      </c>
      <c r="I71" s="433">
        <f>PWERM_2!O64</f>
        <v>200107.46134266412</v>
      </c>
      <c r="J71" s="433">
        <f>PWERM_2!P64</f>
        <v>221807.62916188932</v>
      </c>
    </row>
    <row r="72" spans="2:10" ht="12.75" customHeight="1">
      <c r="B72" s="297" t="str">
        <f>'Cap Table'!$B24</f>
        <v>Options at $0.001 Strike Price</v>
      </c>
      <c r="D72" s="386">
        <f t="shared" ref="D72" si="3">F72</f>
        <v>10</v>
      </c>
      <c r="F72" s="433">
        <f>'Cap Table'!D24</f>
        <v>10</v>
      </c>
      <c r="G72" s="2004">
        <f>'Cap Table'!E24</f>
        <v>1E-3</v>
      </c>
      <c r="H72" s="433">
        <f>PWERM_2!L65</f>
        <v>146276.27561917418</v>
      </c>
      <c r="I72" s="433">
        <f>PWERM_2!O65</f>
        <v>146276.27561917418</v>
      </c>
      <c r="J72" s="433">
        <f>PWERM_2!P65</f>
        <v>161382.46732163572</v>
      </c>
    </row>
    <row r="73" spans="2:10" ht="12.75" customHeight="1">
      <c r="B73" s="297" t="str">
        <f>'Cap Table'!$B25</f>
        <v>Options at $0.010 Strike Price</v>
      </c>
      <c r="D73" s="386">
        <f t="shared" si="2"/>
        <v>206.9</v>
      </c>
      <c r="F73" s="433">
        <f>'Cap Table'!D25</f>
        <v>206.9</v>
      </c>
      <c r="G73" s="1897">
        <f>'Cap Table'!E25</f>
        <v>0.01</v>
      </c>
      <c r="H73" s="433">
        <f>PWERM_2!L66</f>
        <v>146415.16975717418</v>
      </c>
      <c r="I73" s="433">
        <f>PWERM_2!O66</f>
        <v>146415.16975717418</v>
      </c>
      <c r="J73" s="433">
        <f>PWERM_2!P66</f>
        <v>161521.36145963572</v>
      </c>
    </row>
    <row r="74" spans="2:10" ht="12.75" customHeight="1">
      <c r="B74" s="297" t="str">
        <f>'Cap Table'!$B26</f>
        <v>Expected Options Grant</v>
      </c>
      <c r="D74" s="386">
        <f t="shared" si="2"/>
        <v>7838.9179999999997</v>
      </c>
      <c r="F74" s="433">
        <f>'Cap Table'!D26</f>
        <v>7838.9179999999997</v>
      </c>
      <c r="G74" s="1897">
        <f>'Cap Table'!E26</f>
        <v>0.28999999999999998</v>
      </c>
      <c r="H74" s="433">
        <f>PWERM_2!L67</f>
        <v>150794.25271717418</v>
      </c>
      <c r="I74" s="433">
        <f>PWERM_2!O67</f>
        <v>150794.25271717418</v>
      </c>
      <c r="J74" s="433">
        <f>PWERM_2!P67</f>
        <v>165900.44441963572</v>
      </c>
    </row>
    <row r="75" spans="2:10" ht="12.75" customHeight="1">
      <c r="B75" s="297" t="str">
        <f>'Cap Table'!$B27</f>
        <v>Phantom Stock</v>
      </c>
      <c r="D75" s="386">
        <f t="shared" ref="D75" si="4">F75</f>
        <v>1149.1089999999999</v>
      </c>
      <c r="F75" s="433">
        <f>'Cap Table'!D27</f>
        <v>1149.1089999999999</v>
      </c>
      <c r="G75" s="2005">
        <f>'Cap Table'!E27</f>
        <v>0.28999999999999998</v>
      </c>
      <c r="H75" s="433">
        <f>PWERM_2!L68</f>
        <v>150794.25271717418</v>
      </c>
      <c r="I75" s="433">
        <f>PWERM_2!O68</f>
        <v>150794.25271717418</v>
      </c>
      <c r="J75" s="433">
        <f>PWERM_2!P68</f>
        <v>165900.44441963572</v>
      </c>
    </row>
    <row r="76" spans="2:10" ht="12.75" customHeight="1">
      <c r="B76" s="160" t="str">
        <f>'Cap Table'!$G6 &amp;" Stock"</f>
        <v>Common Stock</v>
      </c>
      <c r="D76" s="386">
        <f t="shared" si="2"/>
        <v>15422.682000000001</v>
      </c>
      <c r="F76" s="433">
        <f>'Cap Table'!G10</f>
        <v>15422.682000000001</v>
      </c>
      <c r="H76" s="433">
        <f>PWERM_2!L69</f>
        <v>146260.85293717418</v>
      </c>
      <c r="I76" s="433">
        <f>PWERM_2!O69</f>
        <v>146260.85293717418</v>
      </c>
      <c r="J76" s="433">
        <f>PWERM_2!P69</f>
        <v>161367.04463963571</v>
      </c>
    </row>
    <row r="77" spans="2:10" ht="8.1" customHeight="1">
      <c r="B77" s="5"/>
      <c r="C77" s="5"/>
      <c r="D77" s="5"/>
    </row>
    <row r="78" spans="2:10" ht="12.75" customHeight="1">
      <c r="B78" s="175" t="str">
        <f>CONCATENATE("Total ",B68)</f>
        <v>Total Shares (As Converted)</v>
      </c>
      <c r="D78" s="36">
        <f>SUM(D69:D76)</f>
        <v>131473.83500886176</v>
      </c>
    </row>
    <row r="79" spans="2:10" ht="8.1" customHeight="1"/>
    <row r="80" spans="2:10" ht="12.75" customHeight="1">
      <c r="B80" s="2" t="s">
        <v>270</v>
      </c>
      <c r="D80" s="386">
        <f>SUMPRODUCT(D72:D75,$G$72:$G$75)</f>
        <v>2608.6068300000002</v>
      </c>
    </row>
    <row r="81" spans="2:8" ht="8.1" customHeight="1"/>
    <row r="82" spans="2:8" ht="12.75" customHeight="1">
      <c r="B82" s="2031" t="s">
        <v>427</v>
      </c>
      <c r="C82" s="2036"/>
      <c r="D82" s="2137"/>
      <c r="H82" s="301" t="s">
        <v>17</v>
      </c>
    </row>
    <row r="83" spans="2:8" ht="8.1" customHeight="1"/>
    <row r="84" spans="2:8" ht="12.75" customHeight="1">
      <c r="B84" s="2" t="str">
        <f t="shared" ref="B84:B91" si="5">+B69</f>
        <v>Series A</v>
      </c>
      <c r="D84" s="245">
        <f>D60+IF(D69&gt;0,(D$66+D$80)*(D69/D$78),0)</f>
        <v>96947.670094364206</v>
      </c>
    </row>
    <row r="85" spans="2:8" ht="12.75" customHeight="1">
      <c r="B85" s="2" t="str">
        <f t="shared" si="5"/>
        <v>Series B Tranche I</v>
      </c>
      <c r="D85" s="245">
        <f>D61+IF(D70&gt;0,(D$66+D$80)*(D70/D$78),0)</f>
        <v>78151.871321825121</v>
      </c>
    </row>
    <row r="86" spans="2:8" ht="12.75" customHeight="1">
      <c r="B86" s="2" t="str">
        <f t="shared" si="5"/>
        <v>Series B Tranche II</v>
      </c>
      <c r="D86" s="245">
        <f>D62+IF(D71&gt;0,(D$66+D$80)*(D71/D$78),0)</f>
        <v>9873.5419755072162</v>
      </c>
    </row>
    <row r="87" spans="2:8" ht="12.75" customHeight="1">
      <c r="B87" s="2" t="str">
        <f t="shared" si="5"/>
        <v>Options at $0.001 Strike Price</v>
      </c>
      <c r="D87" s="245">
        <f>IF(D72&gt;0,(D$66+D$80)*(D72/D$78)-(D72*$H$87),0)</f>
        <v>17.302083945422176</v>
      </c>
      <c r="H87" s="2006">
        <f>G72</f>
        <v>1E-3</v>
      </c>
    </row>
    <row r="88" spans="2:8" ht="12.75" customHeight="1">
      <c r="B88" s="2" t="str">
        <f t="shared" si="5"/>
        <v>Options at $0.010 Strike Price</v>
      </c>
      <c r="D88" s="245">
        <f>IF(D73&gt;0,(D$66+D$80)*(D73/D$78)-(D73*$H$88),0)</f>
        <v>356.11801683078482</v>
      </c>
      <c r="H88" s="1898">
        <f>G73</f>
        <v>0.01</v>
      </c>
    </row>
    <row r="89" spans="2:8" ht="12.75" customHeight="1">
      <c r="B89" s="2" t="str">
        <f t="shared" si="5"/>
        <v>Expected Options Grant</v>
      </c>
      <c r="D89" s="245">
        <f>IF(D74&gt;0,(D$66+D$80)*(D74/D$78)-(D74*$H$89),0)</f>
        <v>11297.514425728094</v>
      </c>
      <c r="H89" s="1898">
        <f>G74</f>
        <v>0.28999999999999998</v>
      </c>
    </row>
    <row r="90" spans="2:8" ht="12.75" customHeight="1">
      <c r="B90" s="2" t="str">
        <f t="shared" si="5"/>
        <v>Phantom Stock</v>
      </c>
      <c r="D90" s="245">
        <f>IF(D75&gt;0,(D$66+D$80)*(D75/D$78)-(D75*$H$90),0)</f>
        <v>1656.1055370440131</v>
      </c>
      <c r="H90" s="2007">
        <f>G75</f>
        <v>0.28999999999999998</v>
      </c>
    </row>
    <row r="91" spans="2:8" ht="12.75" customHeight="1">
      <c r="B91" s="2" t="str">
        <f t="shared" si="5"/>
        <v>Common Stock</v>
      </c>
      <c r="D91" s="245">
        <f>IF(D76&gt;0,(D$66+D$80)*(D76/D$78),0)</f>
        <v>26699.876544755163</v>
      </c>
    </row>
    <row r="92" spans="2:8" ht="8.1" customHeight="1">
      <c r="B92" s="5"/>
      <c r="C92" s="5"/>
      <c r="D92" s="5"/>
    </row>
    <row r="93" spans="2:8" ht="12.75" customHeight="1">
      <c r="B93" s="175" t="str">
        <f>CONCATENATE("Total ",B53)</f>
        <v>Total Value Allocable to Existing Investors</v>
      </c>
      <c r="D93" s="2176">
        <f>SUM(D84:D91)</f>
        <v>225000.00000000003</v>
      </c>
    </row>
    <row r="94" spans="2:8" ht="8.1" customHeight="1">
      <c r="B94" s="37"/>
      <c r="D94" s="421" t="str">
        <f>IF(ABS(D93-D57)&lt;0.1,"","Check")</f>
        <v/>
      </c>
      <c r="F94" s="953" t="str">
        <f>IF(COUNTIF($D$94:$D$94,$F$95)&gt;0,$F$95,"")</f>
        <v/>
      </c>
    </row>
    <row r="95" spans="2:8" ht="12.75" customHeight="1">
      <c r="B95" s="2031" t="s">
        <v>263</v>
      </c>
      <c r="C95" s="2036"/>
      <c r="D95" s="2137"/>
      <c r="F95" s="385" t="s">
        <v>45</v>
      </c>
    </row>
    <row r="96" spans="2:8" ht="8.1" customHeight="1"/>
    <row r="97" spans="2:4 16375:16375" ht="12.75" customHeight="1">
      <c r="B97" s="385" t="s">
        <v>264</v>
      </c>
      <c r="D97" s="386">
        <f>D91</f>
        <v>26699.876544755163</v>
      </c>
    </row>
    <row r="98" spans="2:4 16375:16375" ht="12.75" customHeight="1">
      <c r="B98" s="385" t="s">
        <v>164</v>
      </c>
      <c r="D98" s="386">
        <f>D76</f>
        <v>15422.682000000001</v>
      </c>
    </row>
    <row r="99" spans="2:4 16375:16375" ht="8.1" customHeight="1">
      <c r="B99" s="5"/>
      <c r="C99" s="5"/>
      <c r="D99" s="5"/>
    </row>
    <row r="100" spans="2:4 16375:16375" ht="12.75" customHeight="1">
      <c r="B100" s="1" t="s">
        <v>265</v>
      </c>
      <c r="C100" s="1"/>
      <c r="D100" s="176">
        <f>IFERROR(D97/D98,0)</f>
        <v>1.7312083945422179</v>
      </c>
    </row>
    <row r="101" spans="2:4 16375:16375" ht="8.1" customHeight="1"/>
    <row r="102" spans="2:4 16375:16375" ht="12.75" customHeight="1">
      <c r="B102" s="74" t="s">
        <v>95</v>
      </c>
      <c r="C102" s="429">
        <f>'WACC PWERM'!J15</f>
        <v>0.35</v>
      </c>
      <c r="D102" s="43">
        <f>1/(1+$C102)^D11</f>
        <v>0.65318044212301851</v>
      </c>
    </row>
    <row r="103" spans="2:4 16375:16375" ht="8.1" customHeight="1">
      <c r="B103" s="5"/>
      <c r="C103" s="5"/>
      <c r="D103" s="5"/>
    </row>
    <row r="104" spans="2:4 16375:16375" ht="12.75" customHeight="1">
      <c r="B104" s="1" t="s">
        <v>266</v>
      </c>
      <c r="D104" s="176">
        <f>D100*D102</f>
        <v>1.130791464554167</v>
      </c>
    </row>
    <row r="105" spans="2:4 16375:16375" ht="8.1" customHeight="1"/>
    <row r="106" spans="2:4 16375:16375" ht="8.1" customHeight="1"/>
    <row r="107" spans="2:4 16375:16375" ht="12.75" customHeight="1">
      <c r="B107" s="2031" t="s">
        <v>268</v>
      </c>
      <c r="C107" s="2036"/>
      <c r="D107" s="2137"/>
    </row>
    <row r="108" spans="2:4 16375:16375" ht="8.1" customHeight="1"/>
    <row r="109" spans="2:4 16375:16375" ht="12.75" customHeight="1">
      <c r="B109" s="1" t="s">
        <v>271</v>
      </c>
    </row>
    <row r="110" spans="2:4 16375:16375" ht="12.75" customHeight="1">
      <c r="B110" s="2" t="s">
        <v>272</v>
      </c>
      <c r="D110" s="245">
        <f>MIN(SUM(D84:D86),SUM(H$60:H$62))</f>
        <v>146260.85293717418</v>
      </c>
      <c r="XEU110" s="174"/>
    </row>
    <row r="111" spans="2:4 16375:16375" ht="8.1" customHeight="1"/>
    <row r="112" spans="2:4 16375:16375" ht="12.75" customHeight="1">
      <c r="B112" s="161" t="s">
        <v>95</v>
      </c>
      <c r="C112" s="429">
        <f>'WACC PWERM'!J11</f>
        <v>0.12</v>
      </c>
      <c r="D112" s="43">
        <f>1/(1+$C112)^D$11</f>
        <v>0.85143374958320417</v>
      </c>
    </row>
    <row r="113" spans="2:4" ht="8.1" customHeight="1"/>
    <row r="114" spans="2:4" ht="12.75" customHeight="1">
      <c r="B114" s="2" t="s">
        <v>96</v>
      </c>
      <c r="D114" s="386">
        <f>D110*D112</f>
        <v>124531.4264335358</v>
      </c>
    </row>
    <row r="115" spans="2:4" ht="7.5" customHeight="1"/>
    <row r="116" spans="2:4" ht="8.1" customHeight="1"/>
    <row r="117" spans="2:4" ht="12.75" customHeight="1">
      <c r="B117" s="1" t="s">
        <v>274</v>
      </c>
    </row>
    <row r="118" spans="2:4" ht="12.75" customHeight="1">
      <c r="B118" s="2" t="s">
        <v>272</v>
      </c>
      <c r="D118" s="245">
        <f>SUM(D84:D86)-D110</f>
        <v>38712.230454522389</v>
      </c>
    </row>
    <row r="119" spans="2:4" ht="8.1" customHeight="1"/>
    <row r="120" spans="2:4" ht="12.75" customHeight="1">
      <c r="B120" s="160" t="s">
        <v>95</v>
      </c>
      <c r="C120" s="429">
        <f>'WACC PWERM'!J13</f>
        <v>0.25</v>
      </c>
      <c r="D120" s="43">
        <f>1/(1+$C120)^D$11</f>
        <v>0.72856353972829491</v>
      </c>
    </row>
    <row r="121" spans="2:4" ht="8.1" customHeight="1"/>
    <row r="122" spans="2:4" ht="12.75" customHeight="1">
      <c r="B122" s="2" t="s">
        <v>96</v>
      </c>
      <c r="D122" s="386">
        <f>D118*D120</f>
        <v>28204.31965072433</v>
      </c>
    </row>
    <row r="123" spans="2:4" ht="8.25" customHeight="1">
      <c r="B123" s="2"/>
      <c r="D123" s="386"/>
    </row>
    <row r="124" spans="2:4" ht="7.5" customHeight="1"/>
    <row r="125" spans="2:4" ht="12.75" customHeight="1">
      <c r="B125" s="2028" t="s">
        <v>3352</v>
      </c>
      <c r="C125" s="2216"/>
      <c r="D125" s="2236"/>
    </row>
    <row r="126" spans="2:4" ht="7.5" customHeight="1"/>
    <row r="127" spans="2:4" ht="12.75" customHeight="1">
      <c r="B127" s="1" t="s">
        <v>275</v>
      </c>
    </row>
    <row r="128" spans="2:4" ht="12.75" customHeight="1">
      <c r="B128" s="2" t="s">
        <v>272</v>
      </c>
      <c r="D128" s="245">
        <f>MIN(D84,H60)</f>
        <v>68149.589041095896</v>
      </c>
    </row>
    <row r="129" spans="2:4" ht="12.75" customHeight="1"/>
    <row r="130" spans="2:4" ht="12.75" customHeight="1">
      <c r="B130" s="161" t="s">
        <v>95</v>
      </c>
      <c r="C130" s="327">
        <f>C112</f>
        <v>0.12</v>
      </c>
      <c r="D130" s="43">
        <f>D112</f>
        <v>0.85143374958320417</v>
      </c>
    </row>
    <row r="131" spans="2:4" ht="12.75" customHeight="1">
      <c r="B131" s="2"/>
    </row>
    <row r="132" spans="2:4" ht="12.75" customHeight="1">
      <c r="B132" s="2" t="s">
        <v>96</v>
      </c>
      <c r="D132" s="386">
        <f>D128*D130</f>
        <v>58024.860129814719</v>
      </c>
    </row>
    <row r="133" spans="2:4" ht="12.75" customHeight="1"/>
    <row r="134" spans="2:4" ht="7.5" customHeight="1"/>
    <row r="135" spans="2:4" ht="12.75" customHeight="1">
      <c r="B135" s="1" t="s">
        <v>276</v>
      </c>
    </row>
    <row r="136" spans="2:4" ht="12.75" customHeight="1">
      <c r="B136" s="2" t="s">
        <v>272</v>
      </c>
      <c r="D136" s="245">
        <f>D84-D128</f>
        <v>28798.08105326831</v>
      </c>
    </row>
    <row r="137" spans="2:4" ht="7.5" customHeight="1">
      <c r="D137" s="74"/>
    </row>
    <row r="138" spans="2:4" ht="12.75" customHeight="1">
      <c r="B138" s="161" t="s">
        <v>95</v>
      </c>
      <c r="C138" s="327">
        <f>C103</f>
        <v>0</v>
      </c>
      <c r="D138" s="43">
        <f>+D120</f>
        <v>0.72856353972829491</v>
      </c>
    </row>
    <row r="139" spans="2:4" ht="7.5" customHeight="1"/>
    <row r="140" spans="2:4" ht="12.75" customHeight="1">
      <c r="B140" s="2" t="s">
        <v>96</v>
      </c>
      <c r="D140" s="386">
        <f>D136*D138</f>
        <v>20981.231869551502</v>
      </c>
    </row>
    <row r="141" spans="2:4" ht="7.5" customHeight="1"/>
    <row r="142" spans="2:4" ht="12.75" customHeight="1">
      <c r="B142" s="2031" t="s">
        <v>2321</v>
      </c>
      <c r="C142" s="2036"/>
      <c r="D142" s="2137"/>
    </row>
    <row r="143" spans="2:4" ht="8.1" customHeight="1"/>
    <row r="144" spans="2:4" ht="12.75" customHeight="1">
      <c r="B144" s="1" t="s">
        <v>275</v>
      </c>
    </row>
    <row r="145" spans="2:5" ht="12.75" customHeight="1">
      <c r="B145" s="2" t="s">
        <v>272</v>
      </c>
      <c r="D145" s="245">
        <f>MIN(D85,H61)</f>
        <v>69490.327450955898</v>
      </c>
    </row>
    <row r="146" spans="2:5" ht="8.1" customHeight="1"/>
    <row r="147" spans="2:5" ht="12.75" customHeight="1">
      <c r="B147" s="161" t="s">
        <v>95</v>
      </c>
      <c r="C147" s="327">
        <f>C112</f>
        <v>0.12</v>
      </c>
      <c r="D147" s="43">
        <f>+D112</f>
        <v>0.85143374958320417</v>
      </c>
    </row>
    <row r="148" spans="2:5" ht="8.1" customHeight="1">
      <c r="B148" s="2"/>
    </row>
    <row r="149" spans="2:5" ht="12.75" customHeight="1">
      <c r="B149" s="2" t="s">
        <v>96</v>
      </c>
      <c r="D149" s="386">
        <f>D145*D147</f>
        <v>59166.410061332041</v>
      </c>
    </row>
    <row r="150" spans="2:5" ht="8.1" customHeight="1"/>
    <row r="151" spans="2:5" ht="8.1" customHeight="1"/>
    <row r="152" spans="2:5" ht="12.75" customHeight="1">
      <c r="B152" s="1" t="s">
        <v>276</v>
      </c>
    </row>
    <row r="153" spans="2:5" ht="12.75" customHeight="1">
      <c r="B153" s="2" t="s">
        <v>272</v>
      </c>
      <c r="D153" s="245">
        <f>D85-D145</f>
        <v>8661.5438708692236</v>
      </c>
    </row>
    <row r="154" spans="2:5" ht="8.1" customHeight="1">
      <c r="D154" s="74"/>
    </row>
    <row r="155" spans="2:5" ht="12.75" customHeight="1">
      <c r="B155" s="161" t="s">
        <v>95</v>
      </c>
      <c r="C155" s="327">
        <f>C120</f>
        <v>0.25</v>
      </c>
      <c r="D155" s="43">
        <f>+D120</f>
        <v>0.72856353972829491</v>
      </c>
    </row>
    <row r="156" spans="2:5" ht="8.1" customHeight="1"/>
    <row r="157" spans="2:5" ht="12.75" customHeight="1">
      <c r="B157" s="2" t="s">
        <v>96</v>
      </c>
      <c r="D157" s="386">
        <f>D153*D155</f>
        <v>6310.4850620723992</v>
      </c>
    </row>
    <row r="158" spans="2:5" ht="7.5" customHeight="1"/>
    <row r="159" spans="2:5" ht="8.1" customHeight="1">
      <c r="E159" s="74"/>
    </row>
    <row r="160" spans="2:5" ht="12.75" customHeight="1">
      <c r="B160" s="2031" t="s">
        <v>178</v>
      </c>
      <c r="C160" s="2036"/>
      <c r="D160" s="2137"/>
      <c r="E160" s="181"/>
    </row>
    <row r="161" spans="2:6" ht="8.1" customHeight="1">
      <c r="E161" s="74"/>
    </row>
    <row r="162" spans="2:6" ht="12.75" customHeight="1">
      <c r="B162" s="2" t="s">
        <v>272</v>
      </c>
      <c r="D162" s="245">
        <f>D53</f>
        <v>225000</v>
      </c>
    </row>
    <row r="163" spans="2:6" ht="8.1" customHeight="1">
      <c r="D163" s="74"/>
    </row>
    <row r="164" spans="2:6" ht="12.75" customHeight="1">
      <c r="B164" s="161" t="s">
        <v>95</v>
      </c>
      <c r="C164" s="429">
        <f>'WACC PWERM'!J23</f>
        <v>0.17</v>
      </c>
      <c r="D164" s="43">
        <f>1/(1+$C164)^D$11</f>
        <v>0.80026186059277815</v>
      </c>
    </row>
    <row r="165" spans="2:6" ht="8.1" customHeight="1"/>
    <row r="166" spans="2:6" ht="12.75" customHeight="1">
      <c r="B166" s="2" t="s">
        <v>96</v>
      </c>
      <c r="D166" s="386">
        <f>D162*D164</f>
        <v>180058.91863337508</v>
      </c>
    </row>
    <row r="167" spans="2:6" ht="8.1" customHeight="1"/>
    <row r="168" spans="2:6" ht="8.1" customHeight="1"/>
    <row r="169" spans="2:6" ht="12.75" hidden="1" customHeight="1" outlineLevel="1">
      <c r="B169" s="2031" t="s">
        <v>2071</v>
      </c>
      <c r="C169" s="2036"/>
      <c r="D169" s="2036"/>
      <c r="E169" s="181"/>
    </row>
    <row r="170" spans="2:6" ht="8.1" hidden="1" customHeight="1" outlineLevel="1">
      <c r="E170" s="74"/>
    </row>
    <row r="171" spans="2:6" ht="12.75" hidden="1" customHeight="1" outlineLevel="1">
      <c r="B171" s="2" t="s">
        <v>272</v>
      </c>
      <c r="D171" s="245">
        <f>D162-D86</f>
        <v>215126.45802449278</v>
      </c>
      <c r="F171" s="1372"/>
    </row>
    <row r="172" spans="2:6" ht="8.1" hidden="1" customHeight="1" outlineLevel="1">
      <c r="D172" s="74"/>
    </row>
    <row r="173" spans="2:6" ht="12.75" hidden="1" customHeight="1" outlineLevel="1">
      <c r="B173" s="161" t="s">
        <v>95</v>
      </c>
      <c r="C173" s="327">
        <f>C164</f>
        <v>0.17</v>
      </c>
      <c r="D173" s="43">
        <f>1/(1+$C173)^D$11</f>
        <v>0.80026186059277815</v>
      </c>
    </row>
    <row r="174" spans="2:6" ht="8.1" hidden="1" customHeight="1" outlineLevel="1"/>
    <row r="175" spans="2:6" ht="12.75" hidden="1" customHeight="1" outlineLevel="1">
      <c r="B175" s="2" t="s">
        <v>96</v>
      </c>
      <c r="D175" s="386">
        <f>D171*D173</f>
        <v>172157.49956141479</v>
      </c>
    </row>
    <row r="176" spans="2:6" ht="12.75" hidden="1" customHeight="1" outlineLevel="1"/>
    <row r="177" spans="1:4" ht="12.75" customHeight="1" collapsed="1">
      <c r="A177" s="74"/>
      <c r="B177" s="903" t="s">
        <v>21</v>
      </c>
    </row>
    <row r="178" spans="1:4" ht="12.75" customHeight="1">
      <c r="A178" s="715" t="s">
        <v>133</v>
      </c>
      <c r="B178" s="965"/>
    </row>
    <row r="179" spans="1:4" ht="12.75" customHeight="1">
      <c r="A179" s="715"/>
      <c r="B179" s="965"/>
    </row>
    <row r="180" spans="1:4" ht="12.75" customHeight="1"/>
    <row r="181" spans="1:4" ht="12.75" customHeight="1">
      <c r="B181" s="76" t="s">
        <v>428</v>
      </c>
      <c r="C181" s="105"/>
      <c r="D181" s="1755"/>
    </row>
    <row r="182" spans="1:4" ht="12.75" customHeight="1"/>
    <row r="183" spans="1:4" ht="12.75" customHeight="1">
      <c r="B183" s="2" t="str">
        <f>+B84</f>
        <v>Series A</v>
      </c>
      <c r="D183" s="336">
        <f>IF(D84=0,"n/a",(D84/'Hybrid OPM 2'!$F9))</f>
        <v>1.7312083945422179</v>
      </c>
    </row>
    <row r="184" spans="1:4" ht="12.75" customHeight="1">
      <c r="B184" s="2" t="str">
        <f>+B85</f>
        <v>Series B Tranche I</v>
      </c>
      <c r="D184" s="336">
        <f>IF(D85=0,"n/a",(D85/'Hybrid OPM 2'!$F10))</f>
        <v>1.7312083945422179</v>
      </c>
    </row>
    <row r="185" spans="1:4" ht="12.75" customHeight="1">
      <c r="B185" s="2"/>
      <c r="D185" s="336"/>
    </row>
    <row r="188" spans="1:4">
      <c r="B188" s="1" t="s">
        <v>639</v>
      </c>
    </row>
    <row r="189" spans="1:4">
      <c r="B189" s="385" t="s">
        <v>640</v>
      </c>
      <c r="D189" s="386">
        <f>SUM(D87:D90)</f>
        <v>13327.040063548315</v>
      </c>
    </row>
    <row r="190" spans="1:4">
      <c r="B190" s="385" t="s">
        <v>641</v>
      </c>
      <c r="D190" s="386">
        <f ca="1">D189*D102*(1-'Hybrid OPM'!E13)</f>
        <v>6006.423725420771</v>
      </c>
    </row>
    <row r="191" spans="1:4">
      <c r="B191" s="385" t="s">
        <v>643</v>
      </c>
      <c r="D191" s="386">
        <f ca="1">D190/D104</f>
        <v>5311.6988531469869</v>
      </c>
    </row>
  </sheetData>
  <conditionalFormatting sqref="B4:C4">
    <cfRule type="cellIs" dxfId="147" priority="25" stopIfTrue="1" operator="equal">
      <formula>"input"</formula>
    </cfRule>
  </conditionalFormatting>
  <conditionalFormatting sqref="D4">
    <cfRule type="cellIs" dxfId="146" priority="19" stopIfTrue="1" operator="equal">
      <formula>"input"</formula>
    </cfRule>
  </conditionalFormatting>
  <conditionalFormatting sqref="D4">
    <cfRule type="cellIs" dxfId="145" priority="20" stopIfTrue="1" operator="equal">
      <formula>"input"</formula>
    </cfRule>
  </conditionalFormatting>
  <conditionalFormatting sqref="D26:D28 D33:D35 D37 D40:D42 D44">
    <cfRule type="cellIs" dxfId="144" priority="16" operator="equal">
      <formula>0</formula>
    </cfRule>
    <cfRule type="cellIs" dxfId="143" priority="17" operator="equal">
      <formula>0</formula>
    </cfRule>
  </conditionalFormatting>
  <conditionalFormatting sqref="D30">
    <cfRule type="cellIs" dxfId="142" priority="14" operator="equal">
      <formula>0</formula>
    </cfRule>
    <cfRule type="cellIs" dxfId="141" priority="15" operator="equal">
      <formula>0</formula>
    </cfRule>
  </conditionalFormatting>
  <conditionalFormatting sqref="D4">
    <cfRule type="cellIs" dxfId="140" priority="1" stopIfTrue="1" operator="equal">
      <formula>"input"</formula>
    </cfRule>
  </conditionalFormatting>
  <conditionalFormatting sqref="D4">
    <cfRule type="cellIs" dxfId="139" priority="2" stopIfTrue="1" operator="equal">
      <formula>"input"</formula>
    </cfRule>
  </conditionalFormatting>
  <pageMargins left="0.5" right="0.5" top="0.5" bottom="0.5" header="0.5" footer="0.5"/>
  <pageSetup fitToWidth="0" fitToHeight="0" orientation="landscape" r:id="rId1"/>
  <rowBreaks count="3" manualBreakCount="3">
    <brk id="64" max="5" man="1"/>
    <brk id="93" max="5" man="1"/>
    <brk id="123" max="5" man="1"/>
  </rowBreaks>
  <legacyDrawing r:id="rId2"/>
  <legacyDrawingHF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dimension ref="A1:T132"/>
  <sheetViews>
    <sheetView showGridLines="0" view="pageBreakPreview" topLeftCell="C4" zoomScaleNormal="85" zoomScaleSheetLayoutView="100" workbookViewId="0">
      <selection activeCell="P20" sqref="P20"/>
    </sheetView>
  </sheetViews>
  <sheetFormatPr defaultRowHeight="12.75" outlineLevelRow="1"/>
  <cols>
    <col min="1" max="1" width="4.5" style="385" customWidth="1"/>
    <col min="2" max="2" width="52.1640625" style="385" customWidth="1"/>
    <col min="3" max="3" width="2.83203125" style="385" customWidth="1"/>
    <col min="4" max="8" width="18.1640625" style="385" customWidth="1"/>
    <col min="9" max="9" width="21.33203125" style="385" customWidth="1"/>
    <col min="10" max="11" width="18.1640625" style="385" customWidth="1"/>
    <col min="12" max="12" width="4.5" style="385" customWidth="1"/>
    <col min="13" max="13" width="12.33203125" style="385" bestFit="1" customWidth="1"/>
    <col min="14" max="14" width="1.83203125" style="385" customWidth="1"/>
    <col min="15" max="15" width="21.83203125" style="169" customWidth="1"/>
    <col min="16" max="16" width="12.5" style="385" customWidth="1"/>
    <col min="17" max="17" width="15.5" style="385" customWidth="1"/>
    <col min="18" max="18" width="9.33203125" style="385"/>
    <col min="19" max="19" width="12.6640625" style="385" bestFit="1" customWidth="1"/>
    <col min="20" max="16384" width="9.33203125" style="385"/>
  </cols>
  <sheetData>
    <row r="1" spans="2:20" ht="10.7" customHeight="1" thickBot="1"/>
    <row r="2" spans="2:20" ht="16.5" customHeight="1" thickTop="1">
      <c r="B2" s="10" t="str">
        <f>'MASTER PubCo Inputs'!$C$5</f>
        <v>Pliant Therapeutics, Inc.</v>
      </c>
      <c r="C2" s="10"/>
      <c r="D2" s="10"/>
      <c r="E2" s="10"/>
      <c r="F2" s="10"/>
      <c r="G2" s="10"/>
      <c r="H2" s="10"/>
      <c r="I2" s="10"/>
      <c r="J2" s="10"/>
      <c r="K2" s="10"/>
    </row>
    <row r="3" spans="2:20" ht="15.75" customHeight="1">
      <c r="B3" s="11" t="str">
        <f>VLOOKUP(B4,Outline!$E$8:$G$69,COLUMNS(Outline!$E$8:$G$8),FALSE)</f>
        <v>Workpaper #3</v>
      </c>
      <c r="C3" s="11"/>
      <c r="D3" s="11"/>
      <c r="E3" s="11"/>
      <c r="F3" s="11"/>
      <c r="G3" s="11"/>
      <c r="H3" s="11"/>
      <c r="I3" s="11"/>
      <c r="J3" s="11"/>
      <c r="K3" s="11"/>
    </row>
    <row r="4" spans="2:20" ht="16.5" customHeight="1" thickBot="1">
      <c r="B4" s="12" t="s">
        <v>1232</v>
      </c>
      <c r="C4" s="12"/>
      <c r="D4" s="12"/>
      <c r="E4" s="12"/>
      <c r="F4" s="12"/>
      <c r="G4" s="12"/>
      <c r="H4" s="12"/>
      <c r="I4" s="12"/>
      <c r="J4" s="13"/>
      <c r="K4" s="13" t="str">
        <f>+'MASTER PubCo Inputs'!$C$20</f>
        <v>(in thousands of USD and shares, except price per share)</v>
      </c>
      <c r="O4" s="169" t="s">
        <v>2294</v>
      </c>
    </row>
    <row r="5" spans="2:20" s="16" customFormat="1" ht="12.75" customHeight="1" thickTop="1">
      <c r="B5" s="385"/>
      <c r="C5" s="385"/>
      <c r="D5" s="385"/>
      <c r="E5" s="385"/>
      <c r="F5" s="385"/>
      <c r="G5" s="385"/>
      <c r="H5" s="385"/>
      <c r="I5" s="385"/>
      <c r="J5" s="385"/>
      <c r="K5" s="385"/>
      <c r="L5" s="385"/>
      <c r="M5" s="385"/>
      <c r="O5" s="292"/>
      <c r="P5" s="344" t="str">
        <f>PWERM_2!D6</f>
        <v>IPO - Early</v>
      </c>
      <c r="Q5" s="344" t="str">
        <f>PWERM_2!E6</f>
        <v>IPO - Late</v>
      </c>
      <c r="R5" s="344" t="str">
        <f>PWERM_2!F6</f>
        <v>M&amp;A - Late</v>
      </c>
      <c r="S5" s="344" t="str">
        <f>PWERM_2!G6</f>
        <v>Low Sale - Early</v>
      </c>
      <c r="T5" s="344" t="str">
        <f>PWERM_2!H6</f>
        <v>Low Sale - Late</v>
      </c>
    </row>
    <row r="6" spans="2:20" s="16" customFormat="1" ht="12.75" customHeight="1">
      <c r="B6" s="385"/>
      <c r="C6" s="385"/>
      <c r="D6" s="385"/>
      <c r="E6" s="385"/>
      <c r="F6" s="385"/>
      <c r="G6" s="385"/>
      <c r="H6" s="385"/>
      <c r="I6" s="385"/>
      <c r="J6" s="385"/>
      <c r="K6" s="385"/>
      <c r="L6" s="385"/>
      <c r="O6" s="1697" t="s">
        <v>2297</v>
      </c>
      <c r="P6" s="1703">
        <f>PWERM_2!D13</f>
        <v>1.4191780821917808</v>
      </c>
      <c r="Q6" s="1703">
        <f>PWERM_2!E13</f>
        <v>2.9178082191780823</v>
      </c>
      <c r="R6" s="1703">
        <f>PWERM_2!F13</f>
        <v>2.9178082191780823</v>
      </c>
      <c r="S6" s="1703">
        <f>PWERM_2!G13</f>
        <v>1.4191780821917808</v>
      </c>
      <c r="T6" s="1703">
        <f>PWERM_2!H13</f>
        <v>2.9178082191780823</v>
      </c>
    </row>
    <row r="7" spans="2:20" ht="12.75" customHeight="1">
      <c r="B7" s="73" t="s">
        <v>218</v>
      </c>
      <c r="C7" s="154"/>
      <c r="D7" s="154"/>
      <c r="E7" s="1010" t="s">
        <v>5</v>
      </c>
      <c r="F7" s="154"/>
      <c r="G7" s="154"/>
      <c r="H7" s="154"/>
      <c r="I7" s="154"/>
      <c r="J7" s="154"/>
      <c r="K7" s="2025"/>
      <c r="O7" s="17" t="s">
        <v>419</v>
      </c>
      <c r="P7" s="1704">
        <f t="array" ref="P7:T7">TRANSPOSE('Exit Probability'!I43:I47)</f>
        <v>6.5000000000000002E-2</v>
      </c>
      <c r="Q7" s="1704">
        <v>8.6506874999999997E-2</v>
      </c>
      <c r="R7" s="1704">
        <v>0.54615437499999997</v>
      </c>
      <c r="S7" s="1704">
        <v>0.10500000000000001</v>
      </c>
      <c r="T7" s="1704">
        <v>0.19733875000000001</v>
      </c>
    </row>
    <row r="8" spans="2:20" s="20" customFormat="1" ht="12.75" customHeight="1">
      <c r="B8" s="48"/>
      <c r="C8" s="48"/>
      <c r="D8" s="48"/>
      <c r="E8" s="48"/>
      <c r="F8" s="48"/>
      <c r="G8" s="48"/>
      <c r="H8" s="48"/>
      <c r="I8" s="48"/>
      <c r="J8" s="48"/>
      <c r="K8" s="48"/>
      <c r="O8" s="1700" t="s">
        <v>2298</v>
      </c>
      <c r="P8" s="1699">
        <f>SUMPRODUCT(P6:T6,P7:T7)</f>
        <v>2.6630410958904109</v>
      </c>
    </row>
    <row r="9" spans="2:20" ht="12.75" customHeight="1">
      <c r="B9" s="385" t="s">
        <v>216</v>
      </c>
      <c r="C9" s="155"/>
      <c r="D9" s="790">
        <f>'Hybrid OPM'!I36</f>
        <v>135516.52092281019</v>
      </c>
      <c r="E9" s="1009" t="s">
        <v>2545</v>
      </c>
      <c r="P9" s="177">
        <f>P7/SUM($P$7:$R$7)</f>
        <v>9.3168425220692727E-2</v>
      </c>
      <c r="Q9" s="177">
        <f t="shared" ref="Q9:R9" si="0">Q7/SUM($P$7:$R$7)</f>
        <v>0.12399552791558942</v>
      </c>
      <c r="R9" s="177">
        <f t="shared" si="0"/>
        <v>0.78283604686371799</v>
      </c>
    </row>
    <row r="10" spans="2:20" ht="12.75" customHeight="1">
      <c r="B10" s="385" t="s">
        <v>217</v>
      </c>
      <c r="D10" s="156">
        <f>P8</f>
        <v>2.6630410958904109</v>
      </c>
      <c r="E10" s="1009" t="s">
        <v>2546</v>
      </c>
      <c r="P10" s="1699">
        <f>SUMPRODUCT(P9:R9,P6:R6)</f>
        <v>2.778183209326798</v>
      </c>
    </row>
    <row r="11" spans="2:20" ht="12.75" customHeight="1">
      <c r="B11" s="20" t="s">
        <v>9</v>
      </c>
      <c r="C11" s="157"/>
      <c r="D11" s="430">
        <f ca="1">'Asset Vol_Hybrid OPM'!Q49</f>
        <v>0.90935264718828457</v>
      </c>
      <c r="E11" s="1009" t="str">
        <f>'Asset Vol_Hybrid OPM'!B3</f>
        <v>Workpaper #5</v>
      </c>
      <c r="G11" s="50"/>
      <c r="P11" s="1703">
        <f>PWERM_2!D13+PWERM_2!D25</f>
        <v>1.4191780821917808</v>
      </c>
      <c r="Q11" s="1703">
        <f>PWERM_2!E13+PWERM_2!E25</f>
        <v>2.9178082191780823</v>
      </c>
      <c r="R11" s="1703">
        <f>PWERM_2!F13+PWERM_2!F25</f>
        <v>5.9178082191780828</v>
      </c>
      <c r="S11" s="1703">
        <f>PWERM_2!G13+PWERM_2!G25</f>
        <v>1.4191780821917808</v>
      </c>
      <c r="T11" s="1703">
        <f>PWERM_2!H13+PWERM_2!H25</f>
        <v>2.9178082191780823</v>
      </c>
    </row>
    <row r="12" spans="2:20" ht="12.75" customHeight="1">
      <c r="B12" s="385" t="s">
        <v>7</v>
      </c>
      <c r="C12" s="157"/>
      <c r="D12" s="432">
        <f>'Risk-Free Rates'!E42</f>
        <v>2.7329345205479451E-2</v>
      </c>
      <c r="E12" s="1009" t="str">
        <f>'Risk-Free Rates'!B3</f>
        <v>Exhibit H.6</v>
      </c>
      <c r="G12" s="50"/>
      <c r="P12" s="385">
        <f>SUMPRODUCT(P7:T7,P11:T11)</f>
        <v>4.3015042208904113</v>
      </c>
    </row>
    <row r="13" spans="2:20" ht="12.75" customHeight="1">
      <c r="B13" s="385" t="s">
        <v>8</v>
      </c>
      <c r="D13" s="158">
        <v>0</v>
      </c>
      <c r="E13" s="1009" t="s">
        <v>1473</v>
      </c>
      <c r="G13" s="50"/>
    </row>
    <row r="14" spans="2:20" ht="12.75" customHeight="1">
      <c r="D14" s="901"/>
      <c r="E14" s="74"/>
      <c r="F14" s="74"/>
      <c r="G14" s="50"/>
    </row>
    <row r="15" spans="2:20" ht="12.75" customHeight="1">
      <c r="D15" s="1878">
        <v>1</v>
      </c>
      <c r="E15" s="1879">
        <f>D15+1</f>
        <v>2</v>
      </c>
      <c r="F15" s="1879">
        <f t="shared" ref="F15:J15" si="1">E15+1</f>
        <v>3</v>
      </c>
      <c r="G15" s="1879">
        <f t="shared" si="1"/>
        <v>4</v>
      </c>
      <c r="H15" s="1879">
        <f t="shared" si="1"/>
        <v>5</v>
      </c>
      <c r="I15" s="1879">
        <f t="shared" si="1"/>
        <v>6</v>
      </c>
      <c r="J15" s="1879">
        <f t="shared" si="1"/>
        <v>7</v>
      </c>
      <c r="K15" s="2023">
        <f t="shared" ref="K15" si="2">J15+1</f>
        <v>8</v>
      </c>
    </row>
    <row r="16" spans="2:20" s="6" customFormat="1" ht="63.75">
      <c r="B16" s="159" t="s">
        <v>219</v>
      </c>
      <c r="D16" s="559" t="str">
        <f t="array" ref="D16:K16">TRANSPOSE('Econ Rights'!I14:I21)</f>
        <v>Series B Receives Liquidation Preference</v>
      </c>
      <c r="E16" s="560" t="str">
        <v xml:space="preserve">Series A Receives Liquidation Preference </v>
      </c>
      <c r="F16" s="560" t="str">
        <v>Common Starts Receiving Value</v>
      </c>
      <c r="G16" s="560" t="str">
        <v>Options at $0.001 Strike Price Exercise</v>
      </c>
      <c r="H16" s="560" t="str">
        <v>Options at $0.010 Strike Price Exercise</v>
      </c>
      <c r="I16" s="560" t="str">
        <v>Expected Options Grant Exercise and Phantom Stock receive cash at $0.290 Strike Price</v>
      </c>
      <c r="J16" s="560" t="str">
        <v>Series A Converts</v>
      </c>
      <c r="K16" s="2024" t="str">
        <v>Series B Converts</v>
      </c>
      <c r="M16" s="114"/>
      <c r="O16" s="298"/>
    </row>
    <row r="17" spans="2:20" ht="12.75" customHeight="1"/>
    <row r="18" spans="2:20" ht="12.75" customHeight="1">
      <c r="B18" s="1" t="s">
        <v>223</v>
      </c>
      <c r="O18" s="39" t="str">
        <f>B18</f>
        <v>Liquidation Preference</v>
      </c>
      <c r="P18" s="1" t="s">
        <v>1908</v>
      </c>
      <c r="Q18" s="1" t="s">
        <v>1909</v>
      </c>
      <c r="R18" s="1" t="s">
        <v>1055</v>
      </c>
      <c r="S18" s="1" t="s">
        <v>164</v>
      </c>
      <c r="T18" s="1" t="s">
        <v>2074</v>
      </c>
    </row>
    <row r="19" spans="2:20" ht="12.75" customHeight="1">
      <c r="B19" s="2" t="str">
        <f>'Cap Table'!$D$6</f>
        <v>Series A</v>
      </c>
      <c r="D19" s="371">
        <v>0</v>
      </c>
      <c r="E19" s="371">
        <f t="shared" ref="E19:K21" si="3">IF(E$37&lt;$T19,$Q19,0)</f>
        <v>73722.095342465749</v>
      </c>
      <c r="F19" s="371">
        <f t="shared" si="3"/>
        <v>73722.095342465749</v>
      </c>
      <c r="G19" s="371">
        <f t="shared" si="3"/>
        <v>73722.095342465749</v>
      </c>
      <c r="H19" s="371">
        <f t="shared" si="3"/>
        <v>73722.095342465749</v>
      </c>
      <c r="I19" s="371">
        <f t="shared" si="3"/>
        <v>73722.095342465749</v>
      </c>
      <c r="J19" s="371">
        <f t="shared" si="3"/>
        <v>0</v>
      </c>
      <c r="K19" s="371">
        <f t="shared" si="3"/>
        <v>0</v>
      </c>
      <c r="M19" s="386"/>
      <c r="O19" s="1701">
        <f>'Econ Rights'!$D$15</f>
        <v>56000</v>
      </c>
      <c r="P19" s="1701">
        <f>'Econ Rights'!P54</f>
        <v>17722.095342465753</v>
      </c>
      <c r="Q19" s="1881">
        <f>O19+P19</f>
        <v>73722.095342465749</v>
      </c>
      <c r="R19" s="1880">
        <f>'Econ Rights'!D11</f>
        <v>1</v>
      </c>
      <c r="S19" s="1009">
        <f>'Econ Rights'!D$10</f>
        <v>56000</v>
      </c>
      <c r="T19" s="1880">
        <f t="array" ref="T19:T21">TRANSPOSE('Econ Rights'!D30:F30)</f>
        <v>1.316465988258317</v>
      </c>
    </row>
    <row r="20" spans="2:20" ht="12.75" customHeight="1">
      <c r="B20" s="2" t="s">
        <v>2264</v>
      </c>
      <c r="D20" s="371">
        <f>IF(D$37&lt;$T20,$Q20,0)</f>
        <v>75674.646487711463</v>
      </c>
      <c r="E20" s="371">
        <f t="shared" si="3"/>
        <v>75674.646487711463</v>
      </c>
      <c r="F20" s="371">
        <f t="shared" si="3"/>
        <v>75674.646487711463</v>
      </c>
      <c r="G20" s="371">
        <f t="shared" si="3"/>
        <v>75674.646487711463</v>
      </c>
      <c r="H20" s="371">
        <f t="shared" si="3"/>
        <v>75674.646487711463</v>
      </c>
      <c r="I20" s="371">
        <f t="shared" si="3"/>
        <v>75674.646487711463</v>
      </c>
      <c r="J20" s="371">
        <f t="shared" si="3"/>
        <v>75674.646487711463</v>
      </c>
      <c r="K20" s="371">
        <f t="shared" si="3"/>
        <v>0</v>
      </c>
      <c r="O20" s="1701">
        <f>'Econ Rights'!$E$15</f>
        <v>62148.313044199997</v>
      </c>
      <c r="P20" s="1701">
        <f>'Econ Rights'!$E$27</f>
        <v>13526.333443511461</v>
      </c>
      <c r="Q20" s="1881">
        <f t="shared" ref="Q20:Q21" si="4">O20+P20</f>
        <v>75674.646487711463</v>
      </c>
      <c r="R20" s="1880">
        <f>'Econ Rights'!E11</f>
        <v>1.3767</v>
      </c>
      <c r="S20" s="1009">
        <f>'Econ Rights'!$E$10</f>
        <v>45142.960008861766</v>
      </c>
      <c r="T20" s="1880">
        <v>1.6732194970168255</v>
      </c>
    </row>
    <row r="21" spans="2:20" ht="12.75" customHeight="1">
      <c r="B21" s="2" t="s">
        <v>2265</v>
      </c>
      <c r="D21" s="371">
        <f>IF(D$37&lt;$T21,$Q21,0)</f>
        <v>9402.2502200400486</v>
      </c>
      <c r="E21" s="371">
        <f t="shared" si="3"/>
        <v>9402.2502200400486</v>
      </c>
      <c r="F21" s="371">
        <f t="shared" si="3"/>
        <v>9402.2502200400486</v>
      </c>
      <c r="G21" s="371">
        <f t="shared" si="3"/>
        <v>9402.2502200400486</v>
      </c>
      <c r="H21" s="371">
        <f t="shared" si="3"/>
        <v>9402.2502200400486</v>
      </c>
      <c r="I21" s="371">
        <f t="shared" si="3"/>
        <v>9402.2502200400486</v>
      </c>
      <c r="J21" s="371">
        <f t="shared" si="3"/>
        <v>9402.2502200400486</v>
      </c>
      <c r="K21" s="371">
        <f t="shared" si="3"/>
        <v>0</v>
      </c>
      <c r="O21" s="1701">
        <f>'Econ Rights'!$F$15</f>
        <v>7851.6863021999998</v>
      </c>
      <c r="P21" s="1701">
        <f>'Econ Rights'!$F$27</f>
        <v>1550.5639178400486</v>
      </c>
      <c r="Q21" s="1881">
        <f t="shared" si="4"/>
        <v>9402.2502200400486</v>
      </c>
      <c r="R21" s="1880">
        <f>'Econ Rights'!F11</f>
        <v>1.3767</v>
      </c>
      <c r="S21" s="1009">
        <f>'Econ Rights'!$F$10</f>
        <v>5703.2659999999996</v>
      </c>
      <c r="T21" s="1880">
        <v>1.6732194970168255</v>
      </c>
    </row>
    <row r="22" spans="2:20" ht="12.75" customHeight="1">
      <c r="B22" s="5"/>
      <c r="C22" s="5"/>
      <c r="D22" s="5"/>
      <c r="E22" s="5"/>
      <c r="F22" s="5"/>
      <c r="G22" s="5"/>
      <c r="H22" s="5"/>
      <c r="I22" s="5"/>
      <c r="J22" s="5"/>
      <c r="K22" s="5"/>
      <c r="O22" s="295"/>
    </row>
    <row r="23" spans="2:20" ht="12.75" customHeight="1">
      <c r="B23" s="39" t="s">
        <v>374</v>
      </c>
      <c r="D23" s="36">
        <f t="shared" ref="D23:F23" si="5">SUM(D19:D21)</f>
        <v>85076.896707751512</v>
      </c>
      <c r="E23" s="36">
        <f t="shared" si="5"/>
        <v>158798.99205021723</v>
      </c>
      <c r="F23" s="36">
        <f t="shared" si="5"/>
        <v>158798.99205021723</v>
      </c>
      <c r="G23" s="36">
        <f t="shared" ref="G23:K23" si="6">SUM(G19:G21)</f>
        <v>158798.99205021723</v>
      </c>
      <c r="H23" s="36">
        <f t="shared" si="6"/>
        <v>158798.99205021723</v>
      </c>
      <c r="I23" s="36">
        <f t="shared" si="6"/>
        <v>158798.99205021723</v>
      </c>
      <c r="J23" s="36">
        <f t="shared" si="6"/>
        <v>85076.896707751512</v>
      </c>
      <c r="K23" s="36">
        <f t="shared" si="6"/>
        <v>0</v>
      </c>
    </row>
    <row r="24" spans="2:20" ht="12.75" customHeight="1"/>
    <row r="25" spans="2:20" ht="12.75" customHeight="1">
      <c r="B25" s="77" t="s">
        <v>376</v>
      </c>
      <c r="O25" s="39" t="str">
        <f>+B25</f>
        <v>Shares Outstanding / Converted to Common Stock</v>
      </c>
    </row>
    <row r="26" spans="2:20" ht="12.75" customHeight="1">
      <c r="B26" s="161" t="str">
        <f>+$B19</f>
        <v>Series A</v>
      </c>
      <c r="C26" s="371">
        <f>IF(C19=0,$O26,0)</f>
        <v>56000</v>
      </c>
      <c r="D26" s="371">
        <v>0</v>
      </c>
      <c r="E26" s="371">
        <f t="shared" ref="E26:K28" si="7">IF(E19=0,$O26,0)</f>
        <v>0</v>
      </c>
      <c r="F26" s="371">
        <f t="shared" si="7"/>
        <v>0</v>
      </c>
      <c r="G26" s="371">
        <f t="shared" si="7"/>
        <v>0</v>
      </c>
      <c r="H26" s="371">
        <f t="shared" si="7"/>
        <v>0</v>
      </c>
      <c r="I26" s="371">
        <f t="shared" si="7"/>
        <v>0</v>
      </c>
      <c r="J26" s="371">
        <f t="shared" si="7"/>
        <v>56000</v>
      </c>
      <c r="K26" s="371">
        <f t="shared" si="7"/>
        <v>56000</v>
      </c>
      <c r="O26" s="744">
        <f>+'Cap Table'!$D$10*'Cap Table'!$D$18</f>
        <v>56000</v>
      </c>
    </row>
    <row r="27" spans="2:20" ht="12.75" customHeight="1">
      <c r="B27" s="161" t="str">
        <f>+$B20</f>
        <v>Series B Tranche I</v>
      </c>
      <c r="C27" s="371">
        <f>IF(C20=0,$O27,0)</f>
        <v>45142.960008861766</v>
      </c>
      <c r="D27" s="371">
        <v>0</v>
      </c>
      <c r="E27" s="371">
        <f t="shared" si="7"/>
        <v>0</v>
      </c>
      <c r="F27" s="371">
        <f t="shared" si="7"/>
        <v>0</v>
      </c>
      <c r="G27" s="371">
        <f t="shared" si="7"/>
        <v>0</v>
      </c>
      <c r="H27" s="371">
        <f t="shared" si="7"/>
        <v>0</v>
      </c>
      <c r="I27" s="371">
        <f t="shared" si="7"/>
        <v>0</v>
      </c>
      <c r="J27" s="371">
        <f t="shared" si="7"/>
        <v>0</v>
      </c>
      <c r="K27" s="371">
        <f t="shared" si="7"/>
        <v>45142.960008861766</v>
      </c>
      <c r="O27" s="744">
        <f>'Cap Table'!$E$10*'Cap Table'!$E$18</f>
        <v>45142.960008861766</v>
      </c>
      <c r="P27" s="7"/>
    </row>
    <row r="28" spans="2:20" ht="12.75" customHeight="1">
      <c r="B28" s="161" t="str">
        <f>+$B21</f>
        <v>Series B Tranche II</v>
      </c>
      <c r="D28" s="371">
        <v>0</v>
      </c>
      <c r="E28" s="371">
        <f t="shared" si="7"/>
        <v>0</v>
      </c>
      <c r="F28" s="371">
        <f t="shared" si="7"/>
        <v>0</v>
      </c>
      <c r="G28" s="371">
        <f t="shared" si="7"/>
        <v>0</v>
      </c>
      <c r="H28" s="371">
        <f t="shared" si="7"/>
        <v>0</v>
      </c>
      <c r="I28" s="371">
        <f t="shared" si="7"/>
        <v>0</v>
      </c>
      <c r="J28" s="371">
        <f t="shared" si="7"/>
        <v>0</v>
      </c>
      <c r="K28" s="371">
        <f t="shared" si="7"/>
        <v>5703.2659999999996</v>
      </c>
      <c r="O28" s="744">
        <f>+'Cap Table'!$F$10*'Cap Table'!$D$18</f>
        <v>5703.2659999999996</v>
      </c>
      <c r="P28" s="7"/>
    </row>
    <row r="29" spans="2:20" ht="12.75" customHeight="1">
      <c r="B29" s="297" t="str">
        <f>'Cap Table'!$B24</f>
        <v>Options at $0.001 Strike Price</v>
      </c>
      <c r="D29" s="371">
        <v>0</v>
      </c>
      <c r="E29" s="371">
        <f t="shared" ref="E29:K32" si="8">IF(E$37&lt;$P29,0,$O29)</f>
        <v>0</v>
      </c>
      <c r="F29" s="371">
        <f t="shared" si="8"/>
        <v>0</v>
      </c>
      <c r="G29" s="371">
        <f t="shared" si="8"/>
        <v>10</v>
      </c>
      <c r="H29" s="371">
        <f t="shared" si="8"/>
        <v>10</v>
      </c>
      <c r="I29" s="371">
        <f t="shared" si="8"/>
        <v>10</v>
      </c>
      <c r="J29" s="371">
        <f t="shared" si="8"/>
        <v>10</v>
      </c>
      <c r="K29" s="371">
        <f t="shared" si="8"/>
        <v>10</v>
      </c>
      <c r="O29" s="744">
        <f>+'Cap Table'!$D24</f>
        <v>10</v>
      </c>
      <c r="P29" s="1999">
        <f>'Cap Table'!E24</f>
        <v>1E-3</v>
      </c>
    </row>
    <row r="30" spans="2:20" ht="12.75" customHeight="1">
      <c r="B30" s="297" t="str">
        <f>'Cap Table'!$B25</f>
        <v>Options at $0.010 Strike Price</v>
      </c>
      <c r="D30" s="371">
        <v>0</v>
      </c>
      <c r="E30" s="371">
        <f t="shared" si="8"/>
        <v>0</v>
      </c>
      <c r="F30" s="371">
        <f t="shared" si="8"/>
        <v>0</v>
      </c>
      <c r="G30" s="371">
        <f t="shared" si="8"/>
        <v>0</v>
      </c>
      <c r="H30" s="371">
        <f t="shared" si="8"/>
        <v>206.9</v>
      </c>
      <c r="I30" s="371">
        <f t="shared" si="8"/>
        <v>206.9</v>
      </c>
      <c r="J30" s="371">
        <f t="shared" si="8"/>
        <v>206.9</v>
      </c>
      <c r="K30" s="371">
        <f t="shared" si="8"/>
        <v>206.9</v>
      </c>
      <c r="O30" s="744">
        <f>+'Cap Table'!$D25</f>
        <v>206.9</v>
      </c>
      <c r="P30" s="1893">
        <f>'Cap Table'!E25</f>
        <v>0.01</v>
      </c>
    </row>
    <row r="31" spans="2:20" ht="12.75" customHeight="1">
      <c r="B31" s="297" t="str">
        <f>'Cap Table'!$B26</f>
        <v>Expected Options Grant</v>
      </c>
      <c r="D31" s="371">
        <v>0</v>
      </c>
      <c r="E31" s="371">
        <f t="shared" si="8"/>
        <v>0</v>
      </c>
      <c r="F31" s="371">
        <f t="shared" si="8"/>
        <v>0</v>
      </c>
      <c r="G31" s="371">
        <f t="shared" si="8"/>
        <v>0</v>
      </c>
      <c r="H31" s="371">
        <f t="shared" si="8"/>
        <v>0</v>
      </c>
      <c r="I31" s="371">
        <f t="shared" si="8"/>
        <v>7838.9179999999997</v>
      </c>
      <c r="J31" s="371">
        <f t="shared" si="8"/>
        <v>7838.9179999999997</v>
      </c>
      <c r="K31" s="371">
        <f t="shared" si="8"/>
        <v>7838.9179999999997</v>
      </c>
      <c r="O31" s="744">
        <f>+'Cap Table'!$D26</f>
        <v>7838.9179999999997</v>
      </c>
      <c r="P31" s="1893">
        <f>'Cap Table'!E26</f>
        <v>0.28999999999999998</v>
      </c>
    </row>
    <row r="32" spans="2:20" ht="12.75" customHeight="1">
      <c r="B32" s="297" t="str">
        <f>'Cap Table'!$B27</f>
        <v>Phantom Stock</v>
      </c>
      <c r="D32" s="371">
        <v>0</v>
      </c>
      <c r="E32" s="371">
        <f t="shared" si="8"/>
        <v>0</v>
      </c>
      <c r="F32" s="371">
        <f t="shared" si="8"/>
        <v>0</v>
      </c>
      <c r="G32" s="371">
        <f t="shared" si="8"/>
        <v>0</v>
      </c>
      <c r="H32" s="371">
        <f t="shared" si="8"/>
        <v>0</v>
      </c>
      <c r="I32" s="371">
        <f t="shared" si="8"/>
        <v>1149.1089999999999</v>
      </c>
      <c r="J32" s="371">
        <f t="shared" si="8"/>
        <v>1149.1089999999999</v>
      </c>
      <c r="K32" s="371">
        <f t="shared" si="8"/>
        <v>1149.1089999999999</v>
      </c>
      <c r="O32" s="744">
        <f>+'Cap Table'!$D27</f>
        <v>1149.1089999999999</v>
      </c>
      <c r="P32" s="2000">
        <f>'Cap Table'!E27</f>
        <v>0.28999999999999998</v>
      </c>
    </row>
    <row r="33" spans="1:17" ht="12.75" customHeight="1">
      <c r="B33" s="160" t="str">
        <f>'Cap Table'!$G6 &amp;" Stock"</f>
        <v>Common Stock</v>
      </c>
      <c r="D33" s="371">
        <v>0</v>
      </c>
      <c r="E33" s="371">
        <v>0</v>
      </c>
      <c r="F33" s="371">
        <f t="shared" ref="F33:K33" si="9">$O$33</f>
        <v>15422.682000000001</v>
      </c>
      <c r="G33" s="371">
        <f t="shared" si="9"/>
        <v>15422.682000000001</v>
      </c>
      <c r="H33" s="371">
        <f t="shared" si="9"/>
        <v>15422.682000000001</v>
      </c>
      <c r="I33" s="371">
        <f t="shared" si="9"/>
        <v>15422.682000000001</v>
      </c>
      <c r="J33" s="371">
        <f t="shared" si="9"/>
        <v>15422.682000000001</v>
      </c>
      <c r="K33" s="371">
        <f t="shared" si="9"/>
        <v>15422.682000000001</v>
      </c>
      <c r="O33" s="744">
        <f>+'Cap Table'!G10</f>
        <v>15422.682000000001</v>
      </c>
      <c r="Q33" s="7"/>
    </row>
    <row r="34" spans="1:17" ht="12.75" customHeight="1" thickBot="1">
      <c r="B34" s="5"/>
      <c r="C34" s="5"/>
      <c r="D34" s="5"/>
      <c r="E34" s="5"/>
      <c r="F34" s="5"/>
      <c r="G34" s="5"/>
      <c r="H34" s="5"/>
      <c r="I34" s="5"/>
      <c r="J34" s="5"/>
      <c r="K34" s="5"/>
      <c r="O34" s="167"/>
    </row>
    <row r="35" spans="1:17" ht="12.75" customHeight="1" thickBot="1">
      <c r="B35" s="39" t="s">
        <v>1446</v>
      </c>
      <c r="D35" s="36">
        <f t="shared" ref="D35:K35" si="10">SUM(D26:D33)</f>
        <v>0</v>
      </c>
      <c r="E35" s="36">
        <f t="shared" si="10"/>
        <v>0</v>
      </c>
      <c r="F35" s="36">
        <f t="shared" si="10"/>
        <v>15422.682000000001</v>
      </c>
      <c r="G35" s="36">
        <f t="shared" si="10"/>
        <v>15432.682000000001</v>
      </c>
      <c r="H35" s="36">
        <f t="shared" si="10"/>
        <v>15639.582</v>
      </c>
      <c r="I35" s="36">
        <f t="shared" si="10"/>
        <v>24627.609</v>
      </c>
      <c r="J35" s="36">
        <f t="shared" si="10"/>
        <v>80627.608999999997</v>
      </c>
      <c r="K35" s="36">
        <f t="shared" si="10"/>
        <v>131473.83500886176</v>
      </c>
      <c r="M35" s="384" t="str">
        <f>IF(O35&lt;&gt;('Cap Table'!I20-'Cap Table'!I13+O31),"ERROR","")</f>
        <v/>
      </c>
      <c r="O35" s="36">
        <f>SUM(O26:O33)</f>
        <v>131473.83500886176</v>
      </c>
    </row>
    <row r="36" spans="1:17" ht="12.75" customHeight="1"/>
    <row r="37" spans="1:17" ht="12.75" customHeight="1">
      <c r="B37" s="2" t="s">
        <v>225</v>
      </c>
      <c r="D37" s="1362">
        <f t="array" ref="D37:K37">TRANSPOSE('Econ Rights'!J14:J21)</f>
        <v>0</v>
      </c>
      <c r="E37" s="1362">
        <v>0</v>
      </c>
      <c r="F37" s="1362">
        <v>0</v>
      </c>
      <c r="G37" s="1362">
        <v>1E-3</v>
      </c>
      <c r="H37" s="1362">
        <v>0.01</v>
      </c>
      <c r="I37" s="1362">
        <v>0.28999999999999998</v>
      </c>
      <c r="J37" s="1362">
        <v>1.316465988258317</v>
      </c>
      <c r="K37" s="1362">
        <v>1.6732194970168255</v>
      </c>
    </row>
    <row r="38" spans="1:17" ht="12.75" customHeight="1">
      <c r="B38" s="5"/>
      <c r="C38" s="5"/>
      <c r="D38" s="5"/>
      <c r="E38" s="5"/>
      <c r="F38" s="5"/>
      <c r="G38" s="5"/>
      <c r="H38" s="5"/>
      <c r="I38" s="5"/>
      <c r="J38" s="5"/>
      <c r="K38" s="1932"/>
    </row>
    <row r="39" spans="1:17" ht="12.75" customHeight="1">
      <c r="B39" s="24" t="s">
        <v>1447</v>
      </c>
      <c r="C39" s="16"/>
      <c r="D39" s="1011">
        <f>D35*D37</f>
        <v>0</v>
      </c>
      <c r="E39" s="1011">
        <f t="shared" ref="E39:H39" si="11">E35*E37</f>
        <v>0</v>
      </c>
      <c r="F39" s="1011">
        <f t="shared" si="11"/>
        <v>0</v>
      </c>
      <c r="G39" s="1011">
        <f t="shared" si="11"/>
        <v>15.432682000000002</v>
      </c>
      <c r="H39" s="1011">
        <f t="shared" si="11"/>
        <v>156.39582000000001</v>
      </c>
      <c r="I39" s="1011">
        <f t="shared" ref="I39:K39" si="12">I35*I37</f>
        <v>7142.0066099999995</v>
      </c>
      <c r="J39" s="1011">
        <f t="shared" si="12"/>
        <v>106143.50496309016</v>
      </c>
      <c r="K39" s="1011">
        <f t="shared" si="12"/>
        <v>219984.58408440076</v>
      </c>
    </row>
    <row r="40" spans="1:17" ht="12.75" customHeight="1"/>
    <row r="41" spans="1:17" ht="12.75" customHeight="1">
      <c r="B41" s="2" t="s">
        <v>226</v>
      </c>
      <c r="D41" s="40">
        <f t="shared" ref="D41:K41" si="13">-SUMPRODUCT(D29:D32,$P$29:$P$32)</f>
        <v>0</v>
      </c>
      <c r="E41" s="40">
        <f t="shared" si="13"/>
        <v>0</v>
      </c>
      <c r="F41" s="40">
        <f t="shared" si="13"/>
        <v>0</v>
      </c>
      <c r="G41" s="40">
        <f t="shared" si="13"/>
        <v>-0.01</v>
      </c>
      <c r="H41" s="40">
        <f t="shared" si="13"/>
        <v>-2.0789999999999997</v>
      </c>
      <c r="I41" s="40">
        <f t="shared" si="13"/>
        <v>-2608.6068300000002</v>
      </c>
      <c r="J41" s="40">
        <f t="shared" si="13"/>
        <v>-2608.6068300000002</v>
      </c>
      <c r="K41" s="40">
        <f t="shared" si="13"/>
        <v>-2608.6068300000002</v>
      </c>
    </row>
    <row r="42" spans="1:17" ht="12.75" customHeight="1">
      <c r="B42" s="5"/>
      <c r="C42" s="5"/>
      <c r="D42" s="5"/>
      <c r="E42" s="5"/>
      <c r="F42" s="5"/>
      <c r="G42" s="5"/>
      <c r="H42" s="5"/>
      <c r="I42" s="5"/>
      <c r="J42" s="5"/>
      <c r="K42" s="5"/>
    </row>
    <row r="43" spans="1:17" ht="12.75" customHeight="1">
      <c r="B43" s="39" t="s">
        <v>227</v>
      </c>
      <c r="D43" s="1011">
        <f t="shared" ref="D43:K43" si="14">SUM(D39:D41)+D23</f>
        <v>85076.896707751512</v>
      </c>
      <c r="E43" s="1011">
        <f t="shared" si="14"/>
        <v>158798.99205021723</v>
      </c>
      <c r="F43" s="1011">
        <f t="shared" si="14"/>
        <v>158798.99205021723</v>
      </c>
      <c r="G43" s="1011">
        <f t="shared" si="14"/>
        <v>158814.41473221724</v>
      </c>
      <c r="H43" s="1011">
        <f t="shared" si="14"/>
        <v>158953.30887021724</v>
      </c>
      <c r="I43" s="1011">
        <f t="shared" si="14"/>
        <v>163332.39183021724</v>
      </c>
      <c r="J43" s="1011">
        <f t="shared" si="14"/>
        <v>188611.79484084167</v>
      </c>
      <c r="K43" s="1011">
        <f t="shared" si="14"/>
        <v>217375.97725440076</v>
      </c>
    </row>
    <row r="44" spans="1:17" ht="12.75" customHeight="1">
      <c r="B44" s="39"/>
      <c r="D44" s="36"/>
      <c r="E44" s="36"/>
      <c r="F44" s="36"/>
      <c r="G44" s="36"/>
      <c r="H44" s="36"/>
      <c r="I44" s="36"/>
      <c r="J44" s="36"/>
      <c r="K44" s="36"/>
    </row>
    <row r="45" spans="1:17" ht="12.75" customHeight="1"/>
    <row r="46" spans="1:17" s="6" customFormat="1" ht="12.75" customHeight="1">
      <c r="A46" s="72"/>
      <c r="B46" s="246" t="s">
        <v>229</v>
      </c>
      <c r="D46" s="247">
        <f>D$15</f>
        <v>1</v>
      </c>
      <c r="E46" s="248">
        <f t="shared" ref="E46:K46" si="15">E$15</f>
        <v>2</v>
      </c>
      <c r="F46" s="248">
        <f t="shared" si="15"/>
        <v>3</v>
      </c>
      <c r="G46" s="248">
        <f t="shared" si="15"/>
        <v>4</v>
      </c>
      <c r="H46" s="248">
        <f t="shared" si="15"/>
        <v>5</v>
      </c>
      <c r="I46" s="248">
        <f t="shared" si="15"/>
        <v>6</v>
      </c>
      <c r="J46" s="248">
        <f t="shared" si="15"/>
        <v>7</v>
      </c>
      <c r="K46" s="2026">
        <f t="shared" si="15"/>
        <v>8</v>
      </c>
      <c r="O46" s="298"/>
    </row>
    <row r="47" spans="1:17" ht="12.75" customHeight="1"/>
    <row r="48" spans="1:17" ht="12.75" customHeight="1">
      <c r="B48" s="385" t="s">
        <v>230</v>
      </c>
      <c r="D48" s="91">
        <v>1E-10</v>
      </c>
      <c r="E48" s="91">
        <f>D49</f>
        <v>85076.896707751512</v>
      </c>
      <c r="F48" s="91">
        <f t="shared" ref="F48:G48" si="16">E49</f>
        <v>158798.99205021723</v>
      </c>
      <c r="G48" s="91">
        <f t="shared" si="16"/>
        <v>158814.41473221724</v>
      </c>
      <c r="H48" s="91">
        <f t="shared" ref="H48" si="17">G49</f>
        <v>158953.30887021724</v>
      </c>
      <c r="I48" s="91">
        <f t="shared" ref="I48" si="18">H49</f>
        <v>163332.39183021724</v>
      </c>
      <c r="J48" s="91">
        <f t="shared" ref="J48" si="19">I49</f>
        <v>188611.79484084167</v>
      </c>
      <c r="K48" s="91">
        <f t="shared" ref="K48" si="20">J49</f>
        <v>217375.97725440076</v>
      </c>
    </row>
    <row r="49" spans="2:15" ht="12.75" customHeight="1">
      <c r="B49" s="385" t="s">
        <v>231</v>
      </c>
      <c r="D49" s="91">
        <f>D43</f>
        <v>85076.896707751512</v>
      </c>
      <c r="E49" s="91">
        <f>IF(F43=0,"n/a",IF(D49=E43,F43,E43))</f>
        <v>158798.99205021723</v>
      </c>
      <c r="F49" s="91">
        <f t="shared" ref="F49:G49" si="21">IF(G43=0,"n/a",IF(E49=F43,G43,F43))</f>
        <v>158814.41473221724</v>
      </c>
      <c r="G49" s="91">
        <f t="shared" si="21"/>
        <v>158953.30887021724</v>
      </c>
      <c r="H49" s="91">
        <f t="shared" ref="H49" si="22">IF(I43=0,"n/a",IF(G49=H43,I43,H43))</f>
        <v>163332.39183021724</v>
      </c>
      <c r="I49" s="91">
        <f t="shared" ref="I49" si="23">IF(J43=0,"n/a",IF(H49=I43,J43,I43))</f>
        <v>188611.79484084167</v>
      </c>
      <c r="J49" s="91">
        <f t="shared" ref="J49" si="24">IF(K43=0,"n/a",IF(I49=J43,K43,J43))</f>
        <v>217375.97725440076</v>
      </c>
      <c r="K49" s="91" t="str">
        <f t="shared" ref="K49" si="25">IF(L43=0,"n/a",IF(J49=K43,L43,K43))</f>
        <v>n/a</v>
      </c>
    </row>
    <row r="50" spans="2:15" ht="12.75" customHeight="1"/>
    <row r="51" spans="2:15" ht="12.75" hidden="1" customHeight="1" outlineLevel="1">
      <c r="B51" s="385" t="s">
        <v>235</v>
      </c>
      <c r="D51" s="386">
        <f ca="1">(LN($D$9/D48)+($D$12+$D$11^2/2)*$D$10)/($D$11*SQRT($D$10))</f>
        <v>24.270613497409581</v>
      </c>
      <c r="E51" s="386">
        <f ca="1">(LN($D$9/E48)+($D$12+$D$11^2/2)*$D$10)/($D$11*SQRT($D$10))</f>
        <v>1.1047364183248629</v>
      </c>
      <c r="F51" s="386">
        <f t="shared" ref="F51:G51" ca="1" si="26">(LN($D$9/F48)+($D$12+$D$11^2/2)*$D$10)/($D$11*SQRT($D$10))</f>
        <v>0.68418261890637622</v>
      </c>
      <c r="G51" s="386">
        <f t="shared" ca="1" si="26"/>
        <v>0.68411717491116697</v>
      </c>
      <c r="H51" s="386">
        <f t="shared" ref="H51" ca="1" si="27">(LN($D$9/H48)+($D$12+$D$11^2/2)*$D$10)/($D$11*SQRT($D$10))</f>
        <v>0.68352808323304659</v>
      </c>
      <c r="I51" s="386">
        <f t="shared" ref="I51:K51" ca="1" si="28">(LN($D$9/I48)+($D$12+$D$11^2/2)*$D$10)/($D$11*SQRT($D$10))</f>
        <v>0.66521432018448134</v>
      </c>
      <c r="J51" s="386">
        <f t="shared" ca="1" si="28"/>
        <v>0.56824143979683195</v>
      </c>
      <c r="K51" s="386">
        <f t="shared" ca="1" si="28"/>
        <v>0.47259340107219544</v>
      </c>
    </row>
    <row r="52" spans="2:15" ht="12.75" hidden="1" customHeight="1" outlineLevel="1">
      <c r="B52" s="385" t="s">
        <v>237</v>
      </c>
      <c r="D52" s="386">
        <f ca="1">D51-$D$11*SQRT($D$10)</f>
        <v>22.786656658381215</v>
      </c>
      <c r="E52" s="386">
        <f t="shared" ref="E52:G52" ca="1" si="29">E51-$D$11*SQRT($D$10)</f>
        <v>-0.37922042070350304</v>
      </c>
      <c r="F52" s="386">
        <f t="shared" ca="1" si="29"/>
        <v>-0.79977422012198973</v>
      </c>
      <c r="G52" s="386">
        <f t="shared" ca="1" si="29"/>
        <v>-0.79983966411719898</v>
      </c>
      <c r="H52" s="386">
        <f t="shared" ref="H52" ca="1" si="30">H51-$D$11*SQRT($D$10)</f>
        <v>-0.80042875579531936</v>
      </c>
      <c r="I52" s="386">
        <f t="shared" ref="I52:K52" ca="1" si="31">I51-$D$11*SQRT($D$10)</f>
        <v>-0.8187425188438846</v>
      </c>
      <c r="J52" s="386">
        <f t="shared" ca="1" si="31"/>
        <v>-0.915715399231534</v>
      </c>
      <c r="K52" s="386">
        <f t="shared" ca="1" si="31"/>
        <v>-1.0113634379561705</v>
      </c>
    </row>
    <row r="53" spans="2:15" ht="12.75" hidden="1" customHeight="1" outlineLevel="1">
      <c r="D53" s="386"/>
      <c r="E53" s="386"/>
      <c r="F53" s="386"/>
      <c r="G53" s="386"/>
      <c r="H53" s="386"/>
      <c r="I53" s="386"/>
      <c r="J53" s="386"/>
      <c r="K53" s="386"/>
    </row>
    <row r="54" spans="2:15" ht="12.75" hidden="1" customHeight="1" outlineLevel="1">
      <c r="B54" s="385" t="s">
        <v>236</v>
      </c>
      <c r="D54" s="386">
        <f ca="1">(LN($D$9/D49)+($D$12+$D$11^2/2)*$D$10)/($D$11*SQRT($D$10))</f>
        <v>1.1047364183248629</v>
      </c>
      <c r="E54" s="91">
        <f ca="1">IF(E49="n/a","n/a",(LN($D$9/E49)+($D$12+$D$11^2/2)*$D$10)/($D$11*SQRT($D$10)))</f>
        <v>0.68418261890637622</v>
      </c>
      <c r="F54" s="91">
        <f t="shared" ref="F54:G54" ca="1" si="32">IF(F49="n/a","n/a",(LN($D$9/F49)+($D$12+$D$11^2/2)*$D$10)/($D$11*SQRT($D$10)))</f>
        <v>0.68411717491116697</v>
      </c>
      <c r="G54" s="91">
        <f t="shared" ca="1" si="32"/>
        <v>0.68352808323304659</v>
      </c>
      <c r="H54" s="91">
        <f t="shared" ref="H54" ca="1" si="33">IF(H49="n/a","n/a",(LN($D$9/H49)+($D$12+$D$11^2/2)*$D$10)/($D$11*SQRT($D$10)))</f>
        <v>0.66521432018448134</v>
      </c>
      <c r="I54" s="91">
        <f t="shared" ref="I54:K54" ca="1" si="34">IF(I49="n/a","n/a",(LN($D$9/I49)+($D$12+$D$11^2/2)*$D$10)/($D$11*SQRT($D$10)))</f>
        <v>0.56824143979683195</v>
      </c>
      <c r="J54" s="91">
        <f t="shared" ca="1" si="34"/>
        <v>0.47259340107219544</v>
      </c>
      <c r="K54" s="91" t="str">
        <f t="shared" si="34"/>
        <v>n/a</v>
      </c>
    </row>
    <row r="55" spans="2:15" ht="12.75" hidden="1" customHeight="1" outlineLevel="1">
      <c r="B55" s="385" t="s">
        <v>238</v>
      </c>
      <c r="D55" s="386">
        <f ca="1">D54-$D$11*SQRT($D$10)</f>
        <v>-0.37922042070350304</v>
      </c>
      <c r="E55" s="91">
        <f ca="1">IF(E49="n/a","n/a",E54-$D$11*SQRT($D$10))</f>
        <v>-0.79977422012198973</v>
      </c>
      <c r="F55" s="91">
        <f t="shared" ref="F55:G55" ca="1" si="35">IF(F49="n/a","n/a",F54-$D$11*SQRT($D$10))</f>
        <v>-0.79983966411719898</v>
      </c>
      <c r="G55" s="91">
        <f t="shared" ca="1" si="35"/>
        <v>-0.80042875579531936</v>
      </c>
      <c r="H55" s="91">
        <f t="shared" ref="H55" ca="1" si="36">IF(H49="n/a","n/a",H54-$D$11*SQRT($D$10))</f>
        <v>-0.8187425188438846</v>
      </c>
      <c r="I55" s="91">
        <f t="shared" ref="I55:K55" ca="1" si="37">IF(I49="n/a","n/a",I54-$D$11*SQRT($D$10))</f>
        <v>-0.915715399231534</v>
      </c>
      <c r="J55" s="91">
        <f t="shared" ca="1" si="37"/>
        <v>-1.0113634379561705</v>
      </c>
      <c r="K55" s="91" t="str">
        <f t="shared" si="37"/>
        <v>n/a</v>
      </c>
    </row>
    <row r="56" spans="2:15" ht="12.75" hidden="1" customHeight="1" outlineLevel="1">
      <c r="D56" s="386"/>
      <c r="E56" s="386"/>
      <c r="F56" s="386"/>
      <c r="G56" s="386"/>
      <c r="H56" s="386"/>
      <c r="I56" s="386"/>
      <c r="J56" s="386"/>
      <c r="K56" s="386"/>
    </row>
    <row r="57" spans="2:15" ht="12.75" customHeight="1" collapsed="1">
      <c r="B57" s="385" t="s">
        <v>232</v>
      </c>
      <c r="D57" s="386">
        <f ca="1">$D$9*NORMSDIST(D51)-D48*EXP(-$D$12*$D$10)*NORMSDIST(D52)</f>
        <v>135516.5209228101</v>
      </c>
      <c r="E57" s="386">
        <f t="shared" ref="E57:G57" ca="1" si="38">$D$9*NORMSDIST(E51)-E48*EXP(-$D$12*$D$10)*NORMSDIST(E52)</f>
        <v>89405.295167884688</v>
      </c>
      <c r="F57" s="386">
        <f t="shared" ca="1" si="38"/>
        <v>70762.845781930577</v>
      </c>
      <c r="G57" s="386">
        <f t="shared" ca="1" si="38"/>
        <v>70759.806951340259</v>
      </c>
      <c r="H57" s="386">
        <f t="shared" ref="H57" ca="1" si="39">$D$9*NORMSDIST(H51)-H48*EXP(-$D$12*$D$10)*NORMSDIST(H52)</f>
        <v>70732.451987971726</v>
      </c>
      <c r="I57" s="386">
        <f t="shared" ref="I57:K57" ca="1" si="40">$D$9*NORMSDIST(I51)-I48*EXP(-$D$12*$D$10)*NORMSDIST(I52)</f>
        <v>69881.139239452736</v>
      </c>
      <c r="J57" s="386">
        <f t="shared" ca="1" si="40"/>
        <v>65352.135965472175</v>
      </c>
      <c r="K57" s="386">
        <f t="shared" ca="1" si="40"/>
        <v>60873.747736804311</v>
      </c>
    </row>
    <row r="58" spans="2:15" ht="12.75" customHeight="1">
      <c r="B58" s="385" t="s">
        <v>233</v>
      </c>
      <c r="D58" s="386">
        <f ca="1">$D$9*NORMSDIST(D54)-D49*EXP(-$D$12*$D$10)*NORMSDIST(D55)</f>
        <v>89405.295167884688</v>
      </c>
      <c r="E58" s="91">
        <f ca="1">IF(E49="n/a","n/a",$D$9*NORMSDIST(E54)-E49*EXP(-$D$12*$D$10)*NORMSDIST(E55))</f>
        <v>70762.845781930577</v>
      </c>
      <c r="F58" s="91">
        <f t="shared" ref="F58:G58" ca="1" si="41">IF(F49="n/a","n/a",$D$9*NORMSDIST(F54)-F49*EXP(-$D$12*$D$10)*NORMSDIST(F55))</f>
        <v>70759.806951340259</v>
      </c>
      <c r="G58" s="91">
        <f t="shared" ca="1" si="41"/>
        <v>70732.451987971726</v>
      </c>
      <c r="H58" s="91">
        <f t="shared" ref="H58" ca="1" si="42">IF(H49="n/a","n/a",$D$9*NORMSDIST(H54)-H49*EXP(-$D$12*$D$10)*NORMSDIST(H55))</f>
        <v>69881.139239452736</v>
      </c>
      <c r="I58" s="91">
        <f t="shared" ref="I58:K58" ca="1" si="43">IF(I49="n/a","n/a",$D$9*NORMSDIST(I54)-I49*EXP(-$D$12*$D$10)*NORMSDIST(I55))</f>
        <v>65352.135965472175</v>
      </c>
      <c r="J58" s="91">
        <f t="shared" ca="1" si="43"/>
        <v>60873.747736804311</v>
      </c>
      <c r="K58" s="91" t="str">
        <f t="shared" si="43"/>
        <v>n/a</v>
      </c>
    </row>
    <row r="59" spans="2:15" ht="12.75" customHeight="1"/>
    <row r="60" spans="2:15" ht="12.75" customHeight="1">
      <c r="B60" s="1" t="s">
        <v>234</v>
      </c>
      <c r="C60" s="1"/>
      <c r="D60" s="1011">
        <f ca="1">D57-D58</f>
        <v>46111.225754925414</v>
      </c>
      <c r="E60" s="1011">
        <f ca="1">IF(E49="n/a",E57,E57-E58)</f>
        <v>18642.449385954111</v>
      </c>
      <c r="F60" s="1011">
        <f t="shared" ref="F60:G60" ca="1" si="44">IF(F49="n/a",F57,F57-F58)</f>
        <v>3.0388305903179571</v>
      </c>
      <c r="G60" s="1011">
        <f t="shared" ca="1" si="44"/>
        <v>27.354963368532481</v>
      </c>
      <c r="H60" s="1011">
        <f t="shared" ref="H60" ca="1" si="45">IF(H49="n/a",H57,H57-H58)</f>
        <v>851.3127485189907</v>
      </c>
      <c r="I60" s="1011">
        <f t="shared" ref="I60:K60" ca="1" si="46">IF(I49="n/a",I57,I57-I58)</f>
        <v>4529.0032739805611</v>
      </c>
      <c r="J60" s="1011">
        <f t="shared" ca="1" si="46"/>
        <v>4478.3882286678636</v>
      </c>
      <c r="K60" s="1011">
        <f t="shared" ca="1" si="46"/>
        <v>60873.747736804311</v>
      </c>
    </row>
    <row r="61" spans="2:15" ht="12.75" customHeight="1"/>
    <row r="62" spans="2:15" s="6" customFormat="1" ht="12.75" customHeight="1">
      <c r="B62" s="246" t="s">
        <v>228</v>
      </c>
      <c r="D62" s="247">
        <f>D$15</f>
        <v>1</v>
      </c>
      <c r="E62" s="248">
        <f t="shared" ref="E62:K62" si="47">E$15</f>
        <v>2</v>
      </c>
      <c r="F62" s="248">
        <f t="shared" si="47"/>
        <v>3</v>
      </c>
      <c r="G62" s="248">
        <f t="shared" si="47"/>
        <v>4</v>
      </c>
      <c r="H62" s="248">
        <f t="shared" si="47"/>
        <v>5</v>
      </c>
      <c r="I62" s="248">
        <f t="shared" si="47"/>
        <v>6</v>
      </c>
      <c r="J62" s="248">
        <f t="shared" si="47"/>
        <v>7</v>
      </c>
      <c r="K62" s="2026">
        <f t="shared" si="47"/>
        <v>8</v>
      </c>
      <c r="O62" s="298"/>
    </row>
    <row r="63" spans="2:15" ht="12.75" customHeight="1"/>
    <row r="64" spans="2:15" ht="12.75" customHeight="1">
      <c r="D64" s="1012" t="s">
        <v>222</v>
      </c>
      <c r="E64" s="1012" t="s">
        <v>222</v>
      </c>
      <c r="F64" s="1012" t="s">
        <v>164</v>
      </c>
      <c r="G64" s="1012" t="s">
        <v>164</v>
      </c>
      <c r="H64" s="1012" t="s">
        <v>164</v>
      </c>
      <c r="I64" s="1012" t="s">
        <v>164</v>
      </c>
      <c r="J64" s="1012" t="s">
        <v>164</v>
      </c>
      <c r="K64" s="1012" t="s">
        <v>164</v>
      </c>
    </row>
    <row r="65" spans="2:11" ht="12.75" customHeight="1"/>
    <row r="66" spans="2:11" ht="12.75" customHeight="1">
      <c r="B66" s="161" t="str">
        <f t="shared" ref="B66:B73" si="48">B26</f>
        <v>Series A</v>
      </c>
      <c r="D66" s="371">
        <v>0</v>
      </c>
      <c r="E66" s="371">
        <f>E19</f>
        <v>73722.095342465749</v>
      </c>
      <c r="F66" s="371">
        <f t="shared" ref="F66:K73" si="49">F26</f>
        <v>0</v>
      </c>
      <c r="G66" s="371">
        <f t="shared" si="49"/>
        <v>0</v>
      </c>
      <c r="H66" s="371">
        <f t="shared" si="49"/>
        <v>0</v>
      </c>
      <c r="I66" s="371">
        <f t="shared" si="49"/>
        <v>0</v>
      </c>
      <c r="J66" s="371">
        <f t="shared" si="49"/>
        <v>56000</v>
      </c>
      <c r="K66" s="371">
        <f t="shared" si="49"/>
        <v>56000</v>
      </c>
    </row>
    <row r="67" spans="2:11" ht="12.75" customHeight="1">
      <c r="B67" s="161" t="str">
        <f t="shared" si="48"/>
        <v>Series B Tranche I</v>
      </c>
      <c r="D67" s="371">
        <f>D20</f>
        <v>75674.646487711463</v>
      </c>
      <c r="E67" s="371">
        <v>0</v>
      </c>
      <c r="F67" s="371">
        <f t="shared" si="49"/>
        <v>0</v>
      </c>
      <c r="G67" s="371">
        <f t="shared" si="49"/>
        <v>0</v>
      </c>
      <c r="H67" s="371">
        <f t="shared" si="49"/>
        <v>0</v>
      </c>
      <c r="I67" s="371">
        <f t="shared" si="49"/>
        <v>0</v>
      </c>
      <c r="J67" s="371">
        <f t="shared" si="49"/>
        <v>0</v>
      </c>
      <c r="K67" s="371">
        <f t="shared" si="49"/>
        <v>45142.960008861766</v>
      </c>
    </row>
    <row r="68" spans="2:11" ht="12.75" customHeight="1">
      <c r="B68" s="161" t="str">
        <f t="shared" si="48"/>
        <v>Series B Tranche II</v>
      </c>
      <c r="D68" s="371">
        <f>D21</f>
        <v>9402.2502200400486</v>
      </c>
      <c r="E68" s="371">
        <v>0</v>
      </c>
      <c r="F68" s="371">
        <f t="shared" si="49"/>
        <v>0</v>
      </c>
      <c r="G68" s="371">
        <f t="shared" si="49"/>
        <v>0</v>
      </c>
      <c r="H68" s="371">
        <f t="shared" si="49"/>
        <v>0</v>
      </c>
      <c r="I68" s="371">
        <f t="shared" si="49"/>
        <v>0</v>
      </c>
      <c r="J68" s="371">
        <f t="shared" si="49"/>
        <v>0</v>
      </c>
      <c r="K68" s="371">
        <f t="shared" si="49"/>
        <v>5703.2659999999996</v>
      </c>
    </row>
    <row r="69" spans="2:11" ht="12.75" customHeight="1">
      <c r="B69" s="161" t="str">
        <f t="shared" si="48"/>
        <v>Options at $0.001 Strike Price</v>
      </c>
      <c r="D69" s="371">
        <v>0</v>
      </c>
      <c r="E69" s="371">
        <v>0</v>
      </c>
      <c r="F69" s="371">
        <f t="shared" si="49"/>
        <v>0</v>
      </c>
      <c r="G69" s="371">
        <f t="shared" si="49"/>
        <v>10</v>
      </c>
      <c r="H69" s="371">
        <f t="shared" si="49"/>
        <v>10</v>
      </c>
      <c r="I69" s="371">
        <f t="shared" si="49"/>
        <v>10</v>
      </c>
      <c r="J69" s="371">
        <f t="shared" si="49"/>
        <v>10</v>
      </c>
      <c r="K69" s="371">
        <f t="shared" si="49"/>
        <v>10</v>
      </c>
    </row>
    <row r="70" spans="2:11" ht="12.75" customHeight="1">
      <c r="B70" s="161" t="str">
        <f t="shared" si="48"/>
        <v>Options at $0.010 Strike Price</v>
      </c>
      <c r="D70" s="371">
        <v>0</v>
      </c>
      <c r="E70" s="371">
        <v>0</v>
      </c>
      <c r="F70" s="371">
        <f t="shared" si="49"/>
        <v>0</v>
      </c>
      <c r="G70" s="371">
        <f t="shared" si="49"/>
        <v>0</v>
      </c>
      <c r="H70" s="371">
        <f t="shared" si="49"/>
        <v>206.9</v>
      </c>
      <c r="I70" s="371">
        <f t="shared" si="49"/>
        <v>206.9</v>
      </c>
      <c r="J70" s="371">
        <f t="shared" si="49"/>
        <v>206.9</v>
      </c>
      <c r="K70" s="371">
        <f t="shared" si="49"/>
        <v>206.9</v>
      </c>
    </row>
    <row r="71" spans="2:11" ht="12.75" customHeight="1">
      <c r="B71" s="297" t="str">
        <f t="shared" si="48"/>
        <v>Expected Options Grant</v>
      </c>
      <c r="D71" s="371">
        <v>0</v>
      </c>
      <c r="E71" s="371">
        <v>0</v>
      </c>
      <c r="F71" s="371">
        <f t="shared" si="49"/>
        <v>0</v>
      </c>
      <c r="G71" s="371">
        <f t="shared" si="49"/>
        <v>0</v>
      </c>
      <c r="H71" s="371">
        <f t="shared" si="49"/>
        <v>0</v>
      </c>
      <c r="I71" s="371">
        <f t="shared" si="49"/>
        <v>7838.9179999999997</v>
      </c>
      <c r="J71" s="371">
        <f t="shared" si="49"/>
        <v>7838.9179999999997</v>
      </c>
      <c r="K71" s="371">
        <f t="shared" si="49"/>
        <v>7838.9179999999997</v>
      </c>
    </row>
    <row r="72" spans="2:11" ht="12.75" customHeight="1">
      <c r="B72" s="297" t="str">
        <f t="shared" si="48"/>
        <v>Phantom Stock</v>
      </c>
      <c r="D72" s="371">
        <v>0</v>
      </c>
      <c r="E72" s="371">
        <v>0</v>
      </c>
      <c r="F72" s="371">
        <f t="shared" si="49"/>
        <v>0</v>
      </c>
      <c r="G72" s="371">
        <f t="shared" si="49"/>
        <v>0</v>
      </c>
      <c r="H72" s="371">
        <f t="shared" si="49"/>
        <v>0</v>
      </c>
      <c r="I72" s="371">
        <f t="shared" si="49"/>
        <v>1149.1089999999999</v>
      </c>
      <c r="J72" s="371">
        <f t="shared" si="49"/>
        <v>1149.1089999999999</v>
      </c>
      <c r="K72" s="371">
        <f t="shared" si="49"/>
        <v>1149.1089999999999</v>
      </c>
    </row>
    <row r="73" spans="2:11" ht="12.75" customHeight="1">
      <c r="B73" s="161" t="str">
        <f t="shared" si="48"/>
        <v>Common Stock</v>
      </c>
      <c r="D73" s="371">
        <v>0</v>
      </c>
      <c r="E73" s="371">
        <v>0</v>
      </c>
      <c r="F73" s="371">
        <f t="shared" si="49"/>
        <v>15422.682000000001</v>
      </c>
      <c r="G73" s="371">
        <f t="shared" si="49"/>
        <v>15422.682000000001</v>
      </c>
      <c r="H73" s="371">
        <f t="shared" si="49"/>
        <v>15422.682000000001</v>
      </c>
      <c r="I73" s="371">
        <f t="shared" si="49"/>
        <v>15422.682000000001</v>
      </c>
      <c r="J73" s="371">
        <f t="shared" si="49"/>
        <v>15422.682000000001</v>
      </c>
      <c r="K73" s="371">
        <f t="shared" si="49"/>
        <v>15422.682000000001</v>
      </c>
    </row>
    <row r="74" spans="2:11" ht="12.75" customHeight="1">
      <c r="B74" s="5"/>
      <c r="C74" s="5"/>
      <c r="D74" s="5"/>
      <c r="E74" s="5"/>
      <c r="F74" s="5"/>
      <c r="G74" s="5"/>
      <c r="H74" s="5"/>
      <c r="I74" s="5"/>
      <c r="J74" s="5"/>
      <c r="K74" s="5"/>
    </row>
    <row r="75" spans="2:11" ht="12.75" customHeight="1">
      <c r="B75" s="39" t="s">
        <v>1448</v>
      </c>
      <c r="D75" s="36">
        <f t="shared" ref="D75:K75" si="50">SUM(D66:D73)</f>
        <v>85076.896707751512</v>
      </c>
      <c r="E75" s="36">
        <f t="shared" si="50"/>
        <v>73722.095342465749</v>
      </c>
      <c r="F75" s="36">
        <f t="shared" si="50"/>
        <v>15422.682000000001</v>
      </c>
      <c r="G75" s="36">
        <f t="shared" si="50"/>
        <v>15432.682000000001</v>
      </c>
      <c r="H75" s="36">
        <f t="shared" si="50"/>
        <v>15639.582</v>
      </c>
      <c r="I75" s="36">
        <f t="shared" si="50"/>
        <v>24627.609</v>
      </c>
      <c r="J75" s="36">
        <f t="shared" si="50"/>
        <v>80627.608999999997</v>
      </c>
      <c r="K75" s="36">
        <f t="shared" si="50"/>
        <v>131473.83500886176</v>
      </c>
    </row>
    <row r="76" spans="2:11" ht="12.75" customHeight="1"/>
    <row r="77" spans="2:11" ht="12.75" customHeight="1">
      <c r="B77" s="246" t="s">
        <v>1477</v>
      </c>
      <c r="C77" s="6"/>
      <c r="D77" s="247">
        <f>D$15</f>
        <v>1</v>
      </c>
      <c r="E77" s="248">
        <f t="shared" ref="E77:K77" si="51">E$15</f>
        <v>2</v>
      </c>
      <c r="F77" s="248">
        <f t="shared" si="51"/>
        <v>3</v>
      </c>
      <c r="G77" s="248">
        <f t="shared" si="51"/>
        <v>4</v>
      </c>
      <c r="H77" s="248">
        <f t="shared" si="51"/>
        <v>5</v>
      </c>
      <c r="I77" s="248">
        <f t="shared" si="51"/>
        <v>6</v>
      </c>
      <c r="J77" s="248">
        <f t="shared" si="51"/>
        <v>7</v>
      </c>
      <c r="K77" s="2026">
        <f t="shared" si="51"/>
        <v>8</v>
      </c>
    </row>
    <row r="78" spans="2:11" ht="12.75" customHeight="1"/>
    <row r="79" spans="2:11" ht="12.75" customHeight="1">
      <c r="B79" s="2" t="str">
        <f t="shared" ref="B79:B86" si="52">B66</f>
        <v>Series A</v>
      </c>
      <c r="D79" s="392">
        <f t="shared" ref="D79:K86" si="53">D66/D$75</f>
        <v>0</v>
      </c>
      <c r="E79" s="392">
        <f t="shared" si="53"/>
        <v>1</v>
      </c>
      <c r="F79" s="392">
        <f t="shared" si="53"/>
        <v>0</v>
      </c>
      <c r="G79" s="392">
        <f t="shared" si="53"/>
        <v>0</v>
      </c>
      <c r="H79" s="392">
        <f t="shared" si="53"/>
        <v>0</v>
      </c>
      <c r="I79" s="392">
        <f t="shared" si="53"/>
        <v>0</v>
      </c>
      <c r="J79" s="392">
        <f t="shared" si="53"/>
        <v>0.6945511679504226</v>
      </c>
      <c r="K79" s="392">
        <f t="shared" si="53"/>
        <v>0.42594026405501462</v>
      </c>
    </row>
    <row r="80" spans="2:11" ht="12.75" customHeight="1">
      <c r="B80" s="2" t="str">
        <f t="shared" si="52"/>
        <v>Series B Tranche I</v>
      </c>
      <c r="D80" s="392">
        <f t="shared" si="53"/>
        <v>0.8894852705742452</v>
      </c>
      <c r="E80" s="392">
        <f t="shared" si="53"/>
        <v>0</v>
      </c>
      <c r="F80" s="392">
        <f t="shared" si="53"/>
        <v>0</v>
      </c>
      <c r="G80" s="392">
        <f t="shared" si="53"/>
        <v>0</v>
      </c>
      <c r="H80" s="392">
        <f t="shared" si="53"/>
        <v>0</v>
      </c>
      <c r="I80" s="392">
        <f t="shared" si="53"/>
        <v>0</v>
      </c>
      <c r="J80" s="392">
        <f t="shared" si="53"/>
        <v>0</v>
      </c>
      <c r="K80" s="392">
        <f t="shared" si="53"/>
        <v>0.34336079118570617</v>
      </c>
    </row>
    <row r="81" spans="2:15" ht="12.75" customHeight="1">
      <c r="B81" s="2" t="str">
        <f t="shared" si="52"/>
        <v>Series B Tranche II</v>
      </c>
      <c r="D81" s="392">
        <f t="shared" si="53"/>
        <v>0.11051472942575481</v>
      </c>
      <c r="E81" s="392">
        <f t="shared" si="53"/>
        <v>0</v>
      </c>
      <c r="F81" s="392">
        <f t="shared" si="53"/>
        <v>0</v>
      </c>
      <c r="G81" s="392">
        <f t="shared" si="53"/>
        <v>0</v>
      </c>
      <c r="H81" s="392">
        <f t="shared" si="53"/>
        <v>0</v>
      </c>
      <c r="I81" s="392">
        <f t="shared" si="53"/>
        <v>0</v>
      </c>
      <c r="J81" s="392">
        <f t="shared" si="53"/>
        <v>0</v>
      </c>
      <c r="K81" s="392">
        <f t="shared" si="53"/>
        <v>4.3379475464571195E-2</v>
      </c>
    </row>
    <row r="82" spans="2:15" ht="12.75" customHeight="1">
      <c r="B82" s="2" t="str">
        <f t="shared" si="52"/>
        <v>Options at $0.001 Strike Price</v>
      </c>
      <c r="D82" s="392">
        <f t="shared" si="53"/>
        <v>0</v>
      </c>
      <c r="E82" s="392">
        <f t="shared" si="53"/>
        <v>0</v>
      </c>
      <c r="F82" s="392">
        <f t="shared" si="53"/>
        <v>0</v>
      </c>
      <c r="G82" s="392">
        <f t="shared" si="53"/>
        <v>6.4797551067273984E-4</v>
      </c>
      <c r="H82" s="392">
        <f t="shared" si="53"/>
        <v>6.3940327816945489E-4</v>
      </c>
      <c r="I82" s="392">
        <f t="shared" si="53"/>
        <v>4.0604835004486224E-4</v>
      </c>
      <c r="J82" s="392">
        <f t="shared" si="53"/>
        <v>1.2402699427686118E-4</v>
      </c>
      <c r="K82" s="392">
        <f t="shared" si="53"/>
        <v>7.6060761438395463E-5</v>
      </c>
    </row>
    <row r="83" spans="2:15" ht="12.75" customHeight="1">
      <c r="B83" s="2" t="str">
        <f t="shared" si="52"/>
        <v>Options at $0.010 Strike Price</v>
      </c>
      <c r="D83" s="392">
        <f t="shared" si="53"/>
        <v>0</v>
      </c>
      <c r="E83" s="392">
        <f t="shared" si="53"/>
        <v>0</v>
      </c>
      <c r="F83" s="392">
        <f t="shared" si="53"/>
        <v>0</v>
      </c>
      <c r="G83" s="392">
        <f t="shared" si="53"/>
        <v>0</v>
      </c>
      <c r="H83" s="392">
        <f t="shared" si="53"/>
        <v>1.3229253825326023E-2</v>
      </c>
      <c r="I83" s="392">
        <f t="shared" si="53"/>
        <v>8.4011403624281999E-3</v>
      </c>
      <c r="J83" s="392">
        <f t="shared" si="53"/>
        <v>2.5661185115882579E-3</v>
      </c>
      <c r="K83" s="392">
        <f t="shared" si="53"/>
        <v>1.5736971541604021E-3</v>
      </c>
    </row>
    <row r="84" spans="2:15" ht="12.75" customHeight="1">
      <c r="B84" s="2" t="str">
        <f t="shared" si="52"/>
        <v>Expected Options Grant</v>
      </c>
      <c r="D84" s="392">
        <f t="shared" si="53"/>
        <v>0</v>
      </c>
      <c r="E84" s="392">
        <f t="shared" si="53"/>
        <v>0</v>
      </c>
      <c r="F84" s="392">
        <f t="shared" si="53"/>
        <v>0</v>
      </c>
      <c r="G84" s="392">
        <f t="shared" si="53"/>
        <v>0</v>
      </c>
      <c r="H84" s="392">
        <f t="shared" si="53"/>
        <v>0</v>
      </c>
      <c r="I84" s="392">
        <f t="shared" si="53"/>
        <v>0.31829797200369714</v>
      </c>
      <c r="J84" s="392">
        <f t="shared" si="53"/>
        <v>9.7223743792278397E-2</v>
      </c>
      <c r="K84" s="392">
        <f t="shared" si="53"/>
        <v>5.9623407193314409E-2</v>
      </c>
    </row>
    <row r="85" spans="2:15" ht="12.75" customHeight="1">
      <c r="B85" s="2" t="str">
        <f t="shared" si="52"/>
        <v>Phantom Stock</v>
      </c>
      <c r="D85" s="392">
        <f t="shared" si="53"/>
        <v>0</v>
      </c>
      <c r="E85" s="392">
        <f t="shared" si="53"/>
        <v>0</v>
      </c>
      <c r="F85" s="392">
        <f t="shared" si="53"/>
        <v>0</v>
      </c>
      <c r="G85" s="392">
        <f t="shared" si="53"/>
        <v>0</v>
      </c>
      <c r="H85" s="392">
        <f t="shared" si="53"/>
        <v>0</v>
      </c>
      <c r="I85" s="392">
        <f t="shared" si="53"/>
        <v>4.665938134717016E-2</v>
      </c>
      <c r="J85" s="392">
        <f t="shared" si="53"/>
        <v>1.4252053536648965E-2</v>
      </c>
      <c r="K85" s="392">
        <f t="shared" si="53"/>
        <v>8.7402105515713164E-3</v>
      </c>
    </row>
    <row r="86" spans="2:15" ht="12.75" customHeight="1">
      <c r="B86" s="2" t="str">
        <f t="shared" si="52"/>
        <v>Common Stock</v>
      </c>
      <c r="D86" s="392">
        <f t="shared" si="53"/>
        <v>0</v>
      </c>
      <c r="E86" s="392">
        <f t="shared" si="53"/>
        <v>0</v>
      </c>
      <c r="F86" s="392">
        <f t="shared" si="53"/>
        <v>1</v>
      </c>
      <c r="G86" s="392">
        <f t="shared" si="53"/>
        <v>0.99935202448932725</v>
      </c>
      <c r="H86" s="392">
        <f t="shared" si="53"/>
        <v>0.9861313428965045</v>
      </c>
      <c r="I86" s="392">
        <f t="shared" si="53"/>
        <v>0.62623545793665969</v>
      </c>
      <c r="J86" s="392">
        <f t="shared" si="53"/>
        <v>0.19128288921478498</v>
      </c>
      <c r="K86" s="392">
        <f t="shared" si="53"/>
        <v>0.11730609363422359</v>
      </c>
    </row>
    <row r="87" spans="2:15" ht="12.75" customHeight="1">
      <c r="B87" s="59"/>
      <c r="C87" s="59"/>
      <c r="D87" s="5"/>
      <c r="E87" s="5"/>
      <c r="F87" s="5"/>
      <c r="G87" s="5"/>
      <c r="H87" s="5"/>
      <c r="I87" s="5"/>
      <c r="J87" s="5"/>
      <c r="K87" s="5"/>
    </row>
    <row r="88" spans="2:15" ht="12.75" customHeight="1">
      <c r="B88" s="1" t="s">
        <v>1478</v>
      </c>
      <c r="D88" s="1364">
        <f t="shared" ref="D88:K88" si="54">SUM(D79:D86)</f>
        <v>1</v>
      </c>
      <c r="E88" s="1364">
        <f t="shared" si="54"/>
        <v>1</v>
      </c>
      <c r="F88" s="1364">
        <f t="shared" si="54"/>
        <v>1</v>
      </c>
      <c r="G88" s="1364">
        <f t="shared" si="54"/>
        <v>1</v>
      </c>
      <c r="H88" s="1364">
        <f t="shared" si="54"/>
        <v>1</v>
      </c>
      <c r="I88" s="1364">
        <f t="shared" si="54"/>
        <v>1</v>
      </c>
      <c r="J88" s="1364">
        <f t="shared" si="54"/>
        <v>1</v>
      </c>
      <c r="K88" s="1364">
        <f t="shared" si="54"/>
        <v>1.0000000000000002</v>
      </c>
    </row>
    <row r="89" spans="2:15" ht="12.75" customHeight="1">
      <c r="B89" s="1"/>
      <c r="D89" s="36"/>
      <c r="E89" s="36"/>
      <c r="F89" s="36"/>
      <c r="G89" s="36"/>
      <c r="H89" s="36"/>
      <c r="I89" s="36"/>
      <c r="J89" s="36"/>
      <c r="K89" s="36"/>
    </row>
    <row r="90" spans="2:15" s="6" customFormat="1" ht="12.75" customHeight="1">
      <c r="B90" s="246" t="s">
        <v>239</v>
      </c>
      <c r="D90" s="247">
        <f>D$15</f>
        <v>1</v>
      </c>
      <c r="E90" s="248">
        <f t="shared" ref="E90:K90" si="55">E$15</f>
        <v>2</v>
      </c>
      <c r="F90" s="248">
        <f t="shared" si="55"/>
        <v>3</v>
      </c>
      <c r="G90" s="248">
        <f t="shared" si="55"/>
        <v>4</v>
      </c>
      <c r="H90" s="248">
        <f t="shared" si="55"/>
        <v>5</v>
      </c>
      <c r="I90" s="248">
        <f t="shared" si="55"/>
        <v>6</v>
      </c>
      <c r="J90" s="248">
        <f t="shared" si="55"/>
        <v>7</v>
      </c>
      <c r="K90" s="2026">
        <f t="shared" si="55"/>
        <v>8</v>
      </c>
      <c r="M90" s="110" t="s">
        <v>86</v>
      </c>
      <c r="O90" s="298"/>
    </row>
    <row r="91" spans="2:15" ht="12.75" customHeight="1"/>
    <row r="92" spans="2:15" ht="12.75" customHeight="1">
      <c r="B92" s="2" t="str">
        <f t="shared" ref="B92:B99" si="56">B66</f>
        <v>Series A</v>
      </c>
      <c r="D92" s="386">
        <f t="shared" ref="D92:K99" ca="1" si="57">D$60*D66/D$75</f>
        <v>0</v>
      </c>
      <c r="E92" s="386">
        <f t="shared" ca="1" si="57"/>
        <v>18642.449385954111</v>
      </c>
      <c r="F92" s="386">
        <f t="shared" ca="1" si="57"/>
        <v>0</v>
      </c>
      <c r="G92" s="386">
        <f t="shared" ca="1" si="57"/>
        <v>0</v>
      </c>
      <c r="H92" s="386">
        <f t="shared" ca="1" si="57"/>
        <v>0</v>
      </c>
      <c r="I92" s="386">
        <f t="shared" ca="1" si="57"/>
        <v>0</v>
      </c>
      <c r="J92" s="386">
        <f t="shared" ca="1" si="57"/>
        <v>3110.4697747566888</v>
      </c>
      <c r="K92" s="386">
        <f t="shared" ca="1" si="57"/>
        <v>25928.580185032777</v>
      </c>
      <c r="M92" s="386">
        <f t="shared" ref="M92:M99" ca="1" si="58">SUM(D92:K92)</f>
        <v>47681.499345743578</v>
      </c>
    </row>
    <row r="93" spans="2:15" ht="12.75" customHeight="1">
      <c r="B93" s="2" t="str">
        <f t="shared" si="56"/>
        <v>Series B Tranche I</v>
      </c>
      <c r="D93" s="386">
        <f t="shared" ca="1" si="57"/>
        <v>41015.256117129931</v>
      </c>
      <c r="E93" s="386">
        <f t="shared" ca="1" si="57"/>
        <v>0</v>
      </c>
      <c r="F93" s="386">
        <f t="shared" ca="1" si="57"/>
        <v>0</v>
      </c>
      <c r="G93" s="386">
        <f t="shared" ca="1" si="57"/>
        <v>0</v>
      </c>
      <c r="H93" s="386">
        <f t="shared" ca="1" si="57"/>
        <v>0</v>
      </c>
      <c r="I93" s="386">
        <f t="shared" ca="1" si="57"/>
        <v>0</v>
      </c>
      <c r="J93" s="386">
        <f t="shared" ca="1" si="57"/>
        <v>0</v>
      </c>
      <c r="K93" s="386">
        <f t="shared" ca="1" si="57"/>
        <v>20901.658185348217</v>
      </c>
      <c r="M93" s="386">
        <f t="shared" ca="1" si="58"/>
        <v>61916.914302478152</v>
      </c>
    </row>
    <row r="94" spans="2:15" ht="12.75" customHeight="1">
      <c r="B94" s="2" t="str">
        <f t="shared" si="56"/>
        <v>Series B Tranche II</v>
      </c>
      <c r="D94" s="386">
        <f t="shared" ca="1" si="57"/>
        <v>5095.9696377954788</v>
      </c>
      <c r="E94" s="386">
        <f t="shared" ca="1" si="57"/>
        <v>0</v>
      </c>
      <c r="F94" s="386">
        <f t="shared" ca="1" si="57"/>
        <v>0</v>
      </c>
      <c r="G94" s="386">
        <f t="shared" ca="1" si="57"/>
        <v>0</v>
      </c>
      <c r="H94" s="386">
        <f t="shared" ca="1" si="57"/>
        <v>0</v>
      </c>
      <c r="I94" s="386">
        <f t="shared" ca="1" si="57"/>
        <v>0</v>
      </c>
      <c r="J94" s="386">
        <f t="shared" ca="1" si="57"/>
        <v>0</v>
      </c>
      <c r="K94" s="386">
        <f t="shared" ca="1" si="57"/>
        <v>2640.6712463851986</v>
      </c>
      <c r="M94" s="386">
        <f t="shared" ca="1" si="58"/>
        <v>7736.6408841806769</v>
      </c>
    </row>
    <row r="95" spans="2:15" ht="12.75" customHeight="1">
      <c r="B95" s="2" t="str">
        <f t="shared" si="56"/>
        <v>Options at $0.001 Strike Price</v>
      </c>
      <c r="D95" s="386">
        <f t="shared" ca="1" si="57"/>
        <v>0</v>
      </c>
      <c r="E95" s="386">
        <f t="shared" ca="1" si="57"/>
        <v>0</v>
      </c>
      <c r="F95" s="386">
        <f t="shared" ca="1" si="57"/>
        <v>0</v>
      </c>
      <c r="G95" s="386">
        <f t="shared" ca="1" si="57"/>
        <v>1.7725346358158926E-2</v>
      </c>
      <c r="H95" s="386">
        <f t="shared" ca="1" si="57"/>
        <v>0.54433216215049141</v>
      </c>
      <c r="I95" s="386">
        <f t="shared" ca="1" si="57"/>
        <v>1.838994306747586</v>
      </c>
      <c r="J95" s="386">
        <f t="shared" ca="1" si="57"/>
        <v>0.55544103120655153</v>
      </c>
      <c r="K95" s="386">
        <f t="shared" ca="1" si="57"/>
        <v>4.6301036044701389</v>
      </c>
      <c r="M95" s="386">
        <f t="shared" ca="1" si="58"/>
        <v>7.5865964509329267</v>
      </c>
    </row>
    <row r="96" spans="2:15" ht="12.75" customHeight="1">
      <c r="B96" s="2" t="str">
        <f t="shared" si="56"/>
        <v>Options at $0.010 Strike Price</v>
      </c>
      <c r="D96" s="386">
        <f t="shared" ca="1" si="57"/>
        <v>0</v>
      </c>
      <c r="E96" s="386">
        <f t="shared" ca="1" si="57"/>
        <v>0</v>
      </c>
      <c r="F96" s="386">
        <f t="shared" ca="1" si="57"/>
        <v>0</v>
      </c>
      <c r="G96" s="386">
        <f t="shared" ca="1" si="57"/>
        <v>0</v>
      </c>
      <c r="H96" s="386">
        <f t="shared" ca="1" si="57"/>
        <v>11.262232434893667</v>
      </c>
      <c r="I96" s="386">
        <f t="shared" ca="1" si="57"/>
        <v>38.048792206607558</v>
      </c>
      <c r="J96" s="386">
        <f t="shared" ca="1" si="57"/>
        <v>11.492074935663553</v>
      </c>
      <c r="K96" s="386">
        <f t="shared" ca="1" si="57"/>
        <v>95.796843576487163</v>
      </c>
      <c r="M96" s="386">
        <f t="shared" ca="1" si="58"/>
        <v>156.59994315365194</v>
      </c>
    </row>
    <row r="97" spans="2:15" ht="12.75" customHeight="1">
      <c r="B97" s="2" t="str">
        <f t="shared" si="56"/>
        <v>Expected Options Grant</v>
      </c>
      <c r="D97" s="386">
        <f t="shared" ca="1" si="57"/>
        <v>0</v>
      </c>
      <c r="E97" s="386">
        <f t="shared" ca="1" si="57"/>
        <v>0</v>
      </c>
      <c r="F97" s="386">
        <f t="shared" ca="1" si="57"/>
        <v>0</v>
      </c>
      <c r="G97" s="386">
        <f t="shared" ca="1" si="57"/>
        <v>0</v>
      </c>
      <c r="H97" s="386">
        <f t="shared" ca="1" si="57"/>
        <v>0</v>
      </c>
      <c r="I97" s="386">
        <f t="shared" ca="1" si="57"/>
        <v>1441.5725573061175</v>
      </c>
      <c r="J97" s="386">
        <f t="shared" ca="1" si="57"/>
        <v>435.40566974635982</v>
      </c>
      <c r="K97" s="386">
        <f t="shared" ca="1" si="57"/>
        <v>3629.5002486945846</v>
      </c>
      <c r="M97" s="386">
        <f t="shared" ca="1" si="58"/>
        <v>5506.4784757470616</v>
      </c>
    </row>
    <row r="98" spans="2:15" ht="12.75" customHeight="1">
      <c r="B98" s="2" t="str">
        <f t="shared" si="56"/>
        <v>Phantom Stock</v>
      </c>
      <c r="D98" s="386">
        <f t="shared" ca="1" si="57"/>
        <v>0</v>
      </c>
      <c r="E98" s="386">
        <f t="shared" ca="1" si="57"/>
        <v>0</v>
      </c>
      <c r="F98" s="386">
        <f t="shared" ca="1" si="57"/>
        <v>0</v>
      </c>
      <c r="G98" s="386">
        <f t="shared" ca="1" si="57"/>
        <v>0</v>
      </c>
      <c r="H98" s="386">
        <f t="shared" ca="1" si="57"/>
        <v>0</v>
      </c>
      <c r="I98" s="386">
        <f t="shared" ca="1" si="57"/>
        <v>211.32049088324115</v>
      </c>
      <c r="J98" s="386">
        <f t="shared" ca="1" si="57"/>
        <v>63.826228792872925</v>
      </c>
      <c r="K98" s="386">
        <f t="shared" ca="1" si="57"/>
        <v>532.0493722829076</v>
      </c>
      <c r="M98" s="386">
        <f t="shared" ca="1" si="58"/>
        <v>807.19609195902171</v>
      </c>
    </row>
    <row r="99" spans="2:15" ht="12.75" customHeight="1">
      <c r="B99" s="2" t="str">
        <f t="shared" si="56"/>
        <v>Common Stock</v>
      </c>
      <c r="D99" s="386">
        <f t="shared" ca="1" si="57"/>
        <v>0</v>
      </c>
      <c r="E99" s="386">
        <f t="shared" ca="1" si="57"/>
        <v>0</v>
      </c>
      <c r="F99" s="386">
        <f t="shared" ca="1" si="57"/>
        <v>3.0388305903179571</v>
      </c>
      <c r="G99" s="386">
        <f t="shared" ca="1" si="57"/>
        <v>27.337238022174322</v>
      </c>
      <c r="H99" s="386">
        <f t="shared" ca="1" si="57"/>
        <v>839.50618392194656</v>
      </c>
      <c r="I99" s="386">
        <f t="shared" ca="1" si="57"/>
        <v>2836.2224392778476</v>
      </c>
      <c r="J99" s="386">
        <f t="shared" ca="1" si="57"/>
        <v>856.63903940507214</v>
      </c>
      <c r="K99" s="386">
        <f t="shared" ca="1" si="57"/>
        <v>7140.8615518796723</v>
      </c>
      <c r="M99" s="386">
        <f t="shared" ca="1" si="58"/>
        <v>11703.605283097031</v>
      </c>
    </row>
    <row r="100" spans="2:15" ht="12.75" customHeight="1">
      <c r="B100" s="59"/>
      <c r="C100" s="59"/>
      <c r="D100" s="5"/>
      <c r="E100" s="5"/>
      <c r="F100" s="5"/>
      <c r="G100" s="5"/>
      <c r="H100" s="5"/>
      <c r="I100" s="5"/>
      <c r="J100" s="5"/>
      <c r="K100" s="5"/>
      <c r="M100" s="5"/>
    </row>
    <row r="101" spans="2:15" ht="12.75" customHeight="1">
      <c r="B101" s="1" t="s">
        <v>1449</v>
      </c>
      <c r="D101" s="1013">
        <f t="shared" ref="D101:K101" ca="1" si="59">SUM(D92:D99)</f>
        <v>46111.225754925414</v>
      </c>
      <c r="E101" s="1013">
        <f t="shared" ca="1" si="59"/>
        <v>18642.449385954111</v>
      </c>
      <c r="F101" s="1013">
        <f t="shared" ca="1" si="59"/>
        <v>3.0388305903179571</v>
      </c>
      <c r="G101" s="1013">
        <f t="shared" ca="1" si="59"/>
        <v>27.354963368532481</v>
      </c>
      <c r="H101" s="1013">
        <f t="shared" ca="1" si="59"/>
        <v>851.3127485189907</v>
      </c>
      <c r="I101" s="1013">
        <f t="shared" ca="1" si="59"/>
        <v>4529.0032739805611</v>
      </c>
      <c r="J101" s="1013">
        <f t="shared" ca="1" si="59"/>
        <v>4478.3882286678636</v>
      </c>
      <c r="K101" s="1013">
        <f t="shared" ca="1" si="59"/>
        <v>60873.747736804304</v>
      </c>
      <c r="M101" s="36">
        <f ca="1">SUM(M92:M99)</f>
        <v>135516.5209228101</v>
      </c>
      <c r="O101" s="299">
        <f ca="1">M101-D9</f>
        <v>0</v>
      </c>
    </row>
    <row r="102" spans="2:15" ht="12.75" customHeight="1"/>
    <row r="103" spans="2:15" ht="12.75" customHeight="1"/>
    <row r="105" spans="2:15">
      <c r="B105" s="385" t="s">
        <v>1479</v>
      </c>
      <c r="D105" s="1014">
        <f>D43</f>
        <v>85076.896707751512</v>
      </c>
      <c r="E105" s="1014">
        <f>E43-D43</f>
        <v>73722.09534246572</v>
      </c>
      <c r="F105" s="1014">
        <f>G43-F43</f>
        <v>15.422682000003988</v>
      </c>
      <c r="G105" s="1014">
        <f>H43-G43</f>
        <v>138.8941380000033</v>
      </c>
      <c r="H105" s="1014">
        <f>I43-H43</f>
        <v>4379.0829599999997</v>
      </c>
      <c r="I105" s="1014">
        <f>J43-I43</f>
        <v>25279.403010624432</v>
      </c>
      <c r="J105" s="1014">
        <f t="shared" ref="J105" si="60">K43-J43</f>
        <v>28764.182413559087</v>
      </c>
      <c r="K105" s="1014"/>
    </row>
    <row r="106" spans="2:15">
      <c r="D106" s="1014"/>
      <c r="E106" s="1014"/>
      <c r="F106" s="1014"/>
      <c r="G106" s="1014"/>
      <c r="H106" s="1014"/>
      <c r="I106" s="1014"/>
      <c r="J106" s="1014"/>
      <c r="K106" s="1014"/>
    </row>
    <row r="107" spans="2:15">
      <c r="B107" s="1015" t="s">
        <v>1480</v>
      </c>
      <c r="C107" s="6"/>
      <c r="D107" s="1016">
        <f t="shared" ref="D107:J107" si="61">D90</f>
        <v>1</v>
      </c>
      <c r="E107" s="1017">
        <f t="shared" si="61"/>
        <v>2</v>
      </c>
      <c r="F107" s="1017">
        <f t="shared" si="61"/>
        <v>3</v>
      </c>
      <c r="G107" s="1017">
        <f t="shared" si="61"/>
        <v>4</v>
      </c>
      <c r="H107" s="1017">
        <f t="shared" si="61"/>
        <v>5</v>
      </c>
      <c r="I107" s="1017">
        <f t="shared" si="61"/>
        <v>6</v>
      </c>
      <c r="J107" s="1017">
        <f t="shared" si="61"/>
        <v>7</v>
      </c>
      <c r="K107" s="2026"/>
    </row>
    <row r="108" spans="2:15">
      <c r="D108" s="1014"/>
      <c r="E108" s="1014"/>
      <c r="F108" s="1014"/>
      <c r="G108" s="1014"/>
      <c r="H108" s="1014"/>
      <c r="I108" s="1014"/>
      <c r="J108" s="1014"/>
      <c r="K108" s="1014"/>
    </row>
    <row r="109" spans="2:15">
      <c r="B109" s="385" t="str">
        <f t="shared" ref="B109:B116" si="62">B92</f>
        <v>Series A</v>
      </c>
      <c r="D109" s="386">
        <f t="shared" ref="D109:J116" si="63">D66/D$75*D$105</f>
        <v>0</v>
      </c>
      <c r="E109" s="386">
        <f t="shared" si="63"/>
        <v>73722.09534246572</v>
      </c>
      <c r="F109" s="386">
        <f t="shared" si="63"/>
        <v>0</v>
      </c>
      <c r="G109" s="386">
        <f t="shared" si="63"/>
        <v>0</v>
      </c>
      <c r="H109" s="386">
        <f t="shared" si="63"/>
        <v>0</v>
      </c>
      <c r="I109" s="386">
        <f t="shared" si="63"/>
        <v>0</v>
      </c>
      <c r="J109" s="386">
        <f t="shared" si="63"/>
        <v>19978.196490476468</v>
      </c>
      <c r="K109" s="386"/>
    </row>
    <row r="110" spans="2:15">
      <c r="B110" s="385" t="str">
        <f t="shared" si="62"/>
        <v>Series B Tranche I</v>
      </c>
      <c r="D110" s="386">
        <f t="shared" si="63"/>
        <v>75674.646487711463</v>
      </c>
      <c r="E110" s="386">
        <f t="shared" si="63"/>
        <v>0</v>
      </c>
      <c r="F110" s="386">
        <f t="shared" si="63"/>
        <v>0</v>
      </c>
      <c r="G110" s="386">
        <f t="shared" si="63"/>
        <v>0</v>
      </c>
      <c r="H110" s="386">
        <f t="shared" si="63"/>
        <v>0</v>
      </c>
      <c r="I110" s="386">
        <f t="shared" si="63"/>
        <v>0</v>
      </c>
      <c r="J110" s="386">
        <f t="shared" si="63"/>
        <v>0</v>
      </c>
      <c r="K110" s="386"/>
    </row>
    <row r="111" spans="2:15">
      <c r="B111" s="385" t="str">
        <f t="shared" si="62"/>
        <v>Series B Tranche II</v>
      </c>
      <c r="D111" s="386">
        <f t="shared" si="63"/>
        <v>9402.2502200400486</v>
      </c>
      <c r="E111" s="386">
        <f t="shared" si="63"/>
        <v>0</v>
      </c>
      <c r="F111" s="386">
        <f t="shared" si="63"/>
        <v>0</v>
      </c>
      <c r="G111" s="386">
        <f t="shared" si="63"/>
        <v>0</v>
      </c>
      <c r="H111" s="386">
        <f t="shared" si="63"/>
        <v>0</v>
      </c>
      <c r="I111" s="386">
        <f t="shared" si="63"/>
        <v>0</v>
      </c>
      <c r="J111" s="386">
        <f t="shared" si="63"/>
        <v>0</v>
      </c>
      <c r="K111" s="386"/>
    </row>
    <row r="112" spans="2:15">
      <c r="B112" s="385" t="str">
        <f t="shared" si="62"/>
        <v>Options at $0.001 Strike Price</v>
      </c>
      <c r="D112" s="386">
        <f t="shared" si="63"/>
        <v>0</v>
      </c>
      <c r="E112" s="386">
        <f t="shared" si="63"/>
        <v>0</v>
      </c>
      <c r="F112" s="386">
        <f t="shared" si="63"/>
        <v>0</v>
      </c>
      <c r="G112" s="386">
        <f t="shared" si="63"/>
        <v>9.0000000000002134E-2</v>
      </c>
      <c r="H112" s="386">
        <f t="shared" si="63"/>
        <v>2.8</v>
      </c>
      <c r="I112" s="386">
        <f t="shared" si="63"/>
        <v>10.264659882583173</v>
      </c>
      <c r="J112" s="386">
        <f t="shared" si="63"/>
        <v>3.567535087585084</v>
      </c>
      <c r="K112" s="386"/>
    </row>
    <row r="113" spans="2:11">
      <c r="B113" s="385" t="str">
        <f t="shared" si="62"/>
        <v>Options at $0.010 Strike Price</v>
      </c>
      <c r="D113" s="386">
        <f t="shared" si="63"/>
        <v>0</v>
      </c>
      <c r="E113" s="386">
        <f t="shared" si="63"/>
        <v>0</v>
      </c>
      <c r="F113" s="386">
        <f t="shared" si="63"/>
        <v>0</v>
      </c>
      <c r="G113" s="386">
        <f t="shared" si="63"/>
        <v>0</v>
      </c>
      <c r="H113" s="386">
        <f t="shared" si="63"/>
        <v>57.932000000000002</v>
      </c>
      <c r="I113" s="386">
        <f t="shared" si="63"/>
        <v>212.37581297064588</v>
      </c>
      <c r="J113" s="386">
        <f t="shared" si="63"/>
        <v>73.812300962135382</v>
      </c>
      <c r="K113" s="386"/>
    </row>
    <row r="114" spans="2:11">
      <c r="B114" s="385" t="str">
        <f t="shared" si="62"/>
        <v>Expected Options Grant</v>
      </c>
      <c r="D114" s="386">
        <f t="shared" si="63"/>
        <v>0</v>
      </c>
      <c r="E114" s="386">
        <f t="shared" si="63"/>
        <v>0</v>
      </c>
      <c r="F114" s="386">
        <f t="shared" si="63"/>
        <v>0</v>
      </c>
      <c r="G114" s="386">
        <f t="shared" si="63"/>
        <v>0</v>
      </c>
      <c r="H114" s="386">
        <f t="shared" si="63"/>
        <v>0</v>
      </c>
      <c r="I114" s="386">
        <f t="shared" si="63"/>
        <v>8046.3827117459123</v>
      </c>
      <c r="J114" s="386">
        <f t="shared" si="63"/>
        <v>2796.5615013702286</v>
      </c>
      <c r="K114" s="386"/>
    </row>
    <row r="115" spans="2:11">
      <c r="B115" s="385" t="str">
        <f t="shared" si="62"/>
        <v>Phantom Stock</v>
      </c>
      <c r="D115" s="386">
        <f t="shared" si="63"/>
        <v>0</v>
      </c>
      <c r="E115" s="386">
        <f t="shared" si="63"/>
        <v>0</v>
      </c>
      <c r="F115" s="386">
        <f t="shared" si="63"/>
        <v>0</v>
      </c>
      <c r="G115" s="386">
        <f t="shared" si="63"/>
        <v>0</v>
      </c>
      <c r="H115" s="386">
        <f t="shared" si="63"/>
        <v>0</v>
      </c>
      <c r="I115" s="386">
        <f t="shared" si="63"/>
        <v>1179.5213053015268</v>
      </c>
      <c r="J115" s="386">
        <f t="shared" si="63"/>
        <v>409.94866769598076</v>
      </c>
      <c r="K115" s="386"/>
    </row>
    <row r="116" spans="2:11">
      <c r="B116" s="385" t="str">
        <f t="shared" si="62"/>
        <v>Common Stock</v>
      </c>
      <c r="D116" s="386">
        <f t="shared" si="63"/>
        <v>0</v>
      </c>
      <c r="E116" s="386">
        <f t="shared" si="63"/>
        <v>0</v>
      </c>
      <c r="F116" s="386">
        <f t="shared" si="63"/>
        <v>15.422682000003988</v>
      </c>
      <c r="G116" s="386">
        <f t="shared" si="63"/>
        <v>138.80413800000329</v>
      </c>
      <c r="H116" s="386">
        <f t="shared" si="63"/>
        <v>4318.3509599999998</v>
      </c>
      <c r="I116" s="386">
        <f t="shared" si="63"/>
        <v>15830.858520723765</v>
      </c>
      <c r="J116" s="386">
        <f t="shared" si="63"/>
        <v>5502.0959179666888</v>
      </c>
      <c r="K116" s="386"/>
    </row>
    <row r="117" spans="2:11">
      <c r="D117" s="392"/>
      <c r="E117" s="392"/>
      <c r="F117" s="392"/>
      <c r="G117" s="392"/>
      <c r="H117" s="392"/>
      <c r="I117" s="392"/>
      <c r="J117" s="392"/>
      <c r="K117" s="392"/>
    </row>
    <row r="118" spans="2:11">
      <c r="B118" s="1015" t="s">
        <v>1481</v>
      </c>
      <c r="C118" s="6"/>
      <c r="D118" s="1016">
        <f t="shared" ref="D118:J118" si="64">D107</f>
        <v>1</v>
      </c>
      <c r="E118" s="1017">
        <f t="shared" si="64"/>
        <v>2</v>
      </c>
      <c r="F118" s="1017">
        <f t="shared" si="64"/>
        <v>3</v>
      </c>
      <c r="G118" s="1017">
        <f t="shared" si="64"/>
        <v>4</v>
      </c>
      <c r="H118" s="1017">
        <f t="shared" si="64"/>
        <v>5</v>
      </c>
      <c r="I118" s="1017">
        <f t="shared" si="64"/>
        <v>6</v>
      </c>
      <c r="J118" s="1017">
        <f t="shared" si="64"/>
        <v>7</v>
      </c>
      <c r="K118" s="1017"/>
    </row>
    <row r="119" spans="2:11">
      <c r="D119" s="392"/>
      <c r="E119" s="392"/>
      <c r="F119" s="392"/>
      <c r="G119" s="392"/>
      <c r="H119" s="392"/>
      <c r="I119" s="392"/>
      <c r="J119" s="392"/>
      <c r="K119" s="392"/>
    </row>
    <row r="120" spans="2:11">
      <c r="B120" s="385" t="str">
        <f>B109</f>
        <v>Series A</v>
      </c>
      <c r="D120" s="1884">
        <f>SUM($D109:D109)/$O26</f>
        <v>0</v>
      </c>
      <c r="E120" s="1884">
        <f>SUM($D109:E109)/$O26</f>
        <v>1.3164659882583165</v>
      </c>
      <c r="F120" s="1884">
        <f>SUM($D109:F109)/$O26</f>
        <v>1.3164659882583165</v>
      </c>
      <c r="G120" s="1884">
        <f>SUM($D109:G109)/$O26</f>
        <v>1.3164659882583165</v>
      </c>
      <c r="H120" s="1884">
        <f>SUM($D109:H109)/$O26</f>
        <v>1.3164659882583165</v>
      </c>
      <c r="I120" s="1884">
        <f>SUM($D109:I109)/$O26</f>
        <v>1.3164659882583165</v>
      </c>
      <c r="J120" s="1884">
        <f>SUM($D109:J109)/$O26</f>
        <v>1.6732194970168248</v>
      </c>
      <c r="K120" s="1884"/>
    </row>
    <row r="121" spans="2:11">
      <c r="B121" s="385" t="str">
        <f>B110</f>
        <v>Series B Tranche I</v>
      </c>
      <c r="D121" s="1884">
        <f>SUM($D110:D110)/$O27</f>
        <v>1.6763332859178084</v>
      </c>
      <c r="E121" s="1884">
        <f>SUM($D110:E110)/$O27</f>
        <v>1.6763332859178084</v>
      </c>
      <c r="F121" s="1884">
        <f>SUM($D110:F110)/$O27</f>
        <v>1.6763332859178084</v>
      </c>
      <c r="G121" s="1884">
        <f>SUM($D110:G110)/$O27</f>
        <v>1.6763332859178084</v>
      </c>
      <c r="H121" s="1884">
        <f>SUM($D110:H110)/$O27</f>
        <v>1.6763332859178084</v>
      </c>
      <c r="I121" s="1884">
        <f>SUM($D110:I110)/$O27</f>
        <v>1.6763332859178084</v>
      </c>
      <c r="J121" s="1884">
        <f>SUM($D110:J110)/$O27</f>
        <v>1.6763332859178084</v>
      </c>
      <c r="K121" s="1884"/>
    </row>
    <row r="122" spans="2:11">
      <c r="B122" s="385" t="str">
        <f>B111</f>
        <v>Series B Tranche II</v>
      </c>
      <c r="D122" s="1884">
        <f>SUM($D111:D111)/$O28</f>
        <v>1.6485729790684933</v>
      </c>
      <c r="E122" s="1884">
        <f>SUM($D111:E111)/$O28</f>
        <v>1.6485729790684933</v>
      </c>
      <c r="F122" s="1884">
        <f>SUM($D111:F111)/$O28</f>
        <v>1.6485729790684933</v>
      </c>
      <c r="G122" s="1884">
        <f>SUM($D111:G111)/$O28</f>
        <v>1.6485729790684933</v>
      </c>
      <c r="H122" s="1884">
        <f>SUM($D111:H111)/$O28</f>
        <v>1.6485729790684933</v>
      </c>
      <c r="I122" s="1884">
        <f>SUM($D111:I111)/$O28</f>
        <v>1.6485729790684933</v>
      </c>
      <c r="J122" s="1884">
        <f>SUM($D111:J111)/$O28</f>
        <v>1.6485729790684933</v>
      </c>
      <c r="K122" s="1884"/>
    </row>
    <row r="123" spans="2:11">
      <c r="B123" s="385" t="str">
        <f>B112</f>
        <v>Options at $0.001 Strike Price</v>
      </c>
      <c r="D123" s="1884">
        <f>SUM($D112:D112)/$O29</f>
        <v>0</v>
      </c>
      <c r="E123" s="1884">
        <f>SUM($D112:E112)/$O29</f>
        <v>0</v>
      </c>
      <c r="F123" s="1884">
        <f>SUM($D112:F112)/$O29</f>
        <v>0</v>
      </c>
      <c r="G123" s="1884">
        <f>SUM($D112:G112)/$O29</f>
        <v>9.0000000000002127E-3</v>
      </c>
      <c r="H123" s="1884">
        <f>SUM($D112:H112)/$O29</f>
        <v>0.2890000000000002</v>
      </c>
      <c r="I123" s="1884">
        <f>SUM($D112:I112)/$O29</f>
        <v>1.3154659882583175</v>
      </c>
      <c r="J123" s="1884">
        <f>SUM($D112:J112)/$O29</f>
        <v>1.672219497016826</v>
      </c>
      <c r="K123" s="1884"/>
    </row>
    <row r="124" spans="2:11">
      <c r="B124" s="385" t="str">
        <f>B113</f>
        <v>Options at $0.010 Strike Price</v>
      </c>
      <c r="D124" s="1884">
        <f>SUM($D113:D113)/$O30</f>
        <v>0</v>
      </c>
      <c r="E124" s="1884">
        <f>SUM($D113:E113)/$O30</f>
        <v>0</v>
      </c>
      <c r="F124" s="1884">
        <f>SUM($D113:F113)/$O30</f>
        <v>0</v>
      </c>
      <c r="G124" s="1884">
        <f>SUM($D113:G113)/$O30</f>
        <v>0</v>
      </c>
      <c r="H124" s="1884">
        <f>SUM($D113:H113)/$O30</f>
        <v>0.28000000000000003</v>
      </c>
      <c r="I124" s="1884">
        <f>SUM($D113:I113)/$O30</f>
        <v>1.3064659882583174</v>
      </c>
      <c r="J124" s="1884">
        <f>SUM($D113:J113)/$O30</f>
        <v>1.6632194970168259</v>
      </c>
      <c r="K124" s="1884"/>
    </row>
    <row r="125" spans="2:11">
      <c r="B125" s="385" t="str">
        <f t="shared" ref="B125:B126" si="65">B114</f>
        <v>Expected Options Grant</v>
      </c>
      <c r="D125" s="1884">
        <f>SUM($D114:D114)/$O31</f>
        <v>0</v>
      </c>
      <c r="E125" s="1884">
        <f>SUM($D114:E114)/$O31</f>
        <v>0</v>
      </c>
      <c r="F125" s="1884">
        <f>SUM($D114:F114)/$O31</f>
        <v>0</v>
      </c>
      <c r="G125" s="1884">
        <f>SUM($D114:G114)/$O31</f>
        <v>0</v>
      </c>
      <c r="H125" s="1884">
        <f>SUM($D114:H114)/$O31</f>
        <v>0</v>
      </c>
      <c r="I125" s="1884">
        <f>SUM($D114:I114)/$O31</f>
        <v>1.0264659882583174</v>
      </c>
      <c r="J125" s="1884">
        <f>SUM($D114:J114)/$O31</f>
        <v>1.3832194970168257</v>
      </c>
      <c r="K125" s="1884"/>
    </row>
    <row r="126" spans="2:11" ht="13.5" thickBot="1">
      <c r="B126" s="385" t="str">
        <f t="shared" si="65"/>
        <v>Phantom Stock</v>
      </c>
      <c r="D126" s="1884">
        <f>SUM($D115:D115)/$O32</f>
        <v>0</v>
      </c>
      <c r="E126" s="1884">
        <f>SUM($D115:E115)/$O32</f>
        <v>0</v>
      </c>
      <c r="F126" s="1884">
        <f>SUM($D115:F115)/$O32</f>
        <v>0</v>
      </c>
      <c r="G126" s="1884">
        <f>SUM($D115:G115)/$O32</f>
        <v>0</v>
      </c>
      <c r="H126" s="1884">
        <f>SUM($D115:H115)/$O32</f>
        <v>0</v>
      </c>
      <c r="I126" s="1884">
        <f>SUM($D115:I115)/$O32</f>
        <v>1.0264659882583174</v>
      </c>
      <c r="J126" s="1884">
        <f>SUM($D115:J115)/$O32</f>
        <v>1.3832194970168257</v>
      </c>
      <c r="K126" s="1884"/>
    </row>
    <row r="127" spans="2:11" ht="13.5" thickBot="1">
      <c r="B127" s="1882" t="str">
        <f t="shared" ref="B127" si="66">B116</f>
        <v>Common Stock</v>
      </c>
      <c r="C127" s="1883"/>
      <c r="D127" s="1894">
        <f>SUM($D116:D116)/$O33</f>
        <v>0</v>
      </c>
      <c r="E127" s="1894">
        <f>SUM($D116:E116)/$O33</f>
        <v>0</v>
      </c>
      <c r="F127" s="1894">
        <f>SUM($D116:F116)/$O33</f>
        <v>1.0000000000002585E-3</v>
      </c>
      <c r="G127" s="1894">
        <f>SUM($D116:G116)/$O33</f>
        <v>1.0000000000000472E-2</v>
      </c>
      <c r="H127" s="1894">
        <f>SUM($D116:H116)/$O33</f>
        <v>0.29000000000000042</v>
      </c>
      <c r="I127" s="1894">
        <f>SUM($D116:I116)/$O33</f>
        <v>1.3164659882583178</v>
      </c>
      <c r="J127" s="1894">
        <f>SUM($D116:J116)/$O33</f>
        <v>1.6732194970168262</v>
      </c>
      <c r="K127" s="1895"/>
    </row>
    <row r="128" spans="2:11">
      <c r="B128" s="16"/>
      <c r="C128" s="16"/>
      <c r="D128" s="1876"/>
      <c r="E128" s="1876"/>
    </row>
    <row r="129" spans="2:11">
      <c r="B129" s="16"/>
      <c r="C129" s="16"/>
      <c r="D129" s="1876"/>
      <c r="E129" s="1876"/>
      <c r="F129" s="2002">
        <f t="shared" ref="F129:J129" si="67">G37</f>
        <v>1E-3</v>
      </c>
      <c r="G129" s="2002">
        <f t="shared" si="67"/>
        <v>0.01</v>
      </c>
      <c r="H129" s="2002">
        <f t="shared" si="67"/>
        <v>0.28999999999999998</v>
      </c>
      <c r="I129" s="2002">
        <f t="shared" si="67"/>
        <v>1.316465988258317</v>
      </c>
      <c r="J129" s="2002">
        <f t="shared" si="67"/>
        <v>1.6732194970168255</v>
      </c>
      <c r="K129" s="2002"/>
    </row>
    <row r="130" spans="2:11">
      <c r="B130" s="16"/>
      <c r="C130" s="16"/>
      <c r="D130" s="1876"/>
      <c r="E130" s="1876"/>
      <c r="F130" s="2001"/>
      <c r="G130" s="2001"/>
      <c r="H130" s="2001"/>
      <c r="I130" s="2001"/>
      <c r="J130" s="2001"/>
      <c r="K130" s="2001"/>
    </row>
    <row r="131" spans="2:11">
      <c r="D131" s="392">
        <f t="shared" ref="D131:J131" ca="1" si="68">NORMSDIST(D51)</f>
        <v>1</v>
      </c>
      <c r="E131" s="392">
        <f t="shared" ca="1" si="68"/>
        <v>0.8653630909444413</v>
      </c>
      <c r="F131" s="392">
        <f t="shared" ca="1" si="68"/>
        <v>0.75307007184482144</v>
      </c>
      <c r="G131" s="392">
        <f t="shared" ca="1" si="68"/>
        <v>0.7530494113034355</v>
      </c>
      <c r="H131" s="392">
        <f t="shared" ca="1" si="68"/>
        <v>0.75286339457879747</v>
      </c>
      <c r="I131" s="392">
        <f t="shared" ca="1" si="68"/>
        <v>0.74704328875173887</v>
      </c>
      <c r="J131" s="392">
        <f t="shared" ca="1" si="68"/>
        <v>0.71506448174553094</v>
      </c>
      <c r="K131" s="392"/>
    </row>
    <row r="132" spans="2:11">
      <c r="B132" s="385" t="s">
        <v>1150</v>
      </c>
      <c r="D132" s="872">
        <f ca="1">D131-E131</f>
        <v>0.1346369090555587</v>
      </c>
      <c r="E132" s="392"/>
      <c r="F132" s="392"/>
      <c r="G132" s="392"/>
      <c r="H132" s="392"/>
      <c r="I132" s="392"/>
      <c r="J132" s="392"/>
      <c r="K132" s="392"/>
    </row>
  </sheetData>
  <conditionalFormatting sqref="C4:I4">
    <cfRule type="cellIs" dxfId="138" priority="10" stopIfTrue="1" operator="equal">
      <formula>"input"</formula>
    </cfRule>
  </conditionalFormatting>
  <conditionalFormatting sqref="J4">
    <cfRule type="cellIs" dxfId="137" priority="8" stopIfTrue="1" operator="equal">
      <formula>"input"</formula>
    </cfRule>
  </conditionalFormatting>
  <conditionalFormatting sqref="J4">
    <cfRule type="cellIs" dxfId="136" priority="9" stopIfTrue="1" operator="equal">
      <formula>"input"</formula>
    </cfRule>
  </conditionalFormatting>
  <conditionalFormatting sqref="B4">
    <cfRule type="cellIs" dxfId="135" priority="3" stopIfTrue="1" operator="equal">
      <formula>"input"</formula>
    </cfRule>
  </conditionalFormatting>
  <conditionalFormatting sqref="K4">
    <cfRule type="cellIs" dxfId="134" priority="1" stopIfTrue="1" operator="equal">
      <formula>"input"</formula>
    </cfRule>
  </conditionalFormatting>
  <conditionalFormatting sqref="K4">
    <cfRule type="cellIs" dxfId="133" priority="2" stopIfTrue="1" operator="equal">
      <formula>"input"</formula>
    </cfRule>
  </conditionalFormatting>
  <pageMargins left="0.5" right="0.5" top="0.5" bottom="0.5" header="0.5" footer="0.5"/>
  <pageSetup scale="70" fitToWidth="0" fitToHeight="0" pageOrder="overThenDown" orientation="landscape" r:id="rId1"/>
  <rowBreaks count="2" manualBreakCount="2">
    <brk id="44" max="19" man="1"/>
    <brk id="75" max="19" man="1"/>
  </rowBreaks>
  <legacyDrawing r:id="rId2"/>
  <legacyDrawingHF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B1:R40"/>
  <sheetViews>
    <sheetView showGridLines="0" view="pageBreakPreview" zoomScaleNormal="100" zoomScaleSheetLayoutView="100" workbookViewId="0"/>
  </sheetViews>
  <sheetFormatPr defaultRowHeight="12.75" outlineLevelRow="1"/>
  <cols>
    <col min="1" max="1" width="4.5" style="385" customWidth="1"/>
    <col min="2" max="2" width="55.83203125" style="385" customWidth="1"/>
    <col min="3" max="3" width="2.83203125" style="385" customWidth="1"/>
    <col min="4" max="4" width="29.83203125" style="385" customWidth="1"/>
    <col min="5" max="5" width="5.83203125" style="385" customWidth="1"/>
    <col min="6" max="6" width="22" style="385" customWidth="1"/>
    <col min="7" max="7" width="2.83203125" style="385" customWidth="1"/>
    <col min="8" max="8" width="24" style="385" customWidth="1"/>
    <col min="9" max="9" width="4.5" style="385" customWidth="1"/>
    <col min="10" max="10" width="9.33203125" style="385"/>
    <col min="11" max="11" width="15.33203125" style="385" bestFit="1" customWidth="1"/>
    <col min="12" max="12" width="11.5" style="385" bestFit="1" customWidth="1"/>
    <col min="13" max="13" width="9.33203125" style="385"/>
    <col min="14" max="14" width="10.6640625" style="385" customWidth="1"/>
    <col min="15" max="16384" width="9.33203125" style="385"/>
  </cols>
  <sheetData>
    <row r="1" spans="2:12" ht="10.7" customHeight="1" thickBot="1"/>
    <row r="2" spans="2:12" ht="16.5" customHeight="1" thickTop="1">
      <c r="B2" s="10" t="str">
        <f>'MASTER PubCo Inputs'!$C$5</f>
        <v>Pliant Therapeutics, Inc.</v>
      </c>
      <c r="C2" s="10"/>
      <c r="D2" s="10"/>
      <c r="E2" s="10"/>
      <c r="F2" s="10"/>
      <c r="G2" s="10"/>
      <c r="H2" s="10"/>
      <c r="J2" s="16"/>
      <c r="K2" s="942"/>
      <c r="L2" s="942"/>
    </row>
    <row r="3" spans="2:12" ht="15.75" customHeight="1">
      <c r="B3" s="11" t="str">
        <f>VLOOKUP(B4,Outline!$E$8:$G$69,COLUMNS(Outline!$E$8:$G$8),FALSE)</f>
        <v>Workpaper #4</v>
      </c>
      <c r="C3" s="11"/>
      <c r="D3" s="11"/>
      <c r="E3" s="11"/>
      <c r="F3" s="11"/>
      <c r="G3" s="11"/>
      <c r="H3" s="11"/>
      <c r="J3" s="16"/>
      <c r="K3" s="16"/>
      <c r="L3" s="16"/>
    </row>
    <row r="4" spans="2:12" ht="16.5" customHeight="1" thickBot="1">
      <c r="B4" s="12" t="s">
        <v>1233</v>
      </c>
      <c r="C4" s="12"/>
      <c r="D4" s="12"/>
      <c r="E4" s="12"/>
      <c r="F4" s="12"/>
      <c r="G4" s="12"/>
      <c r="H4" s="13" t="str">
        <f>+'MASTER PubCo Inputs'!$C$20</f>
        <v>(in thousands of USD and shares, except price per share)</v>
      </c>
      <c r="J4" s="16"/>
      <c r="K4" s="16"/>
      <c r="L4" s="927"/>
    </row>
    <row r="5" spans="2:12" s="16" customFormat="1" ht="12.75" customHeight="1" thickTop="1">
      <c r="B5" s="385"/>
      <c r="C5" s="385"/>
      <c r="D5" s="385"/>
      <c r="E5" s="385"/>
      <c r="F5" s="385"/>
      <c r="G5" s="385"/>
      <c r="H5" s="385"/>
      <c r="I5" s="385"/>
      <c r="L5" s="871"/>
    </row>
    <row r="6" spans="2:12" ht="12.75" customHeight="1">
      <c r="J6" s="16"/>
      <c r="K6" s="16"/>
      <c r="L6" s="871"/>
    </row>
    <row r="7" spans="2:12" ht="12.75" customHeight="1">
      <c r="B7" s="558" t="s">
        <v>240</v>
      </c>
      <c r="C7" s="162"/>
      <c r="D7" s="556" t="s">
        <v>166</v>
      </c>
      <c r="E7" s="556"/>
      <c r="F7" s="556" t="s">
        <v>164</v>
      </c>
      <c r="G7" s="556"/>
      <c r="H7" s="1576" t="s">
        <v>241</v>
      </c>
      <c r="J7" s="16"/>
      <c r="K7" s="16"/>
      <c r="L7" s="928"/>
    </row>
    <row r="8" spans="2:12" ht="6" customHeight="1">
      <c r="J8" s="16"/>
      <c r="K8" s="16"/>
      <c r="L8" s="16"/>
    </row>
    <row r="9" spans="2:12" ht="12.75" customHeight="1">
      <c r="B9" s="385" t="str">
        <f>'Hybrid OPM 1'!B92</f>
        <v>Series A</v>
      </c>
      <c r="D9" s="431">
        <f ca="1">'Hybrid OPM 1'!M92</f>
        <v>47681.499345743578</v>
      </c>
      <c r="E9" s="802"/>
      <c r="F9" s="431">
        <f>'Hybrid OPM 1'!O26</f>
        <v>56000</v>
      </c>
      <c r="G9" s="4"/>
      <c r="H9" s="163">
        <f t="shared" ref="H9:H14" ca="1" si="0">D9/F9</f>
        <v>0.85145534545970669</v>
      </c>
      <c r="J9" s="16"/>
      <c r="K9" s="16"/>
      <c r="L9" s="16"/>
    </row>
    <row r="10" spans="2:12" ht="12.75" customHeight="1">
      <c r="B10" s="385" t="str">
        <f>'Hybrid OPM 1'!B93</f>
        <v>Series B Tranche I</v>
      </c>
      <c r="D10" s="431">
        <f ca="1">'Hybrid OPM 1'!M93</f>
        <v>61916.914302478152</v>
      </c>
      <c r="E10" s="802"/>
      <c r="F10" s="431">
        <f>'Hybrid OPM 1'!O27</f>
        <v>45142.960008861766</v>
      </c>
      <c r="G10" s="4"/>
      <c r="H10" s="163">
        <f t="shared" ca="1" si="0"/>
        <v>1.3715740901864562</v>
      </c>
      <c r="J10" s="16"/>
      <c r="K10" s="16"/>
      <c r="L10" s="16"/>
    </row>
    <row r="11" spans="2:12" ht="12.75" customHeight="1">
      <c r="B11" s="385" t="str">
        <f>'Hybrid OPM 1'!B94</f>
        <v>Series B Tranche II</v>
      </c>
      <c r="D11" s="431">
        <f ca="1">'Hybrid OPM 1'!M94</f>
        <v>7736.6408841806769</v>
      </c>
      <c r="E11" s="802"/>
      <c r="F11" s="431">
        <f>'Hybrid OPM 1'!O28</f>
        <v>5703.2659999999996</v>
      </c>
      <c r="G11" s="4"/>
      <c r="H11" s="163">
        <f t="shared" ca="1" si="0"/>
        <v>1.3565281514452732</v>
      </c>
      <c r="J11" s="16"/>
      <c r="K11" s="16"/>
      <c r="L11" s="16"/>
    </row>
    <row r="12" spans="2:12" ht="12.75" customHeight="1">
      <c r="B12" s="385" t="s">
        <v>1910</v>
      </c>
      <c r="D12" s="431">
        <f ca="1">SUM('Hybrid OPM 1'!M95:M97)</f>
        <v>5670.6650153516466</v>
      </c>
      <c r="E12" s="802"/>
      <c r="F12" s="431">
        <f>SUM('Hybrid OPM 1'!O29:O31)</f>
        <v>8055.8179999999993</v>
      </c>
      <c r="G12" s="4"/>
      <c r="H12" s="163">
        <f t="shared" ca="1" si="0"/>
        <v>0.70392168931220234</v>
      </c>
      <c r="K12" s="1009"/>
    </row>
    <row r="13" spans="2:12" ht="12.75" customHeight="1">
      <c r="B13" s="385" t="str">
        <f>'Hybrid OPM 1'!B98</f>
        <v>Phantom Stock</v>
      </c>
      <c r="C13" s="441"/>
      <c r="D13" s="431">
        <f ca="1">'Hybrid OPM 1'!M98</f>
        <v>807.19609195902171</v>
      </c>
      <c r="E13" s="802"/>
      <c r="F13" s="431">
        <f>'Hybrid OPM 1'!O32</f>
        <v>1149.1089999999999</v>
      </c>
      <c r="G13" s="4"/>
      <c r="H13" s="1363">
        <f t="shared" ref="H13" ca="1" si="1">D13/F13</f>
        <v>0.70245389424242766</v>
      </c>
    </row>
    <row r="14" spans="2:12" ht="12.75" customHeight="1">
      <c r="B14" s="385" t="str">
        <f>'Hybrid OPM 1'!B99</f>
        <v>Common Stock</v>
      </c>
      <c r="C14" s="441"/>
      <c r="D14" s="431">
        <f ca="1">'Hybrid OPM 1'!M99</f>
        <v>11703.605283097031</v>
      </c>
      <c r="E14" s="802"/>
      <c r="F14" s="431">
        <f>'Hybrid OPM 1'!O33</f>
        <v>15422.682000000001</v>
      </c>
      <c r="G14" s="4"/>
      <c r="H14" s="1363">
        <f t="shared" ca="1" si="0"/>
        <v>0.75885668154845121</v>
      </c>
    </row>
    <row r="15" spans="2:12" ht="12.75" customHeight="1">
      <c r="B15" s="5"/>
      <c r="C15" s="5"/>
      <c r="D15" s="166"/>
      <c r="E15" s="166"/>
      <c r="F15" s="166"/>
      <c r="G15" s="5"/>
      <c r="H15" s="167"/>
    </row>
    <row r="16" spans="2:12" ht="12.75" customHeight="1">
      <c r="B16" s="1" t="s">
        <v>2369</v>
      </c>
      <c r="D16" s="168">
        <f ca="1">SUM(D9:D14)</f>
        <v>135516.5209228101</v>
      </c>
      <c r="E16" s="91"/>
      <c r="F16" s="168">
        <f>SUM(F9:F14)</f>
        <v>131473.83500886176</v>
      </c>
      <c r="H16" s="169"/>
    </row>
    <row r="17" spans="2:18" ht="12.75" customHeight="1">
      <c r="B17" s="1"/>
      <c r="D17" s="168"/>
      <c r="E17" s="91"/>
      <c r="F17" s="168"/>
      <c r="H17" s="169"/>
    </row>
    <row r="18" spans="2:18" ht="12.75" hidden="1" customHeight="1" outlineLevel="1">
      <c r="B18" s="385" t="s">
        <v>2072</v>
      </c>
      <c r="D18" s="91">
        <f ca="1">F18/F10*D10</f>
        <v>-7822.451875041349</v>
      </c>
      <c r="E18" s="91"/>
      <c r="F18" s="431">
        <f>-'Econ Rights'!F10</f>
        <v>-5703.2659999999996</v>
      </c>
      <c r="H18" s="169"/>
    </row>
    <row r="19" spans="2:18" ht="12.75" hidden="1" customHeight="1" outlineLevel="1"/>
    <row r="20" spans="2:18" ht="12.75" hidden="1" customHeight="1" outlineLevel="1">
      <c r="B20" s="1380" t="s">
        <v>2073</v>
      </c>
      <c r="C20" s="1379"/>
      <c r="D20" s="1381">
        <f ca="1">SUM(D16:D18)</f>
        <v>127694.06904776875</v>
      </c>
      <c r="E20" s="1380"/>
      <c r="F20" s="1381">
        <f>SUM(F16:F18)</f>
        <v>125770.56900886176</v>
      </c>
      <c r="G20" s="1379"/>
      <c r="H20" s="1379"/>
    </row>
    <row r="21" spans="2:18" ht="12.75" hidden="1" customHeight="1" outlineLevel="1"/>
    <row r="22" spans="2:18" ht="12.75" customHeight="1" collapsed="1">
      <c r="K22" s="942"/>
      <c r="L22" s="16"/>
      <c r="M22" s="16"/>
      <c r="N22" s="16"/>
      <c r="O22" s="16"/>
      <c r="P22" s="16"/>
      <c r="Q22" s="16"/>
      <c r="R22" s="16"/>
    </row>
    <row r="23" spans="2:18">
      <c r="D23" s="870" t="s">
        <v>45</v>
      </c>
      <c r="K23" s="16"/>
      <c r="L23" s="16"/>
      <c r="M23" s="16"/>
      <c r="N23" s="16"/>
      <c r="O23" s="16"/>
      <c r="P23" s="16"/>
      <c r="Q23" s="16"/>
      <c r="R23" s="16"/>
    </row>
    <row r="24" spans="2:18">
      <c r="D24" s="706" t="str">
        <f ca="1">IF((D16&lt;&gt;'Hybrid OPM 1'!M101),"Check","")</f>
        <v/>
      </c>
      <c r="K24" s="16"/>
      <c r="L24" s="16"/>
      <c r="M24" s="16"/>
      <c r="N24" s="925"/>
      <c r="O24" s="16"/>
      <c r="P24" s="16"/>
      <c r="Q24" s="16"/>
      <c r="R24" s="16"/>
    </row>
    <row r="25" spans="2:18">
      <c r="K25" s="898"/>
      <c r="L25" s="16"/>
      <c r="M25" s="16"/>
      <c r="N25" s="16"/>
      <c r="O25" s="16"/>
      <c r="P25" s="16"/>
      <c r="Q25" s="16"/>
      <c r="R25" s="16"/>
    </row>
    <row r="26" spans="2:18">
      <c r="K26" s="898"/>
      <c r="L26" s="16"/>
      <c r="M26" s="16"/>
      <c r="N26" s="16"/>
      <c r="O26" s="16"/>
      <c r="P26" s="16"/>
      <c r="Q26" s="16"/>
      <c r="R26" s="16"/>
    </row>
    <row r="27" spans="2:18">
      <c r="K27" s="1018"/>
      <c r="L27" s="16"/>
      <c r="M27" s="16"/>
      <c r="N27" s="871"/>
      <c r="O27" s="16"/>
      <c r="P27" s="16"/>
      <c r="Q27" s="16"/>
      <c r="R27" s="16"/>
    </row>
    <row r="28" spans="2:18">
      <c r="K28" s="898"/>
      <c r="L28" s="16"/>
      <c r="M28" s="16"/>
      <c r="N28" s="16"/>
      <c r="O28" s="16"/>
      <c r="P28" s="16"/>
      <c r="Q28" s="16"/>
      <c r="R28" s="16"/>
    </row>
    <row r="29" spans="2:18">
      <c r="K29" s="898"/>
      <c r="L29" s="16"/>
      <c r="M29" s="16"/>
      <c r="N29" s="16"/>
      <c r="O29" s="16"/>
      <c r="P29" s="16"/>
      <c r="Q29" s="16"/>
      <c r="R29" s="16"/>
    </row>
    <row r="30" spans="2:18">
      <c r="K30" s="16"/>
      <c r="L30" s="16"/>
      <c r="M30" s="16"/>
      <c r="N30" s="16"/>
      <c r="O30" s="16"/>
      <c r="P30" s="16"/>
      <c r="Q30" s="16"/>
      <c r="R30" s="16"/>
    </row>
    <row r="31" spans="2:18">
      <c r="K31" s="16"/>
      <c r="L31" s="16"/>
      <c r="M31" s="16"/>
      <c r="N31" s="16"/>
      <c r="O31" s="16"/>
      <c r="P31" s="16"/>
      <c r="Q31" s="16"/>
      <c r="R31" s="16"/>
    </row>
    <row r="32" spans="2:18">
      <c r="K32" s="16"/>
      <c r="L32" s="16"/>
      <c r="M32" s="16"/>
      <c r="N32" s="925"/>
      <c r="O32" s="16"/>
      <c r="P32" s="16"/>
      <c r="Q32" s="16"/>
      <c r="R32" s="16"/>
    </row>
    <row r="33" spans="11:18">
      <c r="K33" s="947"/>
      <c r="L33" s="16"/>
      <c r="M33" s="16"/>
      <c r="N33" s="16"/>
      <c r="O33" s="16"/>
      <c r="P33" s="16"/>
      <c r="Q33" s="16"/>
      <c r="R33" s="16"/>
    </row>
    <row r="34" spans="11:18">
      <c r="K34" s="947"/>
      <c r="L34" s="16"/>
      <c r="M34" s="16"/>
      <c r="N34" s="16"/>
      <c r="O34" s="16"/>
      <c r="P34" s="16"/>
      <c r="Q34" s="16"/>
      <c r="R34" s="16"/>
    </row>
    <row r="35" spans="11:18">
      <c r="K35" s="1019"/>
      <c r="L35" s="16"/>
      <c r="M35" s="16"/>
      <c r="N35" s="871"/>
      <c r="O35" s="16"/>
      <c r="P35" s="16"/>
      <c r="Q35" s="16"/>
      <c r="R35" s="16"/>
    </row>
    <row r="36" spans="11:18">
      <c r="K36" s="947"/>
      <c r="L36" s="16"/>
      <c r="M36" s="16"/>
      <c r="N36" s="16"/>
      <c r="O36" s="16"/>
      <c r="P36" s="16"/>
      <c r="Q36" s="16"/>
      <c r="R36" s="16"/>
    </row>
    <row r="37" spans="11:18">
      <c r="K37" s="947"/>
      <c r="L37" s="16"/>
      <c r="M37" s="16"/>
      <c r="N37" s="16"/>
      <c r="O37" s="16"/>
      <c r="P37" s="16"/>
      <c r="Q37" s="16"/>
      <c r="R37" s="16"/>
    </row>
    <row r="38" spans="11:18">
      <c r="K38" s="16"/>
      <c r="L38" s="16"/>
      <c r="M38" s="16"/>
      <c r="N38" s="16"/>
      <c r="O38" s="16"/>
      <c r="P38" s="16"/>
      <c r="Q38" s="16"/>
      <c r="R38" s="16"/>
    </row>
    <row r="39" spans="11:18">
      <c r="K39" s="16"/>
      <c r="L39" s="16"/>
      <c r="M39" s="16"/>
      <c r="N39" s="16"/>
      <c r="O39" s="16"/>
      <c r="P39" s="16"/>
      <c r="Q39" s="16"/>
      <c r="R39" s="16"/>
    </row>
    <row r="40" spans="11:18">
      <c r="K40" s="16"/>
      <c r="L40" s="16"/>
      <c r="M40" s="16"/>
      <c r="N40" s="16"/>
      <c r="O40" s="16"/>
      <c r="P40" s="16"/>
      <c r="Q40" s="16"/>
      <c r="R40" s="16"/>
    </row>
  </sheetData>
  <dataConsolidate/>
  <conditionalFormatting sqref="B4:G4">
    <cfRule type="cellIs" dxfId="132" priority="9" stopIfTrue="1" operator="equal">
      <formula>"input"</formula>
    </cfRule>
  </conditionalFormatting>
  <conditionalFormatting sqref="H4">
    <cfRule type="cellIs" dxfId="131" priority="1" stopIfTrue="1" operator="equal">
      <formula>"input"</formula>
    </cfRule>
  </conditionalFormatting>
  <conditionalFormatting sqref="H4">
    <cfRule type="cellIs" dxfId="130" priority="2" stopIfTrue="1" operator="equal">
      <formula>"input"</formula>
    </cfRule>
  </conditionalFormatting>
  <pageMargins left="0.5" right="0.5" top="0.5" bottom="0.5" header="0.5" footer="0.5"/>
  <pageSetup fitToWidth="0" fitToHeight="0" orientation="landscape" r:id="rId1"/>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I61"/>
  <sheetViews>
    <sheetView showGridLines="0" view="pageBreakPreview" zoomScaleNormal="100" zoomScaleSheetLayoutView="100" workbookViewId="0"/>
  </sheetViews>
  <sheetFormatPr defaultRowHeight="12.75" outlineLevelRow="1" outlineLevelCol="1"/>
  <cols>
    <col min="1" max="1" width="4.5" style="385" customWidth="1"/>
    <col min="2" max="2" width="42" style="385" customWidth="1"/>
    <col min="3" max="3" width="3.5" style="385" bestFit="1" customWidth="1"/>
    <col min="4" max="4" width="12" style="385" bestFit="1" customWidth="1"/>
    <col min="5" max="5" width="10.83203125" style="385" hidden="1" customWidth="1" outlineLevel="1"/>
    <col min="6" max="7" width="9.83203125" style="385" hidden="1" customWidth="1" outlineLevel="1"/>
    <col min="8" max="8" width="12.83203125" style="385" customWidth="1" collapsed="1"/>
    <col min="9" max="9" width="11.6640625" style="385" bestFit="1" customWidth="1"/>
    <col min="10" max="10" width="9.5" style="385" bestFit="1" customWidth="1"/>
    <col min="11" max="11" width="11.6640625" style="385" bestFit="1" customWidth="1"/>
    <col min="12" max="12" width="2.83203125" style="385" customWidth="1"/>
    <col min="13" max="13" width="10" style="385" bestFit="1" customWidth="1"/>
    <col min="14" max="14" width="8.6640625" style="385" customWidth="1"/>
    <col min="15" max="15" width="10.83203125" style="385" bestFit="1" customWidth="1"/>
    <col min="16" max="16" width="2.83203125" style="20" customWidth="1"/>
    <col min="17" max="17" width="9.83203125" style="385" customWidth="1"/>
    <col min="18" max="18" width="2.83203125" style="385" customWidth="1"/>
    <col min="19" max="19" width="11.6640625" style="385" hidden="1" customWidth="1" outlineLevel="1"/>
    <col min="20" max="23" width="8.83203125" style="385" hidden="1" customWidth="1" outlineLevel="1"/>
    <col min="24" max="24" width="11" style="385" customWidth="1" collapsed="1"/>
    <col min="25" max="25" width="10.1640625" style="385" customWidth="1"/>
    <col min="26" max="26" width="4.5" style="385" customWidth="1"/>
    <col min="27" max="27" width="17.5" style="385" bestFit="1" customWidth="1"/>
    <col min="28" max="28" width="12.33203125" style="385" bestFit="1" customWidth="1"/>
    <col min="29" max="29" width="40" style="385" bestFit="1" customWidth="1"/>
    <col min="30" max="30" width="10.1640625" style="385" bestFit="1" customWidth="1"/>
    <col min="31" max="16384" width="9.33203125" style="385"/>
  </cols>
  <sheetData>
    <row r="1" spans="2:35" ht="10.7" customHeight="1" thickBot="1">
      <c r="P1" s="385"/>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0" t="s">
        <v>22</v>
      </c>
      <c r="AB2" s="271">
        <f>+'Comp.1'!$AM$2</f>
        <v>43312</v>
      </c>
    </row>
    <row r="3" spans="2:35" ht="15.75" customHeight="1">
      <c r="B3" s="11" t="str">
        <f>VLOOKUP(B4,Outline!$E$8:$G$69,COLUMNS(Outline!$E$8:$G$8),FALSE)</f>
        <v>Workpaper #5</v>
      </c>
      <c r="C3" s="11"/>
      <c r="D3" s="11"/>
      <c r="E3" s="11"/>
      <c r="F3" s="11"/>
      <c r="G3" s="11"/>
      <c r="H3" s="11"/>
      <c r="I3" s="11"/>
      <c r="J3" s="11"/>
      <c r="K3" s="11"/>
      <c r="L3" s="11"/>
      <c r="M3" s="11"/>
      <c r="N3" s="11"/>
      <c r="O3" s="11"/>
      <c r="P3" s="11"/>
      <c r="Q3" s="11"/>
      <c r="R3" s="11"/>
      <c r="S3" s="11"/>
      <c r="T3" s="11"/>
      <c r="U3" s="11"/>
      <c r="V3" s="11"/>
      <c r="W3" s="11"/>
      <c r="X3" s="11"/>
      <c r="Y3" s="11"/>
      <c r="AA3" s="194" t="s">
        <v>299</v>
      </c>
      <c r="AB3" s="275" t="str">
        <f>+'Comp.1'!$AM$3</f>
        <v>F</v>
      </c>
    </row>
    <row r="4" spans="2:35" ht="16.5" customHeight="1" thickBot="1">
      <c r="B4" s="12" t="s">
        <v>2081</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4" t="s">
        <v>300</v>
      </c>
      <c r="AB4" s="275" t="str">
        <f>+'Comp.1'!$AM$4</f>
        <v>USD</v>
      </c>
    </row>
    <row r="5" spans="2:35" ht="12.75" customHeight="1" thickTop="1">
      <c r="B5" s="20"/>
      <c r="AA5" s="78" t="s">
        <v>24</v>
      </c>
      <c r="AB5" s="274" t="str">
        <f>+'Comp.1'!$AM$5</f>
        <v>H</v>
      </c>
    </row>
    <row r="6" spans="2:35" ht="12.75" hidden="1" customHeight="1" outlineLevel="1">
      <c r="N6" s="202">
        <f>'Hybrid OPM 1'!D10</f>
        <v>2.6630410958904109</v>
      </c>
      <c r="O6" s="203">
        <f>'Risk-Free Rates'!E42</f>
        <v>2.7329345205479451E-2</v>
      </c>
      <c r="Q6" s="204">
        <f>HLOOKUP(ROUND(N6,0),'Equity Vol'!$D$8:$I$8,1,TRUE)</f>
        <v>3</v>
      </c>
    </row>
    <row r="7" spans="2:35" ht="25.5" customHeight="1" collapsed="1">
      <c r="D7" s="190" t="s">
        <v>26</v>
      </c>
      <c r="E7" s="191"/>
      <c r="F7" s="191"/>
      <c r="G7" s="191"/>
      <c r="H7" s="191"/>
      <c r="I7" s="191"/>
      <c r="J7" s="191"/>
      <c r="K7" s="192"/>
      <c r="M7" s="190" t="s">
        <v>27</v>
      </c>
      <c r="N7" s="191"/>
      <c r="O7" s="191"/>
      <c r="P7" s="205"/>
      <c r="Q7" s="192"/>
      <c r="S7" s="190" t="s">
        <v>28</v>
      </c>
      <c r="T7" s="191"/>
      <c r="U7" s="191"/>
      <c r="V7" s="191"/>
      <c r="W7" s="191"/>
      <c r="X7" s="995" t="s">
        <v>28</v>
      </c>
      <c r="Y7" s="996"/>
    </row>
    <row r="8" spans="2:35" s="6" customFormat="1" ht="25.5">
      <c r="B8" s="460" t="s">
        <v>519</v>
      </c>
      <c r="D8" s="595" t="s">
        <v>29</v>
      </c>
      <c r="E8" s="596" t="s">
        <v>30</v>
      </c>
      <c r="F8" s="596" t="s">
        <v>31</v>
      </c>
      <c r="G8" s="596" t="s">
        <v>32</v>
      </c>
      <c r="H8" s="596" t="s">
        <v>33</v>
      </c>
      <c r="I8" s="596" t="s">
        <v>34</v>
      </c>
      <c r="J8" s="596" t="s">
        <v>35</v>
      </c>
      <c r="K8" s="597" t="s">
        <v>36</v>
      </c>
      <c r="L8" s="298"/>
      <c r="M8" s="595" t="s">
        <v>8</v>
      </c>
      <c r="N8" s="596" t="s">
        <v>37</v>
      </c>
      <c r="O8" s="597" t="s">
        <v>7</v>
      </c>
      <c r="P8" s="580"/>
      <c r="Q8" s="598" t="s">
        <v>38</v>
      </c>
      <c r="R8" s="580"/>
      <c r="S8" s="595" t="s">
        <v>39</v>
      </c>
      <c r="T8" s="596" t="s">
        <v>19</v>
      </c>
      <c r="U8" s="596" t="s">
        <v>20</v>
      </c>
      <c r="V8" s="596" t="s">
        <v>40</v>
      </c>
      <c r="W8" s="596" t="s">
        <v>41</v>
      </c>
      <c r="X8" s="599" t="s">
        <v>42</v>
      </c>
      <c r="Y8" s="597" t="s">
        <v>2875</v>
      </c>
      <c r="AA8" s="86" t="s">
        <v>43</v>
      </c>
      <c r="AB8" s="87" t="s">
        <v>44</v>
      </c>
      <c r="AC8" s="87" t="s">
        <v>45</v>
      </c>
      <c r="AD8" s="88"/>
    </row>
    <row r="9" spans="2:35" ht="12.75" customHeight="1">
      <c r="Y9" s="2160">
        <f>A54</f>
        <v>1</v>
      </c>
    </row>
    <row r="10" spans="2:35" ht="12.75" customHeight="1">
      <c r="B10" s="385" t="str">
        <f>'Comp.1'!B10</f>
        <v>Vertex Pharmaceuticals Incorporated</v>
      </c>
      <c r="D10" s="386">
        <f>'Beta Calc'!K10</f>
        <v>44574.8</v>
      </c>
      <c r="E10" s="386">
        <f>'Beta Calc'!L10</f>
        <v>592.70000000000005</v>
      </c>
      <c r="F10" s="386" t="str">
        <f>'Beta Calc'!M10</f>
        <v xml:space="preserve"> n/a </v>
      </c>
      <c r="G10" s="386">
        <f>'Beta Calc'!N10</f>
        <v>28.7</v>
      </c>
      <c r="H10" s="386">
        <f>SUM(E10:G10)</f>
        <v>621.40000000000009</v>
      </c>
      <c r="I10" s="386">
        <f>SUM(D10:G10)</f>
        <v>45196.2</v>
      </c>
      <c r="J10" s="386">
        <f>'Beta Calc'!Q10</f>
        <v>2767.8</v>
      </c>
      <c r="K10" s="386">
        <f>I10-J10</f>
        <v>42428.399999999994</v>
      </c>
      <c r="M10" s="54">
        <f>IFERROR('Capital IQ Sheet-GPC'!AT13,"n/a")</f>
        <v>0</v>
      </c>
      <c r="N10" s="386">
        <f t="shared" ref="N10:O29" si="0">N$6</f>
        <v>2.6630410958904109</v>
      </c>
      <c r="O10" s="206">
        <f t="shared" si="0"/>
        <v>2.7329345205479451E-2</v>
      </c>
      <c r="P10" s="207"/>
      <c r="Q10" s="208">
        <f>IFERROR(HLOOKUP($Q$6,'Equity Vol'!$B$8:$I10,ROWS('Equity Vol'!$C$8:$C10),FALSE),"n/a")</f>
        <v>0.40100000000000002</v>
      </c>
      <c r="R10" s="44"/>
      <c r="S10" s="209">
        <f>IFERROR(IF(Q10="n/a","n/a",Q10^2),"n/a")</f>
        <v>0.16080100000000003</v>
      </c>
      <c r="T10" s="209">
        <f t="shared" ref="T10" si="1">IF(OR(K10="n/a",S10="n/a"),"n/a",IF(H10=0,0,IF(M10=0,(LN(K10/H10)+((O10+(S10/2))*N10))/((S10*N10)^0.5),(LN(K10/H10)+((O10-M10+(S10/2))*N10))/((S10*N10)^0.5))))</f>
        <v>6.8927122968932437</v>
      </c>
      <c r="U10" s="210">
        <f t="shared" ref="U10" si="2">IF(T10="n/a","n/a",IF(H10=0,0,T10-(S10*N10)^0.5))</f>
        <v>6.2383273404186363</v>
      </c>
      <c r="V10" s="210">
        <f t="shared" ref="V10" si="3">IF(OR(T10="n/a",S10="n/a"),"n/a",IF(H10=0,0,NORMSDIST(T10)))</f>
        <v>0.99999999999726308</v>
      </c>
      <c r="W10" s="210">
        <f t="shared" ref="W10" si="4">IF(OR(U10="n/a",S10="n/a"),"n/a",IF(H10=0,0,NORMSDIST(U10)))</f>
        <v>0.99999999977886278</v>
      </c>
      <c r="X10" s="91">
        <f t="shared" ref="X10" si="5">IF(OR(K10="n/a",S10="n/a"),"n/a",IF(M10=0,(K10*V10)-((H10*EXP(1)^(-O10*N10))*W10),(K10*(2.718^(-M10*N10))*V10)-(H10*(2.718^(-O10*N10))*W10)))</f>
        <v>41850.618466481392</v>
      </c>
      <c r="Y10" s="208">
        <f>IFERROR(IF(LEN(B10)&gt;0,IF(H10=0,Q10,IF(ISERROR(Q10/((K10/X10)*V10)),"n/a",Q10/((K10/X10)*V10)))),"n/a")</f>
        <v>0.39553926155841307</v>
      </c>
      <c r="AA10" s="92" t="str">
        <f>IF('MASTER PubCo Inputs'!B28=0,"",'MASTER PubCo Inputs'!B28)</f>
        <v>NasdaqGS:VRTX</v>
      </c>
      <c r="AB10" s="386">
        <f>'Beta Calc'!Z10</f>
        <v>42428.4</v>
      </c>
      <c r="AC10" s="93">
        <f t="shared" ref="AC10" si="6">K10-AB10</f>
        <v>0</v>
      </c>
      <c r="AI10" s="94"/>
    </row>
    <row r="11" spans="2:35" ht="12.75" customHeight="1">
      <c r="B11" s="385" t="str">
        <f>'Comp.1'!B11</f>
        <v>FibroGen, Inc.</v>
      </c>
      <c r="D11" s="386">
        <f>'Beta Calc'!K11</f>
        <v>5153.3</v>
      </c>
      <c r="E11" s="386">
        <f>'Beta Calc'!L11</f>
        <v>115.4</v>
      </c>
      <c r="F11" s="386" t="str">
        <f>'Beta Calc'!M11</f>
        <v xml:space="preserve"> n/a </v>
      </c>
      <c r="G11" s="386">
        <f>'Beta Calc'!N11</f>
        <v>19.3</v>
      </c>
      <c r="H11" s="386">
        <f t="shared" ref="H11:H29" si="7">SUM(E11:G11)</f>
        <v>134.70000000000002</v>
      </c>
      <c r="I11" s="386">
        <f t="shared" ref="I11:I29" si="8">SUM(D11:G11)</f>
        <v>5288</v>
      </c>
      <c r="J11" s="386">
        <f>'Beta Calc'!Q11</f>
        <v>703.8</v>
      </c>
      <c r="K11" s="386">
        <f t="shared" ref="K11:K29" si="9">I11-J11</f>
        <v>4584.2</v>
      </c>
      <c r="M11" s="54">
        <f>IFERROR('Capital IQ Sheet-GPC'!AT14,"n/a")</f>
        <v>0</v>
      </c>
      <c r="N11" s="386">
        <f t="shared" si="0"/>
        <v>2.6630410958904109</v>
      </c>
      <c r="O11" s="206">
        <f t="shared" si="0"/>
        <v>2.7329345205479451E-2</v>
      </c>
      <c r="P11" s="207"/>
      <c r="Q11" s="208">
        <f>IFERROR(HLOOKUP($Q$6,'Equity Vol'!$B$8:$I11,ROWS('Equity Vol'!$C$8:$C11),FALSE),"n/a")</f>
        <v>0.60099999999999998</v>
      </c>
      <c r="R11" s="44"/>
      <c r="S11" s="209">
        <f t="shared" ref="S11:S29" si="10">IFERROR(IF(Q11="n/a","n/a",Q11^2),"n/a")</f>
        <v>0.36120099999999999</v>
      </c>
      <c r="T11" s="209">
        <f t="shared" ref="T11:T29" si="11">IF(OR(K11="n/a",S11="n/a"),"n/a",IF(H11=0,0,IF(M11=0,(LN(K11/H11)+((O11+(S11/2))*N11))/((S11*N11)^0.5),(LN(K11/H11)+((O11-M11+(S11/2))*N11))/((S11*N11)^0.5))))</f>
        <v>4.1610998744115886</v>
      </c>
      <c r="U11" s="210">
        <f t="shared" ref="U11:U29" si="12">IF(T11="n/a","n/a",IF(H11=0,0,T11-(S11*N11)^0.5))</f>
        <v>3.1803383810419152</v>
      </c>
      <c r="V11" s="210">
        <f t="shared" ref="V11:V29" si="13">IF(OR(T11="n/a",S11="n/a"),"n/a",IF(H11=0,0,NORMSDIST(T11)))</f>
        <v>0.99998416407364676</v>
      </c>
      <c r="W11" s="210">
        <f t="shared" ref="W11:W29" si="14">IF(OR(U11="n/a",S11="n/a"),"n/a",IF(H11=0,0,NORMSDIST(U11)))</f>
        <v>0.99926448415295388</v>
      </c>
      <c r="X11" s="91">
        <f t="shared" ref="X11:X29" si="15">IF(OR(K11="n/a",S11="n/a"),"n/a",IF(M11=0,(K11*V11)-((H11*EXP(1)^(-O11*N11))*W11),(K11*(2.718^(-M11*N11))*V11)-(H11*(2.718^(-O11*N11))*W11)))</f>
        <v>4458.9746378917434</v>
      </c>
      <c r="Y11" s="208">
        <f t="shared" ref="Y11:Y29" si="16">IFERROR(IF(LEN(B11)&gt;0,IF(H11=0,Q11,IF(ISERROR(Q11/((K11/X11)*V11)),"n/a",Q11/((K11/X11)*V11)))),"n/a")</f>
        <v>0.58459190171750142</v>
      </c>
      <c r="AA11" s="92" t="str">
        <f>IF('MASTER PubCo Inputs'!B29=0,"",'MASTER PubCo Inputs'!B29)</f>
        <v>NasdaqGS:FGEN</v>
      </c>
      <c r="AB11" s="386">
        <f>'Beta Calc'!Z11</f>
        <v>4584.3</v>
      </c>
      <c r="AC11" s="93">
        <f t="shared" ref="AC11:AC39" si="17">K11-AB11</f>
        <v>-0.1000000000003638</v>
      </c>
      <c r="AI11" s="94"/>
    </row>
    <row r="12" spans="2:35" ht="12.75" customHeight="1">
      <c r="B12" s="385" t="str">
        <f>'Comp.1'!B12</f>
        <v>Galapagos NV</v>
      </c>
      <c r="D12" s="386">
        <f>'Beta Calc'!K12</f>
        <v>5773</v>
      </c>
      <c r="E12" s="386" t="str">
        <f>'Beta Calc'!L12</f>
        <v xml:space="preserve"> -   </v>
      </c>
      <c r="F12" s="386" t="str">
        <f>'Beta Calc'!M12</f>
        <v xml:space="preserve"> n/a </v>
      </c>
      <c r="G12" s="386" t="str">
        <f>'Beta Calc'!N12</f>
        <v xml:space="preserve"> n/a </v>
      </c>
      <c r="H12" s="386">
        <f t="shared" si="7"/>
        <v>0</v>
      </c>
      <c r="I12" s="386">
        <f t="shared" si="8"/>
        <v>5773</v>
      </c>
      <c r="J12" s="386">
        <f>'Beta Calc'!Q12</f>
        <v>1365.3</v>
      </c>
      <c r="K12" s="386">
        <f t="shared" si="9"/>
        <v>4407.7</v>
      </c>
      <c r="M12" s="54">
        <f>IFERROR('Capital IQ Sheet-GPC'!AT15,"n/a")</f>
        <v>0</v>
      </c>
      <c r="N12" s="386">
        <f t="shared" si="0"/>
        <v>2.6630410958904109</v>
      </c>
      <c r="O12" s="206">
        <f t="shared" si="0"/>
        <v>2.7329345205479451E-2</v>
      </c>
      <c r="P12" s="207"/>
      <c r="Q12" s="208">
        <f>IFERROR(HLOOKUP($Q$6,'Equity Vol'!$B$8:$I12,ROWS('Equity Vol'!$C$8:$C12),FALSE),"n/a")</f>
        <v>0.40200000000000002</v>
      </c>
      <c r="R12" s="44"/>
      <c r="S12" s="209">
        <f t="shared" si="10"/>
        <v>0.16160400000000003</v>
      </c>
      <c r="T12" s="209">
        <f t="shared" si="11"/>
        <v>0</v>
      </c>
      <c r="U12" s="210">
        <f t="shared" si="12"/>
        <v>0</v>
      </c>
      <c r="V12" s="210">
        <f t="shared" si="13"/>
        <v>0</v>
      </c>
      <c r="W12" s="210">
        <f t="shared" si="14"/>
        <v>0</v>
      </c>
      <c r="X12" s="91">
        <f t="shared" si="15"/>
        <v>0</v>
      </c>
      <c r="Y12" s="208">
        <f t="shared" si="16"/>
        <v>0.40200000000000002</v>
      </c>
      <c r="AA12" s="92" t="str">
        <f>IF('MASTER PubCo Inputs'!B30=0,"",'MASTER PubCo Inputs'!B30)</f>
        <v>ENXTAM:GLPG</v>
      </c>
      <c r="AB12" s="386">
        <f>'Beta Calc'!Z12</f>
        <v>4474.8999999999996</v>
      </c>
      <c r="AC12" s="93">
        <f t="shared" si="17"/>
        <v>-67.199999999999818</v>
      </c>
      <c r="AI12" s="94"/>
    </row>
    <row r="13" spans="2:35" ht="12.75" customHeight="1">
      <c r="B13" s="385" t="str">
        <f>'Comp.1'!B13</f>
        <v>Madrigal Pharmaceuticals, Inc.</v>
      </c>
      <c r="D13" s="386">
        <f>'Beta Calc'!K13</f>
        <v>3964.4</v>
      </c>
      <c r="E13" s="386" t="str">
        <f>'Beta Calc'!L13</f>
        <v xml:space="preserve"> -   </v>
      </c>
      <c r="F13" s="386" t="str">
        <f>'Beta Calc'!M13</f>
        <v xml:space="preserve"> n/a </v>
      </c>
      <c r="G13" s="386" t="str">
        <f>'Beta Calc'!N13</f>
        <v xml:space="preserve"> n/a </v>
      </c>
      <c r="H13" s="386">
        <f t="shared" si="7"/>
        <v>0</v>
      </c>
      <c r="I13" s="386">
        <f t="shared" si="8"/>
        <v>3964.4</v>
      </c>
      <c r="J13" s="386">
        <f>'Beta Calc'!Q13</f>
        <v>182.8</v>
      </c>
      <c r="K13" s="386">
        <f t="shared" si="9"/>
        <v>3781.6</v>
      </c>
      <c r="M13" s="54">
        <f>IFERROR('Capital IQ Sheet-GPC'!AT16,"n/a")</f>
        <v>0</v>
      </c>
      <c r="N13" s="386">
        <f t="shared" si="0"/>
        <v>2.6630410958904109</v>
      </c>
      <c r="O13" s="206">
        <f t="shared" si="0"/>
        <v>2.7329345205479451E-2</v>
      </c>
      <c r="P13" s="207"/>
      <c r="Q13" s="208">
        <f>IFERROR(HLOOKUP($Q$6,'Equity Vol'!$B$8:$I13,ROWS('Equity Vol'!$C$8:$C13),FALSE),"n/a")</f>
        <v>1.016</v>
      </c>
      <c r="R13" s="44"/>
      <c r="S13" s="209">
        <f t="shared" si="10"/>
        <v>1.0322560000000001</v>
      </c>
      <c r="T13" s="209">
        <f t="shared" si="11"/>
        <v>0</v>
      </c>
      <c r="U13" s="210">
        <f t="shared" si="12"/>
        <v>0</v>
      </c>
      <c r="V13" s="210">
        <f t="shared" si="13"/>
        <v>0</v>
      </c>
      <c r="W13" s="210">
        <f t="shared" si="14"/>
        <v>0</v>
      </c>
      <c r="X13" s="91">
        <f t="shared" si="15"/>
        <v>0</v>
      </c>
      <c r="Y13" s="208">
        <f t="shared" si="16"/>
        <v>1.016</v>
      </c>
      <c r="AA13" s="92" t="str">
        <f>IF('MASTER PubCo Inputs'!B31=0,"",'MASTER PubCo Inputs'!B31)</f>
        <v>NasdaqCM:MDGL</v>
      </c>
      <c r="AB13" s="386">
        <f>'Beta Calc'!Z13</f>
        <v>3781.5</v>
      </c>
      <c r="AC13" s="93">
        <f t="shared" si="17"/>
        <v>9.9999999999909051E-2</v>
      </c>
      <c r="AI13" s="94"/>
    </row>
    <row r="14" spans="2:35" ht="12.75" customHeight="1">
      <c r="B14" s="385" t="str">
        <f>'Comp.1'!B14</f>
        <v>Intercept Pharmaceuticals, Inc.</v>
      </c>
      <c r="D14" s="386">
        <f>'Beta Calc'!K14</f>
        <v>2630.5</v>
      </c>
      <c r="E14" s="386">
        <f>'Beta Calc'!L14</f>
        <v>359.4</v>
      </c>
      <c r="F14" s="386" t="str">
        <f>'Beta Calc'!M14</f>
        <v xml:space="preserve"> n/a </v>
      </c>
      <c r="G14" s="386" t="str">
        <f>'Beta Calc'!N14</f>
        <v xml:space="preserve"> n/a </v>
      </c>
      <c r="H14" s="386">
        <f t="shared" si="7"/>
        <v>359.4</v>
      </c>
      <c r="I14" s="386">
        <f t="shared" si="8"/>
        <v>2989.9</v>
      </c>
      <c r="J14" s="386">
        <f>'Beta Calc'!Q14</f>
        <v>326.10000000000002</v>
      </c>
      <c r="K14" s="386">
        <f t="shared" si="9"/>
        <v>2663.8</v>
      </c>
      <c r="M14" s="54">
        <f>IFERROR('Capital IQ Sheet-GPC'!AT17,"n/a")</f>
        <v>0</v>
      </c>
      <c r="N14" s="386">
        <f t="shared" si="0"/>
        <v>2.6630410958904109</v>
      </c>
      <c r="O14" s="206">
        <f t="shared" si="0"/>
        <v>2.7329345205479451E-2</v>
      </c>
      <c r="P14" s="207"/>
      <c r="Q14" s="208">
        <f>IFERROR(HLOOKUP($Q$6,'Equity Vol'!$B$8:$I14,ROWS('Equity Vol'!$C$8:$C14),FALSE),"n/a")</f>
        <v>0.6</v>
      </c>
      <c r="R14" s="44"/>
      <c r="S14" s="209">
        <f t="shared" si="10"/>
        <v>0.36</v>
      </c>
      <c r="T14" s="209">
        <f t="shared" si="11"/>
        <v>2.6096642550679019</v>
      </c>
      <c r="U14" s="210">
        <f t="shared" si="12"/>
        <v>1.6305346443827036</v>
      </c>
      <c r="V14" s="210">
        <f t="shared" si="13"/>
        <v>0.99546844377146781</v>
      </c>
      <c r="W14" s="210">
        <f t="shared" si="14"/>
        <v>0.9485057253507132</v>
      </c>
      <c r="X14" s="91">
        <f t="shared" si="15"/>
        <v>2334.7644763980734</v>
      </c>
      <c r="Y14" s="208">
        <f t="shared" si="16"/>
        <v>0.52828127236605538</v>
      </c>
      <c r="AA14" s="92" t="str">
        <f>IF('MASTER PubCo Inputs'!B32=0,"",'MASTER PubCo Inputs'!B32)</f>
        <v>NasdaqGS:ICPT</v>
      </c>
      <c r="AB14" s="386">
        <f>'Beta Calc'!Z14</f>
        <v>2663.9</v>
      </c>
      <c r="AC14" s="93">
        <f t="shared" si="17"/>
        <v>-9.9999999999909051E-2</v>
      </c>
      <c r="AI14" s="94"/>
    </row>
    <row r="15" spans="2:35" ht="12.75" customHeight="1">
      <c r="B15" s="385" t="str">
        <f>'Comp.1'!B15</f>
        <v>Insmed Incorporated</v>
      </c>
      <c r="D15" s="386">
        <f>'Beta Calc'!K15</f>
        <v>1863.5</v>
      </c>
      <c r="E15" s="386">
        <f>'Beta Calc'!L15</f>
        <v>302.7</v>
      </c>
      <c r="F15" s="386" t="str">
        <f>'Beta Calc'!M15</f>
        <v xml:space="preserve"> n/a </v>
      </c>
      <c r="G15" s="386" t="str">
        <f>'Beta Calc'!N15</f>
        <v xml:space="preserve"> n/a </v>
      </c>
      <c r="H15" s="386">
        <f t="shared" si="7"/>
        <v>302.7</v>
      </c>
      <c r="I15" s="386">
        <f t="shared" si="8"/>
        <v>2166.1999999999998</v>
      </c>
      <c r="J15" s="386">
        <f>'Beta Calc'!Q15</f>
        <v>686.6</v>
      </c>
      <c r="K15" s="386">
        <f t="shared" si="9"/>
        <v>1479.6</v>
      </c>
      <c r="M15" s="54">
        <f>IFERROR('Capital IQ Sheet-GPC'!AT18,"n/a")</f>
        <v>0</v>
      </c>
      <c r="N15" s="386">
        <f t="shared" si="0"/>
        <v>2.6630410958904109</v>
      </c>
      <c r="O15" s="206">
        <f t="shared" si="0"/>
        <v>2.7329345205479451E-2</v>
      </c>
      <c r="P15" s="207"/>
      <c r="Q15" s="208">
        <f>IFERROR(HLOOKUP($Q$6,'Equity Vol'!$B$8:$I15,ROWS('Equity Vol'!$C$8:$C15),FALSE),"n/a")</f>
        <v>0.69899999999999995</v>
      </c>
      <c r="R15" s="44"/>
      <c r="S15" s="209">
        <f t="shared" si="10"/>
        <v>0.48860099999999995</v>
      </c>
      <c r="T15" s="209">
        <f t="shared" si="11"/>
        <v>2.0252254273097514</v>
      </c>
      <c r="U15" s="210">
        <f t="shared" si="12"/>
        <v>0.88453943086149556</v>
      </c>
      <c r="V15" s="210">
        <f t="shared" si="13"/>
        <v>0.97857788907688004</v>
      </c>
      <c r="W15" s="210">
        <f t="shared" si="14"/>
        <v>0.81179745667517389</v>
      </c>
      <c r="X15" s="91">
        <f t="shared" si="15"/>
        <v>1219.421569019009</v>
      </c>
      <c r="Y15" s="208">
        <f t="shared" si="16"/>
        <v>0.58869632805882788</v>
      </c>
      <c r="AA15" s="92" t="str">
        <f>IF('MASTER PubCo Inputs'!B33=0,"",'MASTER PubCo Inputs'!B33)</f>
        <v>NasdaqGS:INSM</v>
      </c>
      <c r="AB15" s="386">
        <f>'Beta Calc'!Z15</f>
        <v>1479.6</v>
      </c>
      <c r="AC15" s="93">
        <f t="shared" si="17"/>
        <v>0</v>
      </c>
      <c r="AI15" s="94"/>
    </row>
    <row r="16" spans="2:35" ht="12.75" customHeight="1">
      <c r="B16" s="385" t="str">
        <f>'Comp.1'!B16</f>
        <v>Genfit SA</v>
      </c>
      <c r="D16" s="386">
        <f>'Beta Calc'!K16</f>
        <v>882.5</v>
      </c>
      <c r="E16" s="386">
        <f>'Beta Calc'!L16</f>
        <v>196.6</v>
      </c>
      <c r="F16" s="386" t="str">
        <f>'Beta Calc'!M16</f>
        <v xml:space="preserve"> n/a </v>
      </c>
      <c r="G16" s="386" t="str">
        <f>'Beta Calc'!N16</f>
        <v xml:space="preserve"> n/a </v>
      </c>
      <c r="H16" s="386">
        <f t="shared" si="7"/>
        <v>196.6</v>
      </c>
      <c r="I16" s="386">
        <f t="shared" si="8"/>
        <v>1079.0999999999999</v>
      </c>
      <c r="J16" s="386">
        <f>'Beta Calc'!Q16</f>
        <v>328.8</v>
      </c>
      <c r="K16" s="386">
        <f t="shared" si="9"/>
        <v>750.3</v>
      </c>
      <c r="M16" s="54">
        <f>IFERROR('Capital IQ Sheet-GPC'!AT19,"n/a")</f>
        <v>0</v>
      </c>
      <c r="N16" s="386">
        <f t="shared" si="0"/>
        <v>2.6630410958904109</v>
      </c>
      <c r="O16" s="206">
        <f t="shared" si="0"/>
        <v>2.7329345205479451E-2</v>
      </c>
      <c r="P16" s="207"/>
      <c r="Q16" s="208">
        <f>IFERROR(HLOOKUP($Q$6,'Equity Vol'!$B$8:$I16,ROWS('Equity Vol'!$C$8:$C16),FALSE),"n/a")</f>
        <v>0.48599999999999999</v>
      </c>
      <c r="R16" s="44"/>
      <c r="S16" s="209">
        <f t="shared" si="10"/>
        <v>0.23619599999999999</v>
      </c>
      <c r="T16" s="209">
        <f t="shared" si="11"/>
        <v>2.1770165604288843</v>
      </c>
      <c r="U16" s="210">
        <f t="shared" si="12"/>
        <v>1.3839215757738736</v>
      </c>
      <c r="V16" s="210">
        <f t="shared" si="13"/>
        <v>0.98526033407083702</v>
      </c>
      <c r="W16" s="210">
        <f t="shared" si="14"/>
        <v>0.91680876526062505</v>
      </c>
      <c r="X16" s="91">
        <f t="shared" si="15"/>
        <v>571.64829039059805</v>
      </c>
      <c r="Y16" s="208">
        <f t="shared" si="16"/>
        <v>0.37581943307423682</v>
      </c>
      <c r="AA16" s="92" t="str">
        <f>IF('MASTER PubCo Inputs'!B34=0,"",'MASTER PubCo Inputs'!B34)</f>
        <v>ENXTPA:GNFT</v>
      </c>
      <c r="AB16" s="386">
        <f>'Beta Calc'!Z16</f>
        <v>753.6</v>
      </c>
      <c r="AC16" s="93">
        <f t="shared" si="17"/>
        <v>-3.3000000000000682</v>
      </c>
      <c r="AI16" s="94"/>
    </row>
    <row r="17" spans="2:35" ht="12.75" customHeight="1">
      <c r="B17" s="385" t="str">
        <f>'Comp.1'!B17</f>
        <v>Kadmon Holdings, Inc.</v>
      </c>
      <c r="D17" s="386">
        <f>'Beta Calc'!K17</f>
        <v>365.5</v>
      </c>
      <c r="E17" s="386">
        <f>'Beta Calc'!L17</f>
        <v>33.1</v>
      </c>
      <c r="F17" s="386">
        <f>'Beta Calc'!M17</f>
        <v>40.700000000000003</v>
      </c>
      <c r="G17" s="386" t="str">
        <f>'Beta Calc'!N17</f>
        <v xml:space="preserve"> n/a </v>
      </c>
      <c r="H17" s="386">
        <f t="shared" si="7"/>
        <v>73.800000000000011</v>
      </c>
      <c r="I17" s="386">
        <f t="shared" si="8"/>
        <v>439.3</v>
      </c>
      <c r="J17" s="386">
        <f>'Beta Calc'!Q17</f>
        <v>49.2</v>
      </c>
      <c r="K17" s="386">
        <f t="shared" si="9"/>
        <v>390.1</v>
      </c>
      <c r="M17" s="54">
        <f>IFERROR('Capital IQ Sheet-GPC'!AT20,"n/a")</f>
        <v>0</v>
      </c>
      <c r="N17" s="386">
        <f t="shared" si="0"/>
        <v>2.6630410958904109</v>
      </c>
      <c r="O17" s="206">
        <f t="shared" si="0"/>
        <v>2.7329345205479451E-2</v>
      </c>
      <c r="P17" s="207"/>
      <c r="Q17" s="208">
        <f>IFERROR(HLOOKUP($Q$6,'Equity Vol'!$B$8:$I17,ROWS('Equity Vol'!$C$8:$C17),FALSE),"n/a")</f>
        <v>0.67200000000000004</v>
      </c>
      <c r="R17" s="44"/>
      <c r="S17" s="209">
        <f t="shared" si="10"/>
        <v>0.45158400000000004</v>
      </c>
      <c r="T17" s="209">
        <f t="shared" si="11"/>
        <v>2.133014092958502</v>
      </c>
      <c r="U17" s="210">
        <f t="shared" si="12"/>
        <v>1.0363889289910799</v>
      </c>
      <c r="V17" s="210">
        <f t="shared" si="13"/>
        <v>0.98353821493381044</v>
      </c>
      <c r="W17" s="210">
        <f t="shared" si="14"/>
        <v>0.84998963340479816</v>
      </c>
      <c r="X17" s="91">
        <f t="shared" si="15"/>
        <v>325.3522300244058</v>
      </c>
      <c r="Y17" s="208">
        <f t="shared" si="16"/>
        <v>0.56984385802311499</v>
      </c>
      <c r="AA17" s="92" t="str">
        <f>IF('MASTER PubCo Inputs'!B35=0,"",'MASTER PubCo Inputs'!B35)</f>
        <v>NYSE:KDMN</v>
      </c>
      <c r="AB17" s="386">
        <f>'Beta Calc'!Z17</f>
        <v>390.1</v>
      </c>
      <c r="AC17" s="93">
        <f t="shared" si="17"/>
        <v>0</v>
      </c>
      <c r="AI17" s="94"/>
    </row>
    <row r="18" spans="2:35" ht="12.75" customHeight="1">
      <c r="B18" s="385" t="str">
        <f>'Comp.1'!B18</f>
        <v>MediciNova, Inc.</v>
      </c>
      <c r="D18" s="386">
        <f>'Beta Calc'!K18</f>
        <v>398.7</v>
      </c>
      <c r="E18" s="386" t="str">
        <f>'Beta Calc'!L18</f>
        <v xml:space="preserve"> -   </v>
      </c>
      <c r="F18" s="386" t="str">
        <f>'Beta Calc'!M18</f>
        <v xml:space="preserve"> n/a </v>
      </c>
      <c r="G18" s="386" t="str">
        <f>'Beta Calc'!N18</f>
        <v xml:space="preserve"> n/a </v>
      </c>
      <c r="H18" s="386">
        <f t="shared" si="7"/>
        <v>0</v>
      </c>
      <c r="I18" s="386">
        <f t="shared" si="8"/>
        <v>398.7</v>
      </c>
      <c r="J18" s="386">
        <f>'Beta Calc'!Q18</f>
        <v>64.2</v>
      </c>
      <c r="K18" s="386">
        <f t="shared" si="9"/>
        <v>334.5</v>
      </c>
      <c r="M18" s="54">
        <f>IFERROR('Capital IQ Sheet-GPC'!AT21,"n/a")</f>
        <v>0</v>
      </c>
      <c r="N18" s="386">
        <f t="shared" si="0"/>
        <v>2.6630410958904109</v>
      </c>
      <c r="O18" s="206">
        <f t="shared" si="0"/>
        <v>2.7329345205479451E-2</v>
      </c>
      <c r="P18" s="207"/>
      <c r="Q18" s="208">
        <f>IFERROR(HLOOKUP($Q$6,'Equity Vol'!$B$8:$I18,ROWS('Equity Vol'!$C$8:$C18),FALSE),"n/a")</f>
        <v>0.54200000000000004</v>
      </c>
      <c r="R18" s="44"/>
      <c r="S18" s="209">
        <f t="shared" si="10"/>
        <v>0.29376400000000003</v>
      </c>
      <c r="T18" s="209">
        <f t="shared" si="11"/>
        <v>0</v>
      </c>
      <c r="U18" s="210">
        <f t="shared" si="12"/>
        <v>0</v>
      </c>
      <c r="V18" s="210">
        <f t="shared" si="13"/>
        <v>0</v>
      </c>
      <c r="W18" s="210">
        <f t="shared" si="14"/>
        <v>0</v>
      </c>
      <c r="X18" s="91">
        <f t="shared" si="15"/>
        <v>0</v>
      </c>
      <c r="Y18" s="208">
        <f t="shared" si="16"/>
        <v>0.54200000000000004</v>
      </c>
      <c r="AA18" s="92" t="str">
        <f>IF('MASTER PubCo Inputs'!B36=0,"",'MASTER PubCo Inputs'!B36)</f>
        <v>NasdaqGM:MNOV</v>
      </c>
      <c r="AB18" s="386">
        <f>'Beta Calc'!Z18</f>
        <v>334.5</v>
      </c>
      <c r="AC18" s="93">
        <f t="shared" si="17"/>
        <v>0</v>
      </c>
      <c r="AI18" s="94"/>
    </row>
    <row r="19" spans="2:35" ht="12.75" customHeight="1">
      <c r="B19" s="385" t="str">
        <f>'Comp.1'!B19</f>
        <v>Savara Inc.</v>
      </c>
      <c r="D19" s="386">
        <f>'Beta Calc'!K19</f>
        <v>393.3</v>
      </c>
      <c r="E19" s="386">
        <f>'Beta Calc'!L19</f>
        <v>15.2</v>
      </c>
      <c r="F19" s="386" t="str">
        <f>'Beta Calc'!M19</f>
        <v xml:space="preserve"> n/a </v>
      </c>
      <c r="G19" s="386" t="str">
        <f>'Beta Calc'!N19</f>
        <v xml:space="preserve"> n/a </v>
      </c>
      <c r="H19" s="386">
        <f t="shared" si="7"/>
        <v>15.2</v>
      </c>
      <c r="I19" s="386">
        <f t="shared" si="8"/>
        <v>408.5</v>
      </c>
      <c r="J19" s="386">
        <f>'Beta Calc'!Q19</f>
        <v>85.2</v>
      </c>
      <c r="K19" s="386">
        <f t="shared" si="9"/>
        <v>323.3</v>
      </c>
      <c r="M19" s="54">
        <f>IFERROR('Capital IQ Sheet-GPC'!AT22,"n/a")</f>
        <v>0</v>
      </c>
      <c r="N19" s="386">
        <f t="shared" si="0"/>
        <v>2.6630410958904109</v>
      </c>
      <c r="O19" s="206">
        <f t="shared" si="0"/>
        <v>2.7329345205479451E-2</v>
      </c>
      <c r="P19" s="207"/>
      <c r="Q19" s="208">
        <f>IFERROR(HLOOKUP($Q$6,'Equity Vol'!$B$8:$I19,ROWS('Equity Vol'!$C$8:$C19),FALSE),"n/a")</f>
        <v>0.628</v>
      </c>
      <c r="R19" s="44"/>
      <c r="S19" s="209">
        <f t="shared" si="10"/>
        <v>0.39438400000000001</v>
      </c>
      <c r="T19" s="209">
        <f t="shared" si="11"/>
        <v>3.5666619801949309</v>
      </c>
      <c r="U19" s="210">
        <f t="shared" si="12"/>
        <v>2.5418396543444235</v>
      </c>
      <c r="V19" s="210">
        <f t="shared" si="13"/>
        <v>0.99981922132008438</v>
      </c>
      <c r="W19" s="210">
        <f t="shared" si="14"/>
        <v>0.99448646259967544</v>
      </c>
      <c r="X19" s="91">
        <f t="shared" si="15"/>
        <v>309.18642408827446</v>
      </c>
      <c r="Y19" s="208">
        <f t="shared" si="16"/>
        <v>0.60069341881579708</v>
      </c>
      <c r="AA19" s="92" t="str">
        <f>IF('MASTER PubCo Inputs'!B37=0,"",'MASTER PubCo Inputs'!B37)</f>
        <v>NasdaqGS:SVRA</v>
      </c>
      <c r="AB19" s="386">
        <f>'Beta Calc'!Z19</f>
        <v>323.39999999999998</v>
      </c>
      <c r="AC19" s="93">
        <f t="shared" si="17"/>
        <v>-9.9999999999965894E-2</v>
      </c>
      <c r="AI19" s="94"/>
    </row>
    <row r="20" spans="2:35" ht="12.75" customHeight="1">
      <c r="B20" s="385" t="str">
        <f>'Comp.1'!B20</f>
        <v>Galmed Pharmaceuticals Ltd.</v>
      </c>
      <c r="D20" s="386">
        <f>'Beta Calc'!K20</f>
        <v>289.7</v>
      </c>
      <c r="E20" s="386" t="str">
        <f>'Beta Calc'!L20</f>
        <v xml:space="preserve"> -   </v>
      </c>
      <c r="F20" s="386" t="str">
        <f>'Beta Calc'!M20</f>
        <v xml:space="preserve"> n/a </v>
      </c>
      <c r="G20" s="386" t="str">
        <f>'Beta Calc'!N20</f>
        <v xml:space="preserve"> n/a </v>
      </c>
      <c r="H20" s="386">
        <f t="shared" si="7"/>
        <v>0</v>
      </c>
      <c r="I20" s="386">
        <f t="shared" si="8"/>
        <v>289.7</v>
      </c>
      <c r="J20" s="386">
        <f>'Beta Calc'!Q20</f>
        <v>15.5</v>
      </c>
      <c r="K20" s="386">
        <f t="shared" si="9"/>
        <v>274.2</v>
      </c>
      <c r="M20" s="54">
        <f>IFERROR('Capital IQ Sheet-GPC'!AT23,"n/a")</f>
        <v>0</v>
      </c>
      <c r="N20" s="386">
        <f t="shared" si="0"/>
        <v>2.6630410958904109</v>
      </c>
      <c r="O20" s="206">
        <f t="shared" si="0"/>
        <v>2.7329345205479451E-2</v>
      </c>
      <c r="P20" s="207"/>
      <c r="Q20" s="208">
        <f>IFERROR(HLOOKUP($Q$6,'Equity Vol'!$B$8:$I20,ROWS('Equity Vol'!$C$8:$C20),FALSE),"n/a")</f>
        <v>0.97699999999999998</v>
      </c>
      <c r="R20" s="44"/>
      <c r="S20" s="209">
        <f t="shared" si="10"/>
        <v>0.95452899999999996</v>
      </c>
      <c r="T20" s="209">
        <f t="shared" si="11"/>
        <v>0</v>
      </c>
      <c r="U20" s="210">
        <f t="shared" si="12"/>
        <v>0</v>
      </c>
      <c r="V20" s="210">
        <f t="shared" si="13"/>
        <v>0</v>
      </c>
      <c r="W20" s="210">
        <f t="shared" si="14"/>
        <v>0</v>
      </c>
      <c r="X20" s="91">
        <f t="shared" si="15"/>
        <v>0</v>
      </c>
      <c r="Y20" s="208">
        <f t="shared" si="16"/>
        <v>0.97699999999999998</v>
      </c>
      <c r="AA20" s="92" t="str">
        <f>IF('MASTER PubCo Inputs'!B38=0,"",'MASTER PubCo Inputs'!B38)</f>
        <v>NasdaqCM:GLMD</v>
      </c>
      <c r="AB20" s="386">
        <f>'Beta Calc'!Z20</f>
        <v>274.2</v>
      </c>
      <c r="AC20" s="93">
        <f t="shared" si="17"/>
        <v>0</v>
      </c>
      <c r="AI20" s="94"/>
    </row>
    <row r="21" spans="2:35" ht="12.75" customHeight="1">
      <c r="B21" s="385" t="str">
        <f>'Comp.1'!B21</f>
        <v>Galectin Therapeutics, Inc.</v>
      </c>
      <c r="D21" s="386">
        <f>'Beta Calc'!K21</f>
        <v>202.3</v>
      </c>
      <c r="E21" s="386" t="str">
        <f>'Beta Calc'!L21</f>
        <v xml:space="preserve"> -   </v>
      </c>
      <c r="F21" s="386">
        <f>'Beta Calc'!M21</f>
        <v>9</v>
      </c>
      <c r="G21" s="386" t="str">
        <f>'Beta Calc'!N21</f>
        <v xml:space="preserve"> n/a </v>
      </c>
      <c r="H21" s="386">
        <f t="shared" si="7"/>
        <v>9</v>
      </c>
      <c r="I21" s="386">
        <f t="shared" si="8"/>
        <v>211.3</v>
      </c>
      <c r="J21" s="386">
        <f>'Beta Calc'!Q21</f>
        <v>4</v>
      </c>
      <c r="K21" s="386">
        <f t="shared" si="9"/>
        <v>207.3</v>
      </c>
      <c r="M21" s="54">
        <f>IFERROR('Capital IQ Sheet-GPC'!AT24,"n/a")</f>
        <v>0</v>
      </c>
      <c r="N21" s="386">
        <f t="shared" si="0"/>
        <v>2.6630410958904109</v>
      </c>
      <c r="O21" s="206">
        <f t="shared" si="0"/>
        <v>2.7329345205479451E-2</v>
      </c>
      <c r="P21" s="207"/>
      <c r="Q21" s="208">
        <f>IFERROR(HLOOKUP($Q$6,'Equity Vol'!$B$8:$I21,ROWS('Equity Vol'!$C$8:$C21),FALSE),"n/a")</f>
        <v>1.0489999999999999</v>
      </c>
      <c r="R21" s="44"/>
      <c r="S21" s="209">
        <f t="shared" si="10"/>
        <v>1.100401</v>
      </c>
      <c r="T21" s="209">
        <f t="shared" si="11"/>
        <v>2.7309296862335684</v>
      </c>
      <c r="U21" s="210">
        <f t="shared" si="12"/>
        <v>1.0190847502189466</v>
      </c>
      <c r="V21" s="210">
        <f t="shared" si="13"/>
        <v>0.99684220277511115</v>
      </c>
      <c r="W21" s="210">
        <f t="shared" si="14"/>
        <v>0.84591863335187323</v>
      </c>
      <c r="X21" s="91">
        <f t="shared" si="15"/>
        <v>199.56652560506058</v>
      </c>
      <c r="Y21" s="208">
        <f t="shared" si="16"/>
        <v>1.0130653615948486</v>
      </c>
      <c r="AA21" s="92" t="str">
        <f>IF('MASTER PubCo Inputs'!B39=0,"",'MASTER PubCo Inputs'!B39)</f>
        <v>NasdaqCM:GALT</v>
      </c>
      <c r="AB21" s="386">
        <f>'Beta Calc'!Z21</f>
        <v>207.3</v>
      </c>
      <c r="AC21" s="93">
        <f t="shared" si="17"/>
        <v>0</v>
      </c>
      <c r="AI21" s="94"/>
    </row>
    <row r="22" spans="2:35" ht="12.75" customHeight="1">
      <c r="B22" s="385" t="str">
        <f>'Comp.1'!B22</f>
        <v>Corbus Pharmaceuticals Holdings, Inc.</v>
      </c>
      <c r="D22" s="386">
        <f>'Beta Calc'!K22</f>
        <v>274.3</v>
      </c>
      <c r="E22" s="386">
        <f>'Beta Calc'!L22</f>
        <v>0.2</v>
      </c>
      <c r="F22" s="386" t="str">
        <f>'Beta Calc'!M22</f>
        <v xml:space="preserve"> n/a </v>
      </c>
      <c r="G22" s="386" t="str">
        <f>'Beta Calc'!N22</f>
        <v xml:space="preserve"> n/a </v>
      </c>
      <c r="H22" s="386">
        <f t="shared" si="7"/>
        <v>0.2</v>
      </c>
      <c r="I22" s="386">
        <f t="shared" si="8"/>
        <v>274.5</v>
      </c>
      <c r="J22" s="386">
        <f>'Beta Calc'!Q22</f>
        <v>71</v>
      </c>
      <c r="K22" s="386">
        <f t="shared" si="9"/>
        <v>203.5</v>
      </c>
      <c r="M22" s="54">
        <f>IFERROR('Capital IQ Sheet-GPC'!AT25,"n/a")</f>
        <v>0</v>
      </c>
      <c r="N22" s="386">
        <f t="shared" si="0"/>
        <v>2.6630410958904109</v>
      </c>
      <c r="O22" s="206">
        <f t="shared" si="0"/>
        <v>2.7329345205479451E-2</v>
      </c>
      <c r="P22" s="207"/>
      <c r="Q22" s="208">
        <f>IFERROR(HLOOKUP($Q$6,'Equity Vol'!$B$8:$I22,ROWS('Equity Vol'!$C$8:$C22),FALSE),"n/a")</f>
        <v>0.79900000000000004</v>
      </c>
      <c r="R22" s="44"/>
      <c r="S22" s="209">
        <f t="shared" si="10"/>
        <v>0.63840100000000011</v>
      </c>
      <c r="T22" s="209">
        <f t="shared" si="11"/>
        <v>6.0189293916915547</v>
      </c>
      <c r="U22" s="210">
        <f t="shared" si="12"/>
        <v>4.7150551267957654</v>
      </c>
      <c r="V22" s="210">
        <f t="shared" si="13"/>
        <v>0.99999999912212789</v>
      </c>
      <c r="W22" s="210">
        <f t="shared" si="14"/>
        <v>0.99999879177341877</v>
      </c>
      <c r="X22" s="91">
        <f t="shared" si="15"/>
        <v>203.31403881863682</v>
      </c>
      <c r="Y22" s="208">
        <f t="shared" si="16"/>
        <v>0.79826986318771165</v>
      </c>
      <c r="AA22" s="92" t="str">
        <f>IF('MASTER PubCo Inputs'!B40=0,"",'MASTER PubCo Inputs'!B40)</f>
        <v>NasdaqGM:CRBP</v>
      </c>
      <c r="AB22" s="386">
        <f>'Beta Calc'!Z22</f>
        <v>203.5</v>
      </c>
      <c r="AC22" s="93">
        <f t="shared" si="17"/>
        <v>0</v>
      </c>
      <c r="AI22" s="94"/>
    </row>
    <row r="23" spans="2:35" ht="12.75" customHeight="1">
      <c r="B23" s="385" t="str">
        <f>'Comp.1'!B23</f>
        <v>ProQR Therapeutics N.V.</v>
      </c>
      <c r="D23" s="386">
        <f>'Beta Calc'!K23</f>
        <v>212.3</v>
      </c>
      <c r="E23" s="386">
        <f>'Beta Calc'!L23</f>
        <v>8.6999999999999993</v>
      </c>
      <c r="F23" s="386" t="str">
        <f>'Beta Calc'!M23</f>
        <v xml:space="preserve"> n/a </v>
      </c>
      <c r="G23" s="386">
        <f>'Beta Calc'!N23</f>
        <v>0</v>
      </c>
      <c r="H23" s="386">
        <f t="shared" si="7"/>
        <v>8.6999999999999993</v>
      </c>
      <c r="I23" s="386">
        <f t="shared" si="8"/>
        <v>221</v>
      </c>
      <c r="J23" s="386">
        <f>'Beta Calc'!Q23</f>
        <v>57.8</v>
      </c>
      <c r="K23" s="386">
        <f t="shared" si="9"/>
        <v>163.19999999999999</v>
      </c>
      <c r="M23" s="54">
        <f>IFERROR('Capital IQ Sheet-GPC'!AT26,"n/a")</f>
        <v>0</v>
      </c>
      <c r="N23" s="386">
        <f t="shared" si="0"/>
        <v>2.6630410958904109</v>
      </c>
      <c r="O23" s="206">
        <f t="shared" si="0"/>
        <v>2.7329345205479451E-2</v>
      </c>
      <c r="P23" s="207"/>
      <c r="Q23" s="208">
        <f>IFERROR(HLOOKUP($Q$6,'Equity Vol'!$B$8:$I23,ROWS('Equity Vol'!$C$8:$C23),FALSE),"n/a")</f>
        <v>0.73199999999999998</v>
      </c>
      <c r="R23" s="44"/>
      <c r="S23" s="209">
        <f t="shared" si="10"/>
        <v>0.53582399999999997</v>
      </c>
      <c r="T23" s="209">
        <f t="shared" si="11"/>
        <v>3.1124107087379582</v>
      </c>
      <c r="U23" s="210">
        <f t="shared" si="12"/>
        <v>1.9178725837020163</v>
      </c>
      <c r="V23" s="210">
        <f t="shared" si="13"/>
        <v>0.99907216930213172</v>
      </c>
      <c r="W23" s="210">
        <f t="shared" si="14"/>
        <v>0.97243641531902669</v>
      </c>
      <c r="X23" s="91">
        <f t="shared" si="15"/>
        <v>155.18223511291762</v>
      </c>
      <c r="Y23" s="208">
        <f t="shared" si="16"/>
        <v>0.6966843714618598</v>
      </c>
      <c r="AA23" s="92" t="str">
        <f>IF('MASTER PubCo Inputs'!B41=0,"",'MASTER PubCo Inputs'!B41)</f>
        <v>NasdaqGM:PRQR</v>
      </c>
      <c r="AB23" s="386">
        <f>'Beta Calc'!Z23</f>
        <v>174.9</v>
      </c>
      <c r="AC23" s="93">
        <f t="shared" si="17"/>
        <v>-11.700000000000017</v>
      </c>
      <c r="AI23" s="94"/>
    </row>
    <row r="24" spans="2:35" ht="12.75" customHeight="1">
      <c r="B24" s="385" t="str">
        <f>'Comp.1'!B24</f>
        <v>Miragen Therapeutics, Inc.</v>
      </c>
      <c r="D24" s="386">
        <f>'Beta Calc'!K24</f>
        <v>194.7</v>
      </c>
      <c r="E24" s="386">
        <f>'Beta Calc'!L24</f>
        <v>10</v>
      </c>
      <c r="F24" s="386" t="str">
        <f>'Beta Calc'!M24</f>
        <v xml:space="preserve"> n/a </v>
      </c>
      <c r="G24" s="386" t="str">
        <f>'Beta Calc'!N24</f>
        <v xml:space="preserve"> n/a </v>
      </c>
      <c r="H24" s="386">
        <f t="shared" si="7"/>
        <v>10</v>
      </c>
      <c r="I24" s="386">
        <f t="shared" si="8"/>
        <v>204.7</v>
      </c>
      <c r="J24" s="386">
        <f>'Beta Calc'!Q24</f>
        <v>78.099999999999994</v>
      </c>
      <c r="K24" s="386">
        <f t="shared" si="9"/>
        <v>126.6</v>
      </c>
      <c r="M24" s="54">
        <f>IFERROR('Capital IQ Sheet-GPC'!AT27,"n/a")</f>
        <v>0</v>
      </c>
      <c r="N24" s="386">
        <f t="shared" si="0"/>
        <v>2.6630410958904109</v>
      </c>
      <c r="O24" s="206">
        <f t="shared" si="0"/>
        <v>2.7329345205479451E-2</v>
      </c>
      <c r="P24" s="207"/>
      <c r="Q24" s="208">
        <f>IFERROR(HLOOKUP($Q$6,'Equity Vol'!$B$8:$I24,ROWS('Equity Vol'!$C$8:$C24),FALSE),"n/a")</f>
        <v>0.69599999999999995</v>
      </c>
      <c r="R24" s="44"/>
      <c r="S24" s="209">
        <f t="shared" si="10"/>
        <v>0.48441599999999996</v>
      </c>
      <c r="T24" s="209">
        <f t="shared" si="11"/>
        <v>2.8669344201395437</v>
      </c>
      <c r="U24" s="210">
        <f t="shared" si="12"/>
        <v>1.7311440717447137</v>
      </c>
      <c r="V24" s="210">
        <f t="shared" si="13"/>
        <v>0.99792765556027763</v>
      </c>
      <c r="W24" s="210">
        <f t="shared" si="14"/>
        <v>0.95828696421897686</v>
      </c>
      <c r="X24" s="91">
        <f t="shared" si="15"/>
        <v>117.4274301905761</v>
      </c>
      <c r="Y24" s="208">
        <f t="shared" si="16"/>
        <v>0.64691322902874471</v>
      </c>
      <c r="AA24" s="92" t="str">
        <f>IF('MASTER PubCo Inputs'!B42=0,"",'MASTER PubCo Inputs'!B42)</f>
        <v>NasdaqCM:MGEN</v>
      </c>
      <c r="AB24" s="386">
        <f>'Beta Calc'!Z24</f>
        <v>126.7</v>
      </c>
      <c r="AC24" s="93">
        <f t="shared" si="17"/>
        <v>-0.10000000000000853</v>
      </c>
      <c r="AI24" s="94"/>
    </row>
    <row r="25" spans="2:35" ht="12.75" customHeight="1">
      <c r="B25" s="385" t="str">
        <f>'Comp.1'!B25</f>
        <v>Conatus Pharmaceuticals Inc.</v>
      </c>
      <c r="D25" s="386">
        <f>'Beta Calc'!K25</f>
        <v>115.7</v>
      </c>
      <c r="E25" s="386">
        <f>'Beta Calc'!L25</f>
        <v>13.3</v>
      </c>
      <c r="F25" s="386" t="str">
        <f>'Beta Calc'!M25</f>
        <v xml:space="preserve"> n/a </v>
      </c>
      <c r="G25" s="386" t="str">
        <f>'Beta Calc'!N25</f>
        <v xml:space="preserve"> n/a </v>
      </c>
      <c r="H25" s="386">
        <f t="shared" si="7"/>
        <v>13.3</v>
      </c>
      <c r="I25" s="386">
        <f t="shared" si="8"/>
        <v>129</v>
      </c>
      <c r="J25" s="386">
        <f>'Beta Calc'!Q25</f>
        <v>66.8</v>
      </c>
      <c r="K25" s="386">
        <f t="shared" si="9"/>
        <v>62.2</v>
      </c>
      <c r="M25" s="54">
        <f>IFERROR('Capital IQ Sheet-GPC'!AT28,"n/a")</f>
        <v>0</v>
      </c>
      <c r="N25" s="386">
        <f t="shared" si="0"/>
        <v>2.6630410958904109</v>
      </c>
      <c r="O25" s="206">
        <f t="shared" si="0"/>
        <v>2.7329345205479451E-2</v>
      </c>
      <c r="P25" s="207"/>
      <c r="Q25" s="208">
        <f>IFERROR(HLOOKUP($Q$6,'Equity Vol'!$B$8:$I25,ROWS('Equity Vol'!$C$8:$C25),FALSE),"n/a")</f>
        <v>0.93</v>
      </c>
      <c r="R25" s="44"/>
      <c r="S25" s="209">
        <f t="shared" si="10"/>
        <v>0.86490000000000011</v>
      </c>
      <c r="T25" s="209">
        <f t="shared" si="11"/>
        <v>1.8232139302321146</v>
      </c>
      <c r="U25" s="210">
        <f t="shared" si="12"/>
        <v>0.30556303367005722</v>
      </c>
      <c r="V25" s="210">
        <f t="shared" si="13"/>
        <v>0.96586450197302443</v>
      </c>
      <c r="W25" s="210">
        <f t="shared" si="14"/>
        <v>0.62003131506161491</v>
      </c>
      <c r="X25" s="91">
        <f t="shared" si="15"/>
        <v>52.409203361785714</v>
      </c>
      <c r="Y25" s="208">
        <f t="shared" si="16"/>
        <v>0.81130456057169908</v>
      </c>
      <c r="AA25" s="92" t="str">
        <f>IF('MASTER PubCo Inputs'!B43=0,"",'MASTER PubCo Inputs'!B43)</f>
        <v>NasdaqGM:CNAT</v>
      </c>
      <c r="AB25" s="386">
        <f>'Beta Calc'!Z25</f>
        <v>62.3</v>
      </c>
      <c r="AC25" s="93">
        <f t="shared" si="17"/>
        <v>-9.9999999999994316E-2</v>
      </c>
      <c r="AI25" s="94"/>
    </row>
    <row r="26" spans="2:35" ht="12.75" customHeight="1">
      <c r="B26" s="385" t="str">
        <f>'Comp.1'!B26</f>
        <v>Immuron Limited</v>
      </c>
      <c r="D26" s="386">
        <f>'Beta Calc'!K26</f>
        <v>39.700000000000003</v>
      </c>
      <c r="E26" s="386">
        <f>'Beta Calc'!L26</f>
        <v>0</v>
      </c>
      <c r="F26" s="386" t="str">
        <f>'Beta Calc'!M26</f>
        <v xml:space="preserve"> n/a </v>
      </c>
      <c r="G26" s="386" t="str">
        <f>'Beta Calc'!N26</f>
        <v xml:space="preserve"> n/a </v>
      </c>
      <c r="H26" s="386">
        <f t="shared" si="7"/>
        <v>0</v>
      </c>
      <c r="I26" s="386">
        <f t="shared" si="8"/>
        <v>39.700000000000003</v>
      </c>
      <c r="J26" s="386">
        <f>'Beta Calc'!Q26</f>
        <v>0.5</v>
      </c>
      <c r="K26" s="386">
        <f t="shared" si="9"/>
        <v>39.200000000000003</v>
      </c>
      <c r="M26" s="54">
        <f>IFERROR('Capital IQ Sheet-GPC'!AT29,"n/a")</f>
        <v>0</v>
      </c>
      <c r="N26" s="386">
        <f t="shared" si="0"/>
        <v>2.6630410958904109</v>
      </c>
      <c r="O26" s="206">
        <f t="shared" si="0"/>
        <v>2.7329345205479451E-2</v>
      </c>
      <c r="P26" s="207"/>
      <c r="Q26" s="208">
        <f>IFERROR(HLOOKUP($Q$6,'Equity Vol'!$B$8:$I26,ROWS('Equity Vol'!$C$8:$C26),FALSE),"n/a")</f>
        <v>0.96199999999999997</v>
      </c>
      <c r="R26" s="44"/>
      <c r="S26" s="209">
        <f t="shared" si="10"/>
        <v>0.92544399999999993</v>
      </c>
      <c r="T26" s="209">
        <f t="shared" si="11"/>
        <v>0</v>
      </c>
      <c r="U26" s="210">
        <f t="shared" si="12"/>
        <v>0</v>
      </c>
      <c r="V26" s="210">
        <f t="shared" si="13"/>
        <v>0</v>
      </c>
      <c r="W26" s="210">
        <f t="shared" si="14"/>
        <v>0</v>
      </c>
      <c r="X26" s="91">
        <f t="shared" si="15"/>
        <v>0</v>
      </c>
      <c r="Y26" s="208">
        <f t="shared" si="16"/>
        <v>0.96199999999999997</v>
      </c>
      <c r="AA26" s="92" t="str">
        <f>IF('MASTER PubCo Inputs'!B44=0,"",'MASTER PubCo Inputs'!B44)</f>
        <v>ASX:IMC</v>
      </c>
      <c r="AB26" s="386">
        <f>'Beta Calc'!Z26</f>
        <v>39.299999999999997</v>
      </c>
      <c r="AC26" s="93">
        <f t="shared" si="17"/>
        <v>-9.9999999999994316E-2</v>
      </c>
      <c r="AI26" s="94"/>
    </row>
    <row r="27" spans="2:35" ht="12.75" customHeight="1">
      <c r="B27" s="385" t="str">
        <f>'Comp.1'!B27</f>
        <v>AdAlta Limited</v>
      </c>
      <c r="D27" s="386">
        <f>'Beta Calc'!K27</f>
        <v>25.2</v>
      </c>
      <c r="E27" s="386" t="str">
        <f>'Beta Calc'!L27</f>
        <v xml:space="preserve"> -   </v>
      </c>
      <c r="F27" s="386" t="str">
        <f>'Beta Calc'!M27</f>
        <v xml:space="preserve"> n/a </v>
      </c>
      <c r="G27" s="386" t="str">
        <f>'Beta Calc'!N27</f>
        <v xml:space="preserve"> n/a </v>
      </c>
      <c r="H27" s="386">
        <f t="shared" si="7"/>
        <v>0</v>
      </c>
      <c r="I27" s="386">
        <f t="shared" si="8"/>
        <v>25.2</v>
      </c>
      <c r="J27" s="386">
        <f>'Beta Calc'!Q27</f>
        <v>4.0999999999999996</v>
      </c>
      <c r="K27" s="386">
        <f t="shared" si="9"/>
        <v>21.1</v>
      </c>
      <c r="M27" s="54">
        <f>IFERROR('Capital IQ Sheet-GPC'!AT30,"n/a")</f>
        <v>0</v>
      </c>
      <c r="N27" s="386">
        <f t="shared" si="0"/>
        <v>2.6630410958904109</v>
      </c>
      <c r="O27" s="206">
        <f t="shared" si="0"/>
        <v>2.7329345205479451E-2</v>
      </c>
      <c r="P27" s="207"/>
      <c r="Q27" s="208">
        <f>IFERROR(HLOOKUP($Q$6,'Equity Vol'!$B$8:$I27,ROWS('Equity Vol'!$C$8:$C27),FALSE),"n/a")</f>
        <v>0.89800000000000002</v>
      </c>
      <c r="R27" s="44"/>
      <c r="S27" s="209">
        <f t="shared" si="10"/>
        <v>0.80640400000000001</v>
      </c>
      <c r="T27" s="209">
        <f t="shared" si="11"/>
        <v>0</v>
      </c>
      <c r="U27" s="210">
        <f t="shared" si="12"/>
        <v>0</v>
      </c>
      <c r="V27" s="210">
        <f t="shared" si="13"/>
        <v>0</v>
      </c>
      <c r="W27" s="210">
        <f t="shared" si="14"/>
        <v>0</v>
      </c>
      <c r="X27" s="91">
        <f t="shared" si="15"/>
        <v>0</v>
      </c>
      <c r="Y27" s="208">
        <f t="shared" si="16"/>
        <v>0.89800000000000002</v>
      </c>
      <c r="AA27" s="92" t="str">
        <f>IF('MASTER PubCo Inputs'!B45=0,"",'MASTER PubCo Inputs'!B45)</f>
        <v>ASX:1AD</v>
      </c>
      <c r="AB27" s="386">
        <f>'Beta Calc'!Z27</f>
        <v>21.3</v>
      </c>
      <c r="AC27" s="93">
        <f t="shared" si="17"/>
        <v>-0.19999999999999929</v>
      </c>
      <c r="AI27" s="94"/>
    </row>
    <row r="28" spans="2:35" ht="12.75" customHeight="1">
      <c r="B28" s="385" t="str">
        <f>'Comp.1'!B28</f>
        <v>Pulmatrix, Inc.</v>
      </c>
      <c r="D28" s="386">
        <f>'Beta Calc'!K28</f>
        <v>19.3</v>
      </c>
      <c r="E28" s="386">
        <f>'Beta Calc'!L28</f>
        <v>2.5</v>
      </c>
      <c r="F28" s="386" t="str">
        <f>'Beta Calc'!M28</f>
        <v xml:space="preserve"> n/a </v>
      </c>
      <c r="G28" s="386" t="str">
        <f>'Beta Calc'!N28</f>
        <v xml:space="preserve"> n/a </v>
      </c>
      <c r="H28" s="386">
        <f t="shared" si="7"/>
        <v>2.5</v>
      </c>
      <c r="I28" s="386">
        <f t="shared" si="8"/>
        <v>21.8</v>
      </c>
      <c r="J28" s="386">
        <f>'Beta Calc'!Q28</f>
        <v>1.6</v>
      </c>
      <c r="K28" s="386">
        <f t="shared" si="9"/>
        <v>20.2</v>
      </c>
      <c r="M28" s="54">
        <f>IFERROR('Capital IQ Sheet-GPC'!AT31,"n/a")</f>
        <v>0</v>
      </c>
      <c r="N28" s="386">
        <f t="shared" si="0"/>
        <v>2.6630410958904109</v>
      </c>
      <c r="O28" s="206">
        <f t="shared" si="0"/>
        <v>2.7329345205479451E-2</v>
      </c>
      <c r="P28" s="207"/>
      <c r="Q28" s="208">
        <f>IFERROR(HLOOKUP($Q$6,'Equity Vol'!$B$8:$I28,ROWS('Equity Vol'!$C$8:$C28),FALSE),"n/a")</f>
        <v>1.226</v>
      </c>
      <c r="R28" s="44"/>
      <c r="S28" s="209">
        <f t="shared" si="10"/>
        <v>1.5030759999999999</v>
      </c>
      <c r="T28" s="209">
        <f t="shared" si="11"/>
        <v>2.081057748561673</v>
      </c>
      <c r="U28" s="210">
        <f t="shared" si="12"/>
        <v>8.0369577394917791E-2</v>
      </c>
      <c r="V28" s="210">
        <f t="shared" si="13"/>
        <v>0.98128568971933339</v>
      </c>
      <c r="W28" s="210">
        <f t="shared" si="14"/>
        <v>0.53202833883265233</v>
      </c>
      <c r="X28" s="91">
        <f t="shared" si="15"/>
        <v>18.585262896072575</v>
      </c>
      <c r="Y28" s="208">
        <f t="shared" si="16"/>
        <v>1.1495089155549483</v>
      </c>
      <c r="AA28" s="92" t="str">
        <f>IF('MASTER PubCo Inputs'!B46=0,"",'MASTER PubCo Inputs'!B46)</f>
        <v>NasdaqGM:PULM</v>
      </c>
      <c r="AB28" s="386">
        <f>'Beta Calc'!Z28</f>
        <v>20.3</v>
      </c>
      <c r="AC28" s="93">
        <f t="shared" si="17"/>
        <v>-0.10000000000000142</v>
      </c>
      <c r="AI28" s="94"/>
    </row>
    <row r="29" spans="2:35" ht="12.75" customHeight="1">
      <c r="B29" s="385" t="str">
        <f>'Comp.1'!B29</f>
        <v>AmpliPhi Biosciences Corporation</v>
      </c>
      <c r="D29" s="386">
        <f>'Beta Calc'!K29</f>
        <v>16.5</v>
      </c>
      <c r="E29" s="386" t="str">
        <f>'Beta Calc'!L29</f>
        <v xml:space="preserve"> -   </v>
      </c>
      <c r="F29" s="386" t="str">
        <f>'Beta Calc'!M29</f>
        <v xml:space="preserve"> n/a </v>
      </c>
      <c r="G29" s="386" t="str">
        <f>'Beta Calc'!N29</f>
        <v xml:space="preserve"> n/a </v>
      </c>
      <c r="H29" s="386">
        <f t="shared" si="7"/>
        <v>0</v>
      </c>
      <c r="I29" s="386">
        <f t="shared" si="8"/>
        <v>16.5</v>
      </c>
      <c r="J29" s="386">
        <f>'Beta Calc'!Q29</f>
        <v>8.1999999999999993</v>
      </c>
      <c r="K29" s="386">
        <f t="shared" si="9"/>
        <v>8.3000000000000007</v>
      </c>
      <c r="M29" s="54">
        <f>IFERROR('Capital IQ Sheet-GPC'!AT32,"n/a")</f>
        <v>0</v>
      </c>
      <c r="N29" s="386">
        <f t="shared" si="0"/>
        <v>2.6630410958904109</v>
      </c>
      <c r="O29" s="206">
        <f t="shared" si="0"/>
        <v>2.7329345205479451E-2</v>
      </c>
      <c r="P29" s="207"/>
      <c r="Q29" s="208">
        <f>IFERROR(HLOOKUP($Q$6,'Equity Vol'!$B$8:$I29,ROWS('Equity Vol'!$C$8:$C29),FALSE),"n/a")</f>
        <v>1.2470000000000001</v>
      </c>
      <c r="R29" s="44"/>
      <c r="S29" s="209">
        <f t="shared" si="10"/>
        <v>1.5550090000000003</v>
      </c>
      <c r="T29" s="209">
        <f t="shared" si="11"/>
        <v>0</v>
      </c>
      <c r="U29" s="210">
        <f t="shared" si="12"/>
        <v>0</v>
      </c>
      <c r="V29" s="210">
        <f t="shared" si="13"/>
        <v>0</v>
      </c>
      <c r="W29" s="210">
        <f t="shared" si="14"/>
        <v>0</v>
      </c>
      <c r="X29" s="91">
        <f t="shared" si="15"/>
        <v>0</v>
      </c>
      <c r="Y29" s="208">
        <f t="shared" si="16"/>
        <v>1.2470000000000001</v>
      </c>
      <c r="AA29" s="92" t="str">
        <f>IF('MASTER PubCo Inputs'!B47=0,"",'MASTER PubCo Inputs'!B47)</f>
        <v>AMEX:APHB</v>
      </c>
      <c r="AB29" s="386">
        <f>'Beta Calc'!Z29</f>
        <v>8.3000000000000007</v>
      </c>
      <c r="AC29" s="93">
        <f t="shared" si="17"/>
        <v>0</v>
      </c>
      <c r="AI29" s="94"/>
    </row>
    <row r="30" spans="2:35" ht="12.75" hidden="1" customHeight="1" outlineLevel="1">
      <c r="D30" s="386"/>
      <c r="E30" s="386"/>
      <c r="F30" s="386"/>
      <c r="G30" s="386"/>
      <c r="H30" s="386"/>
      <c r="I30" s="386"/>
      <c r="J30" s="386"/>
      <c r="K30" s="386"/>
      <c r="M30" s="54"/>
      <c r="N30" s="386"/>
      <c r="O30" s="206"/>
      <c r="P30" s="207"/>
      <c r="Q30" s="208"/>
      <c r="R30" s="44"/>
      <c r="S30" s="209"/>
      <c r="T30" s="209"/>
      <c r="U30" s="210"/>
      <c r="V30" s="210"/>
      <c r="W30" s="210"/>
      <c r="X30" s="91"/>
      <c r="Y30" s="208"/>
      <c r="AA30" s="92"/>
      <c r="AB30" s="386"/>
      <c r="AC30" s="93"/>
      <c r="AI30" s="94"/>
    </row>
    <row r="31" spans="2:35" ht="12.75" hidden="1" customHeight="1" outlineLevel="1">
      <c r="D31" s="386"/>
      <c r="E31" s="386"/>
      <c r="F31" s="386"/>
      <c r="G31" s="386"/>
      <c r="H31" s="386"/>
      <c r="I31" s="386"/>
      <c r="J31" s="386"/>
      <c r="K31" s="386"/>
      <c r="M31" s="54"/>
      <c r="N31" s="386"/>
      <c r="O31" s="206"/>
      <c r="P31" s="207"/>
      <c r="Q31" s="208"/>
      <c r="R31" s="44"/>
      <c r="S31" s="209"/>
      <c r="T31" s="209"/>
      <c r="U31" s="210"/>
      <c r="V31" s="210"/>
      <c r="W31" s="210"/>
      <c r="X31" s="91"/>
      <c r="Y31" s="208"/>
      <c r="AA31" s="92"/>
      <c r="AB31" s="386"/>
      <c r="AC31" s="93"/>
      <c r="AI31" s="94"/>
    </row>
    <row r="32" spans="2:35" ht="12.75" hidden="1" customHeight="1" outlineLevel="1">
      <c r="D32" s="386"/>
      <c r="E32" s="386"/>
      <c r="F32" s="386"/>
      <c r="G32" s="386"/>
      <c r="H32" s="386"/>
      <c r="I32" s="386"/>
      <c r="J32" s="386"/>
      <c r="K32" s="386"/>
      <c r="M32" s="54"/>
      <c r="N32" s="386"/>
      <c r="O32" s="206"/>
      <c r="P32" s="207"/>
      <c r="Q32" s="208"/>
      <c r="R32" s="44"/>
      <c r="S32" s="209"/>
      <c r="T32" s="209"/>
      <c r="U32" s="210"/>
      <c r="V32" s="210"/>
      <c r="W32" s="210"/>
      <c r="X32" s="91"/>
      <c r="Y32" s="208"/>
      <c r="AA32" s="92"/>
      <c r="AB32" s="386"/>
      <c r="AC32" s="93"/>
      <c r="AI32" s="94"/>
    </row>
    <row r="33" spans="2:35" ht="12.75" hidden="1" customHeight="1" outlineLevel="1">
      <c r="D33" s="386"/>
      <c r="E33" s="386"/>
      <c r="F33" s="386"/>
      <c r="G33" s="386"/>
      <c r="H33" s="386"/>
      <c r="I33" s="386"/>
      <c r="J33" s="386"/>
      <c r="K33" s="386"/>
      <c r="M33" s="54"/>
      <c r="N33" s="386"/>
      <c r="O33" s="206"/>
      <c r="P33" s="207"/>
      <c r="Q33" s="208"/>
      <c r="R33" s="44"/>
      <c r="S33" s="209"/>
      <c r="T33" s="209"/>
      <c r="U33" s="210"/>
      <c r="V33" s="210"/>
      <c r="W33" s="210"/>
      <c r="X33" s="91"/>
      <c r="Y33" s="208"/>
      <c r="AA33" s="92"/>
      <c r="AB33" s="386"/>
      <c r="AC33" s="93"/>
      <c r="AI33" s="94"/>
    </row>
    <row r="34" spans="2:35" ht="12.75" hidden="1" customHeight="1" outlineLevel="1">
      <c r="D34" s="386"/>
      <c r="E34" s="386"/>
      <c r="F34" s="386"/>
      <c r="G34" s="386"/>
      <c r="H34" s="386"/>
      <c r="I34" s="386"/>
      <c r="J34" s="386"/>
      <c r="K34" s="386"/>
      <c r="M34" s="54"/>
      <c r="N34" s="386"/>
      <c r="O34" s="206"/>
      <c r="P34" s="207"/>
      <c r="Q34" s="208"/>
      <c r="R34" s="44"/>
      <c r="S34" s="209"/>
      <c r="T34" s="209"/>
      <c r="U34" s="210"/>
      <c r="V34" s="210"/>
      <c r="W34" s="210"/>
      <c r="X34" s="91"/>
      <c r="Y34" s="208"/>
      <c r="AA34" s="92"/>
      <c r="AB34" s="386"/>
      <c r="AC34" s="93"/>
      <c r="AI34" s="94"/>
    </row>
    <row r="35" spans="2:35" ht="12.75" hidden="1" customHeight="1" outlineLevel="1">
      <c r="D35" s="386"/>
      <c r="E35" s="386"/>
      <c r="F35" s="386"/>
      <c r="G35" s="386"/>
      <c r="H35" s="386"/>
      <c r="I35" s="386"/>
      <c r="J35" s="386"/>
      <c r="K35" s="386"/>
      <c r="M35" s="54"/>
      <c r="N35" s="386"/>
      <c r="O35" s="206"/>
      <c r="P35" s="207"/>
      <c r="Q35" s="208"/>
      <c r="R35" s="44"/>
      <c r="S35" s="209"/>
      <c r="T35" s="209"/>
      <c r="U35" s="210"/>
      <c r="V35" s="210"/>
      <c r="W35" s="210"/>
      <c r="X35" s="91"/>
      <c r="Y35" s="208"/>
      <c r="AA35" s="92"/>
      <c r="AB35" s="386"/>
      <c r="AC35" s="93"/>
      <c r="AI35" s="94"/>
    </row>
    <row r="36" spans="2:35" ht="12.75" hidden="1" customHeight="1" outlineLevel="1">
      <c r="D36" s="386"/>
      <c r="E36" s="386"/>
      <c r="F36" s="386"/>
      <c r="G36" s="386"/>
      <c r="H36" s="386"/>
      <c r="I36" s="386"/>
      <c r="J36" s="386"/>
      <c r="K36" s="386"/>
      <c r="M36" s="54"/>
      <c r="N36" s="386"/>
      <c r="O36" s="206"/>
      <c r="P36" s="207"/>
      <c r="Q36" s="208"/>
      <c r="R36" s="44"/>
      <c r="S36" s="209"/>
      <c r="T36" s="209"/>
      <c r="U36" s="210"/>
      <c r="V36" s="210"/>
      <c r="W36" s="210"/>
      <c r="X36" s="386"/>
      <c r="Y36" s="208"/>
      <c r="AA36" s="92" t="str">
        <f>IF('MASTER PubCo Inputs'!B54=0,"",'MASTER PubCo Inputs'!B54)</f>
        <v/>
      </c>
      <c r="AB36" s="386">
        <f>'Beta Calc'!Z36</f>
        <v>0</v>
      </c>
      <c r="AC36" s="93">
        <f t="shared" si="17"/>
        <v>0</v>
      </c>
      <c r="AI36" s="94"/>
    </row>
    <row r="37" spans="2:35" ht="12.75" hidden="1" customHeight="1" outlineLevel="1">
      <c r="D37" s="386"/>
      <c r="E37" s="386"/>
      <c r="F37" s="386"/>
      <c r="G37" s="386"/>
      <c r="H37" s="386"/>
      <c r="I37" s="386"/>
      <c r="J37" s="386"/>
      <c r="K37" s="386"/>
      <c r="M37" s="54"/>
      <c r="N37" s="386"/>
      <c r="O37" s="206"/>
      <c r="P37" s="207"/>
      <c r="Q37" s="208"/>
      <c r="R37" s="44"/>
      <c r="S37" s="209"/>
      <c r="T37" s="209"/>
      <c r="U37" s="210"/>
      <c r="V37" s="210"/>
      <c r="W37" s="210"/>
      <c r="X37" s="386"/>
      <c r="Y37" s="208"/>
      <c r="AA37" s="92" t="str">
        <f>IF('MASTER PubCo Inputs'!B55=0,"",'MASTER PubCo Inputs'!B55)</f>
        <v/>
      </c>
      <c r="AB37" s="386">
        <f>'Beta Calc'!Z37</f>
        <v>0</v>
      </c>
      <c r="AC37" s="93">
        <f t="shared" si="17"/>
        <v>0</v>
      </c>
      <c r="AI37" s="94"/>
    </row>
    <row r="38" spans="2:35" ht="12.75" hidden="1" customHeight="1" outlineLevel="1">
      <c r="D38" s="386"/>
      <c r="E38" s="386"/>
      <c r="F38" s="386"/>
      <c r="G38" s="386"/>
      <c r="H38" s="386"/>
      <c r="I38" s="386"/>
      <c r="J38" s="386"/>
      <c r="K38" s="386"/>
      <c r="M38" s="54"/>
      <c r="N38" s="386"/>
      <c r="O38" s="206"/>
      <c r="P38" s="207"/>
      <c r="Q38" s="208"/>
      <c r="R38" s="44"/>
      <c r="S38" s="209"/>
      <c r="T38" s="209"/>
      <c r="U38" s="210"/>
      <c r="V38" s="210"/>
      <c r="W38" s="210"/>
      <c r="X38" s="386"/>
      <c r="Y38" s="208"/>
      <c r="AA38" s="92" t="str">
        <f>IF('MASTER PubCo Inputs'!B56=0,"",'MASTER PubCo Inputs'!B56)</f>
        <v/>
      </c>
      <c r="AB38" s="386">
        <f>'Beta Calc'!Z38</f>
        <v>0</v>
      </c>
      <c r="AC38" s="93">
        <f t="shared" si="17"/>
        <v>0</v>
      </c>
      <c r="AI38" s="94"/>
    </row>
    <row r="39" spans="2:35" ht="12.75" hidden="1" customHeight="1" outlineLevel="1">
      <c r="D39" s="386"/>
      <c r="E39" s="386"/>
      <c r="F39" s="386"/>
      <c r="G39" s="386"/>
      <c r="H39" s="386"/>
      <c r="I39" s="386"/>
      <c r="J39" s="386"/>
      <c r="K39" s="386"/>
      <c r="M39" s="54"/>
      <c r="N39" s="386"/>
      <c r="O39" s="206"/>
      <c r="P39" s="207"/>
      <c r="Q39" s="208"/>
      <c r="R39" s="44"/>
      <c r="S39" s="209"/>
      <c r="T39" s="209"/>
      <c r="U39" s="210"/>
      <c r="V39" s="210"/>
      <c r="W39" s="210"/>
      <c r="X39" s="386"/>
      <c r="Y39" s="208"/>
      <c r="AA39" s="92" t="str">
        <f>IF('MASTER PubCo Inputs'!B57=0,"",'MASTER PubCo Inputs'!B57)</f>
        <v/>
      </c>
      <c r="AB39" s="386">
        <f>'Beta Calc'!Z39</f>
        <v>0</v>
      </c>
      <c r="AC39" s="93">
        <f t="shared" si="17"/>
        <v>0</v>
      </c>
      <c r="AI39" s="94"/>
    </row>
    <row r="40" spans="2:35" ht="12.75" customHeight="1" collapsed="1">
      <c r="D40" s="386"/>
      <c r="E40" s="386"/>
      <c r="F40" s="386"/>
      <c r="G40" s="386"/>
      <c r="H40" s="386"/>
      <c r="I40" s="386"/>
      <c r="J40" s="386"/>
      <c r="K40" s="386"/>
      <c r="R40" s="20"/>
    </row>
    <row r="41" spans="2:35" ht="12.75" customHeight="1">
      <c r="B41" s="753" t="s">
        <v>46</v>
      </c>
      <c r="C41" s="769"/>
      <c r="D41" s="768">
        <f>MAX(D10:D39)</f>
        <v>44574.8</v>
      </c>
      <c r="E41" s="768">
        <f t="shared" ref="E41:K41" si="18">MAX(E10:E39)</f>
        <v>592.70000000000005</v>
      </c>
      <c r="F41" s="768">
        <f t="shared" si="18"/>
        <v>40.700000000000003</v>
      </c>
      <c r="G41" s="768">
        <f t="shared" si="18"/>
        <v>28.7</v>
      </c>
      <c r="H41" s="768">
        <f t="shared" si="18"/>
        <v>621.40000000000009</v>
      </c>
      <c r="I41" s="768">
        <f t="shared" si="18"/>
        <v>45196.2</v>
      </c>
      <c r="J41" s="768">
        <f t="shared" si="18"/>
        <v>2767.8</v>
      </c>
      <c r="K41" s="768">
        <f t="shared" si="18"/>
        <v>42428.399999999994</v>
      </c>
      <c r="L41" s="769"/>
      <c r="M41" s="773">
        <f t="shared" ref="M41:O41" si="19">MAX(M10:M39)</f>
        <v>0</v>
      </c>
      <c r="N41" s="768">
        <f t="shared" si="19"/>
        <v>2.6630410958904109</v>
      </c>
      <c r="O41" s="775">
        <f t="shared" si="19"/>
        <v>2.7329345205479451E-2</v>
      </c>
      <c r="P41" s="776"/>
      <c r="Q41" s="777">
        <f>MAX(Q10:Q39)</f>
        <v>1.2470000000000001</v>
      </c>
      <c r="R41" s="778"/>
      <c r="S41" s="779">
        <f t="shared" ref="S41:W41" si="20">MAX(S10:S40)</f>
        <v>1.5550090000000003</v>
      </c>
      <c r="T41" s="779">
        <f t="shared" si="20"/>
        <v>6.8927122968932437</v>
      </c>
      <c r="U41" s="780">
        <f t="shared" si="20"/>
        <v>6.2383273404186363</v>
      </c>
      <c r="V41" s="780">
        <f t="shared" si="20"/>
        <v>0.99999999999726308</v>
      </c>
      <c r="W41" s="780">
        <f t="shared" si="20"/>
        <v>0.99999999977886278</v>
      </c>
      <c r="X41" s="768">
        <f t="shared" ref="X41:Y41" si="21">MAX(X10:X39)</f>
        <v>41850.618466481392</v>
      </c>
      <c r="Y41" s="781">
        <f t="shared" si="21"/>
        <v>1.2470000000000001</v>
      </c>
      <c r="AB41" s="817">
        <f>+'Asset Vol_Hybrid OPM'!Y49</f>
        <v>0.90935264718767195</v>
      </c>
      <c r="AC41" s="818" t="s">
        <v>1112</v>
      </c>
      <c r="AD41" s="818"/>
      <c r="AE41" s="818"/>
      <c r="AF41" s="792"/>
    </row>
    <row r="42" spans="2:35" ht="12.75" customHeight="1">
      <c r="B42" s="339" t="s">
        <v>50</v>
      </c>
      <c r="C42" s="75"/>
      <c r="D42" s="99">
        <f t="shared" ref="D42:K42" si="22">QUARTILE(D10:D39,3)</f>
        <v>2055.25</v>
      </c>
      <c r="E42" s="99">
        <f t="shared" si="22"/>
        <v>196.6</v>
      </c>
      <c r="F42" s="99">
        <f t="shared" si="22"/>
        <v>32.775000000000006</v>
      </c>
      <c r="G42" s="99">
        <f t="shared" si="22"/>
        <v>24</v>
      </c>
      <c r="H42" s="99">
        <f t="shared" si="22"/>
        <v>89.025000000000006</v>
      </c>
      <c r="I42" s="99">
        <f t="shared" si="22"/>
        <v>2372.125</v>
      </c>
      <c r="J42" s="99">
        <f t="shared" si="22"/>
        <v>326.77500000000003</v>
      </c>
      <c r="K42" s="99">
        <f t="shared" si="22"/>
        <v>1775.65</v>
      </c>
      <c r="L42" s="75"/>
      <c r="M42" s="139">
        <f>QUARTILE(M10:M39,3)</f>
        <v>0</v>
      </c>
      <c r="N42" s="99">
        <f>QUARTILE(N10:N39,3)</f>
        <v>2.6630410958904109</v>
      </c>
      <c r="O42" s="211">
        <f>QUARTILE(O10:O39,3)</f>
        <v>2.7329345205479451E-2</v>
      </c>
      <c r="P42" s="212"/>
      <c r="Q42" s="213">
        <f>QUARTILE(Q10:Q39,3)</f>
        <v>0.96575</v>
      </c>
      <c r="R42" s="214"/>
      <c r="S42" s="215">
        <f>QUARTILE(S10:S40,3)</f>
        <v>0.93271525</v>
      </c>
      <c r="T42" s="215">
        <f>QUARTILE(T10:T40,3)</f>
        <v>2.9283034922891473</v>
      </c>
      <c r="U42" s="216">
        <f>QUARTILE(U10:U40,3)</f>
        <v>1.7778261997340394</v>
      </c>
      <c r="V42" s="216">
        <f>QUARTILE(V10:V40,3)</f>
        <v>0.99821378399574112</v>
      </c>
      <c r="W42" s="216">
        <f>QUARTILE(W10:W40,3)</f>
        <v>0.96182432699398934</v>
      </c>
      <c r="X42" s="99">
        <f>QUARTILE(X10:X39,3)</f>
        <v>386.92624511595386</v>
      </c>
      <c r="Y42" s="217">
        <f>QUARTILE(Y10:Y39,3)</f>
        <v>0.96575</v>
      </c>
      <c r="AB42" s="819">
        <f>+'Asset Vol_Hybrid OPM'!Y51</f>
        <v>0.90935264718767195</v>
      </c>
      <c r="AC42" s="16" t="s">
        <v>1113</v>
      </c>
      <c r="AD42" s="16"/>
      <c r="AE42" s="16"/>
      <c r="AF42" s="197"/>
    </row>
    <row r="43" spans="2:35" ht="12.75" customHeight="1">
      <c r="B43" s="339" t="s">
        <v>48</v>
      </c>
      <c r="C43" s="75"/>
      <c r="D43" s="99">
        <f>AVERAGE(D10:D39)</f>
        <v>3369.4600000000005</v>
      </c>
      <c r="E43" s="99">
        <f t="shared" ref="E43:K43" si="23">AVERAGE(E10:E39)</f>
        <v>126.9076923076923</v>
      </c>
      <c r="F43" s="99">
        <f t="shared" si="23"/>
        <v>24.85</v>
      </c>
      <c r="G43" s="99">
        <f t="shared" si="23"/>
        <v>16</v>
      </c>
      <c r="H43" s="99">
        <f t="shared" si="23"/>
        <v>87.375</v>
      </c>
      <c r="I43" s="99">
        <f t="shared" si="23"/>
        <v>3456.835</v>
      </c>
      <c r="J43" s="99">
        <f t="shared" si="23"/>
        <v>343.37000000000012</v>
      </c>
      <c r="K43" s="99">
        <f t="shared" si="23"/>
        <v>3113.4649999999992</v>
      </c>
      <c r="L43" s="75"/>
      <c r="M43" s="139">
        <f t="shared" ref="M43:O43" si="24">AVERAGE(M10:M39)</f>
        <v>0</v>
      </c>
      <c r="N43" s="99">
        <f t="shared" si="24"/>
        <v>2.6630410958904114</v>
      </c>
      <c r="O43" s="211">
        <f t="shared" si="24"/>
        <v>2.7329345205479461E-2</v>
      </c>
      <c r="P43" s="212"/>
      <c r="Q43" s="213">
        <f>AVERAGE(Q10:Q39)</f>
        <v>0.7781499999999999</v>
      </c>
      <c r="R43" s="214"/>
      <c r="S43" s="215">
        <f t="shared" ref="S43:W43" si="25">AVERAGE(S10:S40)</f>
        <v>0.66543975000000011</v>
      </c>
      <c r="T43" s="215">
        <f t="shared" si="25"/>
        <v>2.1099435186430613</v>
      </c>
      <c r="U43" s="216">
        <f t="shared" si="25"/>
        <v>1.3332489549670272</v>
      </c>
      <c r="V43" s="216">
        <f t="shared" si="25"/>
        <v>0.64418202428479976</v>
      </c>
      <c r="W43" s="216">
        <f t="shared" si="25"/>
        <v>0.57247764928901834</v>
      </c>
      <c r="X43" s="99">
        <f t="shared" ref="X43:Y43" si="26">AVERAGE(X10:X39)</f>
        <v>2590.822539513927</v>
      </c>
      <c r="Y43" s="217">
        <f t="shared" si="26"/>
        <v>0.74016058875068791</v>
      </c>
      <c r="AB43" s="819">
        <f>+'Asset Vol_Hybrid OPM'!Y47</f>
        <v>0.90935264718767195</v>
      </c>
      <c r="AC43" s="16" t="s">
        <v>1111</v>
      </c>
      <c r="AD43" s="16"/>
      <c r="AE43" s="16"/>
      <c r="AF43" s="820" t="s">
        <v>1242</v>
      </c>
    </row>
    <row r="44" spans="2:35" ht="12.75" customHeight="1">
      <c r="B44" s="339" t="s">
        <v>3</v>
      </c>
      <c r="C44" s="75"/>
      <c r="D44" s="99">
        <f>MEDIAN(D10:D39)</f>
        <v>327.60000000000002</v>
      </c>
      <c r="E44" s="99">
        <f t="shared" ref="E44:K44" si="27">MEDIAN(E10:E39)</f>
        <v>15.2</v>
      </c>
      <c r="F44" s="99">
        <f t="shared" si="27"/>
        <v>24.85</v>
      </c>
      <c r="G44" s="99">
        <f t="shared" si="27"/>
        <v>19.3</v>
      </c>
      <c r="H44" s="99">
        <f t="shared" si="27"/>
        <v>8.85</v>
      </c>
      <c r="I44" s="99">
        <f t="shared" si="27"/>
        <v>344.2</v>
      </c>
      <c r="J44" s="99">
        <f t="shared" si="27"/>
        <v>68.900000000000006</v>
      </c>
      <c r="K44" s="99">
        <f t="shared" si="27"/>
        <v>298.75</v>
      </c>
      <c r="L44" s="75"/>
      <c r="M44" s="139">
        <f t="shared" ref="M44:O44" si="28">MEDIAN(M10:M39)</f>
        <v>0</v>
      </c>
      <c r="N44" s="99">
        <f t="shared" si="28"/>
        <v>2.6630410958904109</v>
      </c>
      <c r="O44" s="211">
        <f t="shared" si="28"/>
        <v>2.7329345205479451E-2</v>
      </c>
      <c r="P44" s="212"/>
      <c r="Q44" s="213">
        <f>MEDIAN(Q10:Q39)</f>
        <v>0.71550000000000002</v>
      </c>
      <c r="R44" s="214"/>
      <c r="S44" s="215">
        <f t="shared" ref="S44:W44" si="29">MEDIAN(S10:S40)</f>
        <v>0.51221249999999996</v>
      </c>
      <c r="T44" s="215">
        <f t="shared" si="29"/>
        <v>2.1070359207600875</v>
      </c>
      <c r="U44" s="216">
        <f t="shared" si="29"/>
        <v>0.95181209054022109</v>
      </c>
      <c r="V44" s="216">
        <f t="shared" si="29"/>
        <v>0.98241195232657197</v>
      </c>
      <c r="W44" s="216">
        <f t="shared" si="29"/>
        <v>0.82885804501352356</v>
      </c>
      <c r="X44" s="99">
        <f t="shared" ref="X44:Y44" si="30">MEDIAN(X10:X39)</f>
        <v>136.30483265174686</v>
      </c>
      <c r="Y44" s="217">
        <f t="shared" si="30"/>
        <v>0.67179880024530225</v>
      </c>
      <c r="AB44" s="821" t="str">
        <f>IF(ROUND(AB41,3)=ROUND(AB43,3),"","Update Volatility - OPM")</f>
        <v/>
      </c>
      <c r="AC44" s="16"/>
      <c r="AD44" s="16"/>
      <c r="AE44" s="16"/>
      <c r="AF44" s="197"/>
    </row>
    <row r="45" spans="2:35" ht="12.75" customHeight="1">
      <c r="B45" s="339" t="s">
        <v>49</v>
      </c>
      <c r="C45" s="75"/>
      <c r="D45" s="99">
        <f>QUARTILE(D10:D39,1)</f>
        <v>174.95</v>
      </c>
      <c r="E45" s="99">
        <f t="shared" ref="E45:K45" si="31">QUARTILE(E10:E39,1)</f>
        <v>8.6999999999999993</v>
      </c>
      <c r="F45" s="99">
        <f t="shared" si="31"/>
        <v>16.925000000000001</v>
      </c>
      <c r="G45" s="99">
        <f t="shared" si="31"/>
        <v>9.65</v>
      </c>
      <c r="H45" s="99">
        <f t="shared" si="31"/>
        <v>0</v>
      </c>
      <c r="I45" s="99">
        <f t="shared" si="31"/>
        <v>185.77499999999998</v>
      </c>
      <c r="J45" s="99">
        <f t="shared" si="31"/>
        <v>13.675000000000001</v>
      </c>
      <c r="K45" s="99">
        <f t="shared" si="31"/>
        <v>110.5</v>
      </c>
      <c r="L45" s="75"/>
      <c r="M45" s="139">
        <f t="shared" ref="M45:O45" si="32">QUARTILE(M10:M39,1)</f>
        <v>0</v>
      </c>
      <c r="N45" s="99">
        <f t="shared" si="32"/>
        <v>2.6630410958904109</v>
      </c>
      <c r="O45" s="211">
        <f t="shared" si="32"/>
        <v>2.7329345205479451E-2</v>
      </c>
      <c r="P45" s="212"/>
      <c r="Q45" s="213">
        <f>QUARTILE(Q10:Q39,1)</f>
        <v>0.60075000000000001</v>
      </c>
      <c r="R45" s="214"/>
      <c r="S45" s="215">
        <f t="shared" ref="S45:W45" si="33">QUARTILE(S10:S40,1)</f>
        <v>0.36090074999999999</v>
      </c>
      <c r="T45" s="215">
        <f t="shared" si="33"/>
        <v>0</v>
      </c>
      <c r="U45" s="216">
        <f t="shared" si="33"/>
        <v>0</v>
      </c>
      <c r="V45" s="216">
        <f t="shared" si="33"/>
        <v>0</v>
      </c>
      <c r="W45" s="216">
        <f t="shared" si="33"/>
        <v>0</v>
      </c>
      <c r="X45" s="99">
        <f t="shared" ref="X45:Y45" si="34">QUARTILE(X10:X39,1)</f>
        <v>0</v>
      </c>
      <c r="Y45" s="217">
        <f t="shared" si="34"/>
        <v>0.56288289351733622</v>
      </c>
      <c r="AB45" s="822" t="str">
        <f>IF(ROUND(AB42,3)=ROUND(AB43,3),"","Update Volatility - DLOM")</f>
        <v/>
      </c>
      <c r="AC45" s="5"/>
      <c r="AD45" s="5"/>
      <c r="AE45" s="5"/>
      <c r="AF45" s="427"/>
    </row>
    <row r="46" spans="2:35" ht="12.75" customHeight="1">
      <c r="B46" s="101" t="s">
        <v>47</v>
      </c>
      <c r="C46" s="68"/>
      <c r="D46" s="71">
        <f t="shared" ref="D46:K46" si="35">MIN(D10:D39)</f>
        <v>16.5</v>
      </c>
      <c r="E46" s="71">
        <f t="shared" si="35"/>
        <v>0</v>
      </c>
      <c r="F46" s="71">
        <f t="shared" si="35"/>
        <v>9</v>
      </c>
      <c r="G46" s="71">
        <f t="shared" si="35"/>
        <v>0</v>
      </c>
      <c r="H46" s="71">
        <f t="shared" si="35"/>
        <v>0</v>
      </c>
      <c r="I46" s="71">
        <f t="shared" si="35"/>
        <v>16.5</v>
      </c>
      <c r="J46" s="71">
        <f t="shared" si="35"/>
        <v>0.5</v>
      </c>
      <c r="K46" s="71">
        <f t="shared" si="35"/>
        <v>8.3000000000000007</v>
      </c>
      <c r="L46" s="68"/>
      <c r="M46" s="141">
        <f>MIN(M10:M39)</f>
        <v>0</v>
      </c>
      <c r="N46" s="71">
        <f>MIN(N10:N39)</f>
        <v>2.6630410958904109</v>
      </c>
      <c r="O46" s="782">
        <f>MIN(O10:O39)</f>
        <v>2.7329345205479451E-2</v>
      </c>
      <c r="P46" s="783"/>
      <c r="Q46" s="784">
        <f>MIN(Q10:Q39)</f>
        <v>0.40100000000000002</v>
      </c>
      <c r="R46" s="785"/>
      <c r="S46" s="786">
        <f>MIN(S10:S40)</f>
        <v>0.16080100000000003</v>
      </c>
      <c r="T46" s="786">
        <f>MIN(T10:T40)</f>
        <v>0</v>
      </c>
      <c r="U46" s="787">
        <f>MIN(U10:U40)</f>
        <v>0</v>
      </c>
      <c r="V46" s="787">
        <f>MIN(V10:V40)</f>
        <v>0</v>
      </c>
      <c r="W46" s="787">
        <f>MIN(W10:W40)</f>
        <v>0</v>
      </c>
      <c r="X46" s="71">
        <f>MIN(X10:X39)</f>
        <v>0</v>
      </c>
      <c r="Y46" s="788">
        <f>MIN(Y10:Y39)</f>
        <v>0.37581943307423682</v>
      </c>
      <c r="AB46" s="496" t="str">
        <f>IF(K49&lt;&gt;K51,"Check","")</f>
        <v/>
      </c>
    </row>
    <row r="47" spans="2:35" ht="12.75" customHeight="1">
      <c r="B47" s="2039" t="s">
        <v>147</v>
      </c>
      <c r="C47" s="2040"/>
      <c r="D47" s="2041"/>
      <c r="E47" s="2041"/>
      <c r="F47" s="2041"/>
      <c r="G47" s="2041"/>
      <c r="H47" s="2041"/>
      <c r="I47" s="2041"/>
      <c r="J47" s="2041"/>
      <c r="K47" s="2041"/>
      <c r="L47" s="2040"/>
      <c r="M47" s="2042"/>
      <c r="N47" s="2041"/>
      <c r="O47" s="2043"/>
      <c r="P47" s="2044"/>
      <c r="Q47" s="2045"/>
      <c r="R47" s="2046"/>
      <c r="S47" s="2047"/>
      <c r="T47" s="2047"/>
      <c r="U47" s="2048"/>
      <c r="V47" s="2048"/>
      <c r="W47" s="2048"/>
      <c r="X47" s="2041"/>
      <c r="Y47" s="2049">
        <f>QUARTILE(Y42:Y43,3)</f>
        <v>0.90935264718767195</v>
      </c>
      <c r="Z47" s="2157">
        <f>A57</f>
        <v>4</v>
      </c>
      <c r="AB47" s="496"/>
    </row>
    <row r="48" spans="2:35" ht="12.75" customHeight="1">
      <c r="AB48" s="962" t="str">
        <f>IF(AND(AB44=$AF$45,AB46=$AF$45,AB45=$AF$45),"","Check")</f>
        <v/>
      </c>
    </row>
    <row r="49" spans="1:25" ht="12.75" customHeight="1">
      <c r="B49" s="218" t="str">
        <f>B2</f>
        <v>Pliant Therapeutics, Inc.</v>
      </c>
      <c r="C49" s="2164">
        <f>A55</f>
        <v>2</v>
      </c>
      <c r="D49" s="1528">
        <f>'Hybrid OPM'!C37/1000</f>
        <v>138</v>
      </c>
      <c r="E49" s="1528">
        <f>'Hist BS'!H52/1000</f>
        <v>0</v>
      </c>
      <c r="F49" s="219"/>
      <c r="G49" s="219"/>
      <c r="H49" s="220">
        <f>SUM(E49:G49)+0.0000000001</f>
        <v>1E-10</v>
      </c>
      <c r="I49" s="1830">
        <f>SUM(D49:H49)</f>
        <v>138.00000000009999</v>
      </c>
      <c r="J49" s="1389">
        <f>'Hist BS'!H50</f>
        <v>0</v>
      </c>
      <c r="K49" s="229">
        <f>I49-J49</f>
        <v>138.00000000009999</v>
      </c>
      <c r="L49" s="219"/>
      <c r="M49" s="221">
        <f>'OPM 1'!D13</f>
        <v>0</v>
      </c>
      <c r="N49" s="222">
        <f>N$6</f>
        <v>2.6630410958904109</v>
      </c>
      <c r="O49" s="223">
        <f>O$6</f>
        <v>2.7329345205479451E-2</v>
      </c>
      <c r="P49" s="224"/>
      <c r="Q49" s="2180">
        <f ca="1">Y49*((K49/X49)*V49)</f>
        <v>0.90935264718828457</v>
      </c>
      <c r="R49" s="219"/>
      <c r="S49" s="226">
        <f ca="1">IF(Q49="n/a","n/a",Q49^2)</f>
        <v>0.82692223694834077</v>
      </c>
      <c r="T49" s="226">
        <f ca="1">IF(OR(K49="n/a",S49="n/a"),"n/a",IF(H49=0,0,IF(M49=0,(LN(K49/H49)+((O49+(S49/2))*N49))/((S49*N49)^0.5),(LN(K49/H49)+((O49-M49+(S49/2))*N49))/((S49*N49)^0.5))))</f>
        <v>19.627894133110377</v>
      </c>
      <c r="U49" s="227">
        <f ca="1">IF(T49="n/a","n/a",IF(H49=0,0,T49-(S49*N49)^0.5))</f>
        <v>18.143937294082011</v>
      </c>
      <c r="V49" s="227">
        <f ca="1">IF(OR(T49="n/a",S49="n/a"),"n/a",IF(H49=0,0,NORMSDIST(T49)))</f>
        <v>1</v>
      </c>
      <c r="W49" s="227">
        <f ca="1">IF(OR(U49="n/a",S49="n/a"),"n/a",IF(H49=0,0,NORMSDIST(U49)))</f>
        <v>1</v>
      </c>
      <c r="X49" s="227">
        <f ca="1">IF(OR(K49="n/a",S49="n/a"),"n/a",IF(M49=0,(K49*V49)-((H49*EXP(1)^(-O49*N49))*W49),(K49*(2.718^(-M49*N49))*V49)-(H49*(2.718^(-O49*N49))*W49)))</f>
        <v>138.00000000000702</v>
      </c>
      <c r="Y49" s="228">
        <f>Y47</f>
        <v>0.90935264718767195</v>
      </c>
    </row>
    <row r="50" spans="1:25" ht="12.75" customHeight="1">
      <c r="C50" s="74"/>
      <c r="D50" s="74"/>
      <c r="E50" s="74"/>
      <c r="F50" s="74"/>
      <c r="G50" s="74"/>
      <c r="H50" s="74"/>
      <c r="I50" s="74"/>
      <c r="J50" s="74"/>
    </row>
    <row r="51" spans="1:25" ht="12.75" customHeight="1">
      <c r="B51" s="218" t="str">
        <f>B49</f>
        <v>Pliant Therapeutics, Inc.</v>
      </c>
      <c r="C51" s="2164">
        <f>A56</f>
        <v>3</v>
      </c>
      <c r="D51" s="1389">
        <f>D49</f>
        <v>138</v>
      </c>
      <c r="E51" s="1528">
        <f ca="1">SUM('Hybrid OPM 1'!D60:E60)/1000+E49</f>
        <v>64.753675140879523</v>
      </c>
      <c r="F51" s="219"/>
      <c r="G51" s="219"/>
      <c r="H51" s="229">
        <f ca="1">SUM(E51:G51)</f>
        <v>64.753675140879523</v>
      </c>
      <c r="I51" s="222">
        <f>I49</f>
        <v>138.00000000009999</v>
      </c>
      <c r="J51" s="222">
        <f>J49</f>
        <v>0</v>
      </c>
      <c r="K51" s="229">
        <f>K49</f>
        <v>138.00000000009999</v>
      </c>
      <c r="L51" s="219"/>
      <c r="M51" s="230">
        <f>M49</f>
        <v>0</v>
      </c>
      <c r="N51" s="222">
        <f>N$6</f>
        <v>2.6630410958904109</v>
      </c>
      <c r="O51" s="223">
        <f>O$6</f>
        <v>2.7329345205479451E-2</v>
      </c>
      <c r="P51" s="224"/>
      <c r="Q51" s="2180">
        <f ca="1">Y51*((K51/X51)*V51)</f>
        <v>1.0849828138015527</v>
      </c>
      <c r="R51" s="219"/>
      <c r="S51" s="226">
        <f ca="1">IF(Q51="n/a","n/a",Q51^2)</f>
        <v>1.1771877062447347</v>
      </c>
      <c r="T51" s="226">
        <f ca="1">IF(OR(K51="n/a",S51="n/a"),"n/a",IF(H51=0,0,IF(M51=0,(LN(K51/H51)+((O51+(S51/2))*N51))/((S51*N51)^0.5),(LN(K51/H51)+((O51-M51+(S51/2))*N51))/((S51*N51)^0.5))))</f>
        <v>1.3537444077956882</v>
      </c>
      <c r="U51" s="227">
        <f ca="1">IF(T51="n/a","n/a",IF(H51=0,0,T51-(S51*N51)^0.5))</f>
        <v>-0.41682025900038733</v>
      </c>
      <c r="V51" s="227">
        <f ca="1">IF(OR(T51="n/a",S51="n/a"),"n/a",IF(H51=0,0,NORMSDIST(T51)))</f>
        <v>0.91209103244864886</v>
      </c>
      <c r="W51" s="227">
        <f ca="1">IF(OR(U51="n/a",S51="n/a"),"n/a",IF(H51=0,0,NORMSDIST(U51)))</f>
        <v>0.33840494147716893</v>
      </c>
      <c r="X51" s="227">
        <f ca="1">IF(OR(K51="n/a",S51="n/a"),"n/a",IF(M51=0,(K51*V51)-((H51*EXP(1)^(-O51*N51))*W51),(K51*(2.718^(-M51*N51))*V51)-(H51*(2.718^(-O51*N51))*W51)))</f>
        <v>105.49375439970373</v>
      </c>
      <c r="Y51" s="228">
        <f>Y47</f>
        <v>0.90935264718767195</v>
      </c>
    </row>
    <row r="52" spans="1:25" ht="12.75" customHeight="1"/>
    <row r="53" spans="1:25" ht="12.75" customHeight="1">
      <c r="B53" s="8" t="s">
        <v>21</v>
      </c>
    </row>
    <row r="54" spans="1:25" ht="12.75" customHeight="1">
      <c r="A54" s="2124">
        <v>1</v>
      </c>
      <c r="B54" s="17" t="s">
        <v>708</v>
      </c>
    </row>
    <row r="55" spans="1:25" s="74" customFormat="1" ht="12.75" customHeight="1">
      <c r="A55" s="2124">
        <f>+A54+1</f>
        <v>2</v>
      </c>
      <c r="B55" s="320" t="s">
        <v>709</v>
      </c>
      <c r="P55" s="20"/>
    </row>
    <row r="56" spans="1:25" s="74" customFormat="1" ht="12.75" customHeight="1">
      <c r="A56" s="2124">
        <f>+A55+1</f>
        <v>3</v>
      </c>
      <c r="B56" s="320" t="s">
        <v>2371</v>
      </c>
      <c r="P56" s="20"/>
    </row>
    <row r="57" spans="1:25" s="74" customFormat="1" ht="26.1" customHeight="1">
      <c r="A57" s="2124">
        <f>+A56+1</f>
        <v>4</v>
      </c>
      <c r="B57" s="2300" t="str">
        <f>'Asset Vol_Early'!B56:Y56</f>
        <v>Given the early stage of development of the Company compared to well-capitalized Guideline Public Companies, volatility selection at higher end is warranted. As such, we considered a value between the mean and the third quartile of the range exhibited by the Guideline Public Companies.</v>
      </c>
      <c r="C57" s="2300"/>
      <c r="D57" s="2300"/>
      <c r="E57" s="2300"/>
      <c r="F57" s="2300"/>
      <c r="G57" s="2300"/>
      <c r="H57" s="2300"/>
      <c r="I57" s="2300"/>
      <c r="J57" s="2300"/>
      <c r="K57" s="2300"/>
      <c r="L57" s="2300"/>
      <c r="M57" s="2300"/>
      <c r="N57" s="2300"/>
      <c r="O57" s="2300"/>
      <c r="P57" s="2300"/>
      <c r="Q57" s="2300"/>
      <c r="R57" s="2300"/>
      <c r="S57" s="2300"/>
      <c r="T57" s="2300"/>
      <c r="U57" s="2300"/>
      <c r="V57" s="2300"/>
      <c r="W57" s="2300"/>
      <c r="X57" s="2300"/>
      <c r="Y57" s="2300"/>
    </row>
    <row r="58" spans="1:25" ht="12.75" customHeight="1"/>
    <row r="59" spans="1:25" ht="12.75" customHeight="1">
      <c r="B59" s="8" t="s">
        <v>51</v>
      </c>
    </row>
    <row r="60" spans="1:25" ht="12.75" customHeight="1"/>
    <row r="61" spans="1:25" ht="12.75" customHeight="1"/>
  </sheetData>
  <mergeCells count="1">
    <mergeCell ref="B57:Y57"/>
  </mergeCells>
  <conditionalFormatting sqref="B10:B39">
    <cfRule type="cellIs" dxfId="129" priority="8" operator="equal">
      <formula>"(Invalid Identifier)"</formula>
    </cfRule>
  </conditionalFormatting>
  <conditionalFormatting sqref="B4:I4">
    <cfRule type="cellIs" dxfId="128" priority="7" stopIfTrue="1" operator="equal">
      <formula>"input"</formula>
    </cfRule>
  </conditionalFormatting>
  <conditionalFormatting sqref="J4">
    <cfRule type="cellIs" dxfId="127" priority="5" stopIfTrue="1" operator="equal">
      <formula>"input"</formula>
    </cfRule>
  </conditionalFormatting>
  <conditionalFormatting sqref="J4">
    <cfRule type="cellIs" dxfId="126" priority="6" stopIfTrue="1" operator="equal">
      <formula>"input"</formula>
    </cfRule>
  </conditionalFormatting>
  <conditionalFormatting sqref="K4:X4">
    <cfRule type="cellIs" dxfId="125" priority="3" stopIfTrue="1" operator="equal">
      <formula>"input"</formula>
    </cfRule>
  </conditionalFormatting>
  <conditionalFormatting sqref="K4:X4">
    <cfRule type="cellIs" dxfId="124" priority="4" stopIfTrue="1" operator="equal">
      <formula>"input"</formula>
    </cfRule>
  </conditionalFormatting>
  <conditionalFormatting sqref="Y4">
    <cfRule type="cellIs" dxfId="123" priority="1" stopIfTrue="1" operator="equal">
      <formula>"input"</formula>
    </cfRule>
  </conditionalFormatting>
  <conditionalFormatting sqref="Y4">
    <cfRule type="cellIs" dxfId="122" priority="2" stopIfTrue="1" operator="equal">
      <formula>"input"</formula>
    </cfRule>
  </conditionalFormatting>
  <pageMargins left="0.5" right="0.5" top="0.5" bottom="0.5" header="0.5" footer="0.5"/>
  <pageSetup scale="84" fitToWidth="0" fitToHeight="0" orientation="landscape" r:id="rId1"/>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F68"/>
  <sheetViews>
    <sheetView showGridLines="0" view="pageBreakPreview" zoomScaleNormal="100" zoomScaleSheetLayoutView="100" workbookViewId="0"/>
  </sheetViews>
  <sheetFormatPr defaultRowHeight="12.75" outlineLevelRow="1"/>
  <cols>
    <col min="1" max="1" width="4.5" style="385" customWidth="1"/>
    <col min="2" max="2" width="85.6640625" style="385" customWidth="1"/>
    <col min="3" max="3" width="2.83203125" style="385" customWidth="1"/>
    <col min="4" max="4" width="25.83203125" style="385" customWidth="1"/>
    <col min="5" max="5" width="2.83203125" style="385" customWidth="1"/>
    <col min="6" max="6" width="18" style="385" customWidth="1"/>
    <col min="7" max="7" width="4.5" style="385" customWidth="1"/>
    <col min="8" max="16384" width="9.33203125" style="385"/>
  </cols>
  <sheetData>
    <row r="1" spans="2:6" ht="10.7" customHeight="1" thickBot="1"/>
    <row r="2" spans="2:6" ht="16.5" customHeight="1" thickTop="1">
      <c r="B2" s="10" t="str">
        <f>'MASTER PubCo Inputs'!$C$5</f>
        <v>Pliant Therapeutics, Inc.</v>
      </c>
      <c r="C2" s="10"/>
      <c r="D2" s="10"/>
      <c r="E2" s="10"/>
      <c r="F2" s="10"/>
    </row>
    <row r="3" spans="2:6" ht="15.75" customHeight="1">
      <c r="B3" s="11" t="str">
        <f>VLOOKUP(B4,Outline!$E$8:$G$69,COLUMNS(Outline!$E$8:$G$8),FALSE)</f>
        <v>Workpaper #6</v>
      </c>
      <c r="C3" s="11"/>
      <c r="D3" s="11"/>
      <c r="E3" s="11"/>
      <c r="F3" s="11"/>
    </row>
    <row r="4" spans="2:6" ht="16.5" customHeight="1" thickBot="1">
      <c r="B4" s="12" t="s">
        <v>2368</v>
      </c>
      <c r="C4" s="12"/>
      <c r="D4" s="12"/>
      <c r="E4" s="12"/>
      <c r="F4" s="13"/>
    </row>
    <row r="5" spans="2:6" ht="16.5" customHeight="1" thickTop="1">
      <c r="B5" s="244"/>
      <c r="C5" s="244"/>
      <c r="D5" s="244"/>
      <c r="E5" s="244"/>
      <c r="F5" s="984"/>
    </row>
    <row r="6" spans="2:6">
      <c r="B6" s="1966" t="s">
        <v>310</v>
      </c>
      <c r="C6" s="1967"/>
      <c r="D6" s="1969"/>
      <c r="F6" s="1970" t="s">
        <v>5</v>
      </c>
    </row>
    <row r="7" spans="2:6" ht="12.75" customHeight="1">
      <c r="D7" s="16"/>
    </row>
    <row r="8" spans="2:6" ht="12.75" customHeight="1">
      <c r="B8" s="1959" t="s">
        <v>6</v>
      </c>
      <c r="C8" s="1938"/>
      <c r="D8" s="1978">
        <f>'Hybrid OPM 1'!D10</f>
        <v>2.6630410958904109</v>
      </c>
      <c r="F8" s="975" t="str">
        <f>'Hybrid OPM 1'!B3</f>
        <v>Workpaper #3</v>
      </c>
    </row>
    <row r="9" spans="2:6" ht="12.75" customHeight="1">
      <c r="B9" s="335" t="s">
        <v>7</v>
      </c>
      <c r="C9" s="16"/>
      <c r="D9" s="977">
        <f>'Risk-Free Rates'!E42</f>
        <v>2.7329345205479451E-2</v>
      </c>
      <c r="F9" s="22" t="s">
        <v>2637</v>
      </c>
    </row>
    <row r="10" spans="2:6" ht="12.75" customHeight="1">
      <c r="B10" s="335" t="s">
        <v>8</v>
      </c>
      <c r="C10" s="16"/>
      <c r="D10" s="195">
        <v>0</v>
      </c>
      <c r="F10" s="20"/>
    </row>
    <row r="11" spans="2:6" ht="12.75" customHeight="1">
      <c r="B11" s="937" t="s">
        <v>9</v>
      </c>
      <c r="C11" s="196"/>
      <c r="D11" s="973">
        <f ca="1">'Asset Vol_Hybrid OPM'!Q51</f>
        <v>1.0849828138015527</v>
      </c>
      <c r="F11" s="975" t="str">
        <f>'Asset Vol_Hybrid OPM'!B3</f>
        <v>Workpaper #5</v>
      </c>
    </row>
    <row r="12" spans="2:6" ht="8.25" customHeight="1">
      <c r="B12" s="335"/>
      <c r="C12" s="16"/>
      <c r="D12" s="197"/>
    </row>
    <row r="13" spans="2:6" ht="12.75" customHeight="1">
      <c r="B13" s="335" t="s">
        <v>10</v>
      </c>
      <c r="C13" s="16"/>
      <c r="D13" s="198">
        <f ca="1">D11^2*D8</f>
        <v>3.1348992393066974</v>
      </c>
    </row>
    <row r="14" spans="2:6" ht="12.75" customHeight="1">
      <c r="B14" s="335" t="s">
        <v>11</v>
      </c>
      <c r="C14" s="16"/>
      <c r="D14" s="198">
        <f ca="1">(D11^2*D8+LN(2*(EXP(D13)-D11^2*D8-1))-2*LN(EXP(D13)-1))^0.5</f>
        <v>0.76406402491931025</v>
      </c>
    </row>
    <row r="15" spans="2:6" ht="12.75" customHeight="1">
      <c r="B15" s="335" t="s">
        <v>12</v>
      </c>
      <c r="C15" s="16"/>
      <c r="D15" s="198">
        <f ca="1">((D9-D10)*D8)/D14+0.5*D14</f>
        <v>0.47728472300790176</v>
      </c>
    </row>
    <row r="16" spans="2:6" ht="12.75" customHeight="1">
      <c r="B16" s="335" t="s">
        <v>13</v>
      </c>
      <c r="C16" s="16"/>
      <c r="D16" s="198">
        <f ca="1">((D9-D10)*D8)/D14-0.5*D14</f>
        <v>-0.28677930191140849</v>
      </c>
    </row>
    <row r="17" spans="2:6" ht="12.75" customHeight="1">
      <c r="B17" s="335"/>
      <c r="C17" s="16"/>
      <c r="D17" s="199"/>
    </row>
    <row r="18" spans="2:6" ht="12.75" customHeight="1">
      <c r="B18" s="1972" t="s">
        <v>14</v>
      </c>
      <c r="C18" s="939"/>
      <c r="D18" s="940">
        <f ca="1">EXP((D9-D10)*D8)*NORMSDIST(D15)-NORMSDIST(D16)</f>
        <v>0.34787310514353587</v>
      </c>
    </row>
    <row r="19" spans="2:6" ht="12.75" customHeight="1">
      <c r="D19" s="16"/>
    </row>
    <row r="20" spans="2:6" hidden="1" outlineLevel="1">
      <c r="B20" s="1966" t="s">
        <v>15</v>
      </c>
      <c r="C20" s="1967"/>
      <c r="D20" s="1969">
        <f>D6</f>
        <v>0</v>
      </c>
    </row>
    <row r="21" spans="2:6" ht="12.75" hidden="1" customHeight="1" outlineLevel="1">
      <c r="D21" s="16"/>
    </row>
    <row r="22" spans="2:6" ht="12.75" hidden="1" customHeight="1" outlineLevel="1">
      <c r="B22" s="1959" t="s">
        <v>16</v>
      </c>
      <c r="C22" s="1938"/>
      <c r="D22" s="1973">
        <v>1</v>
      </c>
    </row>
    <row r="23" spans="2:6" ht="12.75" hidden="1" customHeight="1" outlineLevel="1">
      <c r="B23" s="937" t="s">
        <v>17</v>
      </c>
      <c r="C23" s="16"/>
      <c r="D23" s="200">
        <v>1</v>
      </c>
    </row>
    <row r="24" spans="2:6" ht="12.75" hidden="1" customHeight="1" outlineLevel="1">
      <c r="B24" s="937" t="s">
        <v>18</v>
      </c>
      <c r="C24" s="16"/>
      <c r="D24" s="46">
        <f>D8</f>
        <v>2.6630410958904109</v>
      </c>
      <c r="F24" s="22"/>
    </row>
    <row r="25" spans="2:6" ht="12.75" hidden="1" customHeight="1" outlineLevel="1">
      <c r="B25" s="335" t="s">
        <v>7</v>
      </c>
      <c r="C25" s="16"/>
      <c r="D25" s="201">
        <f>D9</f>
        <v>2.7329345205479451E-2</v>
      </c>
      <c r="F25" s="22" t="str">
        <f>+F9</f>
        <v>Exhibit H.5</v>
      </c>
    </row>
    <row r="26" spans="2:6" ht="12.75" hidden="1" customHeight="1" outlineLevel="1">
      <c r="B26" s="335" t="s">
        <v>9</v>
      </c>
      <c r="C26" s="16"/>
      <c r="D26" s="400">
        <f t="shared" ref="D26" ca="1" si="0">D11</f>
        <v>1.0849828138015527</v>
      </c>
      <c r="F26" s="22" t="str">
        <f>+F11</f>
        <v>Workpaper #5</v>
      </c>
    </row>
    <row r="27" spans="2:6" ht="9" hidden="1" customHeight="1" outlineLevel="1">
      <c r="B27" s="335"/>
      <c r="C27" s="16"/>
      <c r="D27" s="197"/>
    </row>
    <row r="28" spans="2:6" ht="12.75" hidden="1" customHeight="1" outlineLevel="1">
      <c r="B28" s="335" t="s">
        <v>19</v>
      </c>
      <c r="C28" s="16"/>
      <c r="D28" s="198">
        <f t="shared" ref="D28" ca="1" si="1">(LN(D22/D23)+(D25+D26^2/2)*D24)/(D26*SQRT(D24))</f>
        <v>0.92638739483454813</v>
      </c>
    </row>
    <row r="29" spans="2:6" ht="12.75" hidden="1" customHeight="1" outlineLevel="1">
      <c r="B29" s="335" t="s">
        <v>20</v>
      </c>
      <c r="C29" s="16"/>
      <c r="D29" s="198">
        <f t="shared" ref="D29" ca="1" si="2">D28-D26*SQRT(D24)</f>
        <v>-0.84417727196152736</v>
      </c>
    </row>
    <row r="30" spans="2:6" ht="12.75" hidden="1" customHeight="1" outlineLevel="1">
      <c r="B30" s="335"/>
      <c r="C30" s="16"/>
      <c r="D30" s="197"/>
    </row>
    <row r="31" spans="2:6" ht="12.75" hidden="1" customHeight="1" outlineLevel="1">
      <c r="B31" s="1972" t="s">
        <v>14</v>
      </c>
      <c r="C31" s="5"/>
      <c r="D31" s="940">
        <f t="shared" ref="D31" ca="1" si="3">D23*EXP(-D25*D24)*NORMSDIST(-D29)-D22*NORMSDIST(-D28)</f>
        <v>0.56738721063800501</v>
      </c>
    </row>
    <row r="32" spans="2:6" ht="12.75" hidden="1" customHeight="1" outlineLevel="1">
      <c r="D32" s="16"/>
    </row>
    <row r="33" spans="2:6" collapsed="1">
      <c r="B33" s="1966" t="s">
        <v>306</v>
      </c>
      <c r="C33" s="1967"/>
      <c r="D33" s="1969"/>
    </row>
    <row r="34" spans="2:6" ht="12.75" customHeight="1">
      <c r="D34" s="16"/>
    </row>
    <row r="35" spans="2:6" ht="12.75" customHeight="1">
      <c r="B35" s="1959" t="s">
        <v>18</v>
      </c>
      <c r="C35" s="1938"/>
      <c r="D35" s="1974">
        <f t="shared" ref="D35" si="4">+D24</f>
        <v>2.6630410958904109</v>
      </c>
      <c r="F35" s="22"/>
    </row>
    <row r="36" spans="2:6" ht="12.75" customHeight="1">
      <c r="B36" s="335" t="s">
        <v>16</v>
      </c>
      <c r="C36" s="16"/>
      <c r="D36" s="1399">
        <f t="shared" ref="D36:D37" si="5">+D22</f>
        <v>1</v>
      </c>
    </row>
    <row r="37" spans="2:6" ht="12.75" customHeight="1">
      <c r="B37" s="335" t="s">
        <v>17</v>
      </c>
      <c r="C37" s="16"/>
      <c r="D37" s="1399">
        <f t="shared" si="5"/>
        <v>1</v>
      </c>
    </row>
    <row r="38" spans="2:6" ht="12.75" customHeight="1">
      <c r="B38" s="335" t="s">
        <v>8</v>
      </c>
      <c r="C38" s="16"/>
      <c r="D38" s="1400">
        <f t="shared" ref="D38:D39" si="6">+D10</f>
        <v>0</v>
      </c>
    </row>
    <row r="39" spans="2:6" ht="12.75" customHeight="1">
      <c r="B39" s="335" t="s">
        <v>9</v>
      </c>
      <c r="C39" s="16"/>
      <c r="D39" s="894">
        <f t="shared" ca="1" si="6"/>
        <v>1.0849828138015527</v>
      </c>
      <c r="F39" s="22" t="str">
        <f>F26</f>
        <v>Workpaper #5</v>
      </c>
    </row>
    <row r="40" spans="2:6" ht="8.25" customHeight="1">
      <c r="B40" s="335"/>
      <c r="C40" s="16"/>
      <c r="D40" s="1401"/>
    </row>
    <row r="41" spans="2:6" ht="12.75" customHeight="1">
      <c r="B41" s="335" t="s">
        <v>308</v>
      </c>
      <c r="C41" s="16"/>
      <c r="D41" s="1402">
        <f t="shared" ref="D41" ca="1" si="7">LN(2*(EXP((D39^2)*D35)-((D39^2)*D35)-1))-2*(LN((D39^2)*D35))</f>
        <v>1.3445413767385688</v>
      </c>
    </row>
    <row r="42" spans="2:6" ht="12.75" customHeight="1">
      <c r="B42" s="335" t="s">
        <v>309</v>
      </c>
      <c r="C42" s="16"/>
      <c r="D42" s="1402">
        <f t="shared" ref="D42" ca="1" si="8">SQRT(D41)</f>
        <v>1.159543607087965</v>
      </c>
    </row>
    <row r="43" spans="2:6" ht="12.75" customHeight="1">
      <c r="B43" s="335"/>
      <c r="C43" s="16"/>
      <c r="D43" s="1401"/>
    </row>
    <row r="44" spans="2:6" ht="12.75" customHeight="1">
      <c r="B44" s="1972" t="s">
        <v>14</v>
      </c>
      <c r="C44" s="5"/>
      <c r="D44" s="1403">
        <f t="shared" ref="D44" ca="1" si="9">EXP(-D38*D35)*D37*(2*NORMSDIST(D42/2)-1)</f>
        <v>0.43793148548357186</v>
      </c>
    </row>
    <row r="45" spans="2:6" ht="12.75" customHeight="1">
      <c r="D45" s="16"/>
    </row>
    <row r="46" spans="2:6" hidden="1" outlineLevel="1">
      <c r="B46" s="1966" t="s">
        <v>1496</v>
      </c>
      <c r="C46" s="1967"/>
      <c r="D46" s="1968"/>
    </row>
    <row r="47" spans="2:6" ht="12.75" hidden="1" customHeight="1" outlineLevel="1">
      <c r="D47" s="16"/>
    </row>
    <row r="48" spans="2:6" ht="12.75" hidden="1" customHeight="1" outlineLevel="1">
      <c r="B48" s="1959" t="s">
        <v>6</v>
      </c>
      <c r="C48" s="1938"/>
      <c r="D48" s="1971">
        <f>D8</f>
        <v>2.6630410958904109</v>
      </c>
      <c r="F48" s="281" t="str">
        <f>F8</f>
        <v>Workpaper #3</v>
      </c>
    </row>
    <row r="49" spans="1:6" ht="12.75" hidden="1" customHeight="1" outlineLevel="1">
      <c r="B49" s="335" t="s">
        <v>7</v>
      </c>
      <c r="C49" s="16"/>
      <c r="D49" s="1717">
        <f t="shared" ref="D49:D51" si="10">D9</f>
        <v>2.7329345205479451E-2</v>
      </c>
      <c r="F49" s="391" t="str">
        <f>F9</f>
        <v>Exhibit H.5</v>
      </c>
    </row>
    <row r="50" spans="1:6" ht="12.75" hidden="1" customHeight="1" outlineLevel="1">
      <c r="B50" s="335" t="s">
        <v>8</v>
      </c>
      <c r="C50" s="16"/>
      <c r="D50" s="1718">
        <f t="shared" si="10"/>
        <v>0</v>
      </c>
    </row>
    <row r="51" spans="1:6" ht="12.75" hidden="1" customHeight="1" outlineLevel="1">
      <c r="B51" s="937" t="s">
        <v>9</v>
      </c>
      <c r="C51" s="196"/>
      <c r="D51" s="1718">
        <f t="shared" ca="1" si="10"/>
        <v>1.0849828138015527</v>
      </c>
      <c r="F51" s="414"/>
    </row>
    <row r="52" spans="1:6" ht="12.75" hidden="1" customHeight="1" outlineLevel="1">
      <c r="B52" s="335"/>
      <c r="C52" s="16"/>
      <c r="D52" s="197"/>
    </row>
    <row r="53" spans="1:6" ht="12.75" hidden="1" customHeight="1" outlineLevel="1">
      <c r="B53" s="335" t="s">
        <v>10</v>
      </c>
      <c r="C53" s="16"/>
      <c r="D53" s="198">
        <f ca="1">D51^2*D48</f>
        <v>3.1348992393066974</v>
      </c>
    </row>
    <row r="54" spans="1:6" ht="12.75" hidden="1" customHeight="1" outlineLevel="1">
      <c r="B54" s="335"/>
      <c r="C54" s="16"/>
      <c r="D54" s="198"/>
    </row>
    <row r="55" spans="1:6" ht="12.75" hidden="1" customHeight="1" outlineLevel="1">
      <c r="B55" s="335" t="s">
        <v>1497</v>
      </c>
      <c r="C55" s="16"/>
      <c r="D55" s="400">
        <f ca="1">(2+(D53/2))*NORMSDIST(SQRT(D53)/2)+(SQRT(D53/(2*PI()))*EXP(-D53/8))-1</f>
        <v>2.3741126619371307</v>
      </c>
    </row>
    <row r="56" spans="1:6" ht="12.75" hidden="1" customHeight="1" outlineLevel="1">
      <c r="B56" s="335"/>
      <c r="C56" s="16"/>
      <c r="D56" s="198"/>
    </row>
    <row r="57" spans="1:6" ht="12.75" hidden="1" customHeight="1" outlineLevel="1">
      <c r="B57" s="1972" t="s">
        <v>1498</v>
      </c>
      <c r="C57" s="939"/>
      <c r="D57" s="940">
        <f ca="1">D55/(1+D55)</f>
        <v>0.70362578248176089</v>
      </c>
    </row>
    <row r="58" spans="1:6" ht="12.75" hidden="1" customHeight="1" outlineLevel="1">
      <c r="D58" s="16"/>
    </row>
    <row r="59" spans="1:6" ht="12.75" customHeight="1" collapsed="1">
      <c r="B59" s="1975" t="s">
        <v>311</v>
      </c>
      <c r="C59" s="1976"/>
      <c r="D59" s="1977">
        <f ca="1">MROUND(AVERAGE(D18,D44),5%)</f>
        <v>0.4</v>
      </c>
    </row>
    <row r="60" spans="1:6" s="1833" customFormat="1" ht="12.75" customHeight="1">
      <c r="B60" s="1834"/>
      <c r="C60" s="1834"/>
      <c r="D60" s="1835"/>
    </row>
    <row r="61" spans="1:6" ht="12.75" customHeight="1">
      <c r="B61" s="8" t="s">
        <v>21</v>
      </c>
      <c r="D61" s="16"/>
    </row>
    <row r="62" spans="1:6" ht="12.75" customHeight="1">
      <c r="A62" s="1009" t="str">
        <f>F11</f>
        <v>Workpaper #5</v>
      </c>
      <c r="B62" s="385" t="s">
        <v>2638</v>
      </c>
    </row>
    <row r="63" spans="1:6" ht="12.75" customHeight="1">
      <c r="A63" s="816"/>
      <c r="B63" s="1026"/>
      <c r="C63" s="1027"/>
      <c r="D63" s="1027"/>
      <c r="E63" s="1027"/>
      <c r="F63" s="1027"/>
    </row>
    <row r="64" spans="1:6" ht="26.25" customHeight="1">
      <c r="A64" s="816"/>
      <c r="B64" s="2310"/>
      <c r="C64" s="2310"/>
      <c r="D64" s="2310"/>
      <c r="E64" s="2310"/>
      <c r="F64" s="2310"/>
    </row>
    <row r="65" spans="1:6" ht="12.75" customHeight="1">
      <c r="A65" s="149"/>
      <c r="B65" s="1026"/>
      <c r="C65" s="1027"/>
      <c r="D65" s="1027"/>
      <c r="E65" s="1027"/>
      <c r="F65" s="1027"/>
    </row>
    <row r="66" spans="1:6" ht="12.75" customHeight="1"/>
    <row r="67" spans="1:6" ht="12.75" customHeight="1"/>
    <row r="68" spans="1:6" ht="12.75" customHeight="1"/>
  </sheetData>
  <mergeCells count="1">
    <mergeCell ref="B64:F64"/>
  </mergeCells>
  <conditionalFormatting sqref="B4:E5">
    <cfRule type="cellIs" dxfId="121" priority="8" stopIfTrue="1" operator="equal">
      <formula>"input"</formula>
    </cfRule>
  </conditionalFormatting>
  <conditionalFormatting sqref="F4:F5">
    <cfRule type="cellIs" dxfId="120" priority="6" stopIfTrue="1" operator="equal">
      <formula>"input"</formula>
    </cfRule>
  </conditionalFormatting>
  <conditionalFormatting sqref="F4:F5">
    <cfRule type="cellIs" dxfId="119" priority="7" stopIfTrue="1" operator="equal">
      <formula>"input"</formula>
    </cfRule>
  </conditionalFormatting>
  <pageMargins left="0.5" right="0.5" top="0.5" bottom="0.5" header="0.5" footer="0.5"/>
  <pageSetup scale="89" fitToWidth="0" fitToHeight="0" orientation="landscape" r:id="rId1"/>
  <legacyDrawingHF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B1:AG48"/>
  <sheetViews>
    <sheetView showGridLines="0" view="pageBreakPreview" zoomScaleNormal="100" zoomScaleSheetLayoutView="100" workbookViewId="0"/>
  </sheetViews>
  <sheetFormatPr defaultRowHeight="12.75" outlineLevelRow="1" outlineLevelCol="1"/>
  <cols>
    <col min="1" max="1" width="4.5" style="385" customWidth="1"/>
    <col min="2" max="2" width="43.1640625" style="385" customWidth="1"/>
    <col min="3" max="3" width="2.83203125" style="385" customWidth="1"/>
    <col min="4" max="4" width="10.5" style="385" customWidth="1"/>
    <col min="5" max="5" width="13.6640625" style="385" customWidth="1"/>
    <col min="6" max="11" width="11.83203125" style="385" hidden="1" customWidth="1" outlineLevel="1"/>
    <col min="12" max="12" width="12.33203125" style="385" bestFit="1" customWidth="1" collapsed="1"/>
    <col min="13" max="13" width="2.83203125" style="385" customWidth="1"/>
    <col min="14" max="14" width="10.83203125" style="385" customWidth="1"/>
    <col min="15" max="15" width="13.5" style="385" customWidth="1"/>
    <col min="16" max="17" width="12.83203125" style="385" hidden="1" customWidth="1" outlineLevel="1"/>
    <col min="18" max="18" width="21.5" style="385" hidden="1" customWidth="1" outlineLevel="1"/>
    <col min="19" max="21" width="12.83203125" style="385" hidden="1" customWidth="1" outlineLevel="1"/>
    <col min="22" max="22" width="12.33203125" style="385" bestFit="1" customWidth="1" collapsed="1"/>
    <col min="23" max="23" width="2.83203125" style="385" customWidth="1"/>
    <col min="24" max="24" width="10.33203125" style="385" customWidth="1"/>
    <col min="25" max="25" width="13.1640625" style="385" customWidth="1"/>
    <col min="26" max="26" width="11.83203125" style="385" customWidth="1"/>
    <col min="27" max="27" width="4.5" style="385" customWidth="1"/>
    <col min="28" max="28" width="2.83203125" style="385" customWidth="1"/>
    <col min="29" max="29" width="18.83203125" style="385" bestFit="1" customWidth="1"/>
    <col min="30" max="30" width="19.83203125" style="385" customWidth="1"/>
    <col min="31" max="31" width="17.83203125" style="385" bestFit="1" customWidth="1"/>
    <col min="32" max="32" width="20.5" style="385" customWidth="1"/>
    <col min="33" max="33" width="17" style="385" customWidth="1"/>
    <col min="34" max="16384" width="9.33203125" style="385"/>
  </cols>
  <sheetData>
    <row r="1" spans="2:33" ht="10.7" customHeight="1" thickBot="1"/>
    <row r="2" spans="2:33"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Z2" s="10"/>
      <c r="AC2" s="402" t="s">
        <v>510</v>
      </c>
      <c r="AD2" s="403">
        <f>'Capital IQ Sheet-GPC'!B8</f>
        <v>42643</v>
      </c>
      <c r="AF2" s="402" t="s">
        <v>286</v>
      </c>
      <c r="AG2" s="403">
        <f>'Capital IQ Sheet-GPC'!L2</f>
        <v>43312</v>
      </c>
    </row>
    <row r="3" spans="2:33" ht="15.75" customHeight="1">
      <c r="B3" s="11" t="str">
        <f>VLOOKUP(B4,Outline!$E$8:$G$69,COLUMNS(Outline!$E$8:$G$8),FALSE)</f>
        <v>Workpaper #7</v>
      </c>
      <c r="C3" s="11"/>
      <c r="D3" s="11"/>
      <c r="E3" s="11"/>
      <c r="F3" s="11"/>
      <c r="G3" s="11"/>
      <c r="H3" s="11"/>
      <c r="I3" s="11"/>
      <c r="J3" s="11"/>
      <c r="K3" s="11"/>
      <c r="L3" s="11"/>
      <c r="M3" s="11"/>
      <c r="N3" s="11"/>
      <c r="O3" s="11"/>
      <c r="P3" s="11"/>
      <c r="Q3" s="11"/>
      <c r="R3" s="11"/>
      <c r="S3" s="11"/>
      <c r="T3" s="11"/>
      <c r="U3" s="11"/>
      <c r="V3" s="11"/>
      <c r="W3" s="11"/>
      <c r="X3" s="11"/>
      <c r="Y3" s="11"/>
      <c r="Z3" s="11"/>
      <c r="AC3" s="335" t="s">
        <v>299</v>
      </c>
      <c r="AD3" s="272" t="str">
        <f>'Capital IQ Sheet-GPC'!L3</f>
        <v>F</v>
      </c>
      <c r="AF3" s="335" t="s">
        <v>299</v>
      </c>
      <c r="AG3" s="272" t="str">
        <f>AD3</f>
        <v>F</v>
      </c>
    </row>
    <row r="4" spans="2:33" ht="16.5" customHeight="1" thickBot="1">
      <c r="B4" s="12" t="s">
        <v>518</v>
      </c>
      <c r="C4" s="12"/>
      <c r="D4" s="12"/>
      <c r="E4" s="13"/>
      <c r="F4" s="13"/>
      <c r="G4" s="13"/>
      <c r="H4" s="13"/>
      <c r="I4" s="13"/>
      <c r="J4" s="13"/>
      <c r="K4" s="13"/>
      <c r="L4" s="13"/>
      <c r="M4" s="13"/>
      <c r="N4" s="13"/>
      <c r="O4" s="13"/>
      <c r="P4" s="13"/>
      <c r="Q4" s="13"/>
      <c r="R4" s="13"/>
      <c r="S4" s="13"/>
      <c r="T4" s="13"/>
      <c r="U4" s="13"/>
      <c r="V4" s="13"/>
      <c r="W4" s="13"/>
      <c r="X4" s="13"/>
      <c r="Y4" s="13"/>
      <c r="Z4" s="13" t="str">
        <f>+'MASTER PubCo Inputs'!$C$25</f>
        <v>(in millions of USD, except stock price)</v>
      </c>
      <c r="AC4" s="335" t="s">
        <v>300</v>
      </c>
      <c r="AD4" s="272" t="str">
        <f>'Capital IQ Sheet-GPC'!L4</f>
        <v>LFR</v>
      </c>
      <c r="AF4" s="335" t="s">
        <v>300</v>
      </c>
      <c r="AG4" s="272" t="str">
        <f>AD4</f>
        <v>LFR</v>
      </c>
    </row>
    <row r="5" spans="2:33" ht="9.75" customHeight="1" thickTop="1">
      <c r="B5" s="15"/>
      <c r="C5" s="15"/>
      <c r="D5" s="15"/>
      <c r="N5" s="15"/>
      <c r="AC5" s="78" t="s">
        <v>24</v>
      </c>
      <c r="AD5" s="404" t="str">
        <f>'Capital IQ Sheet-GPC'!L6</f>
        <v>H</v>
      </c>
      <c r="AF5" s="78" t="s">
        <v>24</v>
      </c>
      <c r="AG5" s="404" t="str">
        <f>AD5</f>
        <v>H</v>
      </c>
    </row>
    <row r="6" spans="2:33">
      <c r="D6" s="231" t="s">
        <v>520</v>
      </c>
      <c r="E6" s="231"/>
      <c r="F6" s="231"/>
      <c r="G6" s="231"/>
      <c r="H6" s="231"/>
      <c r="I6" s="231"/>
      <c r="J6" s="231"/>
      <c r="K6" s="231"/>
      <c r="L6" s="231"/>
      <c r="N6" s="231" t="s">
        <v>521</v>
      </c>
      <c r="O6" s="341"/>
      <c r="P6" s="341"/>
      <c r="Q6" s="341"/>
      <c r="R6" s="341"/>
      <c r="S6" s="341"/>
      <c r="T6" s="341"/>
      <c r="U6" s="341"/>
      <c r="V6" s="341"/>
    </row>
    <row r="7" spans="2:33">
      <c r="D7" s="453" t="str">
        <f>"As of "&amp;TEXT($AD$2,"MM/DD/YY")</f>
        <v>As of 09/30/16</v>
      </c>
      <c r="E7" s="406"/>
      <c r="F7" s="406"/>
      <c r="G7" s="406"/>
      <c r="H7" s="406"/>
      <c r="I7" s="406"/>
      <c r="J7" s="406"/>
      <c r="K7" s="406"/>
      <c r="L7" s="407"/>
      <c r="N7" s="453" t="str">
        <f>"As of "&amp;TEXT($AG$2,"MM/DD/YY")</f>
        <v>As of 07/31/18</v>
      </c>
      <c r="O7" s="406"/>
      <c r="P7" s="406"/>
      <c r="Q7" s="406"/>
      <c r="R7" s="406"/>
      <c r="S7" s="406"/>
      <c r="T7" s="406"/>
      <c r="U7" s="406"/>
      <c r="V7" s="407"/>
      <c r="W7" s="302"/>
      <c r="X7" s="405" t="s">
        <v>507</v>
      </c>
      <c r="Y7" s="406"/>
      <c r="Z7" s="407"/>
      <c r="AC7" s="997" t="s">
        <v>706</v>
      </c>
      <c r="AD7" s="1001">
        <v>1</v>
      </c>
      <c r="AE7" s="997" t="s">
        <v>707</v>
      </c>
      <c r="AF7" s="1001">
        <v>-0.5</v>
      </c>
    </row>
    <row r="8" spans="2:33" s="6" customFormat="1" ht="25.5">
      <c r="B8" s="734" t="s">
        <v>519</v>
      </c>
      <c r="C8" s="733"/>
      <c r="D8" s="1839" t="s">
        <v>508</v>
      </c>
      <c r="E8" s="602" t="s">
        <v>29</v>
      </c>
      <c r="F8" s="602" t="s">
        <v>30</v>
      </c>
      <c r="G8" s="602" t="s">
        <v>31</v>
      </c>
      <c r="H8" s="602" t="s">
        <v>32</v>
      </c>
      <c r="I8" s="602" t="s">
        <v>33</v>
      </c>
      <c r="J8" s="602" t="s">
        <v>34</v>
      </c>
      <c r="K8" s="602" t="s">
        <v>35</v>
      </c>
      <c r="L8" s="603" t="s">
        <v>36</v>
      </c>
      <c r="M8" s="298"/>
      <c r="N8" s="599" t="s">
        <v>508</v>
      </c>
      <c r="O8" s="602" t="s">
        <v>29</v>
      </c>
      <c r="P8" s="602" t="s">
        <v>30</v>
      </c>
      <c r="Q8" s="602" t="s">
        <v>31</v>
      </c>
      <c r="R8" s="602" t="s">
        <v>32</v>
      </c>
      <c r="S8" s="602" t="s">
        <v>33</v>
      </c>
      <c r="T8" s="602" t="s">
        <v>34</v>
      </c>
      <c r="U8" s="602" t="s">
        <v>35</v>
      </c>
      <c r="V8" s="603" t="s">
        <v>36</v>
      </c>
      <c r="W8" s="604"/>
      <c r="X8" s="1839" t="s">
        <v>509</v>
      </c>
      <c r="Y8" s="602" t="s">
        <v>29</v>
      </c>
      <c r="Z8" s="603" t="s">
        <v>36</v>
      </c>
      <c r="AA8" s="298"/>
      <c r="AB8" s="298"/>
      <c r="AC8" s="86" t="s">
        <v>43</v>
      </c>
    </row>
    <row r="9" spans="2:33" s="56" customFormat="1" ht="12.75" customHeight="1">
      <c r="B9" s="48"/>
      <c r="C9" s="48"/>
      <c r="D9" s="48"/>
      <c r="E9" s="385"/>
      <c r="F9" s="385"/>
      <c r="G9" s="385"/>
      <c r="H9" s="385"/>
      <c r="I9" s="385"/>
      <c r="J9" s="385"/>
      <c r="K9" s="385"/>
      <c r="L9" s="385"/>
      <c r="N9" s="48"/>
      <c r="O9" s="385"/>
      <c r="P9" s="385"/>
      <c r="Q9" s="385"/>
      <c r="R9" s="385"/>
      <c r="S9" s="385"/>
      <c r="T9" s="385"/>
      <c r="U9" s="385"/>
      <c r="V9" s="385"/>
      <c r="Y9" s="354"/>
    </row>
    <row r="10" spans="2:33" ht="12.75" customHeight="1">
      <c r="B10" s="473" t="str">
        <f>'Capital IQ Sheet-GPC'!C13</f>
        <v>Vertex Pharmaceuticals Incorporated</v>
      </c>
      <c r="C10" s="503"/>
      <c r="D10" s="383">
        <f>'Capital IQ Sheet-GPC'!BE13</f>
        <v>87.2</v>
      </c>
      <c r="E10" s="383">
        <f>'Capital IQ Sheet-GPC'!BF13</f>
        <v>21608.799999999999</v>
      </c>
      <c r="F10" s="383">
        <f>'Capital IQ Sheet-GPC'!BG13</f>
        <v>820.6</v>
      </c>
      <c r="G10" s="383" t="str">
        <f>'Capital IQ Sheet-GPC'!BH13</f>
        <v>n/a</v>
      </c>
      <c r="H10" s="383">
        <f>'Capital IQ Sheet-GPC'!BI13</f>
        <v>187.49100000000001</v>
      </c>
      <c r="I10" s="383">
        <f>SUM(F10:H10)</f>
        <v>1008.091</v>
      </c>
      <c r="J10" s="383">
        <f>SUM(E10:H10)</f>
        <v>22616.891</v>
      </c>
      <c r="K10" s="383">
        <f>'Capital IQ Sheet-GPC'!BJ13</f>
        <v>1071.4000000000001</v>
      </c>
      <c r="L10" s="383">
        <f>IF(ISERROR(J10-K10), "n/a", J10-K10)</f>
        <v>21545.490999999998</v>
      </c>
      <c r="M10" s="387"/>
      <c r="N10" s="383">
        <f>'Capital IQ Sheet-GPC'!I13</f>
        <v>174.4</v>
      </c>
      <c r="O10" s="383">
        <f>'Capital IQ Sheet-GPC'!J13</f>
        <v>44574.8</v>
      </c>
      <c r="P10" s="383">
        <f>'Capital IQ Sheet-GPC'!K13</f>
        <v>592.70000000000005</v>
      </c>
      <c r="Q10" s="383" t="str">
        <f>'Capital IQ Sheet-GPC'!L13</f>
        <v xml:space="preserve"> n/a </v>
      </c>
      <c r="R10" s="383">
        <f>'Capital IQ Sheet-GPC'!M13</f>
        <v>28.7</v>
      </c>
      <c r="S10" s="383">
        <f>SUM(P10:R10)</f>
        <v>621.40000000000009</v>
      </c>
      <c r="T10" s="383">
        <f>SUM(O10:R10)</f>
        <v>45196.2</v>
      </c>
      <c r="U10" s="383">
        <f>'Capital IQ Sheet-GPC'!N13</f>
        <v>2767.8</v>
      </c>
      <c r="V10" s="383">
        <f>IF(ISERROR(T10-U10), "n/a", T10-U10)</f>
        <v>42428.399999999994</v>
      </c>
      <c r="X10" s="354">
        <f>IFERROR(IF(OR(N10/D10-1&gt;$AD$7,N10/D10-1&lt;$AF$7),"NM",N10/D10-1),"n/a")</f>
        <v>1</v>
      </c>
      <c r="Y10" s="354" t="str">
        <f>IFERROR(IF(OR(O10/E10-1&gt;$AD$7,O10/E10-1&lt;$AF$7),"NM",O10/E10-1),"n/a")</f>
        <v>NM</v>
      </c>
      <c r="Z10" s="354">
        <f>IFERROR(IF(OR(V10/L10-1&gt;$AD$7,V10/L10-1&lt;$AF$7),"NM",V10/L10-1),"n/a")</f>
        <v>0.96924730097819523</v>
      </c>
      <c r="AC10" s="92" t="str">
        <f>IF('MASTER PubCo Inputs'!C28="","",'MASTER PubCo Inputs'!C28)</f>
        <v>IQ36235</v>
      </c>
      <c r="AD10" s="385" t="str">
        <f>'Capital IQ Sheet-GPC'!AP13</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1" spans="2:33" ht="12.75" customHeight="1">
      <c r="B11" s="473" t="str">
        <f>'Capital IQ Sheet-GPC'!C14</f>
        <v>FibroGen, Inc.</v>
      </c>
      <c r="C11" s="503"/>
      <c r="D11" s="383">
        <f>'Capital IQ Sheet-GPC'!BE14</f>
        <v>20.7</v>
      </c>
      <c r="E11" s="383">
        <f>'Capital IQ Sheet-GPC'!BF14</f>
        <v>1299.7</v>
      </c>
      <c r="F11" s="383">
        <f>'Capital IQ Sheet-GPC'!BG14</f>
        <v>112.9</v>
      </c>
      <c r="G11" s="383" t="str">
        <f>'Capital IQ Sheet-GPC'!BH14</f>
        <v>n/a</v>
      </c>
      <c r="H11" s="383">
        <f>'Capital IQ Sheet-GPC'!BI14</f>
        <v>19.271000000000001</v>
      </c>
      <c r="I11" s="383">
        <f t="shared" ref="I11:I29" si="0">SUM(F11:H11)</f>
        <v>132.17099999999999</v>
      </c>
      <c r="J11" s="383">
        <f t="shared" ref="J11:J29" si="1">SUM(E11:H11)</f>
        <v>1431.8710000000001</v>
      </c>
      <c r="K11" s="383">
        <f>'Capital IQ Sheet-GPC'!BJ14</f>
        <v>230.5</v>
      </c>
      <c r="L11" s="383">
        <f t="shared" ref="L11:L29" si="2">IF(ISERROR(J11-K11), "n/a", J11-K11)</f>
        <v>1201.3710000000001</v>
      </c>
      <c r="M11" s="387"/>
      <c r="N11" s="383">
        <f>'Capital IQ Sheet-GPC'!I14</f>
        <v>61.7</v>
      </c>
      <c r="O11" s="383">
        <f>'Capital IQ Sheet-GPC'!J14</f>
        <v>5153.3</v>
      </c>
      <c r="P11" s="383">
        <f>'Capital IQ Sheet-GPC'!K14</f>
        <v>115.4</v>
      </c>
      <c r="Q11" s="383" t="str">
        <f>'Capital IQ Sheet-GPC'!L14</f>
        <v xml:space="preserve"> n/a </v>
      </c>
      <c r="R11" s="383">
        <f>'Capital IQ Sheet-GPC'!M14</f>
        <v>19.3</v>
      </c>
      <c r="S11" s="383">
        <f t="shared" ref="S11:S29" si="3">SUM(P11:R11)</f>
        <v>134.70000000000002</v>
      </c>
      <c r="T11" s="383">
        <f t="shared" ref="T11:T29" si="4">SUM(O11:R11)</f>
        <v>5288</v>
      </c>
      <c r="U11" s="383">
        <f>'Capital IQ Sheet-GPC'!N14</f>
        <v>703.8</v>
      </c>
      <c r="V11" s="383">
        <f t="shared" ref="V11:V29" si="5">IF(ISERROR(T11-U11), "n/a", T11-U11)</f>
        <v>4584.2</v>
      </c>
      <c r="X11" s="354" t="str">
        <f t="shared" ref="X11:X29" si="6">IFERROR(IF(OR(N11/D11-1&gt;$AD$7,N11/D11-1&lt;$AF$7),"NM",N11/D11-1),"n/a")</f>
        <v>NM</v>
      </c>
      <c r="Y11" s="354" t="str">
        <f t="shared" ref="Y11:Y29" si="7">IFERROR(IF(OR(O11/E11-1&gt;$AD$7,O11/E11-1&lt;$AF$7),"NM",O11/E11-1),"n/a")</f>
        <v>NM</v>
      </c>
      <c r="Z11" s="354" t="str">
        <f t="shared" ref="Z11:Z29" si="8">IFERROR(IF(OR(V11/L11-1&gt;$AD$7,V11/L11-1&lt;$AF$7),"NM",V11/L11-1),"n/a")</f>
        <v>NM</v>
      </c>
      <c r="AC11" s="92" t="str">
        <f>IF('MASTER PubCo Inputs'!C29="","",'MASTER PubCo Inputs'!C29)</f>
        <v>IQ28484</v>
      </c>
      <c r="AD11" s="385" t="str">
        <f>'Capital IQ Sheet-GPC'!AP14</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2" spans="2:33" ht="12.75" customHeight="1">
      <c r="B12" s="473" t="str">
        <f>'Capital IQ Sheet-GPC'!C15</f>
        <v>Galapagos NV</v>
      </c>
      <c r="C12" s="503"/>
      <c r="D12" s="383">
        <f>'Capital IQ Sheet-GPC'!BE15</f>
        <v>64.2</v>
      </c>
      <c r="E12" s="383">
        <f>'Capital IQ Sheet-GPC'!BF15</f>
        <v>2964.9</v>
      </c>
      <c r="F12" s="383">
        <f>'Capital IQ Sheet-GPC'!BG15</f>
        <v>0.1</v>
      </c>
      <c r="G12" s="383" t="str">
        <f>'Capital IQ Sheet-GPC'!BH15</f>
        <v>n/a</v>
      </c>
      <c r="H12" s="383" t="str">
        <f>'Capital IQ Sheet-GPC'!BI15</f>
        <v>n/a</v>
      </c>
      <c r="I12" s="383">
        <f t="shared" si="0"/>
        <v>0.1</v>
      </c>
      <c r="J12" s="383">
        <f t="shared" si="1"/>
        <v>2965</v>
      </c>
      <c r="K12" s="383">
        <f>'Capital IQ Sheet-GPC'!BJ15</f>
        <v>1066.7</v>
      </c>
      <c r="L12" s="383">
        <f t="shared" si="2"/>
        <v>1898.3</v>
      </c>
      <c r="M12" s="387"/>
      <c r="N12" s="383">
        <f>'Capital IQ Sheet-GPC'!I15</f>
        <v>112.5</v>
      </c>
      <c r="O12" s="383">
        <f>'Capital IQ Sheet-GPC'!J15</f>
        <v>5773</v>
      </c>
      <c r="P12" s="383" t="str">
        <f>'Capital IQ Sheet-GPC'!K15</f>
        <v xml:space="preserve"> -   </v>
      </c>
      <c r="Q12" s="383" t="str">
        <f>'Capital IQ Sheet-GPC'!L15</f>
        <v xml:space="preserve"> n/a </v>
      </c>
      <c r="R12" s="383" t="str">
        <f>'Capital IQ Sheet-GPC'!M15</f>
        <v xml:space="preserve"> n/a </v>
      </c>
      <c r="S12" s="383">
        <f t="shared" si="3"/>
        <v>0</v>
      </c>
      <c r="T12" s="383">
        <f t="shared" si="4"/>
        <v>5773</v>
      </c>
      <c r="U12" s="383">
        <f>'Capital IQ Sheet-GPC'!N15</f>
        <v>1365.3</v>
      </c>
      <c r="V12" s="383">
        <f t="shared" si="5"/>
        <v>4407.7</v>
      </c>
      <c r="X12" s="354">
        <f t="shared" si="6"/>
        <v>0.75233644859813076</v>
      </c>
      <c r="Y12" s="354">
        <f t="shared" si="7"/>
        <v>0.94711457384734721</v>
      </c>
      <c r="Z12" s="354" t="str">
        <f t="shared" si="8"/>
        <v>NM</v>
      </c>
      <c r="AC12" s="92" t="str">
        <f>IF('MASTER PubCo Inputs'!C30="","",'MASTER PubCo Inputs'!C30)</f>
        <v>IQ1716658</v>
      </c>
      <c r="AD12" s="385" t="str">
        <f>'Capital IQ Sheet-GPC'!AP15</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3" spans="2:33" ht="12.75" customHeight="1">
      <c r="B13" s="473" t="str">
        <f>'Capital IQ Sheet-GPC'!C16</f>
        <v>Madrigal Pharmaceuticals, Inc.</v>
      </c>
      <c r="C13" s="503"/>
      <c r="D13" s="383">
        <f>'Capital IQ Sheet-GPC'!BE16</f>
        <v>12.7</v>
      </c>
      <c r="E13" s="383">
        <f>'Capital IQ Sheet-GPC'!BF16</f>
        <v>143.69999999999999</v>
      </c>
      <c r="F13" s="383">
        <f>'Capital IQ Sheet-GPC'!BG16</f>
        <v>50.8</v>
      </c>
      <c r="G13" s="383" t="str">
        <f>'Capital IQ Sheet-GPC'!BH16</f>
        <v>n/a</v>
      </c>
      <c r="H13" s="383" t="str">
        <f>'Capital IQ Sheet-GPC'!BI16</f>
        <v>n/a</v>
      </c>
      <c r="I13" s="383">
        <f t="shared" si="0"/>
        <v>50.8</v>
      </c>
      <c r="J13" s="383">
        <f t="shared" si="1"/>
        <v>194.5</v>
      </c>
      <c r="K13" s="383">
        <f>'Capital IQ Sheet-GPC'!BJ16</f>
        <v>0.6</v>
      </c>
      <c r="L13" s="383">
        <f t="shared" si="2"/>
        <v>193.9</v>
      </c>
      <c r="M13" s="387"/>
      <c r="N13" s="383">
        <f>'Capital IQ Sheet-GPC'!I16</f>
        <v>260.10000000000002</v>
      </c>
      <c r="O13" s="383">
        <f>'Capital IQ Sheet-GPC'!J16</f>
        <v>3964.4</v>
      </c>
      <c r="P13" s="383" t="str">
        <f>'Capital IQ Sheet-GPC'!K16</f>
        <v xml:space="preserve"> -   </v>
      </c>
      <c r="Q13" s="383" t="str">
        <f>'Capital IQ Sheet-GPC'!L16</f>
        <v xml:space="preserve"> n/a </v>
      </c>
      <c r="R13" s="383" t="str">
        <f>'Capital IQ Sheet-GPC'!M16</f>
        <v xml:space="preserve"> n/a </v>
      </c>
      <c r="S13" s="383">
        <f t="shared" si="3"/>
        <v>0</v>
      </c>
      <c r="T13" s="383">
        <f t="shared" si="4"/>
        <v>3964.4</v>
      </c>
      <c r="U13" s="383">
        <f>'Capital IQ Sheet-GPC'!N16</f>
        <v>182.8</v>
      </c>
      <c r="V13" s="383">
        <f t="shared" si="5"/>
        <v>3781.6</v>
      </c>
      <c r="X13" s="354" t="str">
        <f t="shared" si="6"/>
        <v>NM</v>
      </c>
      <c r="Y13" s="354" t="str">
        <f t="shared" si="7"/>
        <v>NM</v>
      </c>
      <c r="Z13" s="354" t="str">
        <f t="shared" si="8"/>
        <v>NM</v>
      </c>
      <c r="AC13" s="92" t="str">
        <f>IF('MASTER PubCo Inputs'!C31="","",'MASTER PubCo Inputs'!C31)</f>
        <v>IQ144939852</v>
      </c>
      <c r="AD13" s="385" t="str">
        <f>'Capital IQ Sheet-GPC'!AP16</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4" spans="2:33" ht="12.75" customHeight="1">
      <c r="B14" s="473" t="str">
        <f>'Capital IQ Sheet-GPC'!C17</f>
        <v>Intercept Pharmaceuticals, Inc.</v>
      </c>
      <c r="C14" s="503"/>
      <c r="D14" s="383">
        <f>'Capital IQ Sheet-GPC'!BE17</f>
        <v>164.6</v>
      </c>
      <c r="E14" s="383">
        <f>'Capital IQ Sheet-GPC'!BF17</f>
        <v>4069.7</v>
      </c>
      <c r="F14" s="383" t="str">
        <f>'Capital IQ Sheet-GPC'!BG17</f>
        <v xml:space="preserve"> -   </v>
      </c>
      <c r="G14" s="383" t="str">
        <f>'Capital IQ Sheet-GPC'!BH17</f>
        <v>n/a</v>
      </c>
      <c r="H14" s="383" t="str">
        <f>'Capital IQ Sheet-GPC'!BI17</f>
        <v>n/a</v>
      </c>
      <c r="I14" s="383">
        <f t="shared" si="0"/>
        <v>0</v>
      </c>
      <c r="J14" s="383">
        <f t="shared" si="1"/>
        <v>4069.7</v>
      </c>
      <c r="K14" s="383">
        <f>'Capital IQ Sheet-GPC'!BJ17</f>
        <v>439.5</v>
      </c>
      <c r="L14" s="383">
        <f t="shared" si="2"/>
        <v>3630.2</v>
      </c>
      <c r="M14" s="387"/>
      <c r="N14" s="383">
        <f>'Capital IQ Sheet-GPC'!I17</f>
        <v>88.9</v>
      </c>
      <c r="O14" s="383">
        <f>'Capital IQ Sheet-GPC'!J17</f>
        <v>2630.5</v>
      </c>
      <c r="P14" s="383">
        <f>'Capital IQ Sheet-GPC'!K17</f>
        <v>359.4</v>
      </c>
      <c r="Q14" s="383" t="str">
        <f>'Capital IQ Sheet-GPC'!L17</f>
        <v xml:space="preserve"> n/a </v>
      </c>
      <c r="R14" s="383" t="str">
        <f>'Capital IQ Sheet-GPC'!M17</f>
        <v xml:space="preserve"> n/a </v>
      </c>
      <c r="S14" s="383">
        <f t="shared" si="3"/>
        <v>359.4</v>
      </c>
      <c r="T14" s="383">
        <f t="shared" si="4"/>
        <v>2989.9</v>
      </c>
      <c r="U14" s="383">
        <f>'Capital IQ Sheet-GPC'!N17</f>
        <v>326.10000000000002</v>
      </c>
      <c r="V14" s="383">
        <f t="shared" si="5"/>
        <v>2663.8</v>
      </c>
      <c r="X14" s="354">
        <f t="shared" si="6"/>
        <v>-0.45990279465370587</v>
      </c>
      <c r="Y14" s="354">
        <f t="shared" si="7"/>
        <v>-0.35363786028454181</v>
      </c>
      <c r="Z14" s="354">
        <f t="shared" si="8"/>
        <v>-0.26621122803151331</v>
      </c>
      <c r="AC14" s="92" t="str">
        <f>IF('MASTER PubCo Inputs'!C32="","",'MASTER PubCo Inputs'!C32)</f>
        <v>IQ11382658</v>
      </c>
      <c r="AD14" s="385"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5" spans="2:33" ht="12.75" customHeight="1">
      <c r="B15" s="473" t="str">
        <f>'Capital IQ Sheet-GPC'!C18</f>
        <v>Insmed Incorporated</v>
      </c>
      <c r="C15" s="503"/>
      <c r="D15" s="383">
        <f>'Capital IQ Sheet-GPC'!BE18</f>
        <v>14.5</v>
      </c>
      <c r="E15" s="383">
        <f>'Capital IQ Sheet-GPC'!BF18</f>
        <v>898.5</v>
      </c>
      <c r="F15" s="383">
        <f>'Capital IQ Sheet-GPC'!BG18</f>
        <v>24.8</v>
      </c>
      <c r="G15" s="383" t="str">
        <f>'Capital IQ Sheet-GPC'!BH18</f>
        <v>n/a</v>
      </c>
      <c r="H15" s="383" t="str">
        <f>'Capital IQ Sheet-GPC'!BI18</f>
        <v>n/a</v>
      </c>
      <c r="I15" s="383">
        <f t="shared" si="0"/>
        <v>24.8</v>
      </c>
      <c r="J15" s="383">
        <f t="shared" si="1"/>
        <v>923.3</v>
      </c>
      <c r="K15" s="383">
        <f>'Capital IQ Sheet-GPC'!BJ18</f>
        <v>223.1</v>
      </c>
      <c r="L15" s="383">
        <f t="shared" si="2"/>
        <v>700.19999999999993</v>
      </c>
      <c r="M15" s="387"/>
      <c r="N15" s="383">
        <f>'Capital IQ Sheet-GPC'!I18</f>
        <v>24.3</v>
      </c>
      <c r="O15" s="383">
        <f>'Capital IQ Sheet-GPC'!J18</f>
        <v>1863.5</v>
      </c>
      <c r="P15" s="383">
        <f>'Capital IQ Sheet-GPC'!K18</f>
        <v>302.7</v>
      </c>
      <c r="Q15" s="383" t="str">
        <f>'Capital IQ Sheet-GPC'!L18</f>
        <v xml:space="preserve"> n/a </v>
      </c>
      <c r="R15" s="383" t="str">
        <f>'Capital IQ Sheet-GPC'!M18</f>
        <v xml:space="preserve"> n/a </v>
      </c>
      <c r="S15" s="383">
        <f t="shared" si="3"/>
        <v>302.7</v>
      </c>
      <c r="T15" s="383">
        <f t="shared" si="4"/>
        <v>2166.1999999999998</v>
      </c>
      <c r="U15" s="383">
        <f>'Capital IQ Sheet-GPC'!N18</f>
        <v>686.6</v>
      </c>
      <c r="V15" s="383">
        <f t="shared" si="5"/>
        <v>1479.6</v>
      </c>
      <c r="X15" s="354">
        <f t="shared" si="6"/>
        <v>0.67586206896551726</v>
      </c>
      <c r="Y15" s="354" t="str">
        <f t="shared" si="7"/>
        <v>NM</v>
      </c>
      <c r="Z15" s="354" t="str">
        <f t="shared" si="8"/>
        <v>NM</v>
      </c>
      <c r="AC15" s="92" t="str">
        <f>IF('MASTER PubCo Inputs'!C33="","",'MASTER PubCo Inputs'!C33)</f>
        <v>IQ29978</v>
      </c>
      <c r="AD15" s="385" t="str">
        <f>'Capital IQ Sheet-GPC'!AP18</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6" spans="2:33" ht="12.75" customHeight="1">
      <c r="B16" s="473" t="str">
        <f>'Capital IQ Sheet-GPC'!C19</f>
        <v>Genfit SA</v>
      </c>
      <c r="C16" s="503"/>
      <c r="D16" s="383">
        <f>'Capital IQ Sheet-GPC'!BE19</f>
        <v>26.3</v>
      </c>
      <c r="E16" s="383">
        <f>'Capital IQ Sheet-GPC'!BF19</f>
        <v>693.8</v>
      </c>
      <c r="F16" s="383">
        <f>'Capital IQ Sheet-GPC'!BG19</f>
        <v>6.6</v>
      </c>
      <c r="G16" s="383" t="str">
        <f>'Capital IQ Sheet-GPC'!BH19</f>
        <v>n/a</v>
      </c>
      <c r="H16" s="383" t="str">
        <f>'Capital IQ Sheet-GPC'!BI19</f>
        <v>n/a</v>
      </c>
      <c r="I16" s="383">
        <f t="shared" si="0"/>
        <v>6.6</v>
      </c>
      <c r="J16" s="383">
        <f t="shared" si="1"/>
        <v>700.4</v>
      </c>
      <c r="K16" s="383">
        <f>'Capital IQ Sheet-GPC'!BJ19</f>
        <v>105.1</v>
      </c>
      <c r="L16" s="383">
        <f t="shared" si="2"/>
        <v>595.29999999999995</v>
      </c>
      <c r="M16" s="387"/>
      <c r="N16" s="383">
        <f>'Capital IQ Sheet-GPC'!I19</f>
        <v>28.3</v>
      </c>
      <c r="O16" s="383">
        <f>'Capital IQ Sheet-GPC'!J19</f>
        <v>882.5</v>
      </c>
      <c r="P16" s="383">
        <f>'Capital IQ Sheet-GPC'!K19</f>
        <v>196.6</v>
      </c>
      <c r="Q16" s="383" t="str">
        <f>'Capital IQ Sheet-GPC'!L19</f>
        <v xml:space="preserve"> n/a </v>
      </c>
      <c r="R16" s="383" t="str">
        <f>'Capital IQ Sheet-GPC'!M19</f>
        <v xml:space="preserve"> n/a </v>
      </c>
      <c r="S16" s="383">
        <f t="shared" si="3"/>
        <v>196.6</v>
      </c>
      <c r="T16" s="383">
        <f t="shared" si="4"/>
        <v>1079.0999999999999</v>
      </c>
      <c r="U16" s="383">
        <f>'Capital IQ Sheet-GPC'!N19</f>
        <v>328.8</v>
      </c>
      <c r="V16" s="383">
        <f t="shared" si="5"/>
        <v>750.3</v>
      </c>
      <c r="X16" s="354">
        <f t="shared" si="6"/>
        <v>7.6045627376425839E-2</v>
      </c>
      <c r="Y16" s="354">
        <f t="shared" si="7"/>
        <v>0.27198039780916705</v>
      </c>
      <c r="Z16" s="354">
        <f t="shared" si="8"/>
        <v>0.2603729212161936</v>
      </c>
      <c r="AC16" s="92" t="str">
        <f>IF('MASTER PubCo Inputs'!C34="","",'MASTER PubCo Inputs'!C34)</f>
        <v>IQ9683234</v>
      </c>
      <c r="AD16" s="385" t="str">
        <f>'Capital IQ Sheet-GPC'!AP19</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7" spans="2:30" ht="12.75" customHeight="1">
      <c r="B17" s="473" t="str">
        <f>'Capital IQ Sheet-GPC'!C20</f>
        <v>Kadmon Holdings, Inc.</v>
      </c>
      <c r="C17" s="503"/>
      <c r="D17" s="383">
        <f>'Capital IQ Sheet-GPC'!BE20</f>
        <v>7.3</v>
      </c>
      <c r="E17" s="383">
        <f>'Capital IQ Sheet-GPC'!BF20</f>
        <v>330.9</v>
      </c>
      <c r="F17" s="383">
        <f>'Capital IQ Sheet-GPC'!BG20</f>
        <v>229.3</v>
      </c>
      <c r="G17" s="383" t="str">
        <f>'Capital IQ Sheet-GPC'!BH20</f>
        <v>n/a</v>
      </c>
      <c r="H17" s="383" t="str">
        <f>'Capital IQ Sheet-GPC'!BI20</f>
        <v>n/a</v>
      </c>
      <c r="I17" s="383">
        <f t="shared" si="0"/>
        <v>229.3</v>
      </c>
      <c r="J17" s="383">
        <f t="shared" si="1"/>
        <v>560.20000000000005</v>
      </c>
      <c r="K17" s="383">
        <f>'Capital IQ Sheet-GPC'!BJ20</f>
        <v>5.5</v>
      </c>
      <c r="L17" s="383">
        <f t="shared" si="2"/>
        <v>554.70000000000005</v>
      </c>
      <c r="M17" s="387"/>
      <c r="N17" s="383">
        <f>'Capital IQ Sheet-GPC'!I20</f>
        <v>3.4</v>
      </c>
      <c r="O17" s="383">
        <f>'Capital IQ Sheet-GPC'!J20</f>
        <v>365.5</v>
      </c>
      <c r="P17" s="383">
        <f>'Capital IQ Sheet-GPC'!K20</f>
        <v>33.1</v>
      </c>
      <c r="Q17" s="383">
        <f>'Capital IQ Sheet-GPC'!L20</f>
        <v>40.700000000000003</v>
      </c>
      <c r="R17" s="383" t="str">
        <f>'Capital IQ Sheet-GPC'!M20</f>
        <v xml:space="preserve"> n/a </v>
      </c>
      <c r="S17" s="383">
        <f t="shared" si="3"/>
        <v>73.800000000000011</v>
      </c>
      <c r="T17" s="383">
        <f t="shared" si="4"/>
        <v>439.3</v>
      </c>
      <c r="U17" s="383">
        <f>'Capital IQ Sheet-GPC'!N20</f>
        <v>49.2</v>
      </c>
      <c r="V17" s="383">
        <f t="shared" si="5"/>
        <v>390.1</v>
      </c>
      <c r="X17" s="354" t="str">
        <f t="shared" si="6"/>
        <v>NM</v>
      </c>
      <c r="Y17" s="354">
        <f t="shared" si="7"/>
        <v>0.10456331217890602</v>
      </c>
      <c r="Z17" s="354">
        <f t="shared" si="8"/>
        <v>-0.29673697494140983</v>
      </c>
      <c r="AC17" s="92" t="str">
        <f>IF('MASTER PubCo Inputs'!C35="","",'MASTER PubCo Inputs'!C35)</f>
        <v>IQ114935891</v>
      </c>
      <c r="AD17" s="385" t="str">
        <f>'Capital IQ Sheet-GPC'!AP20</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8" spans="2:30" ht="12.75" customHeight="1">
      <c r="B18" s="473" t="str">
        <f>'Capital IQ Sheet-GPC'!C21</f>
        <v>MediciNova, Inc.</v>
      </c>
      <c r="C18" s="503"/>
      <c r="D18" s="383">
        <f>'Capital IQ Sheet-GPC'!BE21</f>
        <v>7.5</v>
      </c>
      <c r="E18" s="383">
        <f>'Capital IQ Sheet-GPC'!BF21</f>
        <v>258.2</v>
      </c>
      <c r="F18" s="383" t="str">
        <f>'Capital IQ Sheet-GPC'!BG21</f>
        <v xml:space="preserve"> -   </v>
      </c>
      <c r="G18" s="383" t="str">
        <f>'Capital IQ Sheet-GPC'!BH21</f>
        <v>n/a</v>
      </c>
      <c r="H18" s="383" t="str">
        <f>'Capital IQ Sheet-GPC'!BI21</f>
        <v>n/a</v>
      </c>
      <c r="I18" s="383">
        <f t="shared" si="0"/>
        <v>0</v>
      </c>
      <c r="J18" s="383">
        <f t="shared" si="1"/>
        <v>258.2</v>
      </c>
      <c r="K18" s="383">
        <f>'Capital IQ Sheet-GPC'!BJ21</f>
        <v>26.6</v>
      </c>
      <c r="L18" s="383">
        <f t="shared" si="2"/>
        <v>231.6</v>
      </c>
      <c r="M18" s="387"/>
      <c r="N18" s="383">
        <f>'Capital IQ Sheet-GPC'!I21</f>
        <v>9.5</v>
      </c>
      <c r="O18" s="383">
        <f>'Capital IQ Sheet-GPC'!J21</f>
        <v>398.7</v>
      </c>
      <c r="P18" s="383" t="str">
        <f>'Capital IQ Sheet-GPC'!K21</f>
        <v xml:space="preserve"> -   </v>
      </c>
      <c r="Q18" s="383" t="str">
        <f>'Capital IQ Sheet-GPC'!L21</f>
        <v xml:space="preserve"> n/a </v>
      </c>
      <c r="R18" s="383" t="str">
        <f>'Capital IQ Sheet-GPC'!M21</f>
        <v xml:space="preserve"> n/a </v>
      </c>
      <c r="S18" s="383">
        <f t="shared" si="3"/>
        <v>0</v>
      </c>
      <c r="T18" s="383">
        <f t="shared" si="4"/>
        <v>398.7</v>
      </c>
      <c r="U18" s="383">
        <f>'Capital IQ Sheet-GPC'!N21</f>
        <v>64.2</v>
      </c>
      <c r="V18" s="383">
        <f t="shared" si="5"/>
        <v>334.5</v>
      </c>
      <c r="X18" s="354">
        <f t="shared" si="6"/>
        <v>0.26666666666666661</v>
      </c>
      <c r="Y18" s="354">
        <f t="shared" si="7"/>
        <v>0.54415182029434539</v>
      </c>
      <c r="Z18" s="354">
        <f t="shared" si="8"/>
        <v>0.44430051813471505</v>
      </c>
      <c r="AC18" s="92" t="str">
        <f>IF('MASTER PubCo Inputs'!C36="","",'MASTER PubCo Inputs'!C36)</f>
        <v>IQ9262264</v>
      </c>
      <c r="AD18" s="385" t="str">
        <f>'Capital IQ Sheet-GPC'!AP21</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9" spans="2:30" ht="12.75" customHeight="1">
      <c r="B19" s="473" t="str">
        <f>'Capital IQ Sheet-GPC'!C22</f>
        <v>Savara Inc.</v>
      </c>
      <c r="C19" s="503"/>
      <c r="D19" s="383" t="str">
        <f>'Capital IQ Sheet-GPC'!BE22</f>
        <v xml:space="preserve"> n/a </v>
      </c>
      <c r="E19" s="383" t="str">
        <f>'Capital IQ Sheet-GPC'!BF22</f>
        <v xml:space="preserve"> n/a </v>
      </c>
      <c r="F19" s="383" t="str">
        <f>'Capital IQ Sheet-GPC'!BG22</f>
        <v xml:space="preserve"> n/a </v>
      </c>
      <c r="G19" s="383" t="str">
        <f>'Capital IQ Sheet-GPC'!BH22</f>
        <v>n/a</v>
      </c>
      <c r="H19" s="383" t="str">
        <f>'Capital IQ Sheet-GPC'!BI22</f>
        <v>n/a</v>
      </c>
      <c r="I19" s="383">
        <f t="shared" si="0"/>
        <v>0</v>
      </c>
      <c r="J19" s="383">
        <f t="shared" si="1"/>
        <v>0</v>
      </c>
      <c r="K19" s="383" t="str">
        <f>'Capital IQ Sheet-GPC'!BJ22</f>
        <v xml:space="preserve"> n/a </v>
      </c>
      <c r="L19" s="383" t="str">
        <f t="shared" si="2"/>
        <v>n/a</v>
      </c>
      <c r="M19" s="387"/>
      <c r="N19" s="383">
        <f>'Capital IQ Sheet-GPC'!I22</f>
        <v>11.2</v>
      </c>
      <c r="O19" s="383">
        <f>'Capital IQ Sheet-GPC'!J22</f>
        <v>393.3</v>
      </c>
      <c r="P19" s="383">
        <f>'Capital IQ Sheet-GPC'!K22</f>
        <v>15.2</v>
      </c>
      <c r="Q19" s="383" t="str">
        <f>'Capital IQ Sheet-GPC'!L22</f>
        <v xml:space="preserve"> n/a </v>
      </c>
      <c r="R19" s="383" t="str">
        <f>'Capital IQ Sheet-GPC'!M22</f>
        <v xml:space="preserve"> n/a </v>
      </c>
      <c r="S19" s="383">
        <f t="shared" si="3"/>
        <v>15.2</v>
      </c>
      <c r="T19" s="383">
        <f t="shared" si="4"/>
        <v>408.5</v>
      </c>
      <c r="U19" s="383">
        <f>'Capital IQ Sheet-GPC'!N22</f>
        <v>85.2</v>
      </c>
      <c r="V19" s="383">
        <f t="shared" si="5"/>
        <v>323.3</v>
      </c>
      <c r="X19" s="354" t="str">
        <f t="shared" si="6"/>
        <v>n/a</v>
      </c>
      <c r="Y19" s="354" t="str">
        <f t="shared" si="7"/>
        <v>n/a</v>
      </c>
      <c r="Z19" s="354" t="str">
        <f t="shared" si="8"/>
        <v>n/a</v>
      </c>
      <c r="AC19" s="92" t="str">
        <f>IF('MASTER PubCo Inputs'!C37="","",'MASTER PubCo Inputs'!C37)</f>
        <v>IQ59211637</v>
      </c>
      <c r="AD19" s="385" t="str">
        <f>'Capital IQ Sheet-GPC'!AP22</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0" spans="2:30" ht="12.75" customHeight="1">
      <c r="B20" s="473" t="str">
        <f>'Capital IQ Sheet-GPC'!C23</f>
        <v>Galmed Pharmaceuticals Ltd.</v>
      </c>
      <c r="C20" s="503"/>
      <c r="D20" s="383">
        <f>'Capital IQ Sheet-GPC'!BE23</f>
        <v>4.4000000000000004</v>
      </c>
      <c r="E20" s="383">
        <f>'Capital IQ Sheet-GPC'!BF23</f>
        <v>49.3</v>
      </c>
      <c r="F20" s="383" t="str">
        <f>'Capital IQ Sheet-GPC'!BG23</f>
        <v xml:space="preserve"> -   </v>
      </c>
      <c r="G20" s="383" t="str">
        <f>'Capital IQ Sheet-GPC'!BH23</f>
        <v>n/a</v>
      </c>
      <c r="H20" s="383" t="str">
        <f>'Capital IQ Sheet-GPC'!BI23</f>
        <v>n/a</v>
      </c>
      <c r="I20" s="383">
        <f t="shared" si="0"/>
        <v>0</v>
      </c>
      <c r="J20" s="383">
        <f t="shared" si="1"/>
        <v>49.3</v>
      </c>
      <c r="K20" s="383">
        <f>'Capital IQ Sheet-GPC'!BJ23</f>
        <v>16.7</v>
      </c>
      <c r="L20" s="383">
        <f t="shared" si="2"/>
        <v>32.599999999999994</v>
      </c>
      <c r="M20" s="387"/>
      <c r="N20" s="383">
        <f>'Capital IQ Sheet-GPC'!I23</f>
        <v>13.9</v>
      </c>
      <c r="O20" s="383">
        <f>'Capital IQ Sheet-GPC'!J23</f>
        <v>289.7</v>
      </c>
      <c r="P20" s="383" t="str">
        <f>'Capital IQ Sheet-GPC'!K23</f>
        <v xml:space="preserve"> -   </v>
      </c>
      <c r="Q20" s="383" t="str">
        <f>'Capital IQ Sheet-GPC'!L23</f>
        <v xml:space="preserve"> n/a </v>
      </c>
      <c r="R20" s="383" t="str">
        <f>'Capital IQ Sheet-GPC'!M23</f>
        <v xml:space="preserve"> n/a </v>
      </c>
      <c r="S20" s="383">
        <f t="shared" si="3"/>
        <v>0</v>
      </c>
      <c r="T20" s="383">
        <f t="shared" si="4"/>
        <v>289.7</v>
      </c>
      <c r="U20" s="383">
        <f>'Capital IQ Sheet-GPC'!N23</f>
        <v>15.5</v>
      </c>
      <c r="V20" s="383">
        <f t="shared" si="5"/>
        <v>274.2</v>
      </c>
      <c r="X20" s="354" t="str">
        <f t="shared" si="6"/>
        <v>NM</v>
      </c>
      <c r="Y20" s="354" t="str">
        <f t="shared" si="7"/>
        <v>NM</v>
      </c>
      <c r="Z20" s="354" t="str">
        <f t="shared" si="8"/>
        <v>NM</v>
      </c>
      <c r="AC20" s="92" t="str">
        <f>IF('MASTER PubCo Inputs'!C38="","",'MASTER PubCo Inputs'!C38)</f>
        <v>IQ114779940</v>
      </c>
      <c r="AD20" s="385" t="str">
        <f>'Capital IQ Sheet-GPC'!AP23</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1" spans="2:30" ht="12.75" customHeight="1">
      <c r="B21" s="473" t="str">
        <f>'Capital IQ Sheet-GPC'!C24</f>
        <v>Galectin Therapeutics, Inc.</v>
      </c>
      <c r="C21" s="503"/>
      <c r="D21" s="383">
        <f>'Capital IQ Sheet-GPC'!BE24</f>
        <v>1.1000000000000001</v>
      </c>
      <c r="E21" s="383">
        <f>'Capital IQ Sheet-GPC'!BF24</f>
        <v>33.1</v>
      </c>
      <c r="F21" s="383" t="str">
        <f>'Capital IQ Sheet-GPC'!BG24</f>
        <v xml:space="preserve"> -   </v>
      </c>
      <c r="G21" s="383">
        <f>'Capital IQ Sheet-GPC'!BH24</f>
        <v>7.681</v>
      </c>
      <c r="H21" s="383" t="str">
        <f>'Capital IQ Sheet-GPC'!BI24</f>
        <v>n/a</v>
      </c>
      <c r="I21" s="383">
        <f t="shared" si="0"/>
        <v>7.681</v>
      </c>
      <c r="J21" s="383">
        <f t="shared" si="1"/>
        <v>40.780999999999999</v>
      </c>
      <c r="K21" s="383">
        <f>'Capital IQ Sheet-GPC'!BJ24</f>
        <v>18</v>
      </c>
      <c r="L21" s="383">
        <f t="shared" si="2"/>
        <v>22.780999999999999</v>
      </c>
      <c r="M21" s="387"/>
      <c r="N21" s="383">
        <f>'Capital IQ Sheet-GPC'!I24</f>
        <v>5</v>
      </c>
      <c r="O21" s="383">
        <f>'Capital IQ Sheet-GPC'!J24</f>
        <v>202.3</v>
      </c>
      <c r="P21" s="383" t="str">
        <f>'Capital IQ Sheet-GPC'!K24</f>
        <v xml:space="preserve"> -   </v>
      </c>
      <c r="Q21" s="383">
        <f>'Capital IQ Sheet-GPC'!L24</f>
        <v>9</v>
      </c>
      <c r="R21" s="383" t="str">
        <f>'Capital IQ Sheet-GPC'!M24</f>
        <v xml:space="preserve"> n/a </v>
      </c>
      <c r="S21" s="383">
        <f t="shared" si="3"/>
        <v>9</v>
      </c>
      <c r="T21" s="383">
        <f t="shared" si="4"/>
        <v>211.3</v>
      </c>
      <c r="U21" s="383">
        <f>'Capital IQ Sheet-GPC'!N24</f>
        <v>4</v>
      </c>
      <c r="V21" s="383">
        <f t="shared" si="5"/>
        <v>207.3</v>
      </c>
      <c r="X21" s="354" t="str">
        <f t="shared" si="6"/>
        <v>NM</v>
      </c>
      <c r="Y21" s="354" t="str">
        <f t="shared" si="7"/>
        <v>NM</v>
      </c>
      <c r="Z21" s="354" t="str">
        <f t="shared" si="8"/>
        <v>NM</v>
      </c>
      <c r="AC21" s="92" t="str">
        <f>IF('MASTER PubCo Inputs'!C39="","",'MASTER PubCo Inputs'!C39)</f>
        <v>IQ1065415</v>
      </c>
      <c r="AD21" s="385" t="str">
        <f>'Capital IQ Sheet-GPC'!AP24</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2" spans="2:30" ht="12.75" customHeight="1">
      <c r="B22" s="473" t="str">
        <f>'Capital IQ Sheet-GPC'!C25</f>
        <v>Corbus Pharmaceuticals Holdings, Inc.</v>
      </c>
      <c r="C22" s="503"/>
      <c r="D22" s="383">
        <f>'Capital IQ Sheet-GPC'!BE25</f>
        <v>6.8</v>
      </c>
      <c r="E22" s="383">
        <f>'Capital IQ Sheet-GPC'!BF25</f>
        <v>297.10000000000002</v>
      </c>
      <c r="F22" s="383">
        <f>'Capital IQ Sheet-GPC'!BG25</f>
        <v>0</v>
      </c>
      <c r="G22" s="383" t="str">
        <f>'Capital IQ Sheet-GPC'!BH25</f>
        <v>n/a</v>
      </c>
      <c r="H22" s="383" t="str">
        <f>'Capital IQ Sheet-GPC'!BI25</f>
        <v>n/a</v>
      </c>
      <c r="I22" s="383">
        <f t="shared" si="0"/>
        <v>0</v>
      </c>
      <c r="J22" s="383">
        <f t="shared" si="1"/>
        <v>297.10000000000002</v>
      </c>
      <c r="K22" s="383">
        <f>'Capital IQ Sheet-GPC'!BJ25</f>
        <v>22</v>
      </c>
      <c r="L22" s="383">
        <f t="shared" si="2"/>
        <v>275.10000000000002</v>
      </c>
      <c r="M22" s="387"/>
      <c r="N22" s="383">
        <f>'Capital IQ Sheet-GPC'!I25</f>
        <v>4.8</v>
      </c>
      <c r="O22" s="383">
        <f>'Capital IQ Sheet-GPC'!J25</f>
        <v>274.3</v>
      </c>
      <c r="P22" s="383">
        <f>'Capital IQ Sheet-GPC'!K25</f>
        <v>0.2</v>
      </c>
      <c r="Q22" s="383" t="str">
        <f>'Capital IQ Sheet-GPC'!L25</f>
        <v xml:space="preserve"> n/a </v>
      </c>
      <c r="R22" s="383" t="str">
        <f>'Capital IQ Sheet-GPC'!M25</f>
        <v xml:space="preserve"> n/a </v>
      </c>
      <c r="S22" s="383">
        <f t="shared" si="3"/>
        <v>0.2</v>
      </c>
      <c r="T22" s="383">
        <f t="shared" si="4"/>
        <v>274.5</v>
      </c>
      <c r="U22" s="383">
        <f>'Capital IQ Sheet-GPC'!N25</f>
        <v>71</v>
      </c>
      <c r="V22" s="383">
        <f t="shared" si="5"/>
        <v>203.5</v>
      </c>
      <c r="X22" s="354">
        <f t="shared" si="6"/>
        <v>-0.29411764705882348</v>
      </c>
      <c r="Y22" s="354">
        <f t="shared" si="7"/>
        <v>-7.6741837765062271E-2</v>
      </c>
      <c r="Z22" s="354">
        <f t="shared" si="8"/>
        <v>-0.26026899309342066</v>
      </c>
      <c r="AC22" s="92" t="str">
        <f>IF('MASTER PubCo Inputs'!C40="","",'MASTER PubCo Inputs'!C40)</f>
        <v>IQ254045988</v>
      </c>
      <c r="AD22" s="385" t="str">
        <f>'Capital IQ Sheet-GPC'!AP25</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2:30" ht="12.75" customHeight="1">
      <c r="B23" s="473" t="str">
        <f>'Capital IQ Sheet-GPC'!C26</f>
        <v>ProQR Therapeutics N.V.</v>
      </c>
      <c r="C23" s="503"/>
      <c r="D23" s="383">
        <f>'Capital IQ Sheet-GPC'!BE26</f>
        <v>6.7</v>
      </c>
      <c r="E23" s="383">
        <f>'Capital IQ Sheet-GPC'!BF26</f>
        <v>155.69999999999999</v>
      </c>
      <c r="F23" s="383">
        <f>'Capital IQ Sheet-GPC'!BG26</f>
        <v>5.8</v>
      </c>
      <c r="G23" s="383" t="str">
        <f>'Capital IQ Sheet-GPC'!BH26</f>
        <v>n/a</v>
      </c>
      <c r="H23" s="383" t="str">
        <f>'Capital IQ Sheet-GPC'!BI26</f>
        <v>n/a</v>
      </c>
      <c r="I23" s="383">
        <f t="shared" si="0"/>
        <v>5.8</v>
      </c>
      <c r="J23" s="383">
        <f t="shared" si="1"/>
        <v>161.5</v>
      </c>
      <c r="K23" s="383">
        <f>'Capital IQ Sheet-GPC'!BJ26</f>
        <v>84.7</v>
      </c>
      <c r="L23" s="383">
        <f t="shared" si="2"/>
        <v>76.8</v>
      </c>
      <c r="M23" s="387"/>
      <c r="N23" s="383">
        <f>'Capital IQ Sheet-GPC'!I26</f>
        <v>6.7</v>
      </c>
      <c r="O23" s="383">
        <f>'Capital IQ Sheet-GPC'!J26</f>
        <v>212.3</v>
      </c>
      <c r="P23" s="383">
        <f>'Capital IQ Sheet-GPC'!K26</f>
        <v>8.6999999999999993</v>
      </c>
      <c r="Q23" s="383" t="str">
        <f>'Capital IQ Sheet-GPC'!L26</f>
        <v xml:space="preserve"> n/a </v>
      </c>
      <c r="R23" s="383">
        <f>'Capital IQ Sheet-GPC'!M26</f>
        <v>0</v>
      </c>
      <c r="S23" s="383">
        <f t="shared" si="3"/>
        <v>8.6999999999999993</v>
      </c>
      <c r="T23" s="383">
        <f t="shared" si="4"/>
        <v>221</v>
      </c>
      <c r="U23" s="383">
        <f>'Capital IQ Sheet-GPC'!N26</f>
        <v>57.8</v>
      </c>
      <c r="V23" s="383">
        <f t="shared" si="5"/>
        <v>163.19999999999999</v>
      </c>
      <c r="X23" s="354">
        <f t="shared" si="6"/>
        <v>0</v>
      </c>
      <c r="Y23" s="354">
        <f t="shared" si="7"/>
        <v>0.36351958895311509</v>
      </c>
      <c r="Z23" s="354" t="str">
        <f t="shared" si="8"/>
        <v>NM</v>
      </c>
      <c r="AC23" s="92" t="str">
        <f>IF('MASTER PubCo Inputs'!C41="","",'MASTER PubCo Inputs'!C41)</f>
        <v>IQ224193775</v>
      </c>
      <c r="AD23" s="385" t="str">
        <f>'Capital IQ Sheet-GPC'!AP26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4" spans="2:30" ht="12.75" customHeight="1">
      <c r="B24" s="473" t="str">
        <f>'Capital IQ Sheet-GPC'!C27</f>
        <v>Miragen Therapeutics, Inc.</v>
      </c>
      <c r="C24" s="503"/>
      <c r="D24" s="383" t="str">
        <f>'Capital IQ Sheet-GPC'!BE27</f>
        <v xml:space="preserve"> n/a </v>
      </c>
      <c r="E24" s="383" t="str">
        <f>'Capital IQ Sheet-GPC'!BF27</f>
        <v xml:space="preserve"> n/a </v>
      </c>
      <c r="F24" s="383" t="str">
        <f>'Capital IQ Sheet-GPC'!BG27</f>
        <v xml:space="preserve"> n/a </v>
      </c>
      <c r="G24" s="383" t="str">
        <f>'Capital IQ Sheet-GPC'!BH27</f>
        <v>n/a</v>
      </c>
      <c r="H24" s="383" t="str">
        <f>'Capital IQ Sheet-GPC'!BI27</f>
        <v>n/a</v>
      </c>
      <c r="I24" s="383">
        <f t="shared" si="0"/>
        <v>0</v>
      </c>
      <c r="J24" s="383">
        <f t="shared" si="1"/>
        <v>0</v>
      </c>
      <c r="K24" s="383" t="str">
        <f>'Capital IQ Sheet-GPC'!BJ27</f>
        <v xml:space="preserve"> n/a </v>
      </c>
      <c r="L24" s="383" t="str">
        <f t="shared" si="2"/>
        <v>n/a</v>
      </c>
      <c r="M24" s="387"/>
      <c r="N24" s="383">
        <f>'Capital IQ Sheet-GPC'!I27</f>
        <v>6.5</v>
      </c>
      <c r="O24" s="383">
        <f>'Capital IQ Sheet-GPC'!J27</f>
        <v>194.7</v>
      </c>
      <c r="P24" s="383">
        <f>'Capital IQ Sheet-GPC'!K27</f>
        <v>10</v>
      </c>
      <c r="Q24" s="383" t="str">
        <f>'Capital IQ Sheet-GPC'!L27</f>
        <v xml:space="preserve"> n/a </v>
      </c>
      <c r="R24" s="383" t="str">
        <f>'Capital IQ Sheet-GPC'!M27</f>
        <v xml:space="preserve"> n/a </v>
      </c>
      <c r="S24" s="383">
        <f t="shared" si="3"/>
        <v>10</v>
      </c>
      <c r="T24" s="383">
        <f t="shared" si="4"/>
        <v>204.7</v>
      </c>
      <c r="U24" s="383">
        <f>'Capital IQ Sheet-GPC'!N27</f>
        <v>78.099999999999994</v>
      </c>
      <c r="V24" s="383">
        <f t="shared" si="5"/>
        <v>126.6</v>
      </c>
      <c r="X24" s="354" t="str">
        <f t="shared" si="6"/>
        <v>n/a</v>
      </c>
      <c r="Y24" s="354" t="str">
        <f t="shared" si="7"/>
        <v>n/a</v>
      </c>
      <c r="Z24" s="354" t="str">
        <f t="shared" si="8"/>
        <v>n/a</v>
      </c>
      <c r="AC24" s="92" t="str">
        <f>IF('MASTER PubCo Inputs'!C42="","",'MASTER PubCo Inputs'!C42)</f>
        <v>IQ45015663</v>
      </c>
      <c r="AD24" s="385" t="str">
        <f>'Capital IQ Sheet-GPC'!AP27</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5" spans="2:30" ht="12.75" customHeight="1">
      <c r="B25" s="473" t="str">
        <f>'Capital IQ Sheet-GPC'!C28</f>
        <v>Conatus Pharmaceuticals Inc.</v>
      </c>
      <c r="C25" s="503"/>
      <c r="D25" s="383">
        <f>'Capital IQ Sheet-GPC'!BE28</f>
        <v>2</v>
      </c>
      <c r="E25" s="383">
        <f>'Capital IQ Sheet-GPC'!BF28</f>
        <v>44.2</v>
      </c>
      <c r="F25" s="383">
        <f>'Capital IQ Sheet-GPC'!BG28</f>
        <v>1</v>
      </c>
      <c r="G25" s="383" t="str">
        <f>'Capital IQ Sheet-GPC'!BH28</f>
        <v>n/a</v>
      </c>
      <c r="H25" s="383" t="str">
        <f>'Capital IQ Sheet-GPC'!BI28</f>
        <v>n/a</v>
      </c>
      <c r="I25" s="383">
        <f t="shared" si="0"/>
        <v>1</v>
      </c>
      <c r="J25" s="383">
        <f t="shared" si="1"/>
        <v>45.2</v>
      </c>
      <c r="K25" s="383">
        <f>'Capital IQ Sheet-GPC'!BJ28</f>
        <v>30.2</v>
      </c>
      <c r="L25" s="383">
        <f t="shared" si="2"/>
        <v>15.000000000000004</v>
      </c>
      <c r="M25" s="387"/>
      <c r="N25" s="383">
        <f>'Capital IQ Sheet-GPC'!I28</f>
        <v>3.9</v>
      </c>
      <c r="O25" s="383">
        <f>'Capital IQ Sheet-GPC'!J28</f>
        <v>115.7</v>
      </c>
      <c r="P25" s="383">
        <f>'Capital IQ Sheet-GPC'!K28</f>
        <v>13.3</v>
      </c>
      <c r="Q25" s="383" t="str">
        <f>'Capital IQ Sheet-GPC'!L28</f>
        <v xml:space="preserve"> n/a </v>
      </c>
      <c r="R25" s="383" t="str">
        <f>'Capital IQ Sheet-GPC'!M28</f>
        <v xml:space="preserve"> n/a </v>
      </c>
      <c r="S25" s="383">
        <f t="shared" si="3"/>
        <v>13.3</v>
      </c>
      <c r="T25" s="383">
        <f t="shared" si="4"/>
        <v>129</v>
      </c>
      <c r="U25" s="383">
        <f>'Capital IQ Sheet-GPC'!N28</f>
        <v>66.8</v>
      </c>
      <c r="V25" s="383">
        <f t="shared" si="5"/>
        <v>62.2</v>
      </c>
      <c r="X25" s="354">
        <f t="shared" si="6"/>
        <v>0.95</v>
      </c>
      <c r="Y25" s="354" t="str">
        <f t="shared" si="7"/>
        <v>NM</v>
      </c>
      <c r="Z25" s="354" t="str">
        <f t="shared" si="8"/>
        <v>NM</v>
      </c>
      <c r="AC25" s="92" t="str">
        <f>IF('MASTER PubCo Inputs'!C43="","",'MASTER PubCo Inputs'!C43)</f>
        <v>IQ30828389</v>
      </c>
      <c r="AD25" s="385" t="str">
        <f>'Capital IQ Sheet-GPC'!AP28</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6" spans="2:30" ht="12.75" customHeight="1">
      <c r="B26" s="473" t="str">
        <f>'Capital IQ Sheet-GPC'!C29</f>
        <v>Immuron Limited</v>
      </c>
      <c r="C26" s="503"/>
      <c r="D26" s="383">
        <f>'Capital IQ Sheet-GPC'!BE29</f>
        <v>0.2</v>
      </c>
      <c r="E26" s="383">
        <f>'Capital IQ Sheet-GPC'!BF29</f>
        <v>19</v>
      </c>
      <c r="F26" s="383">
        <f>'Capital IQ Sheet-GPC'!BG29</f>
        <v>1.4</v>
      </c>
      <c r="G26" s="383" t="str">
        <f>'Capital IQ Sheet-GPC'!BH29</f>
        <v>n/a</v>
      </c>
      <c r="H26" s="383" t="str">
        <f>'Capital IQ Sheet-GPC'!BI29</f>
        <v>n/a</v>
      </c>
      <c r="I26" s="383">
        <f t="shared" si="0"/>
        <v>1.4</v>
      </c>
      <c r="J26" s="383">
        <f t="shared" si="1"/>
        <v>20.399999999999999</v>
      </c>
      <c r="K26" s="383">
        <f>'Capital IQ Sheet-GPC'!BJ29</f>
        <v>1.7</v>
      </c>
      <c r="L26" s="383">
        <f t="shared" si="2"/>
        <v>18.7</v>
      </c>
      <c r="M26" s="387"/>
      <c r="N26" s="383">
        <f>'Capital IQ Sheet-GPC'!I29</f>
        <v>0.3</v>
      </c>
      <c r="O26" s="383">
        <f>'Capital IQ Sheet-GPC'!J29</f>
        <v>39.700000000000003</v>
      </c>
      <c r="P26" s="383">
        <f>'Capital IQ Sheet-GPC'!K29</f>
        <v>0</v>
      </c>
      <c r="Q26" s="383" t="str">
        <f>'Capital IQ Sheet-GPC'!L29</f>
        <v xml:space="preserve"> n/a </v>
      </c>
      <c r="R26" s="383" t="str">
        <f>'Capital IQ Sheet-GPC'!M29</f>
        <v xml:space="preserve"> n/a </v>
      </c>
      <c r="S26" s="383">
        <f t="shared" si="3"/>
        <v>0</v>
      </c>
      <c r="T26" s="383">
        <f t="shared" si="4"/>
        <v>39.700000000000003</v>
      </c>
      <c r="U26" s="383">
        <f>'Capital IQ Sheet-GPC'!N29</f>
        <v>0.5</v>
      </c>
      <c r="V26" s="383">
        <f t="shared" si="5"/>
        <v>39.200000000000003</v>
      </c>
      <c r="X26" s="354">
        <f t="shared" si="6"/>
        <v>0.49999999999999978</v>
      </c>
      <c r="Y26" s="354" t="str">
        <f t="shared" si="7"/>
        <v>NM</v>
      </c>
      <c r="Z26" s="354" t="str">
        <f t="shared" si="8"/>
        <v>NM</v>
      </c>
      <c r="AC26" s="92" t="str">
        <f>IF('MASTER PubCo Inputs'!C44="","",'MASTER PubCo Inputs'!C44)</f>
        <v>IQ7687411</v>
      </c>
      <c r="AD26" s="385" t="str">
        <f>'Capital IQ Sheet-GPC'!AP29</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7" spans="2:30" ht="12.75" customHeight="1">
      <c r="B27" s="473" t="str">
        <f>'Capital IQ Sheet-GPC'!C30</f>
        <v>AdAlta Limited</v>
      </c>
      <c r="C27" s="503"/>
      <c r="D27" s="383">
        <f>'Capital IQ Sheet-GPC'!BE30</f>
        <v>0.2</v>
      </c>
      <c r="E27" s="383">
        <f>'Capital IQ Sheet-GPC'!BF30</f>
        <v>18.899999999999999</v>
      </c>
      <c r="F27" s="383" t="str">
        <f>'Capital IQ Sheet-GPC'!BG30</f>
        <v xml:space="preserve"> -   </v>
      </c>
      <c r="G27" s="383">
        <f>'Capital IQ Sheet-GPC'!BH30</f>
        <v>2.23489</v>
      </c>
      <c r="H27" s="383" t="str">
        <f>'Capital IQ Sheet-GPC'!BI30</f>
        <v>n/a</v>
      </c>
      <c r="I27" s="383">
        <f t="shared" si="0"/>
        <v>2.23489</v>
      </c>
      <c r="J27" s="383">
        <f t="shared" si="1"/>
        <v>21.134889999999999</v>
      </c>
      <c r="K27" s="383">
        <f>'Capital IQ Sheet-GPC'!BJ30</f>
        <v>0.4</v>
      </c>
      <c r="L27" s="383">
        <f t="shared" si="2"/>
        <v>20.73489</v>
      </c>
      <c r="M27" s="387"/>
      <c r="N27" s="383">
        <f>'Capital IQ Sheet-GPC'!I30</f>
        <v>0.2</v>
      </c>
      <c r="O27" s="383">
        <f>'Capital IQ Sheet-GPC'!J30</f>
        <v>25.2</v>
      </c>
      <c r="P27" s="383" t="str">
        <f>'Capital IQ Sheet-GPC'!K30</f>
        <v xml:space="preserve"> -   </v>
      </c>
      <c r="Q27" s="383" t="str">
        <f>'Capital IQ Sheet-GPC'!L30</f>
        <v xml:space="preserve"> n/a </v>
      </c>
      <c r="R27" s="383" t="str">
        <f>'Capital IQ Sheet-GPC'!M30</f>
        <v xml:space="preserve"> n/a </v>
      </c>
      <c r="S27" s="383">
        <f t="shared" si="3"/>
        <v>0</v>
      </c>
      <c r="T27" s="383">
        <f t="shared" si="4"/>
        <v>25.2</v>
      </c>
      <c r="U27" s="383">
        <f>'Capital IQ Sheet-GPC'!N30</f>
        <v>4.0999999999999996</v>
      </c>
      <c r="V27" s="383">
        <f t="shared" si="5"/>
        <v>21.1</v>
      </c>
      <c r="X27" s="354">
        <f t="shared" si="6"/>
        <v>0</v>
      </c>
      <c r="Y27" s="354">
        <f t="shared" si="7"/>
        <v>0.33333333333333348</v>
      </c>
      <c r="Z27" s="354">
        <f t="shared" si="8"/>
        <v>1.7608485022105214E-2</v>
      </c>
      <c r="AC27" s="92" t="str">
        <f>IF('MASTER PubCo Inputs'!C45="","",'MASTER PubCo Inputs'!C45)</f>
        <v>IQ61120709</v>
      </c>
      <c r="AD27" s="385" t="str">
        <f>'Capital IQ Sheet-GPC'!AP30</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8" spans="2:30" ht="12.75" customHeight="1">
      <c r="B28" s="473" t="str">
        <f>'Capital IQ Sheet-GPC'!C31</f>
        <v>Pulmatrix, Inc.</v>
      </c>
      <c r="C28" s="503"/>
      <c r="D28" s="383">
        <f>'Capital IQ Sheet-GPC'!BE31</f>
        <v>1.7</v>
      </c>
      <c r="E28" s="383">
        <f>'Capital IQ Sheet-GPC'!BF31</f>
        <v>24.6</v>
      </c>
      <c r="F28" s="383">
        <f>'Capital IQ Sheet-GPC'!BG31</f>
        <v>6.8</v>
      </c>
      <c r="G28" s="383" t="str">
        <f>'Capital IQ Sheet-GPC'!BH31</f>
        <v>n/a</v>
      </c>
      <c r="H28" s="383" t="str">
        <f>'Capital IQ Sheet-GPC'!BI31</f>
        <v>n/a</v>
      </c>
      <c r="I28" s="383">
        <f t="shared" si="0"/>
        <v>6.8</v>
      </c>
      <c r="J28" s="383">
        <f t="shared" si="1"/>
        <v>31.400000000000002</v>
      </c>
      <c r="K28" s="383">
        <f>'Capital IQ Sheet-GPC'!BJ31</f>
        <v>10.8</v>
      </c>
      <c r="L28" s="383">
        <f t="shared" si="2"/>
        <v>20.6</v>
      </c>
      <c r="M28" s="387"/>
      <c r="N28" s="383">
        <f>'Capital IQ Sheet-GPC'!I31</f>
        <v>0.5</v>
      </c>
      <c r="O28" s="383">
        <f>'Capital IQ Sheet-GPC'!J31</f>
        <v>19.3</v>
      </c>
      <c r="P28" s="383">
        <f>'Capital IQ Sheet-GPC'!K31</f>
        <v>2.5</v>
      </c>
      <c r="Q28" s="383" t="str">
        <f>'Capital IQ Sheet-GPC'!L31</f>
        <v xml:space="preserve"> n/a </v>
      </c>
      <c r="R28" s="383" t="str">
        <f>'Capital IQ Sheet-GPC'!M31</f>
        <v xml:space="preserve"> n/a </v>
      </c>
      <c r="S28" s="383">
        <f t="shared" si="3"/>
        <v>2.5</v>
      </c>
      <c r="T28" s="383">
        <f t="shared" si="4"/>
        <v>21.8</v>
      </c>
      <c r="U28" s="383">
        <f>'Capital IQ Sheet-GPC'!N31</f>
        <v>1.6</v>
      </c>
      <c r="V28" s="383">
        <f t="shared" si="5"/>
        <v>20.2</v>
      </c>
      <c r="X28" s="354" t="str">
        <f t="shared" si="6"/>
        <v>NM</v>
      </c>
      <c r="Y28" s="354">
        <f t="shared" si="7"/>
        <v>-0.21544715447154472</v>
      </c>
      <c r="Z28" s="354">
        <f t="shared" si="8"/>
        <v>-1.9417475728155442E-2</v>
      </c>
      <c r="AC28" s="92" t="str">
        <f>IF('MASTER PubCo Inputs'!C46="","",'MASTER PubCo Inputs'!C46)</f>
        <v>IQ26897567</v>
      </c>
      <c r="AD28" s="385" t="str">
        <f>'Capital IQ Sheet-GPC'!AP31</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9" spans="2:30" ht="12.75" customHeight="1">
      <c r="B29" s="473" t="str">
        <f>'Capital IQ Sheet-GPC'!C32</f>
        <v>AmpliPhi Biosciences Corporation</v>
      </c>
      <c r="C29" s="503"/>
      <c r="D29" s="383">
        <f>'Capital IQ Sheet-GPC'!BE32</f>
        <v>15.2</v>
      </c>
      <c r="E29" s="383">
        <f>'Capital IQ Sheet-GPC'!BF32</f>
        <v>16.899999999999999</v>
      </c>
      <c r="F29" s="383" t="str">
        <f>'Capital IQ Sheet-GPC'!BG32</f>
        <v xml:space="preserve"> -   </v>
      </c>
      <c r="G29" s="383" t="str">
        <f>'Capital IQ Sheet-GPC'!BH32</f>
        <v>n/a</v>
      </c>
      <c r="H29" s="383" t="str">
        <f>'Capital IQ Sheet-GPC'!BI32</f>
        <v>n/a</v>
      </c>
      <c r="I29" s="383">
        <f t="shared" si="0"/>
        <v>0</v>
      </c>
      <c r="J29" s="383">
        <f t="shared" si="1"/>
        <v>16.899999999999999</v>
      </c>
      <c r="K29" s="383">
        <f>'Capital IQ Sheet-GPC'!BJ32</f>
        <v>7.1</v>
      </c>
      <c r="L29" s="383">
        <f t="shared" si="2"/>
        <v>9.7999999999999989</v>
      </c>
      <c r="M29" s="387"/>
      <c r="N29" s="383">
        <f>'Capital IQ Sheet-GPC'!I32</f>
        <v>1</v>
      </c>
      <c r="O29" s="383">
        <f>'Capital IQ Sheet-GPC'!J32</f>
        <v>16.5</v>
      </c>
      <c r="P29" s="383" t="str">
        <f>'Capital IQ Sheet-GPC'!K32</f>
        <v xml:space="preserve"> -   </v>
      </c>
      <c r="Q29" s="383" t="str">
        <f>'Capital IQ Sheet-GPC'!L32</f>
        <v xml:space="preserve"> n/a </v>
      </c>
      <c r="R29" s="383" t="str">
        <f>'Capital IQ Sheet-GPC'!M32</f>
        <v xml:space="preserve"> n/a </v>
      </c>
      <c r="S29" s="383">
        <f t="shared" si="3"/>
        <v>0</v>
      </c>
      <c r="T29" s="383">
        <f t="shared" si="4"/>
        <v>16.5</v>
      </c>
      <c r="U29" s="383">
        <f>'Capital IQ Sheet-GPC'!N32</f>
        <v>8.1999999999999993</v>
      </c>
      <c r="V29" s="383">
        <f t="shared" si="5"/>
        <v>8.3000000000000007</v>
      </c>
      <c r="X29" s="354" t="str">
        <f t="shared" si="6"/>
        <v>NM</v>
      </c>
      <c r="Y29" s="354">
        <f t="shared" si="7"/>
        <v>-2.3668639053254337E-2</v>
      </c>
      <c r="Z29" s="354">
        <f t="shared" si="8"/>
        <v>-0.15306122448979576</v>
      </c>
      <c r="AC29" s="92" t="str">
        <f>IF('MASTER PubCo Inputs'!C47="","",'MASTER PubCo Inputs'!C47)</f>
        <v>IQ35106</v>
      </c>
      <c r="AD29" s="385" t="str">
        <f>'Capital IQ Sheet-GPC'!AP32</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0" spans="2:30" ht="12.75" hidden="1" customHeight="1" outlineLevel="1">
      <c r="B30" s="473"/>
      <c r="C30" s="503"/>
      <c r="D30" s="383"/>
      <c r="E30" s="383"/>
      <c r="F30" s="383"/>
      <c r="G30" s="383"/>
      <c r="H30" s="383"/>
      <c r="I30" s="383"/>
      <c r="J30" s="383"/>
      <c r="K30" s="383"/>
      <c r="L30" s="383"/>
      <c r="M30" s="387"/>
      <c r="N30" s="383"/>
      <c r="O30" s="383"/>
      <c r="P30" s="383"/>
      <c r="Q30" s="383"/>
      <c r="R30" s="383"/>
      <c r="S30" s="383"/>
      <c r="T30" s="383"/>
      <c r="U30" s="383"/>
      <c r="V30" s="383"/>
      <c r="X30" s="354"/>
      <c r="Y30" s="354"/>
      <c r="Z30" s="354"/>
      <c r="AC30" s="92"/>
    </row>
    <row r="31" spans="2:30" ht="12.75" hidden="1" customHeight="1" outlineLevel="1">
      <c r="B31" s="473"/>
      <c r="C31" s="503"/>
      <c r="D31" s="383"/>
      <c r="E31" s="383"/>
      <c r="F31" s="383"/>
      <c r="G31" s="383"/>
      <c r="H31" s="383"/>
      <c r="I31" s="383"/>
      <c r="J31" s="383"/>
      <c r="K31" s="383"/>
      <c r="L31" s="383"/>
      <c r="M31" s="387"/>
      <c r="N31" s="383"/>
      <c r="O31" s="383"/>
      <c r="P31" s="383"/>
      <c r="Q31" s="383"/>
      <c r="R31" s="383"/>
      <c r="S31" s="383"/>
      <c r="T31" s="383"/>
      <c r="U31" s="383"/>
      <c r="V31" s="383"/>
      <c r="X31" s="354"/>
      <c r="Y31" s="354"/>
      <c r="Z31" s="354"/>
      <c r="AC31" s="92"/>
    </row>
    <row r="32" spans="2:30" ht="12.75" hidden="1" customHeight="1" outlineLevel="1">
      <c r="B32" s="473"/>
      <c r="C32" s="503"/>
      <c r="D32" s="383"/>
      <c r="E32" s="383"/>
      <c r="F32" s="383"/>
      <c r="G32" s="383"/>
      <c r="H32" s="383"/>
      <c r="I32" s="383"/>
      <c r="J32" s="383"/>
      <c r="K32" s="383"/>
      <c r="L32" s="383"/>
      <c r="M32" s="387"/>
      <c r="N32" s="383"/>
      <c r="O32" s="383"/>
      <c r="P32" s="383"/>
      <c r="Q32" s="383"/>
      <c r="R32" s="383"/>
      <c r="S32" s="383"/>
      <c r="T32" s="383"/>
      <c r="U32" s="383"/>
      <c r="V32" s="383"/>
      <c r="X32" s="354"/>
      <c r="Y32" s="354"/>
      <c r="Z32" s="354"/>
      <c r="AC32" s="92"/>
    </row>
    <row r="33" spans="2:29" ht="12.75" hidden="1" customHeight="1" outlineLevel="1">
      <c r="B33" s="473"/>
      <c r="C33" s="503"/>
      <c r="D33" s="383"/>
      <c r="E33" s="383"/>
      <c r="F33" s="383"/>
      <c r="G33" s="383"/>
      <c r="H33" s="383"/>
      <c r="I33" s="383"/>
      <c r="J33" s="383"/>
      <c r="K33" s="383"/>
      <c r="L33" s="383"/>
      <c r="M33" s="387"/>
      <c r="N33" s="383"/>
      <c r="O33" s="383"/>
      <c r="P33" s="383"/>
      <c r="Q33" s="383"/>
      <c r="R33" s="383"/>
      <c r="S33" s="383"/>
      <c r="T33" s="383"/>
      <c r="U33" s="383"/>
      <c r="V33" s="383"/>
      <c r="X33" s="354"/>
      <c r="Y33" s="354"/>
      <c r="Z33" s="354"/>
      <c r="AC33" s="92"/>
    </row>
    <row r="34" spans="2:29" ht="12.75" hidden="1" customHeight="1" outlineLevel="1">
      <c r="B34" s="473"/>
      <c r="C34" s="503"/>
      <c r="D34" s="383"/>
      <c r="E34" s="383"/>
      <c r="F34" s="383"/>
      <c r="G34" s="383"/>
      <c r="H34" s="383"/>
      <c r="I34" s="383"/>
      <c r="J34" s="383"/>
      <c r="K34" s="383"/>
      <c r="L34" s="383"/>
      <c r="M34" s="387"/>
      <c r="N34" s="383"/>
      <c r="O34" s="383"/>
      <c r="P34" s="383"/>
      <c r="Q34" s="383"/>
      <c r="R34" s="383"/>
      <c r="S34" s="383"/>
      <c r="T34" s="383"/>
      <c r="U34" s="383"/>
      <c r="V34" s="383"/>
      <c r="X34" s="354"/>
      <c r="Y34" s="354"/>
      <c r="Z34" s="354"/>
      <c r="AC34" s="92"/>
    </row>
    <row r="35" spans="2:29" ht="12.75" hidden="1" customHeight="1" outlineLevel="1">
      <c r="B35" s="473"/>
      <c r="C35" s="503"/>
      <c r="D35" s="383"/>
      <c r="E35" s="383"/>
      <c r="F35" s="383"/>
      <c r="G35" s="383"/>
      <c r="H35" s="383"/>
      <c r="I35" s="383"/>
      <c r="J35" s="383"/>
      <c r="K35" s="383"/>
      <c r="L35" s="383"/>
      <c r="M35" s="387"/>
      <c r="N35" s="383"/>
      <c r="O35" s="383"/>
      <c r="P35" s="383"/>
      <c r="Q35" s="383"/>
      <c r="R35" s="383"/>
      <c r="S35" s="383"/>
      <c r="T35" s="383"/>
      <c r="U35" s="383"/>
      <c r="V35" s="383"/>
      <c r="X35" s="354"/>
      <c r="Y35" s="354"/>
      <c r="Z35" s="354"/>
      <c r="AC35" s="92"/>
    </row>
    <row r="36" spans="2:29" ht="12.75" hidden="1" customHeight="1" outlineLevel="1">
      <c r="B36" s="473"/>
      <c r="C36" s="503"/>
      <c r="D36" s="383"/>
      <c r="E36" s="383"/>
      <c r="F36" s="383"/>
      <c r="G36" s="383"/>
      <c r="H36" s="383"/>
      <c r="I36" s="383"/>
      <c r="J36" s="383"/>
      <c r="K36" s="383"/>
      <c r="L36" s="383"/>
      <c r="M36" s="387"/>
      <c r="N36" s="383"/>
      <c r="O36" s="383"/>
      <c r="P36" s="383"/>
      <c r="Q36" s="383"/>
      <c r="R36" s="383"/>
      <c r="S36" s="383"/>
      <c r="T36" s="383"/>
      <c r="U36" s="383"/>
      <c r="V36" s="383"/>
      <c r="X36" s="354"/>
      <c r="Y36" s="354"/>
      <c r="Z36" s="354"/>
      <c r="AC36" s="92"/>
    </row>
    <row r="37" spans="2:29" ht="12.75" hidden="1" customHeight="1" outlineLevel="1">
      <c r="B37" s="473"/>
      <c r="C37" s="503"/>
      <c r="D37" s="383"/>
      <c r="E37" s="383"/>
      <c r="F37" s="383"/>
      <c r="G37" s="383"/>
      <c r="H37" s="383"/>
      <c r="I37" s="383"/>
      <c r="J37" s="383"/>
      <c r="K37" s="383"/>
      <c r="L37" s="383"/>
      <c r="M37" s="387"/>
      <c r="N37" s="383"/>
      <c r="O37" s="383"/>
      <c r="P37" s="383"/>
      <c r="Q37" s="383"/>
      <c r="R37" s="383"/>
      <c r="S37" s="383"/>
      <c r="T37" s="383"/>
      <c r="U37" s="383"/>
      <c r="V37" s="383"/>
      <c r="X37" s="354"/>
      <c r="Y37" s="354"/>
      <c r="Z37" s="354"/>
      <c r="AC37" s="92"/>
    </row>
    <row r="38" spans="2:29" ht="12.75" hidden="1" customHeight="1" outlineLevel="1">
      <c r="B38" s="473"/>
      <c r="C38" s="503"/>
      <c r="D38" s="383"/>
      <c r="E38" s="383"/>
      <c r="F38" s="383"/>
      <c r="G38" s="383"/>
      <c r="H38" s="383"/>
      <c r="I38" s="383"/>
      <c r="J38" s="383"/>
      <c r="K38" s="383"/>
      <c r="L38" s="383"/>
      <c r="M38" s="387"/>
      <c r="N38" s="383"/>
      <c r="O38" s="383"/>
      <c r="P38" s="383"/>
      <c r="Q38" s="383"/>
      <c r="R38" s="383"/>
      <c r="S38" s="383"/>
      <c r="T38" s="383"/>
      <c r="U38" s="383"/>
      <c r="V38" s="383"/>
      <c r="X38" s="354"/>
      <c r="Y38" s="354"/>
      <c r="Z38" s="354"/>
      <c r="AC38" s="92"/>
    </row>
    <row r="39" spans="2:29" ht="12.75" hidden="1" customHeight="1" outlineLevel="1">
      <c r="B39" s="473"/>
      <c r="C39" s="503"/>
      <c r="D39" s="383"/>
      <c r="E39" s="383"/>
      <c r="F39" s="383"/>
      <c r="G39" s="383"/>
      <c r="H39" s="383"/>
      <c r="I39" s="383"/>
      <c r="J39" s="383"/>
      <c r="K39" s="383"/>
      <c r="L39" s="383"/>
      <c r="M39" s="387"/>
      <c r="N39" s="383"/>
      <c r="O39" s="383"/>
      <c r="P39" s="383"/>
      <c r="Q39" s="383"/>
      <c r="R39" s="383"/>
      <c r="S39" s="383"/>
      <c r="T39" s="383"/>
      <c r="U39" s="383"/>
      <c r="V39" s="383"/>
      <c r="X39" s="354"/>
      <c r="Y39" s="354"/>
      <c r="Z39" s="354"/>
      <c r="AC39" s="92"/>
    </row>
    <row r="40" spans="2:29" ht="12.75" customHeight="1" collapsed="1"/>
    <row r="41" spans="2:29" ht="12.75" customHeight="1">
      <c r="B41" s="408" t="s">
        <v>46</v>
      </c>
      <c r="C41" s="732"/>
      <c r="D41" s="409">
        <f>MAX(D10:D40)</f>
        <v>164.6</v>
      </c>
      <c r="E41" s="409">
        <f t="shared" ref="E41:L41" si="9">MAX(E10:E40)</f>
        <v>21608.799999999999</v>
      </c>
      <c r="F41" s="409">
        <f t="shared" si="9"/>
        <v>820.6</v>
      </c>
      <c r="G41" s="409">
        <f t="shared" si="9"/>
        <v>7.681</v>
      </c>
      <c r="H41" s="409">
        <f t="shared" si="9"/>
        <v>187.49100000000001</v>
      </c>
      <c r="I41" s="409">
        <f t="shared" si="9"/>
        <v>1008.091</v>
      </c>
      <c r="J41" s="409">
        <f t="shared" si="9"/>
        <v>22616.891</v>
      </c>
      <c r="K41" s="409">
        <f t="shared" si="9"/>
        <v>1071.4000000000001</v>
      </c>
      <c r="L41" s="409">
        <f t="shared" si="9"/>
        <v>21545.490999999998</v>
      </c>
      <c r="M41" s="410"/>
      <c r="N41" s="409">
        <f t="shared" ref="N41:V41" si="10">MAX(N10:N40)</f>
        <v>260.10000000000002</v>
      </c>
      <c r="O41" s="409">
        <f t="shared" si="10"/>
        <v>44574.8</v>
      </c>
      <c r="P41" s="409">
        <f t="shared" si="10"/>
        <v>592.70000000000005</v>
      </c>
      <c r="Q41" s="409">
        <f t="shared" si="10"/>
        <v>40.700000000000003</v>
      </c>
      <c r="R41" s="409">
        <f t="shared" si="10"/>
        <v>28.7</v>
      </c>
      <c r="S41" s="409">
        <f t="shared" si="10"/>
        <v>621.40000000000009</v>
      </c>
      <c r="T41" s="409">
        <f t="shared" si="10"/>
        <v>45196.2</v>
      </c>
      <c r="U41" s="409">
        <f t="shared" si="10"/>
        <v>2767.8</v>
      </c>
      <c r="V41" s="409">
        <f t="shared" si="10"/>
        <v>42428.399999999994</v>
      </c>
      <c r="W41" s="409"/>
      <c r="X41" s="411">
        <f t="shared" ref="X41:Z41" si="11">MAX(X10:X40)</f>
        <v>1</v>
      </c>
      <c r="Y41" s="411">
        <f t="shared" si="11"/>
        <v>0.94711457384734721</v>
      </c>
      <c r="Z41" s="735">
        <f t="shared" si="11"/>
        <v>0.96924730097819523</v>
      </c>
    </row>
    <row r="42" spans="2:29" ht="12.75" customHeight="1">
      <c r="B42" s="339" t="s">
        <v>50</v>
      </c>
      <c r="C42" s="75"/>
      <c r="D42" s="99">
        <f>QUARTILE(D10:D40,3)</f>
        <v>19.324999999999999</v>
      </c>
      <c r="E42" s="99">
        <f t="shared" ref="E42:L42" si="12">QUARTILE(E10:E40,3)</f>
        <v>847.32500000000005</v>
      </c>
      <c r="F42" s="99">
        <f t="shared" si="12"/>
        <v>66.325000000000003</v>
      </c>
      <c r="G42" s="99">
        <f t="shared" si="12"/>
        <v>6.3194724999999998</v>
      </c>
      <c r="H42" s="99">
        <f t="shared" si="12"/>
        <v>145.43600000000004</v>
      </c>
      <c r="I42" s="99">
        <f t="shared" si="12"/>
        <v>11.960750000000001</v>
      </c>
      <c r="J42" s="99">
        <f t="shared" si="12"/>
        <v>756.125</v>
      </c>
      <c r="K42" s="99">
        <f t="shared" si="12"/>
        <v>193.6</v>
      </c>
      <c r="L42" s="99">
        <f t="shared" si="12"/>
        <v>673.97499999999991</v>
      </c>
      <c r="M42" s="99"/>
      <c r="N42" s="99">
        <f t="shared" ref="N42:V42" si="13">QUARTILE(N10:N40,3)</f>
        <v>36.650000000000006</v>
      </c>
      <c r="O42" s="99">
        <f t="shared" si="13"/>
        <v>2055.25</v>
      </c>
      <c r="P42" s="99">
        <f t="shared" si="13"/>
        <v>196.6</v>
      </c>
      <c r="Q42" s="99">
        <f t="shared" si="13"/>
        <v>32.775000000000006</v>
      </c>
      <c r="R42" s="99">
        <f t="shared" si="13"/>
        <v>24</v>
      </c>
      <c r="S42" s="99">
        <f t="shared" si="13"/>
        <v>89.025000000000006</v>
      </c>
      <c r="T42" s="99">
        <f t="shared" si="13"/>
        <v>2372.125</v>
      </c>
      <c r="U42" s="99">
        <f t="shared" si="13"/>
        <v>326.77500000000003</v>
      </c>
      <c r="V42" s="99">
        <f t="shared" si="13"/>
        <v>1775.65</v>
      </c>
      <c r="W42" s="99"/>
      <c r="X42" s="139">
        <f t="shared" ref="X42:Z42" si="14">QUARTILE(X10:X40,3)</f>
        <v>0.71409925878182401</v>
      </c>
      <c r="Y42" s="139">
        <f t="shared" si="14"/>
        <v>0.35597302504816969</v>
      </c>
      <c r="Z42" s="140">
        <f t="shared" si="14"/>
        <v>0.2603729212161936</v>
      </c>
    </row>
    <row r="43" spans="2:29" ht="12.75" customHeight="1">
      <c r="B43" s="339" t="s">
        <v>48</v>
      </c>
      <c r="C43" s="75"/>
      <c r="D43" s="99">
        <f>AVERAGE(D10:D40)</f>
        <v>24.627777777777776</v>
      </c>
      <c r="E43" s="99">
        <f t="shared" ref="E43:L43" si="15">AVERAGE(E10:E40)</f>
        <v>1829.2777777777778</v>
      </c>
      <c r="F43" s="99">
        <f t="shared" si="15"/>
        <v>105.00833333333333</v>
      </c>
      <c r="G43" s="99">
        <f t="shared" si="15"/>
        <v>4.9579450000000005</v>
      </c>
      <c r="H43" s="99">
        <f t="shared" si="15"/>
        <v>103.381</v>
      </c>
      <c r="I43" s="99">
        <f t="shared" si="15"/>
        <v>73.838894499999981</v>
      </c>
      <c r="J43" s="99">
        <f t="shared" si="15"/>
        <v>1720.1888944999998</v>
      </c>
      <c r="K43" s="99">
        <f t="shared" si="15"/>
        <v>186.69999999999996</v>
      </c>
      <c r="L43" s="99">
        <f t="shared" si="15"/>
        <v>1724.6209938888885</v>
      </c>
      <c r="M43" s="75"/>
      <c r="N43" s="99">
        <f t="shared" ref="N43:V43" si="16">AVERAGE(N10:N40)</f>
        <v>40.854999999999997</v>
      </c>
      <c r="O43" s="99">
        <f t="shared" si="16"/>
        <v>3369.4600000000005</v>
      </c>
      <c r="P43" s="99">
        <f t="shared" si="16"/>
        <v>126.9076923076923</v>
      </c>
      <c r="Q43" s="99">
        <f t="shared" si="16"/>
        <v>24.85</v>
      </c>
      <c r="R43" s="99">
        <f t="shared" si="16"/>
        <v>16</v>
      </c>
      <c r="S43" s="99">
        <f t="shared" si="16"/>
        <v>87.375</v>
      </c>
      <c r="T43" s="99">
        <f t="shared" si="16"/>
        <v>3456.835</v>
      </c>
      <c r="U43" s="99">
        <f t="shared" si="16"/>
        <v>343.37000000000012</v>
      </c>
      <c r="V43" s="99">
        <f t="shared" si="16"/>
        <v>3113.4649999999992</v>
      </c>
      <c r="W43" s="99"/>
      <c r="X43" s="412">
        <f t="shared" ref="X43:Z43" si="17">AVERAGE(X10:X40)</f>
        <v>0.31517185180856466</v>
      </c>
      <c r="Y43" s="412">
        <f t="shared" si="17"/>
        <v>0.18951675348418112</v>
      </c>
      <c r="Z43" s="731">
        <f t="shared" si="17"/>
        <v>7.7314814340768229E-2</v>
      </c>
    </row>
    <row r="44" spans="2:29" ht="12.75" customHeight="1">
      <c r="B44" s="339" t="s">
        <v>3</v>
      </c>
      <c r="C44" s="75"/>
      <c r="D44" s="99">
        <f>MEDIAN(D10:D40)</f>
        <v>7.4</v>
      </c>
      <c r="E44" s="99">
        <f t="shared" ref="E44:L44" si="18">MEDIAN(E10:E40)</f>
        <v>206.95</v>
      </c>
      <c r="F44" s="99">
        <f t="shared" si="18"/>
        <v>6.6999999999999993</v>
      </c>
      <c r="G44" s="99">
        <f t="shared" si="18"/>
        <v>4.9579450000000005</v>
      </c>
      <c r="H44" s="99">
        <f t="shared" si="18"/>
        <v>103.38100000000001</v>
      </c>
      <c r="I44" s="99">
        <f t="shared" si="18"/>
        <v>1.817445</v>
      </c>
      <c r="J44" s="99">
        <f t="shared" si="18"/>
        <v>178</v>
      </c>
      <c r="K44" s="99">
        <f t="shared" si="18"/>
        <v>24.3</v>
      </c>
      <c r="L44" s="99">
        <f t="shared" si="18"/>
        <v>212.75</v>
      </c>
      <c r="M44" s="75"/>
      <c r="N44" s="99">
        <f t="shared" ref="N44:V44" si="19">MEDIAN(N10:N40)</f>
        <v>8.1</v>
      </c>
      <c r="O44" s="99">
        <f t="shared" si="19"/>
        <v>327.60000000000002</v>
      </c>
      <c r="P44" s="99">
        <f t="shared" si="19"/>
        <v>15.2</v>
      </c>
      <c r="Q44" s="99">
        <f t="shared" si="19"/>
        <v>24.85</v>
      </c>
      <c r="R44" s="99">
        <f t="shared" si="19"/>
        <v>19.3</v>
      </c>
      <c r="S44" s="99">
        <f t="shared" si="19"/>
        <v>8.85</v>
      </c>
      <c r="T44" s="99">
        <f t="shared" si="19"/>
        <v>344.2</v>
      </c>
      <c r="U44" s="99">
        <f t="shared" si="19"/>
        <v>68.900000000000006</v>
      </c>
      <c r="V44" s="99">
        <f t="shared" si="19"/>
        <v>298.75</v>
      </c>
      <c r="W44" s="99"/>
      <c r="X44" s="412">
        <f t="shared" ref="X44:Z44" si="20">MEDIAN(X10:X40)</f>
        <v>0.26666666666666661</v>
      </c>
      <c r="Y44" s="412">
        <f t="shared" si="20"/>
        <v>0.18827185499403654</v>
      </c>
      <c r="Z44" s="731">
        <f t="shared" si="20"/>
        <v>-1.9417475728155442E-2</v>
      </c>
    </row>
    <row r="45" spans="2:29" ht="12.75" customHeight="1">
      <c r="B45" s="339" t="s">
        <v>49</v>
      </c>
      <c r="C45" s="75"/>
      <c r="D45" s="99">
        <f>QUARTILE(D10:D40,1)</f>
        <v>2.6</v>
      </c>
      <c r="E45" s="99">
        <f t="shared" ref="E45:L45" si="21">QUARTILE(E10:E40,1)</f>
        <v>35.875</v>
      </c>
      <c r="F45" s="99">
        <f t="shared" si="21"/>
        <v>1.2999999999999998</v>
      </c>
      <c r="G45" s="99">
        <f t="shared" si="21"/>
        <v>3.5964175000000003</v>
      </c>
      <c r="H45" s="99">
        <f t="shared" si="21"/>
        <v>61.326000000000008</v>
      </c>
      <c r="I45" s="99">
        <f t="shared" si="21"/>
        <v>0</v>
      </c>
      <c r="J45" s="99">
        <f t="shared" si="21"/>
        <v>28.8337225</v>
      </c>
      <c r="K45" s="99">
        <f t="shared" si="21"/>
        <v>8.0250000000000004</v>
      </c>
      <c r="L45" s="99">
        <f t="shared" si="21"/>
        <v>21.2464175</v>
      </c>
      <c r="M45" s="75"/>
      <c r="N45" s="99">
        <f t="shared" ref="N45:V45" si="22">QUARTILE(N10:N40,1)</f>
        <v>3.7749999999999999</v>
      </c>
      <c r="O45" s="99">
        <f t="shared" si="22"/>
        <v>174.95</v>
      </c>
      <c r="P45" s="99">
        <f t="shared" si="22"/>
        <v>8.6999999999999993</v>
      </c>
      <c r="Q45" s="99">
        <f t="shared" si="22"/>
        <v>16.925000000000001</v>
      </c>
      <c r="R45" s="99">
        <f t="shared" si="22"/>
        <v>9.65</v>
      </c>
      <c r="S45" s="99">
        <f t="shared" si="22"/>
        <v>0</v>
      </c>
      <c r="T45" s="99">
        <f t="shared" si="22"/>
        <v>185.77499999999998</v>
      </c>
      <c r="U45" s="99">
        <f t="shared" si="22"/>
        <v>13.675000000000001</v>
      </c>
      <c r="V45" s="99">
        <f t="shared" si="22"/>
        <v>110.5</v>
      </c>
      <c r="W45" s="99"/>
      <c r="X45" s="412">
        <f t="shared" ref="X45:Z45" si="23">QUARTILE(X10:X40,1)</f>
        <v>0</v>
      </c>
      <c r="Y45" s="412">
        <f t="shared" si="23"/>
        <v>-6.3473538087110287E-2</v>
      </c>
      <c r="Z45" s="731">
        <f t="shared" si="23"/>
        <v>-0.26026899309342066</v>
      </c>
    </row>
    <row r="46" spans="2:29" ht="12.75" customHeight="1">
      <c r="B46" s="101" t="s">
        <v>47</v>
      </c>
      <c r="C46" s="68"/>
      <c r="D46" s="71">
        <f>MIN(D10:D40)</f>
        <v>0.2</v>
      </c>
      <c r="E46" s="71">
        <f t="shared" ref="E46:L46" si="24">MIN(E10:E40)</f>
        <v>16.899999999999999</v>
      </c>
      <c r="F46" s="71">
        <f t="shared" si="24"/>
        <v>0</v>
      </c>
      <c r="G46" s="71">
        <f t="shared" si="24"/>
        <v>2.23489</v>
      </c>
      <c r="H46" s="71">
        <f t="shared" si="24"/>
        <v>19.271000000000001</v>
      </c>
      <c r="I46" s="71">
        <f t="shared" si="24"/>
        <v>0</v>
      </c>
      <c r="J46" s="71">
        <f t="shared" si="24"/>
        <v>0</v>
      </c>
      <c r="K46" s="71">
        <f t="shared" si="24"/>
        <v>0.4</v>
      </c>
      <c r="L46" s="71">
        <f t="shared" si="24"/>
        <v>9.7999999999999989</v>
      </c>
      <c r="M46" s="153"/>
      <c r="N46" s="71">
        <f t="shared" ref="N46:V46" si="25">MIN(N10:N40)</f>
        <v>0.2</v>
      </c>
      <c r="O46" s="71">
        <f t="shared" si="25"/>
        <v>16.5</v>
      </c>
      <c r="P46" s="71">
        <f t="shared" si="25"/>
        <v>0</v>
      </c>
      <c r="Q46" s="71">
        <f t="shared" si="25"/>
        <v>9</v>
      </c>
      <c r="R46" s="71">
        <f t="shared" si="25"/>
        <v>0</v>
      </c>
      <c r="S46" s="71">
        <f t="shared" si="25"/>
        <v>0</v>
      </c>
      <c r="T46" s="71">
        <f t="shared" si="25"/>
        <v>16.5</v>
      </c>
      <c r="U46" s="71">
        <f t="shared" si="25"/>
        <v>0.5</v>
      </c>
      <c r="V46" s="71">
        <f t="shared" si="25"/>
        <v>8.3000000000000007</v>
      </c>
      <c r="W46" s="153"/>
      <c r="X46" s="141">
        <f t="shared" ref="X46:Z46" si="26">MIN(X10:X40)</f>
        <v>-0.45990279465370587</v>
      </c>
      <c r="Y46" s="141">
        <f t="shared" si="26"/>
        <v>-0.35363786028454181</v>
      </c>
      <c r="Z46" s="397">
        <f t="shared" si="26"/>
        <v>-0.29673697494140983</v>
      </c>
    </row>
    <row r="47" spans="2:29" ht="6.75" customHeight="1"/>
    <row r="48" spans="2:29" ht="12.75" customHeight="1">
      <c r="B48" s="8" t="s">
        <v>51</v>
      </c>
      <c r="C48" s="8"/>
      <c r="D48" s="8"/>
      <c r="N48" s="8"/>
    </row>
  </sheetData>
  <conditionalFormatting sqref="B4:Y4">
    <cfRule type="cellIs" dxfId="118" priority="20" stopIfTrue="1" operator="equal">
      <formula>"input"</formula>
    </cfRule>
  </conditionalFormatting>
  <conditionalFormatting sqref="B10:C39 N10:N39">
    <cfRule type="cellIs" dxfId="117" priority="19" operator="equal">
      <formula>"(Invalid Identifier)"</formula>
    </cfRule>
  </conditionalFormatting>
  <conditionalFormatting sqref="Z4">
    <cfRule type="cellIs" dxfId="116" priority="17" stopIfTrue="1" operator="equal">
      <formula>"input"</formula>
    </cfRule>
  </conditionalFormatting>
  <conditionalFormatting sqref="Z4">
    <cfRule type="cellIs" dxfId="115" priority="18" stopIfTrue="1" operator="equal">
      <formula>"input"</formula>
    </cfRule>
  </conditionalFormatting>
  <conditionalFormatting sqref="D10:D39">
    <cfRule type="cellIs" dxfId="114" priority="16" operator="equal">
      <formula>"(Invalid Identifier)"</formula>
    </cfRule>
  </conditionalFormatting>
  <conditionalFormatting sqref="E10:E39">
    <cfRule type="cellIs" dxfId="113" priority="10" operator="equal">
      <formula>"(Invalid Identifier)"</formula>
    </cfRule>
  </conditionalFormatting>
  <conditionalFormatting sqref="F10:F39">
    <cfRule type="cellIs" dxfId="112" priority="9" operator="equal">
      <formula>"(Invalid Identifier)"</formula>
    </cfRule>
  </conditionalFormatting>
  <conditionalFormatting sqref="G10:G39">
    <cfRule type="cellIs" dxfId="111" priority="8" operator="equal">
      <formula>"(Invalid Identifier)"</formula>
    </cfRule>
  </conditionalFormatting>
  <conditionalFormatting sqref="H10:H39">
    <cfRule type="cellIs" dxfId="110" priority="7" operator="equal">
      <formula>"(Invalid Identifier)"</formula>
    </cfRule>
  </conditionalFormatting>
  <conditionalFormatting sqref="K10:K39">
    <cfRule type="cellIs" dxfId="109" priority="6" operator="equal">
      <formula>"(Invalid Identifier)"</formula>
    </cfRule>
  </conditionalFormatting>
  <conditionalFormatting sqref="O10:O39">
    <cfRule type="cellIs" dxfId="108" priority="5" operator="equal">
      <formula>"(Invalid Identifier)"</formula>
    </cfRule>
  </conditionalFormatting>
  <conditionalFormatting sqref="P10:P39">
    <cfRule type="cellIs" dxfId="107" priority="4" operator="equal">
      <formula>"(Invalid Identifier)"</formula>
    </cfRule>
  </conditionalFormatting>
  <conditionalFormatting sqref="Q10:Q39">
    <cfRule type="cellIs" dxfId="106" priority="3" operator="equal">
      <formula>"(Invalid Identifier)"</formula>
    </cfRule>
  </conditionalFormatting>
  <conditionalFormatting sqref="R10:R39">
    <cfRule type="cellIs" dxfId="105" priority="2" operator="equal">
      <formula>"(Invalid Identifier)"</formula>
    </cfRule>
  </conditionalFormatting>
  <conditionalFormatting sqref="U10:U39">
    <cfRule type="cellIs" dxfId="104" priority="1" operator="equal">
      <formula>"(Invalid Identifier)"</formula>
    </cfRule>
  </conditionalFormatting>
  <pageMargins left="0.5" right="0.5" top="0.5" bottom="0.5" header="0.5" footer="0.5"/>
  <pageSetup scale="90" fitToWidth="0" fitToHeight="0" orientation="landscape" r:id="rId1"/>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40"/>
  <sheetViews>
    <sheetView showGridLines="0" view="pageBreakPreview" zoomScaleNormal="100" zoomScaleSheetLayoutView="100" workbookViewId="0">
      <selection activeCell="C13" sqref="C13"/>
    </sheetView>
  </sheetViews>
  <sheetFormatPr defaultRowHeight="12.75" outlineLevelRow="1"/>
  <cols>
    <col min="1" max="1" width="4.5" style="385" customWidth="1"/>
    <col min="2" max="2" width="60.1640625" style="169" customWidth="1"/>
    <col min="3" max="5" width="24.83203125" style="169" customWidth="1"/>
    <col min="6" max="6" width="4.5" style="169" customWidth="1"/>
    <col min="7" max="7" width="9.33203125" style="169"/>
    <col min="8" max="16384" width="9.33203125" style="385"/>
  </cols>
  <sheetData>
    <row r="1" spans="2:7" ht="10.7" customHeight="1" thickBot="1">
      <c r="B1" s="385"/>
      <c r="C1" s="385"/>
      <c r="D1" s="385"/>
      <c r="E1" s="385"/>
    </row>
    <row r="2" spans="2:7" ht="16.5" customHeight="1" thickTop="1">
      <c r="B2" s="10" t="str">
        <f>'MASTER PubCo Inputs'!$C$5</f>
        <v>Pliant Therapeutics, Inc.</v>
      </c>
      <c r="C2" s="10"/>
      <c r="D2" s="10"/>
      <c r="E2" s="10"/>
    </row>
    <row r="3" spans="2:7" ht="15.75" customHeight="1">
      <c r="B3" s="11" t="str">
        <f>VLOOKUP(B4,Outline!$E$8:$G$69,COLUMNS(Outline!$E$8:$G$8),FALSE)</f>
        <v>Workpaper #8</v>
      </c>
      <c r="C3" s="11"/>
      <c r="D3" s="11"/>
      <c r="E3" s="11"/>
    </row>
    <row r="4" spans="2:7" ht="16.5" customHeight="1" thickBot="1">
      <c r="B4" s="12" t="s">
        <v>504</v>
      </c>
      <c r="C4" s="12"/>
      <c r="D4" s="12"/>
      <c r="E4" s="13" t="str">
        <f>+'MASTER PubCo Inputs'!$C$19</f>
        <v>(in thousands of USD, except price per share)</v>
      </c>
    </row>
    <row r="5" spans="2:7" ht="12.75" customHeight="1" thickTop="1">
      <c r="B5" s="244"/>
      <c r="C5" s="244"/>
      <c r="D5" s="244"/>
      <c r="E5" s="385"/>
    </row>
    <row r="6" spans="2:7" s="16" customFormat="1" ht="12.75" customHeight="1">
      <c r="B6" s="385"/>
      <c r="C6" s="385"/>
      <c r="D6" s="473"/>
      <c r="E6" s="385"/>
      <c r="F6" s="292"/>
      <c r="G6" s="292"/>
    </row>
    <row r="7" spans="2:7">
      <c r="B7" s="385" t="s">
        <v>244</v>
      </c>
      <c r="C7" s="741">
        <f>'MASTER PubCo Inputs'!C6</f>
        <v>43312</v>
      </c>
      <c r="D7" s="1547">
        <f>'Market Trends since Prior Val'!AD2</f>
        <v>42643</v>
      </c>
      <c r="E7" s="169" t="s">
        <v>450</v>
      </c>
    </row>
    <row r="8" spans="2:7" ht="38.25" hidden="1" outlineLevel="1">
      <c r="B8" s="385" t="s">
        <v>451</v>
      </c>
      <c r="C8" s="352" t="s">
        <v>2490</v>
      </c>
      <c r="D8" s="352" t="s">
        <v>2275</v>
      </c>
    </row>
    <row r="9" spans="2:7" collapsed="1">
      <c r="B9" s="385"/>
      <c r="D9" s="474"/>
    </row>
    <row r="10" spans="2:7">
      <c r="B10" s="1" t="s">
        <v>74</v>
      </c>
      <c r="D10" s="474"/>
    </row>
    <row r="11" spans="2:7">
      <c r="B11" s="385" t="s">
        <v>75</v>
      </c>
      <c r="C11" s="355">
        <f>C14+C12-C13</f>
        <v>136684.36700999999</v>
      </c>
      <c r="D11" s="355">
        <f>D14+D12-D13</f>
        <v>-798.08139000000028</v>
      </c>
      <c r="E11" s="54">
        <f t="shared" ref="E11:E16" si="0">IFERROR(C11/D11-1,"n/a")</f>
        <v>-172.26620006763963</v>
      </c>
    </row>
    <row r="12" spans="2:7">
      <c r="B12" s="385" t="s">
        <v>30</v>
      </c>
      <c r="C12" s="1550">
        <f>IFERROR('Hist BS'!H52,"n/a")</f>
        <v>0</v>
      </c>
      <c r="D12" s="1551">
        <v>0</v>
      </c>
      <c r="E12" s="54" t="str">
        <f t="shared" si="0"/>
        <v>n/a</v>
      </c>
    </row>
    <row r="13" spans="2:7">
      <c r="B13" s="385" t="s">
        <v>458</v>
      </c>
      <c r="C13" s="742">
        <f>IFERROR('Hist BS'!H12,"n/a")</f>
        <v>11015.63299</v>
      </c>
      <c r="D13" s="1548">
        <v>5588.0813900000003</v>
      </c>
      <c r="E13" s="54">
        <f t="shared" si="0"/>
        <v>0.97127282535875858</v>
      </c>
    </row>
    <row r="14" spans="2:7">
      <c r="B14" s="385" t="s">
        <v>76</v>
      </c>
      <c r="C14" s="742">
        <f>'Val Summ'!D9</f>
        <v>147700</v>
      </c>
      <c r="D14" s="1548">
        <v>4790</v>
      </c>
      <c r="E14" s="54">
        <f t="shared" si="0"/>
        <v>29.835073068893529</v>
      </c>
    </row>
    <row r="15" spans="2:7">
      <c r="B15" s="385" t="s">
        <v>2547</v>
      </c>
      <c r="C15" s="742">
        <f>IFERROR((SUM('Econ Rights'!D12:E12)),"n/a")</f>
        <v>118148.3130442</v>
      </c>
      <c r="D15" s="1349">
        <v>16500</v>
      </c>
      <c r="E15" s="54">
        <f t="shared" si="0"/>
        <v>6.1605038208606056</v>
      </c>
    </row>
    <row r="16" spans="2:7">
      <c r="B16" s="385" t="s">
        <v>2548</v>
      </c>
      <c r="C16" s="742">
        <f>IFERROR((SUM('Econ Rights'!F12)),"n/a")</f>
        <v>7851.6863021999998</v>
      </c>
      <c r="D16" s="852" t="s">
        <v>1</v>
      </c>
      <c r="E16" s="54" t="str">
        <f t="shared" si="0"/>
        <v>n/a</v>
      </c>
    </row>
    <row r="17" spans="2:5">
      <c r="B17" s="385"/>
      <c r="D17" s="474"/>
    </row>
    <row r="18" spans="2:5">
      <c r="B18" s="1" t="s">
        <v>2277</v>
      </c>
      <c r="D18" s="474"/>
    </row>
    <row r="19" spans="2:5">
      <c r="B19" s="385" t="s">
        <v>1060</v>
      </c>
      <c r="C19" s="1549">
        <f ca="1">IFERROR('Val Summ'!F11,"n/a")</f>
        <v>0.29182253688483567</v>
      </c>
      <c r="D19" s="1350">
        <v>1.40059229789887E-2</v>
      </c>
      <c r="E19" s="54">
        <f ca="1">IFERROR(C19/D19-1,"n/a")</f>
        <v>19.835651982566219</v>
      </c>
    </row>
    <row r="20" spans="2:5">
      <c r="B20" s="385" t="s">
        <v>1077</v>
      </c>
      <c r="C20" s="354">
        <f ca="1">C19/C126</f>
        <v>0.21197249719244254</v>
      </c>
      <c r="D20" s="354">
        <f>D19/D126</f>
        <v>1.40059229789887E-2</v>
      </c>
      <c r="E20" s="54">
        <f ca="1">IFERROR(C20/D20-1,"n/a")</f>
        <v>14.134489709135046</v>
      </c>
    </row>
    <row r="21" spans="2:5">
      <c r="B21" s="385" t="s">
        <v>2549</v>
      </c>
      <c r="C21" s="1549">
        <f>PWERM_2!F183</f>
        <v>1.3742914032097344</v>
      </c>
      <c r="D21" s="852" t="s">
        <v>1</v>
      </c>
      <c r="E21" s="54" t="str">
        <f>IFERROR(C21/D21-1,"n/a")</f>
        <v>n/a</v>
      </c>
    </row>
    <row r="22" spans="2:5">
      <c r="B22" s="385"/>
      <c r="C22" s="743"/>
      <c r="D22" s="343"/>
      <c r="E22" s="54"/>
    </row>
    <row r="23" spans="2:5">
      <c r="B23" s="1" t="s">
        <v>2278</v>
      </c>
      <c r="C23" s="743"/>
      <c r="D23" s="343"/>
      <c r="E23" s="54"/>
    </row>
    <row r="24" spans="2:5">
      <c r="B24" s="385" t="s">
        <v>76</v>
      </c>
      <c r="C24" s="742">
        <f>'Hybrid OPM'!C37</f>
        <v>138000</v>
      </c>
      <c r="D24" s="1548">
        <v>8641.6</v>
      </c>
      <c r="E24" s="54">
        <f t="shared" ref="E24:E27" si="1">IFERROR(C24/D24-1,"n/a")</f>
        <v>14.969264950935012</v>
      </c>
    </row>
    <row r="25" spans="2:5">
      <c r="B25" s="385" t="s">
        <v>1060</v>
      </c>
      <c r="C25" s="1549">
        <f ca="1">'Hybrid OPM'!C33</f>
        <v>0.47643459553393552</v>
      </c>
      <c r="D25" s="1553">
        <v>0.14271465971697367</v>
      </c>
      <c r="E25" s="54">
        <f t="shared" ca="1" si="1"/>
        <v>2.338371800617979</v>
      </c>
    </row>
    <row r="26" spans="2:5">
      <c r="B26" s="385" t="s">
        <v>1077</v>
      </c>
      <c r="C26" s="354">
        <f ca="1">C25/C126</f>
        <v>0.3460700192735785</v>
      </c>
      <c r="D26" s="852">
        <f>D25/D126</f>
        <v>0.14271465971697367</v>
      </c>
      <c r="E26" s="54">
        <f t="shared" ca="1" si="1"/>
        <v>1.4249086951536127</v>
      </c>
    </row>
    <row r="27" spans="2:5">
      <c r="B27" s="385" t="s">
        <v>2549</v>
      </c>
      <c r="C27" s="1549">
        <f ca="1">'Hybrid OPM'!C35</f>
        <v>1.3767000002578116</v>
      </c>
      <c r="D27" s="852" t="s">
        <v>1</v>
      </c>
      <c r="E27" s="54" t="str">
        <f t="shared" ca="1" si="1"/>
        <v>n/a</v>
      </c>
    </row>
    <row r="28" spans="2:5">
      <c r="B28" s="385"/>
      <c r="D28" s="474"/>
    </row>
    <row r="29" spans="2:5">
      <c r="B29" s="1" t="s">
        <v>1061</v>
      </c>
      <c r="D29" s="474"/>
    </row>
    <row r="30" spans="2:5" ht="25.5">
      <c r="B30" s="1027" t="s">
        <v>1062</v>
      </c>
      <c r="C30" s="1906" t="str">
        <f>'Val Summ'!B9</f>
        <v>Probability-Weighted Expected Return Method</v>
      </c>
      <c r="D30" s="1907" t="s">
        <v>2276</v>
      </c>
      <c r="E30" s="1979" t="str">
        <f>IFERROR(C30/D30-1,"n/a")</f>
        <v>n/a</v>
      </c>
    </row>
    <row r="31" spans="2:5" ht="25.5">
      <c r="B31" s="1027" t="s">
        <v>1063</v>
      </c>
      <c r="C31" s="1906" t="str">
        <f>'Val Summ'!B17</f>
        <v>Hybrid Option Pricing Model</v>
      </c>
      <c r="D31" s="1906" t="s">
        <v>2269</v>
      </c>
      <c r="E31" s="1979" t="str">
        <f>IFERROR(C31/D31-1,"n/a")</f>
        <v>n/a</v>
      </c>
    </row>
    <row r="32" spans="2:5" ht="9" customHeight="1" thickBot="1">
      <c r="B32" s="385"/>
      <c r="C32" s="385"/>
      <c r="D32" s="385"/>
      <c r="E32" s="385"/>
    </row>
    <row r="33" spans="1:5" ht="12.75" customHeight="1" thickBot="1">
      <c r="B33" s="1983" t="s">
        <v>2550</v>
      </c>
      <c r="C33" s="385"/>
      <c r="D33" s="385"/>
      <c r="E33" s="385"/>
    </row>
    <row r="34" spans="1:5" ht="12.75" customHeight="1">
      <c r="B34" s="1565" t="s">
        <v>2551</v>
      </c>
      <c r="D34" s="474"/>
    </row>
    <row r="35" spans="1:5">
      <c r="B35" s="1980" t="s">
        <v>1223</v>
      </c>
      <c r="D35" s="474"/>
    </row>
    <row r="36" spans="1:5">
      <c r="A36" s="1">
        <v>1</v>
      </c>
      <c r="B36" s="1981" t="s">
        <v>420</v>
      </c>
      <c r="D36" s="474"/>
    </row>
    <row r="37" spans="1:5">
      <c r="B37" s="1982" t="s">
        <v>2282</v>
      </c>
      <c r="C37" s="1566"/>
      <c r="D37" s="343">
        <v>0.7</v>
      </c>
      <c r="E37" s="54" t="s">
        <v>1</v>
      </c>
    </row>
    <row r="38" spans="1:5">
      <c r="B38" s="1982" t="s">
        <v>76</v>
      </c>
      <c r="C38" s="1566"/>
      <c r="D38" s="1548">
        <v>3010</v>
      </c>
      <c r="E38" s="54" t="s">
        <v>1</v>
      </c>
    </row>
    <row r="39" spans="1:5">
      <c r="B39" s="1982" t="s">
        <v>1060</v>
      </c>
      <c r="C39" s="1566"/>
      <c r="D39" s="1553">
        <v>0</v>
      </c>
      <c r="E39" s="54" t="s">
        <v>1</v>
      </c>
    </row>
    <row r="40" spans="1:5">
      <c r="B40" s="1982"/>
      <c r="D40" s="474"/>
    </row>
    <row r="41" spans="1:5">
      <c r="A41" s="1">
        <v>2</v>
      </c>
      <c r="B41" s="1981" t="s">
        <v>2283</v>
      </c>
      <c r="D41" s="474"/>
    </row>
    <row r="42" spans="1:5">
      <c r="B42" s="1982" t="s">
        <v>2282</v>
      </c>
      <c r="C42" s="1566"/>
      <c r="D42" s="343">
        <v>0.3</v>
      </c>
      <c r="E42" s="54" t="s">
        <v>1</v>
      </c>
    </row>
    <row r="43" spans="1:5">
      <c r="B43" s="1982" t="s">
        <v>76</v>
      </c>
      <c r="C43" s="1566"/>
      <c r="D43" s="1548">
        <v>8950</v>
      </c>
      <c r="E43" s="54" t="s">
        <v>1</v>
      </c>
    </row>
    <row r="44" spans="1:5">
      <c r="B44" s="1982" t="s">
        <v>1060</v>
      </c>
      <c r="C44" s="1566"/>
      <c r="D44" s="1553">
        <v>0.05</v>
      </c>
      <c r="E44" s="54" t="s">
        <v>1</v>
      </c>
    </row>
    <row r="45" spans="1:5">
      <c r="B45" s="1982"/>
      <c r="C45" s="1566"/>
      <c r="D45" s="1553"/>
      <c r="E45" s="54"/>
    </row>
    <row r="46" spans="1:5">
      <c r="B46" s="1" t="s">
        <v>2552</v>
      </c>
      <c r="D46" s="474"/>
    </row>
    <row r="47" spans="1:5">
      <c r="B47" s="1" t="s">
        <v>1064</v>
      </c>
      <c r="D47" s="474"/>
      <c r="E47" s="390" t="s">
        <v>711</v>
      </c>
    </row>
    <row r="48" spans="1:5">
      <c r="B48" s="385" t="s">
        <v>2318</v>
      </c>
      <c r="C48" s="741">
        <f>'Exit Probability'!H43</f>
        <v>43830</v>
      </c>
      <c r="D48" s="1841"/>
      <c r="E48" s="360" t="str">
        <f>IFERROR(IF(OR(C48="",D48=""),"n/a",YEARFRAC(D48,C48,1)*12),"n/a")</f>
        <v>n/a</v>
      </c>
    </row>
    <row r="49" spans="2:5">
      <c r="B49" s="385" t="s">
        <v>2491</v>
      </c>
      <c r="C49" s="741">
        <f>'Exit Probability'!H44</f>
        <v>44377</v>
      </c>
      <c r="D49" s="1547">
        <v>44196</v>
      </c>
      <c r="E49" s="360">
        <f t="shared" ref="E49:E59" si="2">IFERROR(IF(OR(C49="",D49=""),"n/a",YEARFRAC(D49,C49,1)*12),"n/a")</f>
        <v>5.9506849315068493</v>
      </c>
    </row>
    <row r="50" spans="2:5">
      <c r="B50" s="385" t="s">
        <v>2492</v>
      </c>
      <c r="C50" s="1562"/>
      <c r="D50" s="1547">
        <v>44561</v>
      </c>
      <c r="E50" s="360" t="str">
        <f t="shared" si="2"/>
        <v>n/a</v>
      </c>
    </row>
    <row r="51" spans="2:5">
      <c r="B51" s="385" t="s">
        <v>2377</v>
      </c>
      <c r="C51" s="2311">
        <f>'Exit Probability'!H45</f>
        <v>44377</v>
      </c>
      <c r="D51" s="1547">
        <v>44196</v>
      </c>
      <c r="E51" s="360">
        <f t="shared" si="2"/>
        <v>5.9506849315068493</v>
      </c>
    </row>
    <row r="52" spans="2:5">
      <c r="B52" s="385" t="s">
        <v>2378</v>
      </c>
      <c r="C52" s="2311"/>
      <c r="D52" s="1547">
        <v>44196</v>
      </c>
      <c r="E52" s="360" t="str">
        <f t="shared" si="2"/>
        <v>n/a</v>
      </c>
    </row>
    <row r="53" spans="2:5">
      <c r="B53" s="385" t="s">
        <v>2493</v>
      </c>
      <c r="C53" s="1840"/>
      <c r="D53" s="1547">
        <v>44561</v>
      </c>
      <c r="E53" s="360" t="str">
        <f t="shared" si="2"/>
        <v>n/a</v>
      </c>
    </row>
    <row r="54" spans="2:5">
      <c r="B54" s="385" t="s">
        <v>2494</v>
      </c>
      <c r="C54" s="1840"/>
      <c r="D54" s="1547">
        <v>44561</v>
      </c>
      <c r="E54" s="360" t="str">
        <f t="shared" si="2"/>
        <v>n/a</v>
      </c>
    </row>
    <row r="55" spans="2:5">
      <c r="B55" s="385" t="s">
        <v>2495</v>
      </c>
      <c r="C55" s="1562"/>
      <c r="D55" s="1547">
        <v>43465</v>
      </c>
      <c r="E55" s="360" t="str">
        <f t="shared" si="2"/>
        <v>n/a</v>
      </c>
    </row>
    <row r="56" spans="2:5">
      <c r="B56" s="385" t="s">
        <v>2496</v>
      </c>
      <c r="C56" s="1562"/>
      <c r="D56" s="1547">
        <v>43830</v>
      </c>
      <c r="E56" s="360" t="str">
        <f t="shared" si="2"/>
        <v>n/a</v>
      </c>
    </row>
    <row r="57" spans="2:5">
      <c r="B57" s="385" t="s">
        <v>2319</v>
      </c>
      <c r="C57" s="741">
        <f>'Exit Probability'!H46</f>
        <v>43830</v>
      </c>
      <c r="D57" s="1842"/>
      <c r="E57" s="360" t="str">
        <f t="shared" si="2"/>
        <v>n/a</v>
      </c>
    </row>
    <row r="58" spans="2:5">
      <c r="B58" s="385" t="s">
        <v>2320</v>
      </c>
      <c r="C58" s="741">
        <f>'Exit Probability'!H47</f>
        <v>44377</v>
      </c>
      <c r="D58" s="1547">
        <v>44196</v>
      </c>
      <c r="E58" s="360">
        <f t="shared" si="2"/>
        <v>5.9506849315068493</v>
      </c>
    </row>
    <row r="59" spans="2:5">
      <c r="B59" s="385" t="s">
        <v>2497</v>
      </c>
      <c r="C59" s="1562"/>
      <c r="D59" s="1547">
        <v>44561</v>
      </c>
      <c r="E59" s="360" t="str">
        <f t="shared" si="2"/>
        <v>n/a</v>
      </c>
    </row>
    <row r="60" spans="2:5">
      <c r="B60" s="385"/>
      <c r="D60" s="474"/>
    </row>
    <row r="61" spans="2:5">
      <c r="B61" s="1" t="s">
        <v>456</v>
      </c>
      <c r="D61" s="474"/>
    </row>
    <row r="62" spans="2:5">
      <c r="B62" s="385" t="str">
        <f t="shared" ref="B62:B73" si="3">B48</f>
        <v>IPO - Phase Ib</v>
      </c>
      <c r="C62" s="744">
        <f>'Exit Probability'!J43</f>
        <v>225000</v>
      </c>
      <c r="D62" s="1841"/>
      <c r="E62" s="54" t="str">
        <f>IFERROR(C62/D62-1,"n/a")</f>
        <v>n/a</v>
      </c>
    </row>
    <row r="63" spans="2:5">
      <c r="B63" s="385" t="str">
        <f t="shared" si="3"/>
        <v>IPO - Phase IIa</v>
      </c>
      <c r="C63" s="744">
        <f>'Exit Probability'!J44</f>
        <v>325000</v>
      </c>
      <c r="D63" s="1349">
        <v>200000</v>
      </c>
      <c r="E63" s="54">
        <f t="shared" ref="E63:E68" si="4">IFERROR(C63/D63-1,"n/a")</f>
        <v>0.625</v>
      </c>
    </row>
    <row r="64" spans="2:5">
      <c r="B64" s="385" t="str">
        <f t="shared" si="3"/>
        <v>IPO - Phase IIb</v>
      </c>
      <c r="C64" s="1563"/>
      <c r="D64" s="1349">
        <v>300000</v>
      </c>
      <c r="E64" s="54">
        <f t="shared" si="4"/>
        <v>-1</v>
      </c>
    </row>
    <row r="65" spans="2:5">
      <c r="B65" s="385" t="str">
        <f t="shared" si="3"/>
        <v>M&amp;A - High - Phase IIa</v>
      </c>
      <c r="C65" s="2312">
        <f>'Exit Probability'!J45</f>
        <v>400000</v>
      </c>
      <c r="D65" s="1349">
        <v>350000</v>
      </c>
      <c r="E65" s="54" t="str">
        <f>IFERROR(#REF!/D65-1,"n/a")</f>
        <v>n/a</v>
      </c>
    </row>
    <row r="66" spans="2:5">
      <c r="B66" s="385" t="str">
        <f t="shared" si="3"/>
        <v>M&amp;A - Low - Phase IIa</v>
      </c>
      <c r="C66" s="2312"/>
      <c r="D66" s="1349">
        <v>250000</v>
      </c>
      <c r="E66" s="54">
        <f>IFERROR(C65/D66-1,"n/a")</f>
        <v>0.60000000000000009</v>
      </c>
    </row>
    <row r="67" spans="2:5">
      <c r="B67" s="385" t="str">
        <f t="shared" si="3"/>
        <v>M&amp;A - High - Phase IIb</v>
      </c>
      <c r="C67" s="1563"/>
      <c r="D67" s="1349">
        <v>450000</v>
      </c>
      <c r="E67" s="54">
        <f t="shared" si="4"/>
        <v>-1</v>
      </c>
    </row>
    <row r="68" spans="2:5">
      <c r="B68" s="385" t="str">
        <f t="shared" si="3"/>
        <v>M&amp;A - Low - Phase IIb</v>
      </c>
      <c r="C68" s="1563"/>
      <c r="D68" s="1349">
        <v>350000</v>
      </c>
      <c r="E68" s="54">
        <f t="shared" si="4"/>
        <v>-1</v>
      </c>
    </row>
    <row r="69" spans="2:5">
      <c r="B69" s="385" t="str">
        <f t="shared" si="3"/>
        <v>Low Sale - IND</v>
      </c>
      <c r="C69" s="1563"/>
      <c r="D69" s="1349">
        <v>16750</v>
      </c>
      <c r="E69" s="54">
        <f>IFERROR(C69/D69-1,"n/a")</f>
        <v>-1</v>
      </c>
    </row>
    <row r="70" spans="2:5">
      <c r="B70" s="385" t="str">
        <f t="shared" si="3"/>
        <v>Low Sale - Phase I</v>
      </c>
      <c r="C70" s="1563"/>
      <c r="D70" s="1349">
        <v>34250</v>
      </c>
      <c r="E70" s="54">
        <f>IFERROR(C70/D70-1,"n/a")</f>
        <v>-1</v>
      </c>
    </row>
    <row r="71" spans="2:5">
      <c r="B71" s="385" t="str">
        <f t="shared" si="3"/>
        <v>Low Sale - Phase Ib</v>
      </c>
      <c r="C71" s="744">
        <f>'Exit Probability'!J46</f>
        <v>94499.999509799993</v>
      </c>
      <c r="D71" s="1843"/>
      <c r="E71" s="54" t="str">
        <f t="shared" ref="E71:E73" si="5">IFERROR(C71/D71-1,"n/a")</f>
        <v>n/a</v>
      </c>
    </row>
    <row r="72" spans="2:5">
      <c r="B72" s="385" t="str">
        <f t="shared" si="3"/>
        <v>Low Sale - Phase IIa</v>
      </c>
      <c r="C72" s="744">
        <f>'Exit Probability'!J47</f>
        <v>146999.99950979999</v>
      </c>
      <c r="D72" s="1349">
        <v>49250</v>
      </c>
      <c r="E72" s="54">
        <f t="shared" si="5"/>
        <v>1.9847715636507615</v>
      </c>
    </row>
    <row r="73" spans="2:5">
      <c r="B73" s="385" t="str">
        <f t="shared" si="3"/>
        <v>Low Sale - Phase IIb</v>
      </c>
      <c r="C73" s="1563"/>
      <c r="D73" s="1349">
        <v>64250</v>
      </c>
      <c r="E73" s="54">
        <f t="shared" si="5"/>
        <v>-1</v>
      </c>
    </row>
    <row r="74" spans="2:5">
      <c r="B74" s="385"/>
      <c r="D74" s="474"/>
    </row>
    <row r="75" spans="2:5">
      <c r="B75" s="1" t="s">
        <v>457</v>
      </c>
      <c r="C75" s="354"/>
      <c r="D75" s="852"/>
      <c r="E75" s="354"/>
    </row>
    <row r="76" spans="2:5">
      <c r="B76" s="385" t="str">
        <f t="shared" ref="B76:B87" si="6">B62</f>
        <v>IPO - Phase Ib</v>
      </c>
      <c r="C76" s="743">
        <f>'Exit Probability'!I43</f>
        <v>6.5000000000000002E-2</v>
      </c>
      <c r="D76" s="1844"/>
      <c r="E76" s="54" t="str">
        <f>IFERROR(C76/D76-1,"n/a")</f>
        <v>n/a</v>
      </c>
    </row>
    <row r="77" spans="2:5">
      <c r="B77" s="385" t="str">
        <f t="shared" si="6"/>
        <v>IPO - Phase IIa</v>
      </c>
      <c r="C77" s="743">
        <f>'Exit Probability'!I44</f>
        <v>8.6506874999999997E-2</v>
      </c>
      <c r="D77" s="343">
        <v>2.9574999999999997E-2</v>
      </c>
      <c r="E77" s="54">
        <f t="shared" ref="E77:E87" si="7">IFERROR(C77/D77-1,"n/a")</f>
        <v>1.9250000000000003</v>
      </c>
    </row>
    <row r="78" spans="2:5">
      <c r="B78" s="385" t="str">
        <f t="shared" si="6"/>
        <v>IPO - Phase IIb</v>
      </c>
      <c r="C78" s="1564"/>
      <c r="D78" s="343">
        <v>1.9223749999999998E-2</v>
      </c>
      <c r="E78" s="54">
        <f t="shared" si="7"/>
        <v>-1</v>
      </c>
    </row>
    <row r="79" spans="2:5">
      <c r="B79" s="385" t="str">
        <f t="shared" si="6"/>
        <v>M&amp;A - High - Phase IIa</v>
      </c>
      <c r="C79" s="2313">
        <f>'Exit Probability'!I45</f>
        <v>0.54615437499999997</v>
      </c>
      <c r="D79" s="343">
        <v>5.9149999999999994E-2</v>
      </c>
      <c r="E79" s="54" t="str">
        <f>IFERROR(#REF!/D79-1,"n/a")</f>
        <v>n/a</v>
      </c>
    </row>
    <row r="80" spans="2:5">
      <c r="B80" s="385" t="str">
        <f t="shared" si="6"/>
        <v>M&amp;A - Low - Phase IIa</v>
      </c>
      <c r="C80" s="2313"/>
      <c r="D80" s="343">
        <v>5.9149999999999994E-2</v>
      </c>
      <c r="E80" s="54">
        <f>IFERROR(C79/D80-1,"n/a")</f>
        <v>8.2333791208791212</v>
      </c>
    </row>
    <row r="81" spans="2:11" ht="12" customHeight="1">
      <c r="B81" s="385" t="str">
        <f t="shared" si="6"/>
        <v>M&amp;A - High - Phase IIb</v>
      </c>
      <c r="C81" s="1564"/>
      <c r="D81" s="343">
        <v>3.8447499999999996E-2</v>
      </c>
      <c r="E81" s="54">
        <f t="shared" si="7"/>
        <v>-1</v>
      </c>
    </row>
    <row r="82" spans="2:11">
      <c r="B82" s="385" t="str">
        <f t="shared" si="6"/>
        <v>M&amp;A - Low - Phase IIb</v>
      </c>
      <c r="C82" s="1564"/>
      <c r="D82" s="343">
        <v>3.8447499999999996E-2</v>
      </c>
      <c r="E82" s="54">
        <f t="shared" si="7"/>
        <v>-1</v>
      </c>
    </row>
    <row r="83" spans="2:11">
      <c r="B83" s="385" t="str">
        <f t="shared" si="6"/>
        <v>Low Sale - IND</v>
      </c>
      <c r="C83" s="1564"/>
      <c r="D83" s="343">
        <v>0.30000000000000004</v>
      </c>
      <c r="E83" s="54">
        <f t="shared" si="7"/>
        <v>-1</v>
      </c>
    </row>
    <row r="84" spans="2:11">
      <c r="B84" s="385" t="str">
        <f t="shared" si="6"/>
        <v>Low Sale - Phase I</v>
      </c>
      <c r="C84" s="1564"/>
      <c r="D84" s="343">
        <v>0.24499999999999997</v>
      </c>
      <c r="E84" s="54">
        <f t="shared" si="7"/>
        <v>-1</v>
      </c>
    </row>
    <row r="85" spans="2:11">
      <c r="B85" s="385" t="str">
        <f t="shared" si="6"/>
        <v>Low Sale - Phase Ib</v>
      </c>
      <c r="C85" s="743">
        <f>'Exit Probability'!I46</f>
        <v>0.10500000000000001</v>
      </c>
      <c r="D85" s="1838"/>
      <c r="E85" s="54" t="str">
        <f t="shared" si="7"/>
        <v>n/a</v>
      </c>
    </row>
    <row r="86" spans="2:11">
      <c r="B86" s="385" t="str">
        <f t="shared" si="6"/>
        <v>Low Sale - Phase IIa</v>
      </c>
      <c r="C86" s="743">
        <f>'Exit Probability'!I47</f>
        <v>0.19733875000000001</v>
      </c>
      <c r="D86" s="343">
        <v>0.15924999999999997</v>
      </c>
      <c r="E86" s="54">
        <f t="shared" si="7"/>
        <v>0.23917582417582439</v>
      </c>
    </row>
    <row r="87" spans="2:11">
      <c r="B87" s="385" t="str">
        <f t="shared" si="6"/>
        <v>Low Sale - Phase IIb</v>
      </c>
      <c r="C87" s="1564"/>
      <c r="D87" s="343">
        <v>5.175624999999999E-2</v>
      </c>
      <c r="E87" s="54">
        <f t="shared" si="7"/>
        <v>-1</v>
      </c>
    </row>
    <row r="88" spans="2:11">
      <c r="B88" s="74"/>
      <c r="C88" s="1832"/>
      <c r="D88" s="1375"/>
      <c r="E88" s="54"/>
    </row>
    <row r="89" spans="2:11">
      <c r="B89" s="1" t="s">
        <v>2379</v>
      </c>
      <c r="C89" s="1832"/>
      <c r="D89" s="1375"/>
      <c r="E89" s="54"/>
    </row>
    <row r="90" spans="2:11">
      <c r="B90" s="385" t="s">
        <v>2380</v>
      </c>
      <c r="C90" s="1846">
        <f>'Hybrid OPM 1'!D10</f>
        <v>2.6630410958904109</v>
      </c>
      <c r="D90" s="1558">
        <v>2</v>
      </c>
      <c r="E90" s="54">
        <f>IFERROR(C90/D90-1,"n/a")</f>
        <v>0.33152054794520547</v>
      </c>
    </row>
    <row r="91" spans="2:11">
      <c r="B91" s="385" t="s">
        <v>2381</v>
      </c>
      <c r="C91" s="553">
        <f>C7+C90*365.25</f>
        <v>44284.675760273974</v>
      </c>
      <c r="D91" s="1557">
        <f>D7+D90*365.25</f>
        <v>43373.5</v>
      </c>
      <c r="E91" s="54">
        <f t="shared" ref="E91:E95" si="8">IFERROR(C91/D91-1,"n/a")</f>
        <v>2.1007660444141596E-2</v>
      </c>
      <c r="H91" s="1" t="s">
        <v>453</v>
      </c>
      <c r="I91" s="169"/>
      <c r="J91" s="474"/>
      <c r="K91" s="169"/>
    </row>
    <row r="92" spans="2:11">
      <c r="B92" s="385" t="s">
        <v>52</v>
      </c>
      <c r="C92" s="1832">
        <f ca="1">'Hybrid OPM 1'!D11</f>
        <v>0.90935264718828457</v>
      </c>
      <c r="D92" s="343">
        <v>0.68200000000000005</v>
      </c>
      <c r="E92" s="54">
        <f t="shared" ca="1" si="8"/>
        <v>0.33336165276874552</v>
      </c>
      <c r="H92" s="385" t="s">
        <v>1078</v>
      </c>
      <c r="I92" s="1836"/>
      <c r="J92" s="1558">
        <v>2</v>
      </c>
      <c r="K92" s="54">
        <f>IFERROR(I92/J92-1,"n/a")</f>
        <v>-1</v>
      </c>
    </row>
    <row r="93" spans="2:11">
      <c r="B93" s="385" t="s">
        <v>454</v>
      </c>
      <c r="C93" s="1832">
        <f>'Asset Vol_Hybrid OPM'!Y49</f>
        <v>0.90935264718767195</v>
      </c>
      <c r="D93" s="343">
        <v>0.68200000000000005</v>
      </c>
      <c r="E93" s="54">
        <f t="shared" si="8"/>
        <v>0.33336165276784735</v>
      </c>
      <c r="H93" s="385" t="s">
        <v>1079</v>
      </c>
      <c r="I93" s="1562"/>
      <c r="J93" s="1557">
        <f>D7+J92*365.25</f>
        <v>43373.5</v>
      </c>
      <c r="K93" s="54" t="s">
        <v>1</v>
      </c>
    </row>
    <row r="94" spans="2:11">
      <c r="B94" s="385" t="s">
        <v>556</v>
      </c>
      <c r="C94" s="1847">
        <f>'Hybrid OPM 1'!D12</f>
        <v>2.7329345205479451E-2</v>
      </c>
      <c r="D94" s="1559">
        <v>7.7000000000000002E-3</v>
      </c>
      <c r="E94" s="54">
        <f t="shared" si="8"/>
        <v>2.5492656111012271</v>
      </c>
      <c r="H94" s="385" t="s">
        <v>52</v>
      </c>
      <c r="I94" s="1564"/>
      <c r="J94" s="343">
        <v>0.68200000000000005</v>
      </c>
      <c r="K94" s="54">
        <f>IFERROR(I94-J94,"n/a")</f>
        <v>-0.68200000000000005</v>
      </c>
    </row>
    <row r="95" spans="2:11" ht="25.5">
      <c r="B95" s="385" t="s">
        <v>455</v>
      </c>
      <c r="C95" s="2177" t="s">
        <v>2777</v>
      </c>
      <c r="D95" s="1375" t="s">
        <v>3</v>
      </c>
      <c r="E95" s="54" t="str">
        <f t="shared" si="8"/>
        <v>n/a</v>
      </c>
      <c r="H95" s="385" t="s">
        <v>454</v>
      </c>
      <c r="I95" s="1564"/>
      <c r="J95" s="343">
        <v>0.68200000000000005</v>
      </c>
      <c r="K95" s="54">
        <f>IFERROR(I95-J95,"n/a")</f>
        <v>-0.68200000000000005</v>
      </c>
    </row>
    <row r="96" spans="2:11">
      <c r="B96" s="74"/>
      <c r="C96" s="1832"/>
      <c r="D96" s="1375"/>
      <c r="E96" s="54"/>
      <c r="H96" s="385" t="s">
        <v>556</v>
      </c>
      <c r="I96" s="1564"/>
      <c r="J96" s="1559">
        <v>7.7000000000000002E-3</v>
      </c>
      <c r="K96" s="54">
        <f>IFERROR(I96-J96,"n/a")</f>
        <v>-7.7000000000000002E-3</v>
      </c>
    </row>
    <row r="97" spans="2:11">
      <c r="B97" s="77" t="s">
        <v>2382</v>
      </c>
      <c r="C97" s="1832"/>
      <c r="D97" s="1375"/>
      <c r="E97" s="54"/>
      <c r="H97" s="385" t="s">
        <v>455</v>
      </c>
      <c r="I97" s="1837"/>
      <c r="J97" s="1552" t="s">
        <v>3</v>
      </c>
      <c r="K97" s="54" t="str">
        <f>IFERROR(I97/J97-1,"n/a")</f>
        <v>n/a</v>
      </c>
    </row>
    <row r="98" spans="2:11">
      <c r="B98" s="74" t="str">
        <f t="array" ref="B98:B99">TRANSPOSE('Hybrid OPM'!D7:E7)</f>
        <v>OPM</v>
      </c>
      <c r="C98" s="1832">
        <f t="array" ref="C98:C99">TRANSPOSE('Hybrid OPM'!D9:E9)</f>
        <v>0.93500000000000005</v>
      </c>
      <c r="D98" s="1838"/>
      <c r="E98" s="54" t="str">
        <f t="shared" ref="E98:E99" si="9">IFERROR(C98/D98-1,"n/a")</f>
        <v>n/a</v>
      </c>
      <c r="I98" s="169"/>
      <c r="J98" s="474"/>
      <c r="K98" s="169"/>
    </row>
    <row r="99" spans="2:11">
      <c r="B99" s="74" t="str">
        <v>IPO - Early</v>
      </c>
      <c r="C99" s="1832">
        <v>6.5000000000000002E-2</v>
      </c>
      <c r="D99" s="1838"/>
      <c r="E99" s="54" t="str">
        <f t="shared" si="9"/>
        <v>n/a</v>
      </c>
    </row>
    <row r="100" spans="2:11">
      <c r="B100" s="74"/>
      <c r="C100" s="1832"/>
      <c r="D100" s="1845"/>
      <c r="E100" s="54"/>
    </row>
    <row r="101" spans="2:11">
      <c r="B101" s="1" t="s">
        <v>2554</v>
      </c>
      <c r="D101" s="474"/>
    </row>
    <row r="102" spans="2:11" ht="25.5">
      <c r="B102" s="385" t="s">
        <v>452</v>
      </c>
      <c r="C102" s="1908" t="s">
        <v>306</v>
      </c>
      <c r="D102" s="1908" t="s">
        <v>2779</v>
      </c>
      <c r="E102" s="54" t="str">
        <f>IFERROR(C102/D102-1,"n/a")</f>
        <v>n/a</v>
      </c>
    </row>
    <row r="103" spans="2:11">
      <c r="B103" s="1" t="s">
        <v>311</v>
      </c>
      <c r="C103" s="743"/>
      <c r="D103" s="852"/>
      <c r="E103" s="54"/>
    </row>
    <row r="104" spans="2:11">
      <c r="B104" s="385" t="str">
        <f t="shared" ref="B104:B110" si="10">B76</f>
        <v>IPO - Phase Ib</v>
      </c>
      <c r="C104" s="743">
        <f ca="1">'PWERM DLOM'!D66</f>
        <v>0.31</v>
      </c>
      <c r="D104" s="1844"/>
      <c r="E104" s="54">
        <f t="shared" ref="E104:E110" ca="1" si="11">IFERROR(C104-D104,"n/a")</f>
        <v>0.31</v>
      </c>
    </row>
    <row r="105" spans="2:11">
      <c r="B105" s="385" t="str">
        <f t="shared" si="10"/>
        <v>IPO - Phase IIa</v>
      </c>
      <c r="C105" s="1832">
        <f ca="1">'PWERM DLOM'!E66</f>
        <v>0.47000000000000003</v>
      </c>
      <c r="D105" s="343">
        <v>0.5</v>
      </c>
      <c r="E105" s="54">
        <f t="shared" ca="1" si="11"/>
        <v>-2.9999999999999971E-2</v>
      </c>
    </row>
    <row r="106" spans="2:11">
      <c r="B106" s="385" t="str">
        <f t="shared" si="10"/>
        <v>IPO - Phase IIb</v>
      </c>
      <c r="C106" s="1564"/>
      <c r="D106" s="343">
        <v>0.53</v>
      </c>
      <c r="E106" s="54">
        <f t="shared" si="11"/>
        <v>-0.53</v>
      </c>
    </row>
    <row r="107" spans="2:11">
      <c r="B107" s="385" t="str">
        <f t="shared" si="10"/>
        <v>M&amp;A - High - Phase IIa</v>
      </c>
      <c r="C107" s="2313">
        <f ca="1">'PWERM DLOM'!F66</f>
        <v>0.62</v>
      </c>
      <c r="D107" s="343">
        <v>0.56000000000000005</v>
      </c>
      <c r="E107" s="54">
        <f t="shared" ca="1" si="11"/>
        <v>5.9999999999999942E-2</v>
      </c>
    </row>
    <row r="108" spans="2:11">
      <c r="B108" s="385" t="str">
        <f t="shared" si="10"/>
        <v>M&amp;A - Low - Phase IIa</v>
      </c>
      <c r="C108" s="2313"/>
      <c r="D108" s="852">
        <f>D107</f>
        <v>0.56000000000000005</v>
      </c>
      <c r="E108" s="54">
        <f t="shared" si="11"/>
        <v>-0.56000000000000005</v>
      </c>
    </row>
    <row r="109" spans="2:11">
      <c r="B109" s="385" t="str">
        <f t="shared" si="10"/>
        <v>M&amp;A - High - Phase IIb</v>
      </c>
      <c r="C109" s="1564"/>
      <c r="D109" s="343">
        <v>0.57999999999999996</v>
      </c>
      <c r="E109" s="54">
        <f t="shared" si="11"/>
        <v>-0.57999999999999996</v>
      </c>
    </row>
    <row r="110" spans="2:11">
      <c r="B110" s="385" t="str">
        <f t="shared" si="10"/>
        <v>M&amp;A - Low - Phase IIb</v>
      </c>
      <c r="C110" s="1564"/>
      <c r="D110" s="852">
        <f>D109</f>
        <v>0.57999999999999996</v>
      </c>
      <c r="E110" s="54">
        <f t="shared" si="11"/>
        <v>-0.57999999999999996</v>
      </c>
    </row>
    <row r="111" spans="2:11">
      <c r="B111" s="385"/>
      <c r="C111" s="743"/>
      <c r="D111" s="852"/>
      <c r="E111" s="54"/>
    </row>
    <row r="112" spans="2:11">
      <c r="B112" s="1" t="s">
        <v>2553</v>
      </c>
      <c r="C112" s="743"/>
      <c r="D112" s="852"/>
      <c r="E112" s="54"/>
    </row>
    <row r="113" spans="2:5" ht="25.5">
      <c r="B113" s="385" t="s">
        <v>452</v>
      </c>
      <c r="C113" s="1908" t="s">
        <v>2778</v>
      </c>
      <c r="D113" s="1908" t="s">
        <v>2779</v>
      </c>
      <c r="E113" s="54"/>
    </row>
    <row r="114" spans="2:5">
      <c r="B114" s="385" t="s">
        <v>2280</v>
      </c>
      <c r="C114" s="743">
        <f ca="1">'DLOM Hybrid OPM'!D59</f>
        <v>0.4</v>
      </c>
      <c r="D114" s="343">
        <v>0.4</v>
      </c>
      <c r="E114" s="54">
        <f t="shared" ref="E114:E115" ca="1" si="12">IFERROR(C114-D114,"n/a")</f>
        <v>0</v>
      </c>
    </row>
    <row r="115" spans="2:5">
      <c r="B115" s="385" t="s">
        <v>2281</v>
      </c>
      <c r="C115" s="354">
        <f ca="1">C104</f>
        <v>0.31</v>
      </c>
      <c r="D115" s="1838"/>
      <c r="E115" s="54">
        <f t="shared" ca="1" si="12"/>
        <v>0.31</v>
      </c>
    </row>
    <row r="116" spans="2:5">
      <c r="B116" s="385"/>
      <c r="C116" s="354"/>
      <c r="D116" s="852"/>
      <c r="E116" s="354"/>
    </row>
    <row r="117" spans="2:5">
      <c r="B117" s="1" t="s">
        <v>2383</v>
      </c>
      <c r="C117" s="354"/>
      <c r="D117" s="852"/>
      <c r="E117" s="354"/>
    </row>
    <row r="118" spans="2:5">
      <c r="B118" s="385" t="s">
        <v>1065</v>
      </c>
      <c r="C118" s="743">
        <f>'WACC PWERM'!J11</f>
        <v>0.12</v>
      </c>
      <c r="D118" s="343">
        <v>0.12</v>
      </c>
      <c r="E118" s="54">
        <f t="shared" ref="E118:E121" si="13">IFERROR(C118-D118,"n/a")</f>
        <v>0</v>
      </c>
    </row>
    <row r="119" spans="2:5">
      <c r="B119" s="385" t="s">
        <v>1066</v>
      </c>
      <c r="C119" s="743">
        <f>'WACC PWERM'!J13</f>
        <v>0.25</v>
      </c>
      <c r="D119" s="343">
        <v>0.25</v>
      </c>
      <c r="E119" s="54">
        <f t="shared" si="13"/>
        <v>0</v>
      </c>
    </row>
    <row r="120" spans="2:5">
      <c r="B120" s="385" t="s">
        <v>1067</v>
      </c>
      <c r="C120" s="743">
        <f>'WACC PWERM'!J15</f>
        <v>0.35</v>
      </c>
      <c r="D120" s="343">
        <v>0.35</v>
      </c>
      <c r="E120" s="54">
        <f t="shared" si="13"/>
        <v>0</v>
      </c>
    </row>
    <row r="121" spans="2:5">
      <c r="B121" s="385" t="s">
        <v>1068</v>
      </c>
      <c r="C121" s="743">
        <f>'WACC PWERM'!J23</f>
        <v>0.17</v>
      </c>
      <c r="D121" s="343">
        <v>0.3</v>
      </c>
      <c r="E121" s="54">
        <f t="shared" si="13"/>
        <v>-0.12999999999999998</v>
      </c>
    </row>
    <row r="122" spans="2:5">
      <c r="B122" s="385"/>
      <c r="C122" s="743"/>
      <c r="D122" s="343"/>
      <c r="E122" s="54"/>
    </row>
    <row r="123" spans="2:5">
      <c r="B123" s="1" t="s">
        <v>26</v>
      </c>
      <c r="D123" s="474"/>
    </row>
    <row r="124" spans="2:5">
      <c r="B124" s="385" t="s">
        <v>1069</v>
      </c>
      <c r="C124" s="1554" t="str">
        <f>'Econ Rights'!E6</f>
        <v>Series B Tranche I</v>
      </c>
      <c r="D124" s="1552" t="s">
        <v>2279</v>
      </c>
    </row>
    <row r="125" spans="2:5">
      <c r="B125" s="385" t="s">
        <v>1070</v>
      </c>
      <c r="C125" s="1554">
        <f>'Econ Rights'!E9</f>
        <v>43291</v>
      </c>
      <c r="D125" s="1560">
        <v>42468</v>
      </c>
      <c r="E125" s="354"/>
    </row>
    <row r="126" spans="2:5">
      <c r="B126" s="385" t="s">
        <v>1071</v>
      </c>
      <c r="C126" s="1555">
        <f>'Econ Rights'!E11</f>
        <v>1.3767</v>
      </c>
      <c r="D126" s="1561">
        <v>1</v>
      </c>
      <c r="E126" s="54">
        <f t="shared" ref="E126:E131" si="14">IFERROR(C126/D126-1,"n/a")</f>
        <v>0.37670000000000003</v>
      </c>
    </row>
    <row r="127" spans="2:5">
      <c r="B127" s="385" t="s">
        <v>1072</v>
      </c>
      <c r="C127" s="1556">
        <f>'Econ Rights'!E12</f>
        <v>62148.313044199997</v>
      </c>
      <c r="D127" s="1349">
        <v>5000</v>
      </c>
      <c r="E127" s="54">
        <f t="shared" si="14"/>
        <v>11.429662608839999</v>
      </c>
    </row>
    <row r="128" spans="2:5">
      <c r="B128" s="385" t="s">
        <v>1073</v>
      </c>
      <c r="C128" s="1853">
        <f>'Cap table '!C47/1000</f>
        <v>111000</v>
      </c>
      <c r="D128" s="1909"/>
      <c r="E128" s="54" t="str">
        <f t="shared" si="14"/>
        <v>n/a</v>
      </c>
    </row>
    <row r="129" spans="2:7">
      <c r="B129" s="385" t="s">
        <v>1074</v>
      </c>
      <c r="C129" s="1854">
        <f>C128+C127</f>
        <v>173148.31304420001</v>
      </c>
      <c r="D129" s="1843"/>
      <c r="E129" s="54" t="str">
        <f t="shared" si="14"/>
        <v>n/a</v>
      </c>
    </row>
    <row r="130" spans="2:7">
      <c r="B130" s="385" t="s">
        <v>1075</v>
      </c>
      <c r="C130" s="1556">
        <f>SUM('Cap Table'!D8:E8)+'Cap Table'!G8</f>
        <v>116565.64200886176</v>
      </c>
      <c r="D130" s="1349">
        <v>21828.5</v>
      </c>
      <c r="E130" s="54">
        <f t="shared" si="14"/>
        <v>4.3400665189482446</v>
      </c>
    </row>
    <row r="131" spans="2:7">
      <c r="B131" s="385" t="s">
        <v>1076</v>
      </c>
      <c r="C131" s="1542">
        <f>'Cap Table'!E25</f>
        <v>0.01</v>
      </c>
      <c r="D131" s="1350">
        <v>0.01</v>
      </c>
      <c r="E131" s="54">
        <f t="shared" si="14"/>
        <v>0</v>
      </c>
    </row>
    <row r="133" spans="2:7">
      <c r="B133" s="2077" t="s">
        <v>2384</v>
      </c>
      <c r="C133" s="390" t="s">
        <v>1221</v>
      </c>
      <c r="D133" s="39" t="s">
        <v>2386</v>
      </c>
    </row>
    <row r="134" spans="2:7">
      <c r="B134" s="169" t="s">
        <v>1954</v>
      </c>
      <c r="C134" s="1557">
        <v>42853</v>
      </c>
      <c r="D134" s="17" t="s">
        <v>2387</v>
      </c>
    </row>
    <row r="135" spans="2:7">
      <c r="B135" s="169" t="s">
        <v>1977</v>
      </c>
      <c r="C135" s="1557">
        <v>42780</v>
      </c>
      <c r="D135" s="17" t="s">
        <v>2388</v>
      </c>
    </row>
    <row r="136" spans="2:7">
      <c r="B136" s="169" t="s">
        <v>2642</v>
      </c>
      <c r="C136" s="1557">
        <v>42604</v>
      </c>
      <c r="D136" s="17" t="s">
        <v>2780</v>
      </c>
    </row>
    <row r="137" spans="2:7">
      <c r="C137" s="1557"/>
      <c r="D137" s="17"/>
    </row>
    <row r="138" spans="2:7">
      <c r="B138" s="39" t="s">
        <v>2385</v>
      </c>
    </row>
    <row r="139" spans="2:7">
      <c r="B139" s="169" t="s">
        <v>923</v>
      </c>
      <c r="C139" s="1557">
        <v>42172</v>
      </c>
      <c r="D139" s="17" t="s">
        <v>2389</v>
      </c>
      <c r="G139" s="17" t="s">
        <v>2390</v>
      </c>
    </row>
    <row r="140" spans="2:7">
      <c r="B140" s="467"/>
    </row>
  </sheetData>
  <mergeCells count="4">
    <mergeCell ref="C51:C52"/>
    <mergeCell ref="C65:C66"/>
    <mergeCell ref="C79:C80"/>
    <mergeCell ref="C107:C108"/>
  </mergeCells>
  <conditionalFormatting sqref="B4:D5 E4">
    <cfRule type="cellIs" dxfId="103" priority="3" stopIfTrue="1" operator="equal">
      <formula>"input"</formula>
    </cfRule>
  </conditionalFormatting>
  <pageMargins left="0.5" right="0.5" top="0.5" bottom="0.5" header="0.5" footer="0.5"/>
  <pageSetup scale="98" orientation="landscape" r:id="rId1"/>
  <rowBreaks count="4" manualBreakCount="4">
    <brk id="31" max="6" man="1"/>
    <brk id="60" max="6" man="1"/>
    <brk id="87" max="6" man="1"/>
    <brk id="116" max="6" man="1"/>
  </rowBreak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pageSetUpPr fitToPage="1"/>
  </sheetPr>
  <dimension ref="A1:T132"/>
  <sheetViews>
    <sheetView showGridLines="0" view="pageBreakPreview" topLeftCell="A7" zoomScaleNormal="85" zoomScaleSheetLayoutView="100" workbookViewId="0">
      <selection activeCell="P19" sqref="P19"/>
    </sheetView>
  </sheetViews>
  <sheetFormatPr defaultRowHeight="12.75" outlineLevelRow="1"/>
  <cols>
    <col min="1" max="1" width="4.5" style="385" customWidth="1"/>
    <col min="2" max="2" width="52.1640625" style="385" customWidth="1"/>
    <col min="3" max="3" width="2.83203125" style="385" customWidth="1"/>
    <col min="4" max="8" width="18.1640625" style="385" customWidth="1"/>
    <col min="9" max="9" width="21.33203125" style="385" customWidth="1"/>
    <col min="10" max="11" width="18.1640625" style="385" customWidth="1"/>
    <col min="12" max="12" width="4.5" style="385" customWidth="1"/>
    <col min="13" max="13" width="12.33203125" style="385" bestFit="1" customWidth="1"/>
    <col min="14" max="14" width="1.83203125" style="385" customWidth="1"/>
    <col min="15" max="15" width="21.83203125" style="169" customWidth="1"/>
    <col min="16" max="16" width="12.5" style="385" customWidth="1"/>
    <col min="17" max="17" width="15.5" style="385" customWidth="1"/>
    <col min="18" max="18" width="9.33203125" style="385"/>
    <col min="19" max="19" width="12.6640625" style="385" bestFit="1" customWidth="1"/>
    <col min="20" max="16384" width="9.33203125" style="385"/>
  </cols>
  <sheetData>
    <row r="1" spans="2:20" ht="10.7" customHeight="1" thickBot="1"/>
    <row r="2" spans="2:20" ht="16.5" customHeight="1" thickTop="1">
      <c r="B2" s="10" t="str">
        <f>'MASTER PubCo Inputs'!$C$5</f>
        <v>Pliant Therapeutics, Inc.</v>
      </c>
      <c r="C2" s="10"/>
      <c r="D2" s="10"/>
      <c r="E2" s="10"/>
      <c r="F2" s="10"/>
      <c r="G2" s="10"/>
      <c r="H2" s="10"/>
      <c r="I2" s="10"/>
      <c r="J2" s="10"/>
      <c r="K2" s="10"/>
    </row>
    <row r="3" spans="2:20" ht="15.75" customHeight="1">
      <c r="B3" s="11" t="str">
        <f>VLOOKUP(B4,Outline!$E$8:$G$69,COLUMNS(Outline!$E$8:$G$8),FALSE)</f>
        <v>Workpaper #9</v>
      </c>
      <c r="C3" s="11"/>
      <c r="D3" s="11"/>
      <c r="E3" s="11"/>
      <c r="F3" s="11"/>
      <c r="G3" s="11"/>
      <c r="H3" s="11"/>
      <c r="I3" s="11"/>
      <c r="J3" s="11"/>
      <c r="K3" s="11"/>
    </row>
    <row r="4" spans="2:20" ht="16.5" customHeight="1" thickBot="1">
      <c r="B4" s="12" t="s">
        <v>2864</v>
      </c>
      <c r="C4" s="12"/>
      <c r="D4" s="12"/>
      <c r="E4" s="12"/>
      <c r="F4" s="12"/>
      <c r="G4" s="12"/>
      <c r="H4" s="12"/>
      <c r="I4" s="12"/>
      <c r="J4" s="13"/>
      <c r="K4" s="13" t="str">
        <f>+'MASTER PubCo Inputs'!$C$20</f>
        <v>(in thousands of USD and shares, except price per share)</v>
      </c>
      <c r="O4" s="169" t="s">
        <v>2294</v>
      </c>
    </row>
    <row r="5" spans="2:20" s="16" customFormat="1" ht="12.75" customHeight="1" thickTop="1">
      <c r="B5" s="385"/>
      <c r="C5" s="385"/>
      <c r="D5" s="385"/>
      <c r="E5" s="385"/>
      <c r="F5" s="385"/>
      <c r="G5" s="385"/>
      <c r="H5" s="385"/>
      <c r="I5" s="385"/>
      <c r="J5" s="385"/>
      <c r="K5" s="385"/>
      <c r="L5" s="385"/>
      <c r="M5" s="385"/>
      <c r="O5" s="292"/>
      <c r="P5" s="344" t="str">
        <f>PWERM_2!D6</f>
        <v>IPO - Early</v>
      </c>
      <c r="Q5" s="344" t="str">
        <f>PWERM_2!E6</f>
        <v>IPO - Late</v>
      </c>
      <c r="R5" s="344" t="str">
        <f>PWERM_2!F6</f>
        <v>M&amp;A - Late</v>
      </c>
      <c r="S5" s="344" t="str">
        <f>PWERM_2!G6</f>
        <v>Low Sale - Early</v>
      </c>
      <c r="T5" s="344" t="str">
        <f>PWERM_2!H6</f>
        <v>Low Sale - Late</v>
      </c>
    </row>
    <row r="6" spans="2:20" s="16" customFormat="1" ht="12.75" customHeight="1">
      <c r="B6" s="385"/>
      <c r="C6" s="385"/>
      <c r="D6" s="385"/>
      <c r="E6" s="385"/>
      <c r="F6" s="385"/>
      <c r="G6" s="385"/>
      <c r="H6" s="385"/>
      <c r="I6" s="385"/>
      <c r="J6" s="385"/>
      <c r="K6" s="385"/>
      <c r="L6" s="385"/>
      <c r="O6" s="1697" t="s">
        <v>2297</v>
      </c>
      <c r="P6" s="1703">
        <f>PWERM_2!D13</f>
        <v>1.4191780821917808</v>
      </c>
      <c r="Q6" s="1703">
        <f>PWERM_2!E13</f>
        <v>2.9178082191780823</v>
      </c>
      <c r="R6" s="1703">
        <f>PWERM_2!F13</f>
        <v>2.9178082191780823</v>
      </c>
      <c r="S6" s="1703">
        <f>PWERM_2!G13</f>
        <v>1.4191780821917808</v>
      </c>
      <c r="T6" s="1703">
        <f>PWERM_2!H13</f>
        <v>2.9178082191780823</v>
      </c>
    </row>
    <row r="7" spans="2:20" ht="12.75" customHeight="1">
      <c r="B7" s="73" t="s">
        <v>218</v>
      </c>
      <c r="C7" s="154"/>
      <c r="D7" s="154"/>
      <c r="E7" s="1010" t="s">
        <v>5</v>
      </c>
      <c r="F7" s="154"/>
      <c r="G7" s="154"/>
      <c r="H7" s="154"/>
      <c r="I7" s="154"/>
      <c r="J7" s="154"/>
      <c r="K7" s="2025"/>
      <c r="O7" s="17" t="s">
        <v>419</v>
      </c>
      <c r="P7" s="1704">
        <f t="array" ref="P7:T7">TRANSPOSE('Exit Probability'!I43:I47)</f>
        <v>6.5000000000000002E-2</v>
      </c>
      <c r="Q7" s="1704">
        <v>8.6506874999999997E-2</v>
      </c>
      <c r="R7" s="1704">
        <v>0.54615437499999997</v>
      </c>
      <c r="S7" s="1704">
        <v>0.10500000000000001</v>
      </c>
      <c r="T7" s="1704">
        <v>0.19733875000000001</v>
      </c>
    </row>
    <row r="8" spans="2:20" s="20" customFormat="1" ht="12.75" customHeight="1">
      <c r="B8" s="48"/>
      <c r="C8" s="48"/>
      <c r="D8" s="48"/>
      <c r="E8" s="48"/>
      <c r="F8" s="48"/>
      <c r="G8" s="48"/>
      <c r="H8" s="48"/>
      <c r="I8" s="48"/>
      <c r="J8" s="48"/>
      <c r="K8" s="48"/>
      <c r="O8" s="1700" t="s">
        <v>2298</v>
      </c>
      <c r="P8" s="1699">
        <f>SUMPRODUCT(P6:T6,P7:T7)</f>
        <v>2.6630410958904109</v>
      </c>
    </row>
    <row r="9" spans="2:20" ht="12.75" customHeight="1">
      <c r="B9" s="385" t="s">
        <v>216</v>
      </c>
      <c r="C9" s="155"/>
      <c r="D9" s="790">
        <f>'OPM Backsolve WP2'!Q11</f>
        <v>136170.68980112436</v>
      </c>
      <c r="E9" s="1009" t="s">
        <v>2545</v>
      </c>
      <c r="P9" s="177">
        <f>P7/SUM($P$7:$R$7)</f>
        <v>9.3168425220692727E-2</v>
      </c>
      <c r="Q9" s="177">
        <f t="shared" ref="Q9:R9" si="0">Q7/SUM($P$7:$R$7)</f>
        <v>0.12399552791558942</v>
      </c>
      <c r="R9" s="177">
        <f t="shared" si="0"/>
        <v>0.78283604686371799</v>
      </c>
    </row>
    <row r="10" spans="2:20" ht="12.75" customHeight="1">
      <c r="B10" s="385" t="s">
        <v>217</v>
      </c>
      <c r="D10" s="156">
        <f>P8</f>
        <v>2.6630410958904109</v>
      </c>
      <c r="E10" s="1009" t="s">
        <v>2546</v>
      </c>
      <c r="P10" s="1699">
        <f>SUMPRODUCT(P9:R9,P6:R6)</f>
        <v>2.778183209326798</v>
      </c>
    </row>
    <row r="11" spans="2:20" ht="12.75" customHeight="1">
      <c r="B11" s="20" t="s">
        <v>9</v>
      </c>
      <c r="C11" s="157"/>
      <c r="D11" s="430">
        <f ca="1">'Asset Vol_OPM BackSolve'!Q49</f>
        <v>0.9093526471882929</v>
      </c>
      <c r="E11" s="1009" t="str">
        <f>'Asset Vol_OPM BackSolve'!B3</f>
        <v>Workpaper #11</v>
      </c>
      <c r="G11" s="50"/>
    </row>
    <row r="12" spans="2:20" ht="12.75" customHeight="1">
      <c r="B12" s="385" t="s">
        <v>7</v>
      </c>
      <c r="C12" s="157"/>
      <c r="D12" s="432">
        <f>'Risk-Free Rates'!E42</f>
        <v>2.7329345205479451E-2</v>
      </c>
      <c r="E12" s="1009" t="str">
        <f>'Risk-Free Rates'!B3</f>
        <v>Exhibit H.6</v>
      </c>
      <c r="G12" s="50"/>
    </row>
    <row r="13" spans="2:20" ht="12.75" customHeight="1">
      <c r="B13" s="385" t="s">
        <v>8</v>
      </c>
      <c r="D13" s="158">
        <v>0</v>
      </c>
      <c r="E13" s="1009" t="s">
        <v>1473</v>
      </c>
      <c r="G13" s="50"/>
    </row>
    <row r="14" spans="2:20" ht="12.75" customHeight="1">
      <c r="D14" s="901"/>
      <c r="E14" s="74"/>
      <c r="F14" s="74"/>
      <c r="G14" s="50"/>
    </row>
    <row r="15" spans="2:20" ht="12.75" customHeight="1">
      <c r="D15" s="1878">
        <v>1</v>
      </c>
      <c r="E15" s="1879">
        <f>D15+1</f>
        <v>2</v>
      </c>
      <c r="F15" s="1879">
        <f t="shared" ref="F15:K15" si="1">E15+1</f>
        <v>3</v>
      </c>
      <c r="G15" s="1879">
        <f t="shared" si="1"/>
        <v>4</v>
      </c>
      <c r="H15" s="1879">
        <f t="shared" si="1"/>
        <v>5</v>
      </c>
      <c r="I15" s="1879">
        <f t="shared" si="1"/>
        <v>6</v>
      </c>
      <c r="J15" s="1879">
        <f t="shared" si="1"/>
        <v>7</v>
      </c>
      <c r="K15" s="2023">
        <f t="shared" si="1"/>
        <v>8</v>
      </c>
    </row>
    <row r="16" spans="2:20" s="6" customFormat="1" ht="63.75">
      <c r="B16" s="159" t="s">
        <v>219</v>
      </c>
      <c r="D16" s="559" t="str">
        <f t="array" ref="D16:K16">TRANSPOSE('Econ Rights'!I14:I21)</f>
        <v>Series B Receives Liquidation Preference</v>
      </c>
      <c r="E16" s="560" t="str">
        <v xml:space="preserve">Series A Receives Liquidation Preference </v>
      </c>
      <c r="F16" s="560" t="str">
        <v>Common Starts Receiving Value</v>
      </c>
      <c r="G16" s="560" t="str">
        <v>Options at $0.001 Strike Price Exercise</v>
      </c>
      <c r="H16" s="560" t="str">
        <v>Options at $0.010 Strike Price Exercise</v>
      </c>
      <c r="I16" s="560" t="str">
        <v>Expected Options Grant Exercise and Phantom Stock receive cash at $0.290 Strike Price</v>
      </c>
      <c r="J16" s="560" t="str">
        <v>Series A Converts</v>
      </c>
      <c r="K16" s="2024" t="str">
        <v>Series B Converts</v>
      </c>
      <c r="M16" s="114"/>
      <c r="O16" s="298"/>
    </row>
    <row r="17" spans="2:20" ht="12.75" customHeight="1"/>
    <row r="18" spans="2:20" ht="12.75" customHeight="1">
      <c r="B18" s="1" t="s">
        <v>223</v>
      </c>
      <c r="O18" s="39" t="str">
        <f>B18</f>
        <v>Liquidation Preference</v>
      </c>
      <c r="P18" s="1" t="s">
        <v>1908</v>
      </c>
      <c r="Q18" s="1" t="s">
        <v>1909</v>
      </c>
      <c r="R18" s="1" t="s">
        <v>1055</v>
      </c>
      <c r="S18" s="1" t="s">
        <v>164</v>
      </c>
      <c r="T18" s="1" t="s">
        <v>2074</v>
      </c>
    </row>
    <row r="19" spans="2:20" ht="12.75" customHeight="1">
      <c r="B19" s="2" t="str">
        <f>'Cap Table'!$D$6</f>
        <v>Series A</v>
      </c>
      <c r="D19" s="371">
        <v>0</v>
      </c>
      <c r="E19" s="371">
        <f t="shared" ref="E19:K21" si="2">IF(E$37&lt;$T19,$Q19,0)</f>
        <v>73722.095342465749</v>
      </c>
      <c r="F19" s="371">
        <f t="shared" si="2"/>
        <v>73722.095342465749</v>
      </c>
      <c r="G19" s="371">
        <f t="shared" si="2"/>
        <v>73722.095342465749</v>
      </c>
      <c r="H19" s="371">
        <f t="shared" si="2"/>
        <v>73722.095342465749</v>
      </c>
      <c r="I19" s="371">
        <f t="shared" si="2"/>
        <v>73722.095342465749</v>
      </c>
      <c r="J19" s="371">
        <f t="shared" si="2"/>
        <v>0</v>
      </c>
      <c r="K19" s="371">
        <f t="shared" si="2"/>
        <v>0</v>
      </c>
      <c r="M19" s="386"/>
      <c r="O19" s="1701">
        <f>'Econ Rights'!$D$15</f>
        <v>56000</v>
      </c>
      <c r="P19" s="1701">
        <f>'Econ Rights'!P54</f>
        <v>17722.095342465753</v>
      </c>
      <c r="Q19" s="1881">
        <f>O19+P19</f>
        <v>73722.095342465749</v>
      </c>
      <c r="R19" s="1880">
        <f>'Econ Rights'!D11</f>
        <v>1</v>
      </c>
      <c r="S19" s="1009">
        <f>'Econ Rights'!D$10</f>
        <v>56000</v>
      </c>
      <c r="T19" s="1880">
        <f t="array" ref="T19:T21">TRANSPOSE('Econ Rights'!D30:F30)</f>
        <v>1.316465988258317</v>
      </c>
    </row>
    <row r="20" spans="2:20" ht="12.75" customHeight="1">
      <c r="B20" s="2" t="s">
        <v>2264</v>
      </c>
      <c r="D20" s="371">
        <f>IF(D$37&lt;$T20,$Q20,0)</f>
        <v>75674.646487711463</v>
      </c>
      <c r="E20" s="371">
        <f t="shared" si="2"/>
        <v>75674.646487711463</v>
      </c>
      <c r="F20" s="371">
        <f t="shared" si="2"/>
        <v>75674.646487711463</v>
      </c>
      <c r="G20" s="371">
        <f t="shared" si="2"/>
        <v>75674.646487711463</v>
      </c>
      <c r="H20" s="371">
        <f t="shared" si="2"/>
        <v>75674.646487711463</v>
      </c>
      <c r="I20" s="371">
        <f t="shared" si="2"/>
        <v>75674.646487711463</v>
      </c>
      <c r="J20" s="371">
        <f t="shared" si="2"/>
        <v>75674.646487711463</v>
      </c>
      <c r="K20" s="371">
        <f t="shared" si="2"/>
        <v>0</v>
      </c>
      <c r="O20" s="1701">
        <f>'Econ Rights'!$E$15</f>
        <v>62148.313044199997</v>
      </c>
      <c r="P20" s="1701">
        <f>'Econ Rights'!$E$27</f>
        <v>13526.333443511461</v>
      </c>
      <c r="Q20" s="1881">
        <f t="shared" ref="Q20:Q21" si="3">O20+P20</f>
        <v>75674.646487711463</v>
      </c>
      <c r="R20" s="1880">
        <f>'Econ Rights'!E11</f>
        <v>1.3767</v>
      </c>
      <c r="S20" s="1009">
        <f>'Econ Rights'!$E$10</f>
        <v>45142.960008861766</v>
      </c>
      <c r="T20" s="1880">
        <v>1.6732194970168255</v>
      </c>
    </row>
    <row r="21" spans="2:20" ht="12.75" customHeight="1">
      <c r="B21" s="2" t="s">
        <v>2265</v>
      </c>
      <c r="D21" s="371">
        <f>IF(D$37&lt;$T21,$Q21,0)</f>
        <v>9402.2502200400486</v>
      </c>
      <c r="E21" s="371">
        <f t="shared" si="2"/>
        <v>9402.2502200400486</v>
      </c>
      <c r="F21" s="371">
        <f t="shared" si="2"/>
        <v>9402.2502200400486</v>
      </c>
      <c r="G21" s="371">
        <f t="shared" si="2"/>
        <v>9402.2502200400486</v>
      </c>
      <c r="H21" s="371">
        <f t="shared" si="2"/>
        <v>9402.2502200400486</v>
      </c>
      <c r="I21" s="371">
        <f t="shared" si="2"/>
        <v>9402.2502200400486</v>
      </c>
      <c r="J21" s="371">
        <f t="shared" si="2"/>
        <v>9402.2502200400486</v>
      </c>
      <c r="K21" s="371">
        <f t="shared" si="2"/>
        <v>0</v>
      </c>
      <c r="O21" s="1701">
        <f>'Econ Rights'!$F$15</f>
        <v>7851.6863021999998</v>
      </c>
      <c r="P21" s="1701">
        <f>'Econ Rights'!$F$27</f>
        <v>1550.5639178400486</v>
      </c>
      <c r="Q21" s="1881">
        <f t="shared" si="3"/>
        <v>9402.2502200400486</v>
      </c>
      <c r="R21" s="1880">
        <f>'Econ Rights'!F11</f>
        <v>1.3767</v>
      </c>
      <c r="S21" s="1009">
        <f>'Econ Rights'!$F$10</f>
        <v>5703.2659999999996</v>
      </c>
      <c r="T21" s="1880">
        <v>1.6732194970168255</v>
      </c>
    </row>
    <row r="22" spans="2:20" ht="12.75" customHeight="1">
      <c r="B22" s="5"/>
      <c r="C22" s="5"/>
      <c r="D22" s="5"/>
      <c r="E22" s="5"/>
      <c r="F22" s="5"/>
      <c r="G22" s="5"/>
      <c r="H22" s="5"/>
      <c r="I22" s="5"/>
      <c r="J22" s="5"/>
      <c r="K22" s="5"/>
      <c r="O22" s="295"/>
    </row>
    <row r="23" spans="2:20" ht="12.75" customHeight="1">
      <c r="B23" s="39" t="s">
        <v>374</v>
      </c>
      <c r="D23" s="36">
        <f t="shared" ref="D23:F23" si="4">SUM(D19:D21)</f>
        <v>85076.896707751512</v>
      </c>
      <c r="E23" s="36">
        <f t="shared" si="4"/>
        <v>158798.99205021723</v>
      </c>
      <c r="F23" s="36">
        <f t="shared" si="4"/>
        <v>158798.99205021723</v>
      </c>
      <c r="G23" s="36">
        <f t="shared" ref="G23:K23" si="5">SUM(G19:G21)</f>
        <v>158798.99205021723</v>
      </c>
      <c r="H23" s="36">
        <f t="shared" si="5"/>
        <v>158798.99205021723</v>
      </c>
      <c r="I23" s="36">
        <f t="shared" si="5"/>
        <v>158798.99205021723</v>
      </c>
      <c r="J23" s="36">
        <f t="shared" si="5"/>
        <v>85076.896707751512</v>
      </c>
      <c r="K23" s="36">
        <f t="shared" si="5"/>
        <v>0</v>
      </c>
    </row>
    <row r="24" spans="2:20" ht="12.75" customHeight="1"/>
    <row r="25" spans="2:20" ht="12.75" customHeight="1">
      <c r="B25" s="77" t="s">
        <v>376</v>
      </c>
      <c r="O25" s="39" t="str">
        <f>+B25</f>
        <v>Shares Outstanding / Converted to Common Stock</v>
      </c>
    </row>
    <row r="26" spans="2:20" ht="12.75" customHeight="1">
      <c r="B26" s="161" t="str">
        <f>+$B19</f>
        <v>Series A</v>
      </c>
      <c r="C26" s="371">
        <f>IF(C19=0,$O26,0)</f>
        <v>56000</v>
      </c>
      <c r="D26" s="371">
        <v>0</v>
      </c>
      <c r="E26" s="371">
        <f t="shared" ref="E26:K28" si="6">IF(E19=0,$O26,0)</f>
        <v>0</v>
      </c>
      <c r="F26" s="371">
        <f t="shared" si="6"/>
        <v>0</v>
      </c>
      <c r="G26" s="371">
        <f t="shared" si="6"/>
        <v>0</v>
      </c>
      <c r="H26" s="371">
        <f t="shared" si="6"/>
        <v>0</v>
      </c>
      <c r="I26" s="371">
        <f t="shared" si="6"/>
        <v>0</v>
      </c>
      <c r="J26" s="371">
        <f t="shared" si="6"/>
        <v>56000</v>
      </c>
      <c r="K26" s="371">
        <f t="shared" si="6"/>
        <v>56000</v>
      </c>
      <c r="O26" s="744">
        <f>+'Cap Table'!$D$10*'Cap Table'!$D$18</f>
        <v>56000</v>
      </c>
    </row>
    <row r="27" spans="2:20" ht="12.75" customHeight="1">
      <c r="B27" s="161" t="str">
        <f>+$B20</f>
        <v>Series B Tranche I</v>
      </c>
      <c r="C27" s="371">
        <f>IF(C20=0,$O27,0)</f>
        <v>45142.960008861766</v>
      </c>
      <c r="D27" s="371">
        <v>0</v>
      </c>
      <c r="E27" s="371">
        <f t="shared" si="6"/>
        <v>0</v>
      </c>
      <c r="F27" s="371">
        <f t="shared" si="6"/>
        <v>0</v>
      </c>
      <c r="G27" s="371">
        <f t="shared" si="6"/>
        <v>0</v>
      </c>
      <c r="H27" s="371">
        <f t="shared" si="6"/>
        <v>0</v>
      </c>
      <c r="I27" s="371">
        <f t="shared" si="6"/>
        <v>0</v>
      </c>
      <c r="J27" s="371">
        <f t="shared" si="6"/>
        <v>0</v>
      </c>
      <c r="K27" s="371">
        <f t="shared" si="6"/>
        <v>45142.960008861766</v>
      </c>
      <c r="O27" s="744">
        <f>'Cap Table'!$E$10*'Cap Table'!$E$18</f>
        <v>45142.960008861766</v>
      </c>
      <c r="P27" s="7"/>
    </row>
    <row r="28" spans="2:20" ht="12.75" customHeight="1">
      <c r="B28" s="161" t="str">
        <f>+$B21</f>
        <v>Series B Tranche II</v>
      </c>
      <c r="D28" s="371">
        <v>0</v>
      </c>
      <c r="E28" s="371">
        <f t="shared" si="6"/>
        <v>0</v>
      </c>
      <c r="F28" s="371">
        <f t="shared" si="6"/>
        <v>0</v>
      </c>
      <c r="G28" s="371">
        <f t="shared" si="6"/>
        <v>0</v>
      </c>
      <c r="H28" s="371">
        <f t="shared" si="6"/>
        <v>0</v>
      </c>
      <c r="I28" s="371">
        <f t="shared" si="6"/>
        <v>0</v>
      </c>
      <c r="J28" s="371">
        <f t="shared" si="6"/>
        <v>0</v>
      </c>
      <c r="K28" s="371">
        <f t="shared" si="6"/>
        <v>5703.2659999999996</v>
      </c>
      <c r="O28" s="744">
        <f>+'Cap Table'!$F$10*'Cap Table'!$D$18</f>
        <v>5703.2659999999996</v>
      </c>
      <c r="P28" s="7"/>
    </row>
    <row r="29" spans="2:20" ht="12.75" customHeight="1">
      <c r="B29" s="297" t="str">
        <f>'Cap Table'!$B24</f>
        <v>Options at $0.001 Strike Price</v>
      </c>
      <c r="D29" s="371">
        <v>0</v>
      </c>
      <c r="E29" s="371">
        <f t="shared" ref="E29:K32" si="7">IF(E$37&lt;$P29,0,$O29)</f>
        <v>0</v>
      </c>
      <c r="F29" s="371">
        <f t="shared" si="7"/>
        <v>0</v>
      </c>
      <c r="G29" s="371">
        <f t="shared" si="7"/>
        <v>10</v>
      </c>
      <c r="H29" s="371">
        <f t="shared" si="7"/>
        <v>10</v>
      </c>
      <c r="I29" s="371">
        <f t="shared" si="7"/>
        <v>10</v>
      </c>
      <c r="J29" s="371">
        <f t="shared" si="7"/>
        <v>10</v>
      </c>
      <c r="K29" s="371">
        <f t="shared" si="7"/>
        <v>10</v>
      </c>
      <c r="O29" s="744">
        <f>+'Cap Table'!$D24</f>
        <v>10</v>
      </c>
      <c r="P29" s="1999">
        <f>'Cap Table'!E24</f>
        <v>1E-3</v>
      </c>
    </row>
    <row r="30" spans="2:20" ht="12.75" customHeight="1">
      <c r="B30" s="297" t="str">
        <f>'Cap Table'!$B25</f>
        <v>Options at $0.010 Strike Price</v>
      </c>
      <c r="D30" s="371">
        <v>0</v>
      </c>
      <c r="E30" s="371">
        <f t="shared" si="7"/>
        <v>0</v>
      </c>
      <c r="F30" s="371">
        <f t="shared" si="7"/>
        <v>0</v>
      </c>
      <c r="G30" s="371">
        <f t="shared" si="7"/>
        <v>0</v>
      </c>
      <c r="H30" s="371">
        <f t="shared" si="7"/>
        <v>206.9</v>
      </c>
      <c r="I30" s="371">
        <f t="shared" si="7"/>
        <v>206.9</v>
      </c>
      <c r="J30" s="371">
        <f t="shared" si="7"/>
        <v>206.9</v>
      </c>
      <c r="K30" s="371">
        <f t="shared" si="7"/>
        <v>206.9</v>
      </c>
      <c r="O30" s="744">
        <f>+'Cap Table'!$D25</f>
        <v>206.9</v>
      </c>
      <c r="P30" s="1893">
        <f>'Cap Table'!E25</f>
        <v>0.01</v>
      </c>
    </row>
    <row r="31" spans="2:20" ht="12.75" customHeight="1">
      <c r="B31" s="297" t="str">
        <f>'Cap Table'!$B26</f>
        <v>Expected Options Grant</v>
      </c>
      <c r="D31" s="371">
        <v>0</v>
      </c>
      <c r="E31" s="371">
        <f t="shared" si="7"/>
        <v>0</v>
      </c>
      <c r="F31" s="371">
        <f t="shared" si="7"/>
        <v>0</v>
      </c>
      <c r="G31" s="371">
        <f t="shared" si="7"/>
        <v>0</v>
      </c>
      <c r="H31" s="371">
        <f t="shared" si="7"/>
        <v>0</v>
      </c>
      <c r="I31" s="371">
        <f t="shared" si="7"/>
        <v>7838.9179999999997</v>
      </c>
      <c r="J31" s="371">
        <f t="shared" si="7"/>
        <v>7838.9179999999997</v>
      </c>
      <c r="K31" s="371">
        <f t="shared" si="7"/>
        <v>7838.9179999999997</v>
      </c>
      <c r="O31" s="744">
        <f>+'Cap Table'!$D26</f>
        <v>7838.9179999999997</v>
      </c>
      <c r="P31" s="1893">
        <f>'Cap Table'!E26</f>
        <v>0.28999999999999998</v>
      </c>
    </row>
    <row r="32" spans="2:20" ht="12.75" customHeight="1">
      <c r="B32" s="297" t="str">
        <f>'Cap Table'!$B27</f>
        <v>Phantom Stock</v>
      </c>
      <c r="D32" s="371">
        <v>0</v>
      </c>
      <c r="E32" s="371">
        <f t="shared" si="7"/>
        <v>0</v>
      </c>
      <c r="F32" s="371">
        <f t="shared" si="7"/>
        <v>0</v>
      </c>
      <c r="G32" s="371">
        <f t="shared" si="7"/>
        <v>0</v>
      </c>
      <c r="H32" s="371">
        <f t="shared" si="7"/>
        <v>0</v>
      </c>
      <c r="I32" s="371">
        <f t="shared" si="7"/>
        <v>1149.1089999999999</v>
      </c>
      <c r="J32" s="371">
        <f t="shared" si="7"/>
        <v>1149.1089999999999</v>
      </c>
      <c r="K32" s="371">
        <f t="shared" si="7"/>
        <v>1149.1089999999999</v>
      </c>
      <c r="O32" s="744">
        <f>+'Cap Table'!$D27</f>
        <v>1149.1089999999999</v>
      </c>
      <c r="P32" s="2000">
        <f>'Cap Table'!E27</f>
        <v>0.28999999999999998</v>
      </c>
    </row>
    <row r="33" spans="1:17" ht="12.75" customHeight="1">
      <c r="B33" s="160" t="str">
        <f>'Cap Table'!$G6 &amp;" Stock"</f>
        <v>Common Stock</v>
      </c>
      <c r="D33" s="371">
        <v>0</v>
      </c>
      <c r="E33" s="371">
        <v>0</v>
      </c>
      <c r="F33" s="371">
        <f t="shared" ref="F33:K33" si="8">$O$33</f>
        <v>15422.682000000001</v>
      </c>
      <c r="G33" s="371">
        <f t="shared" si="8"/>
        <v>15422.682000000001</v>
      </c>
      <c r="H33" s="371">
        <f t="shared" si="8"/>
        <v>15422.682000000001</v>
      </c>
      <c r="I33" s="371">
        <f t="shared" si="8"/>
        <v>15422.682000000001</v>
      </c>
      <c r="J33" s="371">
        <f t="shared" si="8"/>
        <v>15422.682000000001</v>
      </c>
      <c r="K33" s="371">
        <f t="shared" si="8"/>
        <v>15422.682000000001</v>
      </c>
      <c r="O33" s="744">
        <f>+'Cap Table'!G10</f>
        <v>15422.682000000001</v>
      </c>
      <c r="Q33" s="7"/>
    </row>
    <row r="34" spans="1:17" ht="12.75" customHeight="1" thickBot="1">
      <c r="B34" s="5"/>
      <c r="C34" s="5"/>
      <c r="D34" s="5"/>
      <c r="E34" s="5"/>
      <c r="F34" s="5"/>
      <c r="G34" s="5"/>
      <c r="H34" s="5"/>
      <c r="I34" s="5"/>
      <c r="J34" s="5"/>
      <c r="K34" s="5"/>
      <c r="O34" s="167"/>
    </row>
    <row r="35" spans="1:17" ht="12.75" customHeight="1" thickBot="1">
      <c r="B35" s="39" t="s">
        <v>1446</v>
      </c>
      <c r="D35" s="36">
        <f t="shared" ref="D35:K35" si="9">SUM(D26:D33)</f>
        <v>0</v>
      </c>
      <c r="E35" s="36">
        <f t="shared" si="9"/>
        <v>0</v>
      </c>
      <c r="F35" s="36">
        <f t="shared" si="9"/>
        <v>15422.682000000001</v>
      </c>
      <c r="G35" s="36">
        <f t="shared" si="9"/>
        <v>15432.682000000001</v>
      </c>
      <c r="H35" s="36">
        <f t="shared" si="9"/>
        <v>15639.582</v>
      </c>
      <c r="I35" s="36">
        <f t="shared" si="9"/>
        <v>24627.609</v>
      </c>
      <c r="J35" s="36">
        <f t="shared" si="9"/>
        <v>80627.608999999997</v>
      </c>
      <c r="K35" s="36">
        <f t="shared" si="9"/>
        <v>131473.83500886176</v>
      </c>
      <c r="M35" s="384" t="str">
        <f>IF(O35&lt;&gt;('Cap Table'!I20-'Cap Table'!I13+O31),"ERROR","")</f>
        <v/>
      </c>
      <c r="O35" s="36">
        <f>SUM(O26:O33)</f>
        <v>131473.83500886176</v>
      </c>
    </row>
    <row r="36" spans="1:17" ht="12.75" customHeight="1"/>
    <row r="37" spans="1:17" ht="12.75" customHeight="1">
      <c r="B37" s="2" t="s">
        <v>225</v>
      </c>
      <c r="D37" s="1362">
        <f t="array" ref="D37:K37">TRANSPOSE('Econ Rights'!J14:J21)</f>
        <v>0</v>
      </c>
      <c r="E37" s="1362">
        <v>0</v>
      </c>
      <c r="F37" s="1362">
        <v>0</v>
      </c>
      <c r="G37" s="1362">
        <v>1E-3</v>
      </c>
      <c r="H37" s="1362">
        <v>0.01</v>
      </c>
      <c r="I37" s="1362">
        <v>0.28999999999999998</v>
      </c>
      <c r="J37" s="1362">
        <v>1.316465988258317</v>
      </c>
      <c r="K37" s="1362">
        <v>1.6732194970168255</v>
      </c>
    </row>
    <row r="38" spans="1:17" ht="12.75" customHeight="1">
      <c r="B38" s="5"/>
      <c r="C38" s="5"/>
      <c r="D38" s="5"/>
      <c r="E38" s="5"/>
      <c r="F38" s="5"/>
      <c r="G38" s="5"/>
      <c r="H38" s="5"/>
      <c r="I38" s="5"/>
      <c r="J38" s="5"/>
      <c r="K38" s="1932"/>
    </row>
    <row r="39" spans="1:17" ht="12.75" customHeight="1">
      <c r="B39" s="24" t="s">
        <v>1447</v>
      </c>
      <c r="C39" s="16"/>
      <c r="D39" s="1011">
        <f>D35*D37</f>
        <v>0</v>
      </c>
      <c r="E39" s="1011">
        <f t="shared" ref="E39:K39" si="10">E35*E37</f>
        <v>0</v>
      </c>
      <c r="F39" s="1011">
        <f t="shared" si="10"/>
        <v>0</v>
      </c>
      <c r="G39" s="1011">
        <f t="shared" si="10"/>
        <v>15.432682000000002</v>
      </c>
      <c r="H39" s="1011">
        <f t="shared" si="10"/>
        <v>156.39582000000001</v>
      </c>
      <c r="I39" s="1011">
        <f t="shared" si="10"/>
        <v>7142.0066099999995</v>
      </c>
      <c r="J39" s="1011">
        <f t="shared" si="10"/>
        <v>106143.50496309016</v>
      </c>
      <c r="K39" s="1011">
        <f t="shared" si="10"/>
        <v>219984.58408440076</v>
      </c>
    </row>
    <row r="40" spans="1:17" ht="12.75" customHeight="1"/>
    <row r="41" spans="1:17" ht="12.75" customHeight="1">
      <c r="B41" s="2" t="s">
        <v>226</v>
      </c>
      <c r="D41" s="40">
        <f t="shared" ref="D41:K41" si="11">-SUMPRODUCT(D29:D32,$P$29:$P$32)</f>
        <v>0</v>
      </c>
      <c r="E41" s="40">
        <f t="shared" si="11"/>
        <v>0</v>
      </c>
      <c r="F41" s="40">
        <f t="shared" si="11"/>
        <v>0</v>
      </c>
      <c r="G41" s="40">
        <f t="shared" si="11"/>
        <v>-0.01</v>
      </c>
      <c r="H41" s="40">
        <f t="shared" si="11"/>
        <v>-2.0789999999999997</v>
      </c>
      <c r="I41" s="40">
        <f t="shared" si="11"/>
        <v>-2608.6068300000002</v>
      </c>
      <c r="J41" s="40">
        <f t="shared" si="11"/>
        <v>-2608.6068300000002</v>
      </c>
      <c r="K41" s="40">
        <f t="shared" si="11"/>
        <v>-2608.6068300000002</v>
      </c>
    </row>
    <row r="42" spans="1:17" ht="12.75" customHeight="1">
      <c r="B42" s="5"/>
      <c r="C42" s="5"/>
      <c r="D42" s="5"/>
      <c r="E42" s="5"/>
      <c r="F42" s="5"/>
      <c r="G42" s="5"/>
      <c r="H42" s="5"/>
      <c r="I42" s="5"/>
      <c r="J42" s="5"/>
      <c r="K42" s="5"/>
    </row>
    <row r="43" spans="1:17" ht="12.75" customHeight="1">
      <c r="B43" s="39" t="s">
        <v>227</v>
      </c>
      <c r="D43" s="1011">
        <f t="shared" ref="D43:K43" si="12">SUM(D39:D41)+D23</f>
        <v>85076.896707751512</v>
      </c>
      <c r="E43" s="1011">
        <f t="shared" si="12"/>
        <v>158798.99205021723</v>
      </c>
      <c r="F43" s="1011">
        <f t="shared" si="12"/>
        <v>158798.99205021723</v>
      </c>
      <c r="G43" s="1011">
        <f t="shared" si="12"/>
        <v>158814.41473221724</v>
      </c>
      <c r="H43" s="1011">
        <f t="shared" si="12"/>
        <v>158953.30887021724</v>
      </c>
      <c r="I43" s="1011">
        <f t="shared" si="12"/>
        <v>163332.39183021724</v>
      </c>
      <c r="J43" s="1011">
        <f t="shared" si="12"/>
        <v>188611.79484084167</v>
      </c>
      <c r="K43" s="1011">
        <f t="shared" si="12"/>
        <v>217375.97725440076</v>
      </c>
    </row>
    <row r="44" spans="1:17" ht="12.75" customHeight="1">
      <c r="B44" s="39"/>
      <c r="D44" s="36"/>
      <c r="E44" s="36"/>
      <c r="F44" s="36"/>
      <c r="G44" s="36"/>
      <c r="H44" s="36"/>
      <c r="I44" s="36"/>
      <c r="J44" s="36"/>
      <c r="K44" s="36"/>
    </row>
    <row r="45" spans="1:17" ht="12.75" customHeight="1"/>
    <row r="46" spans="1:17" s="6" customFormat="1" ht="12.75" customHeight="1">
      <c r="A46" s="72"/>
      <c r="B46" s="246" t="s">
        <v>229</v>
      </c>
      <c r="D46" s="247">
        <f>D$15</f>
        <v>1</v>
      </c>
      <c r="E46" s="248">
        <f t="shared" ref="E46:K46" si="13">E$15</f>
        <v>2</v>
      </c>
      <c r="F46" s="248">
        <f t="shared" si="13"/>
        <v>3</v>
      </c>
      <c r="G46" s="248">
        <f t="shared" si="13"/>
        <v>4</v>
      </c>
      <c r="H46" s="248">
        <f t="shared" si="13"/>
        <v>5</v>
      </c>
      <c r="I46" s="248">
        <f t="shared" si="13"/>
        <v>6</v>
      </c>
      <c r="J46" s="248">
        <f t="shared" si="13"/>
        <v>7</v>
      </c>
      <c r="K46" s="2026">
        <f t="shared" si="13"/>
        <v>8</v>
      </c>
      <c r="O46" s="298"/>
    </row>
    <row r="47" spans="1:17" ht="12.75" customHeight="1"/>
    <row r="48" spans="1:17" ht="12.75" customHeight="1">
      <c r="B48" s="385" t="s">
        <v>230</v>
      </c>
      <c r="D48" s="91">
        <v>1E-10</v>
      </c>
      <c r="E48" s="91">
        <f>D49</f>
        <v>85076.896707751512</v>
      </c>
      <c r="F48" s="91">
        <f t="shared" ref="F48:K48" si="14">E49</f>
        <v>158798.99205021723</v>
      </c>
      <c r="G48" s="91">
        <f t="shared" si="14"/>
        <v>158814.41473221724</v>
      </c>
      <c r="H48" s="91">
        <f t="shared" si="14"/>
        <v>158953.30887021724</v>
      </c>
      <c r="I48" s="91">
        <f t="shared" si="14"/>
        <v>163332.39183021724</v>
      </c>
      <c r="J48" s="91">
        <f t="shared" si="14"/>
        <v>188611.79484084167</v>
      </c>
      <c r="K48" s="91">
        <f t="shared" si="14"/>
        <v>217375.97725440076</v>
      </c>
    </row>
    <row r="49" spans="2:15" ht="12.75" customHeight="1">
      <c r="B49" s="385" t="s">
        <v>231</v>
      </c>
      <c r="D49" s="91">
        <f>D43</f>
        <v>85076.896707751512</v>
      </c>
      <c r="E49" s="91">
        <f>IF(F43=0,"n/a",IF(D49=E43,F43,E43))</f>
        <v>158798.99205021723</v>
      </c>
      <c r="F49" s="91">
        <f t="shared" ref="F49:K49" si="15">IF(G43=0,"n/a",IF(E49=F43,G43,F43))</f>
        <v>158814.41473221724</v>
      </c>
      <c r="G49" s="91">
        <f t="shared" si="15"/>
        <v>158953.30887021724</v>
      </c>
      <c r="H49" s="91">
        <f t="shared" si="15"/>
        <v>163332.39183021724</v>
      </c>
      <c r="I49" s="91">
        <f t="shared" si="15"/>
        <v>188611.79484084167</v>
      </c>
      <c r="J49" s="91">
        <f t="shared" si="15"/>
        <v>217375.97725440076</v>
      </c>
      <c r="K49" s="91" t="str">
        <f t="shared" si="15"/>
        <v>n/a</v>
      </c>
    </row>
    <row r="50" spans="2:15" ht="12.75" customHeight="1"/>
    <row r="51" spans="2:15" ht="12.75" hidden="1" customHeight="1" outlineLevel="1">
      <c r="B51" s="385" t="s">
        <v>235</v>
      </c>
      <c r="D51" s="386">
        <f ca="1">(LN($D$9/D48)+($D$12+$D$11^2/2)*$D$10)/($D$11*SQRT($D$10))</f>
        <v>24.273858613584522</v>
      </c>
      <c r="E51" s="386">
        <f ca="1">(LN($D$9/E48)+($D$12+$D$11^2/2)*$D$10)/($D$11*SQRT($D$10))</f>
        <v>1.1079815345000124</v>
      </c>
      <c r="F51" s="386">
        <f t="shared" ref="F51:K51" ca="1" si="16">(LN($D$9/F48)+($D$12+$D$11^2/2)*$D$10)/($D$11*SQRT($D$10))</f>
        <v>0.68742773508152955</v>
      </c>
      <c r="G51" s="386">
        <f t="shared" ca="1" si="16"/>
        <v>0.6873622910863203</v>
      </c>
      <c r="H51" s="386">
        <f t="shared" ca="1" si="16"/>
        <v>0.68677319940819992</v>
      </c>
      <c r="I51" s="386">
        <f t="shared" ca="1" si="16"/>
        <v>0.66845943635963501</v>
      </c>
      <c r="J51" s="386">
        <f t="shared" ca="1" si="16"/>
        <v>0.57148655597198628</v>
      </c>
      <c r="K51" s="386">
        <f t="shared" ca="1" si="16"/>
        <v>0.47583851724735071</v>
      </c>
    </row>
    <row r="52" spans="2:15" ht="12.75" hidden="1" customHeight="1" outlineLevel="1">
      <c r="B52" s="385" t="s">
        <v>237</v>
      </c>
      <c r="D52" s="386">
        <f ca="1">D51-$D$11*SQRT($D$10)</f>
        <v>22.789901774556142</v>
      </c>
      <c r="E52" s="386">
        <f t="shared" ref="E52:K52" ca="1" si="17">E51-$D$11*SQRT($D$10)</f>
        <v>-0.37597530452836714</v>
      </c>
      <c r="F52" s="386">
        <f t="shared" ca="1" si="17"/>
        <v>-0.79652910394684995</v>
      </c>
      <c r="G52" s="386">
        <f t="shared" ca="1" si="17"/>
        <v>-0.79659454794205919</v>
      </c>
      <c r="H52" s="386">
        <f t="shared" ca="1" si="17"/>
        <v>-0.79718363962017957</v>
      </c>
      <c r="I52" s="386">
        <f t="shared" ca="1" si="17"/>
        <v>-0.81549740266874449</v>
      </c>
      <c r="J52" s="386">
        <f t="shared" ca="1" si="17"/>
        <v>-0.91247028305639322</v>
      </c>
      <c r="K52" s="386">
        <f t="shared" ca="1" si="17"/>
        <v>-1.0081183217810288</v>
      </c>
    </row>
    <row r="53" spans="2:15" ht="12.75" hidden="1" customHeight="1" outlineLevel="1">
      <c r="D53" s="386"/>
      <c r="E53" s="386"/>
      <c r="F53" s="386"/>
      <c r="G53" s="386"/>
      <c r="H53" s="386"/>
      <c r="I53" s="386"/>
      <c r="J53" s="386"/>
      <c r="K53" s="386"/>
    </row>
    <row r="54" spans="2:15" ht="12.75" hidden="1" customHeight="1" outlineLevel="1">
      <c r="B54" s="385" t="s">
        <v>236</v>
      </c>
      <c r="D54" s="386">
        <f ca="1">(LN($D$9/D49)+($D$12+$D$11^2/2)*$D$10)/($D$11*SQRT($D$10))</f>
        <v>1.1079815345000124</v>
      </c>
      <c r="E54" s="91">
        <f ca="1">IF(E49="n/a","n/a",(LN($D$9/E49)+($D$12+$D$11^2/2)*$D$10)/($D$11*SQRT($D$10)))</f>
        <v>0.68742773508152955</v>
      </c>
      <c r="F54" s="91">
        <f t="shared" ref="F54:K54" ca="1" si="18">IF(F49="n/a","n/a",(LN($D$9/F49)+($D$12+$D$11^2/2)*$D$10)/($D$11*SQRT($D$10)))</f>
        <v>0.6873622910863203</v>
      </c>
      <c r="G54" s="91">
        <f t="shared" ca="1" si="18"/>
        <v>0.68677319940819992</v>
      </c>
      <c r="H54" s="91">
        <f t="shared" ca="1" si="18"/>
        <v>0.66845943635963501</v>
      </c>
      <c r="I54" s="91">
        <f t="shared" ca="1" si="18"/>
        <v>0.57148655597198628</v>
      </c>
      <c r="J54" s="91">
        <f t="shared" ca="1" si="18"/>
        <v>0.47583851724735071</v>
      </c>
      <c r="K54" s="91" t="str">
        <f t="shared" si="18"/>
        <v>n/a</v>
      </c>
    </row>
    <row r="55" spans="2:15" ht="12.75" hidden="1" customHeight="1" outlineLevel="1">
      <c r="B55" s="385" t="s">
        <v>238</v>
      </c>
      <c r="D55" s="386">
        <f ca="1">D54-$D$11*SQRT($D$10)</f>
        <v>-0.37597530452836714</v>
      </c>
      <c r="E55" s="91">
        <f ca="1">IF(E49="n/a","n/a",E54-$D$11*SQRT($D$10))</f>
        <v>-0.79652910394684995</v>
      </c>
      <c r="F55" s="91">
        <f t="shared" ref="F55:K55" ca="1" si="19">IF(F49="n/a","n/a",F54-$D$11*SQRT($D$10))</f>
        <v>-0.79659454794205919</v>
      </c>
      <c r="G55" s="91">
        <f t="shared" ca="1" si="19"/>
        <v>-0.79718363962017957</v>
      </c>
      <c r="H55" s="91">
        <f t="shared" ca="1" si="19"/>
        <v>-0.81549740266874449</v>
      </c>
      <c r="I55" s="91">
        <f t="shared" ca="1" si="19"/>
        <v>-0.91247028305639322</v>
      </c>
      <c r="J55" s="91">
        <f t="shared" ca="1" si="19"/>
        <v>-1.0081183217810288</v>
      </c>
      <c r="K55" s="91" t="str">
        <f t="shared" si="19"/>
        <v>n/a</v>
      </c>
    </row>
    <row r="56" spans="2:15" ht="12.75" hidden="1" customHeight="1" outlineLevel="1">
      <c r="D56" s="386"/>
      <c r="E56" s="386"/>
      <c r="F56" s="386"/>
      <c r="G56" s="386"/>
      <c r="H56" s="386"/>
      <c r="I56" s="386"/>
      <c r="J56" s="386"/>
      <c r="K56" s="386"/>
    </row>
    <row r="57" spans="2:15" ht="12.75" customHeight="1" collapsed="1">
      <c r="B57" s="385" t="s">
        <v>232</v>
      </c>
      <c r="D57" s="386">
        <f ca="1">$D$9*NORMSDIST(D51)-D48*EXP(-$D$12*$D$10)*NORMSDIST(D52)</f>
        <v>136170.68980112427</v>
      </c>
      <c r="E57" s="386">
        <f t="shared" ref="E57:K57" ca="1" si="20">$D$9*NORMSDIST(E51)-E48*EXP(-$D$12*$D$10)*NORMSDIST(E52)</f>
        <v>89971.618709865652</v>
      </c>
      <c r="F57" s="386">
        <f t="shared" ca="1" si="20"/>
        <v>71255.815889544698</v>
      </c>
      <c r="G57" s="386">
        <f t="shared" ca="1" si="20"/>
        <v>71252.763558499049</v>
      </c>
      <c r="H57" s="386">
        <f t="shared" ca="1" si="20"/>
        <v>71225.287044016382</v>
      </c>
      <c r="I57" s="386">
        <f t="shared" ca="1" si="20"/>
        <v>70370.171136269753</v>
      </c>
      <c r="J57" s="386">
        <f t="shared" ca="1" si="20"/>
        <v>65820.269278792402</v>
      </c>
      <c r="K57" s="386">
        <f t="shared" ca="1" si="20"/>
        <v>61320.105108364049</v>
      </c>
    </row>
    <row r="58" spans="2:15" ht="12.75" customHeight="1">
      <c r="B58" s="385" t="s">
        <v>233</v>
      </c>
      <c r="D58" s="386">
        <f ca="1">$D$9*NORMSDIST(D54)-D49*EXP(-$D$12*$D$10)*NORMSDIST(D55)</f>
        <v>89971.618709865652</v>
      </c>
      <c r="E58" s="91">
        <f ca="1">IF(E49="n/a","n/a",$D$9*NORMSDIST(E54)-E49*EXP(-$D$12*$D$10)*NORMSDIST(E55))</f>
        <v>71255.815889544698</v>
      </c>
      <c r="F58" s="91">
        <f t="shared" ref="F58:K58" ca="1" si="21">IF(F49="n/a","n/a",$D$9*NORMSDIST(F54)-F49*EXP(-$D$12*$D$10)*NORMSDIST(F55))</f>
        <v>71252.763558499049</v>
      </c>
      <c r="G58" s="91">
        <f t="shared" ca="1" si="21"/>
        <v>71225.287044016382</v>
      </c>
      <c r="H58" s="91">
        <f t="shared" ca="1" si="21"/>
        <v>70370.171136269753</v>
      </c>
      <c r="I58" s="91">
        <f t="shared" ca="1" si="21"/>
        <v>65820.269278792402</v>
      </c>
      <c r="J58" s="91">
        <f t="shared" ca="1" si="21"/>
        <v>61320.105108364049</v>
      </c>
      <c r="K58" s="91" t="str">
        <f t="shared" si="21"/>
        <v>n/a</v>
      </c>
    </row>
    <row r="59" spans="2:15" ht="12.75" customHeight="1"/>
    <row r="60" spans="2:15" ht="12.75" customHeight="1">
      <c r="B60" s="1" t="s">
        <v>234</v>
      </c>
      <c r="C60" s="1"/>
      <c r="D60" s="1011">
        <f ca="1">D57-D58</f>
        <v>46199.071091258622</v>
      </c>
      <c r="E60" s="1011">
        <f ca="1">IF(E49="n/a",E57,E57-E58)</f>
        <v>18715.802820320954</v>
      </c>
      <c r="F60" s="1011">
        <f t="shared" ref="F60:K60" ca="1" si="22">IF(F49="n/a",F57,F57-F58)</f>
        <v>3.0523310456483159</v>
      </c>
      <c r="G60" s="1011">
        <f t="shared" ca="1" si="22"/>
        <v>27.476514482666971</v>
      </c>
      <c r="H60" s="1011">
        <f t="shared" ca="1" si="22"/>
        <v>855.11590774662909</v>
      </c>
      <c r="I60" s="1011">
        <f t="shared" ca="1" si="22"/>
        <v>4549.9018574773509</v>
      </c>
      <c r="J60" s="1011">
        <f t="shared" ca="1" si="22"/>
        <v>4500.1641704283538</v>
      </c>
      <c r="K60" s="1011">
        <f t="shared" ca="1" si="22"/>
        <v>61320.105108364049</v>
      </c>
    </row>
    <row r="61" spans="2:15" ht="12.75" customHeight="1"/>
    <row r="62" spans="2:15" s="6" customFormat="1" ht="12.75" customHeight="1">
      <c r="B62" s="246" t="s">
        <v>228</v>
      </c>
      <c r="D62" s="247">
        <f>D$15</f>
        <v>1</v>
      </c>
      <c r="E62" s="248">
        <f t="shared" ref="E62:K62" si="23">E$15</f>
        <v>2</v>
      </c>
      <c r="F62" s="248">
        <f t="shared" si="23"/>
        <v>3</v>
      </c>
      <c r="G62" s="248">
        <f t="shared" si="23"/>
        <v>4</v>
      </c>
      <c r="H62" s="248">
        <f t="shared" si="23"/>
        <v>5</v>
      </c>
      <c r="I62" s="248">
        <f t="shared" si="23"/>
        <v>6</v>
      </c>
      <c r="J62" s="248">
        <f t="shared" si="23"/>
        <v>7</v>
      </c>
      <c r="K62" s="2026">
        <f t="shared" si="23"/>
        <v>8</v>
      </c>
      <c r="O62" s="298"/>
    </row>
    <row r="63" spans="2:15" ht="12.75" customHeight="1"/>
    <row r="64" spans="2:15" ht="12.75" customHeight="1">
      <c r="D64" s="1012" t="s">
        <v>222</v>
      </c>
      <c r="E64" s="1012" t="s">
        <v>222</v>
      </c>
      <c r="F64" s="1012" t="s">
        <v>164</v>
      </c>
      <c r="G64" s="1012" t="s">
        <v>164</v>
      </c>
      <c r="H64" s="1012" t="s">
        <v>164</v>
      </c>
      <c r="I64" s="1012" t="s">
        <v>164</v>
      </c>
      <c r="J64" s="1012" t="s">
        <v>164</v>
      </c>
      <c r="K64" s="1012" t="s">
        <v>164</v>
      </c>
    </row>
    <row r="65" spans="2:11" ht="12.75" customHeight="1"/>
    <row r="66" spans="2:11" ht="12.75" customHeight="1">
      <c r="B66" s="161" t="str">
        <f t="shared" ref="B66:B73" si="24">B26</f>
        <v>Series A</v>
      </c>
      <c r="D66" s="371">
        <v>0</v>
      </c>
      <c r="E66" s="371">
        <f>E19</f>
        <v>73722.095342465749</v>
      </c>
      <c r="F66" s="371">
        <f t="shared" ref="F66:K73" si="25">F26</f>
        <v>0</v>
      </c>
      <c r="G66" s="371">
        <f t="shared" si="25"/>
        <v>0</v>
      </c>
      <c r="H66" s="371">
        <f t="shared" si="25"/>
        <v>0</v>
      </c>
      <c r="I66" s="371">
        <f t="shared" si="25"/>
        <v>0</v>
      </c>
      <c r="J66" s="371">
        <f t="shared" si="25"/>
        <v>56000</v>
      </c>
      <c r="K66" s="371">
        <f t="shared" si="25"/>
        <v>56000</v>
      </c>
    </row>
    <row r="67" spans="2:11" ht="12.75" customHeight="1">
      <c r="B67" s="161" t="str">
        <f t="shared" si="24"/>
        <v>Series B Tranche I</v>
      </c>
      <c r="D67" s="371">
        <f>D20</f>
        <v>75674.646487711463</v>
      </c>
      <c r="E67" s="371">
        <v>0</v>
      </c>
      <c r="F67" s="371">
        <f t="shared" si="25"/>
        <v>0</v>
      </c>
      <c r="G67" s="371">
        <f t="shared" si="25"/>
        <v>0</v>
      </c>
      <c r="H67" s="371">
        <f t="shared" si="25"/>
        <v>0</v>
      </c>
      <c r="I67" s="371">
        <f t="shared" si="25"/>
        <v>0</v>
      </c>
      <c r="J67" s="371">
        <f t="shared" si="25"/>
        <v>0</v>
      </c>
      <c r="K67" s="371">
        <f t="shared" si="25"/>
        <v>45142.960008861766</v>
      </c>
    </row>
    <row r="68" spans="2:11" ht="12.75" customHeight="1">
      <c r="B68" s="161" t="str">
        <f t="shared" si="24"/>
        <v>Series B Tranche II</v>
      </c>
      <c r="D68" s="371">
        <f>D21</f>
        <v>9402.2502200400486</v>
      </c>
      <c r="E68" s="371">
        <v>0</v>
      </c>
      <c r="F68" s="371">
        <f t="shared" si="25"/>
        <v>0</v>
      </c>
      <c r="G68" s="371">
        <f t="shared" si="25"/>
        <v>0</v>
      </c>
      <c r="H68" s="371">
        <f t="shared" si="25"/>
        <v>0</v>
      </c>
      <c r="I68" s="371">
        <f t="shared" si="25"/>
        <v>0</v>
      </c>
      <c r="J68" s="371">
        <f t="shared" si="25"/>
        <v>0</v>
      </c>
      <c r="K68" s="371">
        <f t="shared" si="25"/>
        <v>5703.2659999999996</v>
      </c>
    </row>
    <row r="69" spans="2:11" ht="12.75" customHeight="1">
      <c r="B69" s="161" t="str">
        <f t="shared" si="24"/>
        <v>Options at $0.001 Strike Price</v>
      </c>
      <c r="D69" s="371">
        <v>0</v>
      </c>
      <c r="E69" s="371">
        <v>0</v>
      </c>
      <c r="F69" s="371">
        <f t="shared" si="25"/>
        <v>0</v>
      </c>
      <c r="G69" s="371">
        <f t="shared" si="25"/>
        <v>10</v>
      </c>
      <c r="H69" s="371">
        <f t="shared" si="25"/>
        <v>10</v>
      </c>
      <c r="I69" s="371">
        <f t="shared" si="25"/>
        <v>10</v>
      </c>
      <c r="J69" s="371">
        <f t="shared" si="25"/>
        <v>10</v>
      </c>
      <c r="K69" s="371">
        <f t="shared" si="25"/>
        <v>10</v>
      </c>
    </row>
    <row r="70" spans="2:11" ht="12.75" customHeight="1">
      <c r="B70" s="161" t="str">
        <f t="shared" si="24"/>
        <v>Options at $0.010 Strike Price</v>
      </c>
      <c r="D70" s="371">
        <v>0</v>
      </c>
      <c r="E70" s="371">
        <v>0</v>
      </c>
      <c r="F70" s="371">
        <f t="shared" si="25"/>
        <v>0</v>
      </c>
      <c r="G70" s="371">
        <f t="shared" si="25"/>
        <v>0</v>
      </c>
      <c r="H70" s="371">
        <f t="shared" si="25"/>
        <v>206.9</v>
      </c>
      <c r="I70" s="371">
        <f t="shared" si="25"/>
        <v>206.9</v>
      </c>
      <c r="J70" s="371">
        <f t="shared" si="25"/>
        <v>206.9</v>
      </c>
      <c r="K70" s="371">
        <f t="shared" si="25"/>
        <v>206.9</v>
      </c>
    </row>
    <row r="71" spans="2:11" ht="12.75" customHeight="1">
      <c r="B71" s="297" t="str">
        <f t="shared" si="24"/>
        <v>Expected Options Grant</v>
      </c>
      <c r="D71" s="371">
        <v>0</v>
      </c>
      <c r="E71" s="371">
        <v>0</v>
      </c>
      <c r="F71" s="371">
        <f t="shared" si="25"/>
        <v>0</v>
      </c>
      <c r="G71" s="371">
        <f t="shared" si="25"/>
        <v>0</v>
      </c>
      <c r="H71" s="371">
        <f t="shared" si="25"/>
        <v>0</v>
      </c>
      <c r="I71" s="371">
        <f t="shared" si="25"/>
        <v>7838.9179999999997</v>
      </c>
      <c r="J71" s="371">
        <f t="shared" si="25"/>
        <v>7838.9179999999997</v>
      </c>
      <c r="K71" s="371">
        <f t="shared" si="25"/>
        <v>7838.9179999999997</v>
      </c>
    </row>
    <row r="72" spans="2:11" ht="12.75" customHeight="1">
      <c r="B72" s="297" t="str">
        <f t="shared" si="24"/>
        <v>Phantom Stock</v>
      </c>
      <c r="D72" s="371">
        <v>0</v>
      </c>
      <c r="E72" s="371">
        <v>0</v>
      </c>
      <c r="F72" s="371">
        <f t="shared" si="25"/>
        <v>0</v>
      </c>
      <c r="G72" s="371">
        <f t="shared" si="25"/>
        <v>0</v>
      </c>
      <c r="H72" s="371">
        <f t="shared" si="25"/>
        <v>0</v>
      </c>
      <c r="I72" s="371">
        <f t="shared" si="25"/>
        <v>1149.1089999999999</v>
      </c>
      <c r="J72" s="371">
        <f t="shared" si="25"/>
        <v>1149.1089999999999</v>
      </c>
      <c r="K72" s="371">
        <f t="shared" si="25"/>
        <v>1149.1089999999999</v>
      </c>
    </row>
    <row r="73" spans="2:11" ht="12.75" customHeight="1">
      <c r="B73" s="161" t="str">
        <f t="shared" si="24"/>
        <v>Common Stock</v>
      </c>
      <c r="D73" s="371">
        <v>0</v>
      </c>
      <c r="E73" s="371">
        <v>0</v>
      </c>
      <c r="F73" s="371">
        <f t="shared" si="25"/>
        <v>15422.682000000001</v>
      </c>
      <c r="G73" s="371">
        <f t="shared" si="25"/>
        <v>15422.682000000001</v>
      </c>
      <c r="H73" s="371">
        <f t="shared" si="25"/>
        <v>15422.682000000001</v>
      </c>
      <c r="I73" s="371">
        <f t="shared" si="25"/>
        <v>15422.682000000001</v>
      </c>
      <c r="J73" s="371">
        <f t="shared" si="25"/>
        <v>15422.682000000001</v>
      </c>
      <c r="K73" s="371">
        <f t="shared" si="25"/>
        <v>15422.682000000001</v>
      </c>
    </row>
    <row r="74" spans="2:11" ht="12.75" customHeight="1">
      <c r="B74" s="5"/>
      <c r="C74" s="5"/>
      <c r="D74" s="5"/>
      <c r="E74" s="5"/>
      <c r="F74" s="5"/>
      <c r="G74" s="5"/>
      <c r="H74" s="5"/>
      <c r="I74" s="5"/>
      <c r="J74" s="5"/>
      <c r="K74" s="5"/>
    </row>
    <row r="75" spans="2:11" ht="12.75" customHeight="1">
      <c r="B75" s="39" t="s">
        <v>1448</v>
      </c>
      <c r="D75" s="36">
        <f t="shared" ref="D75:K75" si="26">SUM(D66:D73)</f>
        <v>85076.896707751512</v>
      </c>
      <c r="E75" s="36">
        <f t="shared" si="26"/>
        <v>73722.095342465749</v>
      </c>
      <c r="F75" s="36">
        <f t="shared" si="26"/>
        <v>15422.682000000001</v>
      </c>
      <c r="G75" s="36">
        <f t="shared" si="26"/>
        <v>15432.682000000001</v>
      </c>
      <c r="H75" s="36">
        <f t="shared" si="26"/>
        <v>15639.582</v>
      </c>
      <c r="I75" s="36">
        <f t="shared" si="26"/>
        <v>24627.609</v>
      </c>
      <c r="J75" s="36">
        <f t="shared" si="26"/>
        <v>80627.608999999997</v>
      </c>
      <c r="K75" s="36">
        <f t="shared" si="26"/>
        <v>131473.83500886176</v>
      </c>
    </row>
    <row r="76" spans="2:11" ht="12.75" customHeight="1"/>
    <row r="77" spans="2:11" ht="12.75" customHeight="1">
      <c r="B77" s="246" t="s">
        <v>1477</v>
      </c>
      <c r="C77" s="6"/>
      <c r="D77" s="247">
        <f>D$15</f>
        <v>1</v>
      </c>
      <c r="E77" s="248">
        <f t="shared" ref="E77:K77" si="27">E$15</f>
        <v>2</v>
      </c>
      <c r="F77" s="248">
        <f t="shared" si="27"/>
        <v>3</v>
      </c>
      <c r="G77" s="248">
        <f t="shared" si="27"/>
        <v>4</v>
      </c>
      <c r="H77" s="248">
        <f t="shared" si="27"/>
        <v>5</v>
      </c>
      <c r="I77" s="248">
        <f t="shared" si="27"/>
        <v>6</v>
      </c>
      <c r="J77" s="248">
        <f t="shared" si="27"/>
        <v>7</v>
      </c>
      <c r="K77" s="2026">
        <f t="shared" si="27"/>
        <v>8</v>
      </c>
    </row>
    <row r="78" spans="2:11" ht="12.75" customHeight="1"/>
    <row r="79" spans="2:11" ht="12.75" customHeight="1">
      <c r="B79" s="2" t="str">
        <f t="shared" ref="B79:B86" si="28">B66</f>
        <v>Series A</v>
      </c>
      <c r="D79" s="392">
        <f t="shared" ref="D79:K86" si="29">D66/D$75</f>
        <v>0</v>
      </c>
      <c r="E79" s="392">
        <f t="shared" si="29"/>
        <v>1</v>
      </c>
      <c r="F79" s="392">
        <f t="shared" si="29"/>
        <v>0</v>
      </c>
      <c r="G79" s="392">
        <f t="shared" si="29"/>
        <v>0</v>
      </c>
      <c r="H79" s="392">
        <f t="shared" si="29"/>
        <v>0</v>
      </c>
      <c r="I79" s="392">
        <f t="shared" si="29"/>
        <v>0</v>
      </c>
      <c r="J79" s="392">
        <f t="shared" si="29"/>
        <v>0.6945511679504226</v>
      </c>
      <c r="K79" s="392">
        <f t="shared" si="29"/>
        <v>0.42594026405501462</v>
      </c>
    </row>
    <row r="80" spans="2:11" ht="12.75" customHeight="1">
      <c r="B80" s="2" t="str">
        <f t="shared" si="28"/>
        <v>Series B Tranche I</v>
      </c>
      <c r="D80" s="392">
        <f t="shared" si="29"/>
        <v>0.8894852705742452</v>
      </c>
      <c r="E80" s="392">
        <f t="shared" si="29"/>
        <v>0</v>
      </c>
      <c r="F80" s="392">
        <f t="shared" si="29"/>
        <v>0</v>
      </c>
      <c r="G80" s="392">
        <f t="shared" si="29"/>
        <v>0</v>
      </c>
      <c r="H80" s="392">
        <f t="shared" si="29"/>
        <v>0</v>
      </c>
      <c r="I80" s="392">
        <f t="shared" si="29"/>
        <v>0</v>
      </c>
      <c r="J80" s="392">
        <f t="shared" si="29"/>
        <v>0</v>
      </c>
      <c r="K80" s="392">
        <f t="shared" si="29"/>
        <v>0.34336079118570617</v>
      </c>
    </row>
    <row r="81" spans="2:15" ht="12.75" customHeight="1">
      <c r="B81" s="2" t="str">
        <f t="shared" si="28"/>
        <v>Series B Tranche II</v>
      </c>
      <c r="D81" s="392">
        <f t="shared" si="29"/>
        <v>0.11051472942575481</v>
      </c>
      <c r="E81" s="392">
        <f t="shared" si="29"/>
        <v>0</v>
      </c>
      <c r="F81" s="392">
        <f t="shared" si="29"/>
        <v>0</v>
      </c>
      <c r="G81" s="392">
        <f t="shared" si="29"/>
        <v>0</v>
      </c>
      <c r="H81" s="392">
        <f t="shared" si="29"/>
        <v>0</v>
      </c>
      <c r="I81" s="392">
        <f t="shared" si="29"/>
        <v>0</v>
      </c>
      <c r="J81" s="392">
        <f t="shared" si="29"/>
        <v>0</v>
      </c>
      <c r="K81" s="392">
        <f t="shared" si="29"/>
        <v>4.3379475464571195E-2</v>
      </c>
    </row>
    <row r="82" spans="2:15" ht="12.75" customHeight="1">
      <c r="B82" s="2" t="str">
        <f t="shared" si="28"/>
        <v>Options at $0.001 Strike Price</v>
      </c>
      <c r="D82" s="392">
        <f t="shared" si="29"/>
        <v>0</v>
      </c>
      <c r="E82" s="392">
        <f t="shared" si="29"/>
        <v>0</v>
      </c>
      <c r="F82" s="392">
        <f t="shared" si="29"/>
        <v>0</v>
      </c>
      <c r="G82" s="392">
        <f t="shared" si="29"/>
        <v>6.4797551067273984E-4</v>
      </c>
      <c r="H82" s="392">
        <f t="shared" si="29"/>
        <v>6.3940327816945489E-4</v>
      </c>
      <c r="I82" s="392">
        <f t="shared" si="29"/>
        <v>4.0604835004486224E-4</v>
      </c>
      <c r="J82" s="392">
        <f t="shared" si="29"/>
        <v>1.2402699427686118E-4</v>
      </c>
      <c r="K82" s="392">
        <f t="shared" si="29"/>
        <v>7.6060761438395463E-5</v>
      </c>
    </row>
    <row r="83" spans="2:15" ht="12.75" customHeight="1">
      <c r="B83" s="2" t="str">
        <f t="shared" si="28"/>
        <v>Options at $0.010 Strike Price</v>
      </c>
      <c r="D83" s="392">
        <f t="shared" si="29"/>
        <v>0</v>
      </c>
      <c r="E83" s="392">
        <f t="shared" si="29"/>
        <v>0</v>
      </c>
      <c r="F83" s="392">
        <f t="shared" si="29"/>
        <v>0</v>
      </c>
      <c r="G83" s="392">
        <f t="shared" si="29"/>
        <v>0</v>
      </c>
      <c r="H83" s="392">
        <f t="shared" si="29"/>
        <v>1.3229253825326023E-2</v>
      </c>
      <c r="I83" s="392">
        <f t="shared" si="29"/>
        <v>8.4011403624281999E-3</v>
      </c>
      <c r="J83" s="392">
        <f t="shared" si="29"/>
        <v>2.5661185115882579E-3</v>
      </c>
      <c r="K83" s="392">
        <f t="shared" si="29"/>
        <v>1.5736971541604021E-3</v>
      </c>
    </row>
    <row r="84" spans="2:15" ht="12.75" customHeight="1">
      <c r="B84" s="2" t="str">
        <f t="shared" si="28"/>
        <v>Expected Options Grant</v>
      </c>
      <c r="D84" s="392">
        <f t="shared" si="29"/>
        <v>0</v>
      </c>
      <c r="E84" s="392">
        <f t="shared" si="29"/>
        <v>0</v>
      </c>
      <c r="F84" s="392">
        <f t="shared" si="29"/>
        <v>0</v>
      </c>
      <c r="G84" s="392">
        <f t="shared" si="29"/>
        <v>0</v>
      </c>
      <c r="H84" s="392">
        <f t="shared" si="29"/>
        <v>0</v>
      </c>
      <c r="I84" s="392">
        <f t="shared" si="29"/>
        <v>0.31829797200369714</v>
      </c>
      <c r="J84" s="392">
        <f t="shared" si="29"/>
        <v>9.7223743792278397E-2</v>
      </c>
      <c r="K84" s="392">
        <f t="shared" si="29"/>
        <v>5.9623407193314409E-2</v>
      </c>
    </row>
    <row r="85" spans="2:15" ht="12.75" customHeight="1">
      <c r="B85" s="2" t="str">
        <f t="shared" si="28"/>
        <v>Phantom Stock</v>
      </c>
      <c r="D85" s="392">
        <f t="shared" si="29"/>
        <v>0</v>
      </c>
      <c r="E85" s="392">
        <f t="shared" si="29"/>
        <v>0</v>
      </c>
      <c r="F85" s="392">
        <f t="shared" si="29"/>
        <v>0</v>
      </c>
      <c r="G85" s="392">
        <f t="shared" si="29"/>
        <v>0</v>
      </c>
      <c r="H85" s="392">
        <f t="shared" si="29"/>
        <v>0</v>
      </c>
      <c r="I85" s="392">
        <f t="shared" si="29"/>
        <v>4.665938134717016E-2</v>
      </c>
      <c r="J85" s="392">
        <f t="shared" si="29"/>
        <v>1.4252053536648965E-2</v>
      </c>
      <c r="K85" s="392">
        <f t="shared" si="29"/>
        <v>8.7402105515713164E-3</v>
      </c>
    </row>
    <row r="86" spans="2:15" ht="12.75" customHeight="1">
      <c r="B86" s="2" t="str">
        <f t="shared" si="28"/>
        <v>Common Stock</v>
      </c>
      <c r="D86" s="392">
        <f t="shared" si="29"/>
        <v>0</v>
      </c>
      <c r="E86" s="392">
        <f t="shared" si="29"/>
        <v>0</v>
      </c>
      <c r="F86" s="392">
        <f t="shared" si="29"/>
        <v>1</v>
      </c>
      <c r="G86" s="392">
        <f t="shared" si="29"/>
        <v>0.99935202448932725</v>
      </c>
      <c r="H86" s="392">
        <f t="shared" si="29"/>
        <v>0.9861313428965045</v>
      </c>
      <c r="I86" s="392">
        <f t="shared" si="29"/>
        <v>0.62623545793665969</v>
      </c>
      <c r="J86" s="392">
        <f t="shared" si="29"/>
        <v>0.19128288921478498</v>
      </c>
      <c r="K86" s="392">
        <f t="shared" si="29"/>
        <v>0.11730609363422359</v>
      </c>
    </row>
    <row r="87" spans="2:15" ht="12.75" customHeight="1">
      <c r="B87" s="59"/>
      <c r="C87" s="59"/>
      <c r="D87" s="5"/>
      <c r="E87" s="5"/>
      <c r="F87" s="5"/>
      <c r="G87" s="5"/>
      <c r="H87" s="5"/>
      <c r="I87" s="5"/>
      <c r="J87" s="5"/>
      <c r="K87" s="5"/>
    </row>
    <row r="88" spans="2:15" ht="12.75" customHeight="1">
      <c r="B88" s="1" t="s">
        <v>1478</v>
      </c>
      <c r="D88" s="1364">
        <f t="shared" ref="D88:K88" si="30">SUM(D79:D86)</f>
        <v>1</v>
      </c>
      <c r="E88" s="1364">
        <f t="shared" si="30"/>
        <v>1</v>
      </c>
      <c r="F88" s="1364">
        <f t="shared" si="30"/>
        <v>1</v>
      </c>
      <c r="G88" s="1364">
        <f t="shared" si="30"/>
        <v>1</v>
      </c>
      <c r="H88" s="1364">
        <f t="shared" si="30"/>
        <v>1</v>
      </c>
      <c r="I88" s="1364">
        <f t="shared" si="30"/>
        <v>1</v>
      </c>
      <c r="J88" s="1364">
        <f t="shared" si="30"/>
        <v>1</v>
      </c>
      <c r="K88" s="1364">
        <f t="shared" si="30"/>
        <v>1.0000000000000002</v>
      </c>
    </row>
    <row r="89" spans="2:15" ht="12.75" customHeight="1">
      <c r="B89" s="1"/>
      <c r="D89" s="36"/>
      <c r="E89" s="36"/>
      <c r="F89" s="36"/>
      <c r="G89" s="36"/>
      <c r="H89" s="36"/>
      <c r="I89" s="36"/>
      <c r="J89" s="36"/>
      <c r="K89" s="36"/>
    </row>
    <row r="90" spans="2:15" s="6" customFormat="1" ht="12.75" customHeight="1">
      <c r="B90" s="246" t="s">
        <v>239</v>
      </c>
      <c r="D90" s="247">
        <f>D$15</f>
        <v>1</v>
      </c>
      <c r="E90" s="248">
        <f t="shared" ref="E90:K90" si="31">E$15</f>
        <v>2</v>
      </c>
      <c r="F90" s="248">
        <f t="shared" si="31"/>
        <v>3</v>
      </c>
      <c r="G90" s="248">
        <f t="shared" si="31"/>
        <v>4</v>
      </c>
      <c r="H90" s="248">
        <f t="shared" si="31"/>
        <v>5</v>
      </c>
      <c r="I90" s="248">
        <f t="shared" si="31"/>
        <v>6</v>
      </c>
      <c r="J90" s="248">
        <f t="shared" si="31"/>
        <v>7</v>
      </c>
      <c r="K90" s="2026">
        <f t="shared" si="31"/>
        <v>8</v>
      </c>
      <c r="M90" s="110" t="s">
        <v>86</v>
      </c>
      <c r="O90" s="298"/>
    </row>
    <row r="91" spans="2:15" ht="12.75" customHeight="1"/>
    <row r="92" spans="2:15" ht="12.75" customHeight="1">
      <c r="B92" s="2" t="str">
        <f t="shared" ref="B92:B99" si="32">B66</f>
        <v>Series A</v>
      </c>
      <c r="D92" s="386">
        <f t="shared" ref="D92:K99" ca="1" si="33">D$60*D66/D$75</f>
        <v>0</v>
      </c>
      <c r="E92" s="386">
        <f t="shared" ca="1" si="33"/>
        <v>18715.802820320954</v>
      </c>
      <c r="F92" s="386">
        <f t="shared" ca="1" si="33"/>
        <v>0</v>
      </c>
      <c r="G92" s="386">
        <f t="shared" ca="1" si="33"/>
        <v>0</v>
      </c>
      <c r="H92" s="386">
        <f t="shared" ca="1" si="33"/>
        <v>0</v>
      </c>
      <c r="I92" s="386">
        <f t="shared" ca="1" si="33"/>
        <v>0</v>
      </c>
      <c r="J92" s="386">
        <f t="shared" ca="1" si="33"/>
        <v>3125.5942805396576</v>
      </c>
      <c r="K92" s="386">
        <f t="shared" ca="1" si="33"/>
        <v>26118.70176173783</v>
      </c>
      <c r="M92" s="386">
        <f t="shared" ref="M92:M99" ca="1" si="34">SUM(D92:K92)</f>
        <v>47960.098862598446</v>
      </c>
    </row>
    <row r="93" spans="2:15" ht="12.75" customHeight="1">
      <c r="B93" s="2" t="str">
        <f t="shared" si="32"/>
        <v>Series B Tranche I</v>
      </c>
      <c r="D93" s="386">
        <f t="shared" ca="1" si="33"/>
        <v>41093.393249886962</v>
      </c>
      <c r="E93" s="386">
        <f t="shared" ca="1" si="33"/>
        <v>0</v>
      </c>
      <c r="F93" s="386">
        <f t="shared" ca="1" si="33"/>
        <v>0</v>
      </c>
      <c r="G93" s="386">
        <f t="shared" ca="1" si="33"/>
        <v>0</v>
      </c>
      <c r="H93" s="386">
        <f t="shared" ca="1" si="33"/>
        <v>0</v>
      </c>
      <c r="I93" s="386">
        <f t="shared" ca="1" si="33"/>
        <v>0</v>
      </c>
      <c r="J93" s="386">
        <f t="shared" ca="1" si="33"/>
        <v>0</v>
      </c>
      <c r="K93" s="386">
        <f t="shared" ca="1" si="33"/>
        <v>21054.919805598543</v>
      </c>
      <c r="M93" s="386">
        <f t="shared" ca="1" si="34"/>
        <v>62148.313055485502</v>
      </c>
    </row>
    <row r="94" spans="2:15" ht="12.75" customHeight="1">
      <c r="B94" s="2" t="str">
        <f t="shared" si="32"/>
        <v>Series B Tranche II</v>
      </c>
      <c r="D94" s="386">
        <f t="shared" ca="1" si="33"/>
        <v>5105.6778413716575</v>
      </c>
      <c r="E94" s="386">
        <f t="shared" ca="1" si="33"/>
        <v>0</v>
      </c>
      <c r="F94" s="386">
        <f t="shared" ca="1" si="33"/>
        <v>0</v>
      </c>
      <c r="G94" s="386">
        <f t="shared" ca="1" si="33"/>
        <v>0</v>
      </c>
      <c r="H94" s="386">
        <f t="shared" ca="1" si="33"/>
        <v>0</v>
      </c>
      <c r="I94" s="386">
        <f t="shared" ca="1" si="33"/>
        <v>0</v>
      </c>
      <c r="J94" s="386">
        <f t="shared" ca="1" si="33"/>
        <v>0</v>
      </c>
      <c r="K94" s="386">
        <f t="shared" ca="1" si="33"/>
        <v>2660.033995033205</v>
      </c>
      <c r="M94" s="386">
        <f t="shared" ca="1" si="34"/>
        <v>7765.711836404862</v>
      </c>
    </row>
    <row r="95" spans="2:15" ht="12.75" customHeight="1">
      <c r="B95" s="2" t="str">
        <f t="shared" si="32"/>
        <v>Options at $0.001 Strike Price</v>
      </c>
      <c r="D95" s="386">
        <f t="shared" ca="1" si="33"/>
        <v>0</v>
      </c>
      <c r="E95" s="386">
        <f t="shared" ca="1" si="33"/>
        <v>0</v>
      </c>
      <c r="F95" s="386">
        <f t="shared" ca="1" si="33"/>
        <v>0</v>
      </c>
      <c r="G95" s="386">
        <f t="shared" ca="1" si="33"/>
        <v>1.780410850341306E-2</v>
      </c>
      <c r="H95" s="386">
        <f t="shared" ca="1" si="33"/>
        <v>0.54676391462804386</v>
      </c>
      <c r="I95" s="386">
        <f t="shared" ca="1" si="33"/>
        <v>1.8474801420947322</v>
      </c>
      <c r="J95" s="386">
        <f t="shared" ca="1" si="33"/>
        <v>0.55814183581065313</v>
      </c>
      <c r="K95" s="386">
        <f t="shared" ca="1" si="33"/>
        <v>4.6640538860246128</v>
      </c>
      <c r="M95" s="386">
        <f t="shared" ca="1" si="34"/>
        <v>7.6342438870614551</v>
      </c>
    </row>
    <row r="96" spans="2:15" ht="12.75" customHeight="1">
      <c r="B96" s="2" t="str">
        <f t="shared" si="32"/>
        <v>Options at $0.010 Strike Price</v>
      </c>
      <c r="D96" s="386">
        <f t="shared" ca="1" si="33"/>
        <v>0</v>
      </c>
      <c r="E96" s="386">
        <f t="shared" ca="1" si="33"/>
        <v>0</v>
      </c>
      <c r="F96" s="386">
        <f t="shared" ca="1" si="33"/>
        <v>0</v>
      </c>
      <c r="G96" s="386">
        <f t="shared" ca="1" si="33"/>
        <v>0</v>
      </c>
      <c r="H96" s="386">
        <f t="shared" ca="1" si="33"/>
        <v>11.312545393654226</v>
      </c>
      <c r="I96" s="386">
        <f t="shared" ca="1" si="33"/>
        <v>38.224364139940008</v>
      </c>
      <c r="J96" s="386">
        <f t="shared" ca="1" si="33"/>
        <v>11.547954582922415</v>
      </c>
      <c r="K96" s="386">
        <f t="shared" ca="1" si="33"/>
        <v>96.499274901849247</v>
      </c>
      <c r="M96" s="386">
        <f t="shared" ca="1" si="34"/>
        <v>157.5841390183659</v>
      </c>
    </row>
    <row r="97" spans="2:15" ht="12.75" customHeight="1">
      <c r="B97" s="2" t="str">
        <f t="shared" si="32"/>
        <v>Expected Options Grant</v>
      </c>
      <c r="D97" s="386">
        <f t="shared" ca="1" si="33"/>
        <v>0</v>
      </c>
      <c r="E97" s="386">
        <f t="shared" ca="1" si="33"/>
        <v>0</v>
      </c>
      <c r="F97" s="386">
        <f t="shared" ca="1" si="33"/>
        <v>0</v>
      </c>
      <c r="G97" s="386">
        <f t="shared" ca="1" si="33"/>
        <v>0</v>
      </c>
      <c r="H97" s="386">
        <f t="shared" ca="1" si="33"/>
        <v>0</v>
      </c>
      <c r="I97" s="386">
        <f t="shared" ca="1" si="33"/>
        <v>1448.2245340508955</v>
      </c>
      <c r="J97" s="386">
        <f t="shared" ca="1" si="33"/>
        <v>437.52280832891734</v>
      </c>
      <c r="K97" s="386">
        <f t="shared" ca="1" si="33"/>
        <v>3656.1135960128286</v>
      </c>
      <c r="M97" s="386">
        <f t="shared" ca="1" si="34"/>
        <v>5541.8609383926414</v>
      </c>
    </row>
    <row r="98" spans="2:15" ht="12.75" customHeight="1">
      <c r="B98" s="2" t="str">
        <f t="shared" si="32"/>
        <v>Phantom Stock</v>
      </c>
      <c r="D98" s="386">
        <f t="shared" ca="1" si="33"/>
        <v>0</v>
      </c>
      <c r="E98" s="386">
        <f t="shared" ca="1" si="33"/>
        <v>0</v>
      </c>
      <c r="F98" s="386">
        <f t="shared" ca="1" si="33"/>
        <v>0</v>
      </c>
      <c r="G98" s="386">
        <f t="shared" ca="1" si="33"/>
        <v>0</v>
      </c>
      <c r="H98" s="386">
        <f t="shared" ca="1" si="33"/>
        <v>0</v>
      </c>
      <c r="I98" s="386">
        <f t="shared" ca="1" si="33"/>
        <v>212.29560586023356</v>
      </c>
      <c r="J98" s="386">
        <f t="shared" ca="1" si="33"/>
        <v>64.136580680654376</v>
      </c>
      <c r="K98" s="386">
        <f t="shared" ca="1" si="33"/>
        <v>535.95062969158562</v>
      </c>
      <c r="M98" s="386">
        <f t="shared" ca="1" si="34"/>
        <v>812.38281623247349</v>
      </c>
    </row>
    <row r="99" spans="2:15" ht="12.75" customHeight="1">
      <c r="B99" s="2" t="str">
        <f t="shared" si="32"/>
        <v>Common Stock</v>
      </c>
      <c r="D99" s="386">
        <f t="shared" ca="1" si="33"/>
        <v>0</v>
      </c>
      <c r="E99" s="386">
        <f t="shared" ca="1" si="33"/>
        <v>0</v>
      </c>
      <c r="F99" s="386">
        <f t="shared" ca="1" si="33"/>
        <v>3.0523310456483159</v>
      </c>
      <c r="G99" s="386">
        <f t="shared" ca="1" si="33"/>
        <v>27.458710374163555</v>
      </c>
      <c r="H99" s="386">
        <f t="shared" ca="1" si="33"/>
        <v>843.25659843834683</v>
      </c>
      <c r="I99" s="386">
        <f t="shared" ca="1" si="33"/>
        <v>2849.3098732841872</v>
      </c>
      <c r="J99" s="386">
        <f t="shared" ca="1" si="33"/>
        <v>860.80440446039154</v>
      </c>
      <c r="K99" s="386">
        <f t="shared" ca="1" si="33"/>
        <v>7193.2219915021851</v>
      </c>
      <c r="M99" s="386">
        <f t="shared" ca="1" si="34"/>
        <v>11777.103909104922</v>
      </c>
    </row>
    <row r="100" spans="2:15" ht="12.75" customHeight="1">
      <c r="B100" s="59"/>
      <c r="C100" s="59"/>
      <c r="D100" s="5"/>
      <c r="E100" s="5"/>
      <c r="F100" s="5"/>
      <c r="G100" s="5"/>
      <c r="H100" s="5"/>
      <c r="I100" s="5"/>
      <c r="J100" s="5"/>
      <c r="K100" s="5"/>
      <c r="M100" s="5"/>
    </row>
    <row r="101" spans="2:15" ht="12.75" customHeight="1">
      <c r="B101" s="1" t="s">
        <v>1449</v>
      </c>
      <c r="D101" s="1013">
        <f t="shared" ref="D101:K101" ca="1" si="35">SUM(D92:D99)</f>
        <v>46199.071091258622</v>
      </c>
      <c r="E101" s="1013">
        <f t="shared" ca="1" si="35"/>
        <v>18715.802820320954</v>
      </c>
      <c r="F101" s="1013">
        <f t="shared" ca="1" si="35"/>
        <v>3.0523310456483159</v>
      </c>
      <c r="G101" s="1013">
        <f t="shared" ca="1" si="35"/>
        <v>27.476514482666968</v>
      </c>
      <c r="H101" s="1013">
        <f t="shared" ca="1" si="35"/>
        <v>855.11590774662909</v>
      </c>
      <c r="I101" s="1013">
        <f t="shared" ca="1" si="35"/>
        <v>4549.9018574773509</v>
      </c>
      <c r="J101" s="1013">
        <f t="shared" ca="1" si="35"/>
        <v>4500.1641704283538</v>
      </c>
      <c r="K101" s="1013">
        <f t="shared" ca="1" si="35"/>
        <v>61320.105108364056</v>
      </c>
      <c r="M101" s="36">
        <f ca="1">SUM(M92:M99)</f>
        <v>136170.68980112427</v>
      </c>
      <c r="O101" s="299">
        <f ca="1">M101-D9</f>
        <v>0</v>
      </c>
    </row>
    <row r="102" spans="2:15" ht="12.75" customHeight="1"/>
    <row r="103" spans="2:15" ht="12.75" customHeight="1"/>
    <row r="105" spans="2:15">
      <c r="B105" s="385" t="s">
        <v>1479</v>
      </c>
      <c r="D105" s="1014">
        <f>D43</f>
        <v>85076.896707751512</v>
      </c>
      <c r="E105" s="1014">
        <f>E43-D43</f>
        <v>73722.09534246572</v>
      </c>
      <c r="F105" s="1014">
        <f>G43-F43</f>
        <v>15.422682000003988</v>
      </c>
      <c r="G105" s="1014">
        <f>H43-G43</f>
        <v>138.8941380000033</v>
      </c>
      <c r="H105" s="1014">
        <f>I43-H43</f>
        <v>4379.0829599999997</v>
      </c>
      <c r="I105" s="1014">
        <f>J43-I43</f>
        <v>25279.403010624432</v>
      </c>
      <c r="J105" s="1014">
        <f t="shared" ref="J105" si="36">K43-J43</f>
        <v>28764.182413559087</v>
      </c>
      <c r="K105" s="1014"/>
    </row>
    <row r="106" spans="2:15">
      <c r="D106" s="1014"/>
      <c r="E106" s="1014"/>
      <c r="F106" s="1014"/>
      <c r="G106" s="1014"/>
      <c r="H106" s="1014"/>
      <c r="I106" s="1014"/>
      <c r="J106" s="1014"/>
      <c r="K106" s="1014"/>
    </row>
    <row r="107" spans="2:15">
      <c r="B107" s="1015" t="s">
        <v>1480</v>
      </c>
      <c r="C107" s="6"/>
      <c r="D107" s="1016">
        <f t="shared" ref="D107:J107" si="37">D90</f>
        <v>1</v>
      </c>
      <c r="E107" s="1017">
        <f t="shared" si="37"/>
        <v>2</v>
      </c>
      <c r="F107" s="1017">
        <f t="shared" si="37"/>
        <v>3</v>
      </c>
      <c r="G107" s="1017">
        <f t="shared" si="37"/>
        <v>4</v>
      </c>
      <c r="H107" s="1017">
        <f t="shared" si="37"/>
        <v>5</v>
      </c>
      <c r="I107" s="1017">
        <f t="shared" si="37"/>
        <v>6</v>
      </c>
      <c r="J107" s="1017">
        <f t="shared" si="37"/>
        <v>7</v>
      </c>
      <c r="K107" s="2026"/>
    </row>
    <row r="108" spans="2:15">
      <c r="D108" s="1014"/>
      <c r="E108" s="1014"/>
      <c r="F108" s="1014"/>
      <c r="G108" s="1014"/>
      <c r="H108" s="1014"/>
      <c r="I108" s="1014"/>
      <c r="J108" s="1014"/>
      <c r="K108" s="1014"/>
    </row>
    <row r="109" spans="2:15">
      <c r="B109" s="385" t="str">
        <f t="shared" ref="B109:B116" si="38">B92</f>
        <v>Series A</v>
      </c>
      <c r="D109" s="386">
        <f t="shared" ref="D109:J116" si="39">D66/D$75*D$105</f>
        <v>0</v>
      </c>
      <c r="E109" s="386">
        <f t="shared" si="39"/>
        <v>73722.09534246572</v>
      </c>
      <c r="F109" s="386">
        <f t="shared" si="39"/>
        <v>0</v>
      </c>
      <c r="G109" s="386">
        <f t="shared" si="39"/>
        <v>0</v>
      </c>
      <c r="H109" s="386">
        <f t="shared" si="39"/>
        <v>0</v>
      </c>
      <c r="I109" s="386">
        <f t="shared" si="39"/>
        <v>0</v>
      </c>
      <c r="J109" s="386">
        <f t="shared" si="39"/>
        <v>19978.196490476468</v>
      </c>
      <c r="K109" s="386"/>
    </row>
    <row r="110" spans="2:15">
      <c r="B110" s="385" t="str">
        <f t="shared" si="38"/>
        <v>Series B Tranche I</v>
      </c>
      <c r="D110" s="386">
        <f t="shared" si="39"/>
        <v>75674.646487711463</v>
      </c>
      <c r="E110" s="386">
        <f t="shared" si="39"/>
        <v>0</v>
      </c>
      <c r="F110" s="386">
        <f t="shared" si="39"/>
        <v>0</v>
      </c>
      <c r="G110" s="386">
        <f t="shared" si="39"/>
        <v>0</v>
      </c>
      <c r="H110" s="386">
        <f t="shared" si="39"/>
        <v>0</v>
      </c>
      <c r="I110" s="386">
        <f t="shared" si="39"/>
        <v>0</v>
      </c>
      <c r="J110" s="386">
        <f t="shared" si="39"/>
        <v>0</v>
      </c>
      <c r="K110" s="386"/>
    </row>
    <row r="111" spans="2:15">
      <c r="B111" s="385" t="str">
        <f t="shared" si="38"/>
        <v>Series B Tranche II</v>
      </c>
      <c r="D111" s="386">
        <f t="shared" si="39"/>
        <v>9402.2502200400486</v>
      </c>
      <c r="E111" s="386">
        <f t="shared" si="39"/>
        <v>0</v>
      </c>
      <c r="F111" s="386">
        <f t="shared" si="39"/>
        <v>0</v>
      </c>
      <c r="G111" s="386">
        <f t="shared" si="39"/>
        <v>0</v>
      </c>
      <c r="H111" s="386">
        <f t="shared" si="39"/>
        <v>0</v>
      </c>
      <c r="I111" s="386">
        <f t="shared" si="39"/>
        <v>0</v>
      </c>
      <c r="J111" s="386">
        <f t="shared" si="39"/>
        <v>0</v>
      </c>
      <c r="K111" s="386"/>
    </row>
    <row r="112" spans="2:15">
      <c r="B112" s="385" t="str">
        <f t="shared" si="38"/>
        <v>Options at $0.001 Strike Price</v>
      </c>
      <c r="D112" s="386">
        <f t="shared" si="39"/>
        <v>0</v>
      </c>
      <c r="E112" s="386">
        <f t="shared" si="39"/>
        <v>0</v>
      </c>
      <c r="F112" s="386">
        <f t="shared" si="39"/>
        <v>0</v>
      </c>
      <c r="G112" s="386">
        <f t="shared" si="39"/>
        <v>9.0000000000002134E-2</v>
      </c>
      <c r="H112" s="386">
        <f t="shared" si="39"/>
        <v>2.8</v>
      </c>
      <c r="I112" s="386">
        <f t="shared" si="39"/>
        <v>10.264659882583173</v>
      </c>
      <c r="J112" s="386">
        <f t="shared" si="39"/>
        <v>3.567535087585084</v>
      </c>
      <c r="K112" s="386"/>
    </row>
    <row r="113" spans="2:11">
      <c r="B113" s="385" t="str">
        <f t="shared" si="38"/>
        <v>Options at $0.010 Strike Price</v>
      </c>
      <c r="D113" s="386">
        <f t="shared" si="39"/>
        <v>0</v>
      </c>
      <c r="E113" s="386">
        <f t="shared" si="39"/>
        <v>0</v>
      </c>
      <c r="F113" s="386">
        <f t="shared" si="39"/>
        <v>0</v>
      </c>
      <c r="G113" s="386">
        <f t="shared" si="39"/>
        <v>0</v>
      </c>
      <c r="H113" s="386">
        <f t="shared" si="39"/>
        <v>57.932000000000002</v>
      </c>
      <c r="I113" s="386">
        <f t="shared" si="39"/>
        <v>212.37581297064588</v>
      </c>
      <c r="J113" s="386">
        <f t="shared" si="39"/>
        <v>73.812300962135382</v>
      </c>
      <c r="K113" s="386"/>
    </row>
    <row r="114" spans="2:11">
      <c r="B114" s="385" t="str">
        <f t="shared" si="38"/>
        <v>Expected Options Grant</v>
      </c>
      <c r="D114" s="386">
        <f t="shared" si="39"/>
        <v>0</v>
      </c>
      <c r="E114" s="386">
        <f t="shared" si="39"/>
        <v>0</v>
      </c>
      <c r="F114" s="386">
        <f t="shared" si="39"/>
        <v>0</v>
      </c>
      <c r="G114" s="386">
        <f t="shared" si="39"/>
        <v>0</v>
      </c>
      <c r="H114" s="386">
        <f t="shared" si="39"/>
        <v>0</v>
      </c>
      <c r="I114" s="386">
        <f t="shared" si="39"/>
        <v>8046.3827117459123</v>
      </c>
      <c r="J114" s="386">
        <f t="shared" si="39"/>
        <v>2796.5615013702286</v>
      </c>
      <c r="K114" s="386"/>
    </row>
    <row r="115" spans="2:11">
      <c r="B115" s="385" t="str">
        <f t="shared" si="38"/>
        <v>Phantom Stock</v>
      </c>
      <c r="D115" s="386">
        <f t="shared" si="39"/>
        <v>0</v>
      </c>
      <c r="E115" s="386">
        <f t="shared" si="39"/>
        <v>0</v>
      </c>
      <c r="F115" s="386">
        <f t="shared" si="39"/>
        <v>0</v>
      </c>
      <c r="G115" s="386">
        <f t="shared" si="39"/>
        <v>0</v>
      </c>
      <c r="H115" s="386">
        <f t="shared" si="39"/>
        <v>0</v>
      </c>
      <c r="I115" s="386">
        <f t="shared" si="39"/>
        <v>1179.5213053015268</v>
      </c>
      <c r="J115" s="386">
        <f t="shared" si="39"/>
        <v>409.94866769598076</v>
      </c>
      <c r="K115" s="386"/>
    </row>
    <row r="116" spans="2:11">
      <c r="B116" s="385" t="str">
        <f t="shared" si="38"/>
        <v>Common Stock</v>
      </c>
      <c r="D116" s="386">
        <f t="shared" si="39"/>
        <v>0</v>
      </c>
      <c r="E116" s="386">
        <f t="shared" si="39"/>
        <v>0</v>
      </c>
      <c r="F116" s="386">
        <f t="shared" si="39"/>
        <v>15.422682000003988</v>
      </c>
      <c r="G116" s="386">
        <f t="shared" si="39"/>
        <v>138.80413800000329</v>
      </c>
      <c r="H116" s="386">
        <f t="shared" si="39"/>
        <v>4318.3509599999998</v>
      </c>
      <c r="I116" s="386">
        <f t="shared" si="39"/>
        <v>15830.858520723765</v>
      </c>
      <c r="J116" s="386">
        <f t="shared" si="39"/>
        <v>5502.0959179666888</v>
      </c>
      <c r="K116" s="386"/>
    </row>
    <row r="117" spans="2:11">
      <c r="D117" s="392"/>
      <c r="E117" s="392"/>
      <c r="F117" s="392"/>
      <c r="G117" s="392"/>
      <c r="H117" s="392"/>
      <c r="I117" s="392"/>
      <c r="J117" s="392"/>
      <c r="K117" s="392"/>
    </row>
    <row r="118" spans="2:11">
      <c r="B118" s="1015" t="s">
        <v>1481</v>
      </c>
      <c r="C118" s="6"/>
      <c r="D118" s="1016">
        <f t="shared" ref="D118:J118" si="40">D107</f>
        <v>1</v>
      </c>
      <c r="E118" s="1017">
        <f t="shared" si="40"/>
        <v>2</v>
      </c>
      <c r="F118" s="1017">
        <f t="shared" si="40"/>
        <v>3</v>
      </c>
      <c r="G118" s="1017">
        <f t="shared" si="40"/>
        <v>4</v>
      </c>
      <c r="H118" s="1017">
        <f t="shared" si="40"/>
        <v>5</v>
      </c>
      <c r="I118" s="1017">
        <f t="shared" si="40"/>
        <v>6</v>
      </c>
      <c r="J118" s="1017">
        <f t="shared" si="40"/>
        <v>7</v>
      </c>
      <c r="K118" s="1017"/>
    </row>
    <row r="119" spans="2:11">
      <c r="D119" s="392"/>
      <c r="E119" s="392"/>
      <c r="F119" s="392"/>
      <c r="G119" s="392"/>
      <c r="H119" s="392"/>
      <c r="I119" s="392"/>
      <c r="J119" s="392"/>
      <c r="K119" s="392"/>
    </row>
    <row r="120" spans="2:11">
      <c r="B120" s="385" t="str">
        <f>B109</f>
        <v>Series A</v>
      </c>
      <c r="D120" s="1884">
        <f>SUM($D109:D109)/$O26</f>
        <v>0</v>
      </c>
      <c r="E120" s="1884">
        <f>SUM($D109:E109)/$O26</f>
        <v>1.3164659882583165</v>
      </c>
      <c r="F120" s="1884">
        <f>SUM($D109:F109)/$O26</f>
        <v>1.3164659882583165</v>
      </c>
      <c r="G120" s="1884">
        <f>SUM($D109:G109)/$O26</f>
        <v>1.3164659882583165</v>
      </c>
      <c r="H120" s="1884">
        <f>SUM($D109:H109)/$O26</f>
        <v>1.3164659882583165</v>
      </c>
      <c r="I120" s="1884">
        <f>SUM($D109:I109)/$O26</f>
        <v>1.3164659882583165</v>
      </c>
      <c r="J120" s="1884">
        <f>SUM($D109:J109)/$O26</f>
        <v>1.6732194970168248</v>
      </c>
      <c r="K120" s="1884"/>
    </row>
    <row r="121" spans="2:11">
      <c r="B121" s="385" t="str">
        <f>B110</f>
        <v>Series B Tranche I</v>
      </c>
      <c r="D121" s="1884">
        <f>SUM($D110:D110)/$O27</f>
        <v>1.6763332859178084</v>
      </c>
      <c r="E121" s="1884">
        <f>SUM($D110:E110)/$O27</f>
        <v>1.6763332859178084</v>
      </c>
      <c r="F121" s="1884">
        <f>SUM($D110:F110)/$O27</f>
        <v>1.6763332859178084</v>
      </c>
      <c r="G121" s="1884">
        <f>SUM($D110:G110)/$O27</f>
        <v>1.6763332859178084</v>
      </c>
      <c r="H121" s="1884">
        <f>SUM($D110:H110)/$O27</f>
        <v>1.6763332859178084</v>
      </c>
      <c r="I121" s="1884">
        <f>SUM($D110:I110)/$O27</f>
        <v>1.6763332859178084</v>
      </c>
      <c r="J121" s="1884">
        <f>SUM($D110:J110)/$O27</f>
        <v>1.6763332859178084</v>
      </c>
      <c r="K121" s="1884"/>
    </row>
    <row r="122" spans="2:11">
      <c r="B122" s="385" t="str">
        <f>B111</f>
        <v>Series B Tranche II</v>
      </c>
      <c r="D122" s="1884">
        <f>SUM($D111:D111)/$O28</f>
        <v>1.6485729790684933</v>
      </c>
      <c r="E122" s="1884">
        <f>SUM($D111:E111)/$O28</f>
        <v>1.6485729790684933</v>
      </c>
      <c r="F122" s="1884">
        <f>SUM($D111:F111)/$O28</f>
        <v>1.6485729790684933</v>
      </c>
      <c r="G122" s="1884">
        <f>SUM($D111:G111)/$O28</f>
        <v>1.6485729790684933</v>
      </c>
      <c r="H122" s="1884">
        <f>SUM($D111:H111)/$O28</f>
        <v>1.6485729790684933</v>
      </c>
      <c r="I122" s="1884">
        <f>SUM($D111:I111)/$O28</f>
        <v>1.6485729790684933</v>
      </c>
      <c r="J122" s="1884">
        <f>SUM($D111:J111)/$O28</f>
        <v>1.6485729790684933</v>
      </c>
      <c r="K122" s="1884"/>
    </row>
    <row r="123" spans="2:11">
      <c r="B123" s="385" t="str">
        <f>B112</f>
        <v>Options at $0.001 Strike Price</v>
      </c>
      <c r="D123" s="1884">
        <f>SUM($D112:D112)/$O29</f>
        <v>0</v>
      </c>
      <c r="E123" s="1884">
        <f>SUM($D112:E112)/$O29</f>
        <v>0</v>
      </c>
      <c r="F123" s="1884">
        <f>SUM($D112:F112)/$O29</f>
        <v>0</v>
      </c>
      <c r="G123" s="1884">
        <f>SUM($D112:G112)/$O29</f>
        <v>9.0000000000002127E-3</v>
      </c>
      <c r="H123" s="1884">
        <f>SUM($D112:H112)/$O29</f>
        <v>0.2890000000000002</v>
      </c>
      <c r="I123" s="1884">
        <f>SUM($D112:I112)/$O29</f>
        <v>1.3154659882583175</v>
      </c>
      <c r="J123" s="1884">
        <f>SUM($D112:J112)/$O29</f>
        <v>1.672219497016826</v>
      </c>
      <c r="K123" s="1884"/>
    </row>
    <row r="124" spans="2:11">
      <c r="B124" s="385" t="str">
        <f>B113</f>
        <v>Options at $0.010 Strike Price</v>
      </c>
      <c r="D124" s="1884">
        <f>SUM($D113:D113)/$O30</f>
        <v>0</v>
      </c>
      <c r="E124" s="1884">
        <f>SUM($D113:E113)/$O30</f>
        <v>0</v>
      </c>
      <c r="F124" s="1884">
        <f>SUM($D113:F113)/$O30</f>
        <v>0</v>
      </c>
      <c r="G124" s="1884">
        <f>SUM($D113:G113)/$O30</f>
        <v>0</v>
      </c>
      <c r="H124" s="1884">
        <f>SUM($D113:H113)/$O30</f>
        <v>0.28000000000000003</v>
      </c>
      <c r="I124" s="1884">
        <f>SUM($D113:I113)/$O30</f>
        <v>1.3064659882583174</v>
      </c>
      <c r="J124" s="1884">
        <f>SUM($D113:J113)/$O30</f>
        <v>1.6632194970168259</v>
      </c>
      <c r="K124" s="1884"/>
    </row>
    <row r="125" spans="2:11">
      <c r="B125" s="385" t="str">
        <f t="shared" ref="B125:B127" si="41">B114</f>
        <v>Expected Options Grant</v>
      </c>
      <c r="D125" s="1884">
        <f>SUM($D114:D114)/$O31</f>
        <v>0</v>
      </c>
      <c r="E125" s="1884">
        <f>SUM($D114:E114)/$O31</f>
        <v>0</v>
      </c>
      <c r="F125" s="1884">
        <f>SUM($D114:F114)/$O31</f>
        <v>0</v>
      </c>
      <c r="G125" s="1884">
        <f>SUM($D114:G114)/$O31</f>
        <v>0</v>
      </c>
      <c r="H125" s="1884">
        <f>SUM($D114:H114)/$O31</f>
        <v>0</v>
      </c>
      <c r="I125" s="1884">
        <f>SUM($D114:I114)/$O31</f>
        <v>1.0264659882583174</v>
      </c>
      <c r="J125" s="1884">
        <f>SUM($D114:J114)/$O31</f>
        <v>1.3832194970168257</v>
      </c>
      <c r="K125" s="1884"/>
    </row>
    <row r="126" spans="2:11" ht="13.5" thickBot="1">
      <c r="B126" s="385" t="str">
        <f t="shared" si="41"/>
        <v>Phantom Stock</v>
      </c>
      <c r="D126" s="1884">
        <f>SUM($D115:D115)/$O32</f>
        <v>0</v>
      </c>
      <c r="E126" s="1884">
        <f>SUM($D115:E115)/$O32</f>
        <v>0</v>
      </c>
      <c r="F126" s="1884">
        <f>SUM($D115:F115)/$O32</f>
        <v>0</v>
      </c>
      <c r="G126" s="1884">
        <f>SUM($D115:G115)/$O32</f>
        <v>0</v>
      </c>
      <c r="H126" s="1884">
        <f>SUM($D115:H115)/$O32</f>
        <v>0</v>
      </c>
      <c r="I126" s="1884">
        <f>SUM($D115:I115)/$O32</f>
        <v>1.0264659882583174</v>
      </c>
      <c r="J126" s="1884">
        <f>SUM($D115:J115)/$O32</f>
        <v>1.3832194970168257</v>
      </c>
      <c r="K126" s="1884"/>
    </row>
    <row r="127" spans="2:11" ht="13.5" thickBot="1">
      <c r="B127" s="1882" t="str">
        <f t="shared" si="41"/>
        <v>Common Stock</v>
      </c>
      <c r="C127" s="1883"/>
      <c r="D127" s="1894">
        <f>SUM($D116:D116)/$O33</f>
        <v>0</v>
      </c>
      <c r="E127" s="1894">
        <f>SUM($D116:E116)/$O33</f>
        <v>0</v>
      </c>
      <c r="F127" s="1894">
        <f>SUM($D116:F116)/$O33</f>
        <v>1.0000000000002585E-3</v>
      </c>
      <c r="G127" s="1894">
        <f>SUM($D116:G116)/$O33</f>
        <v>1.0000000000000472E-2</v>
      </c>
      <c r="H127" s="1894">
        <f>SUM($D116:H116)/$O33</f>
        <v>0.29000000000000042</v>
      </c>
      <c r="I127" s="1894">
        <f>SUM($D116:I116)/$O33</f>
        <v>1.3164659882583178</v>
      </c>
      <c r="J127" s="1894">
        <f>SUM($D116:J116)/$O33</f>
        <v>1.6732194970168262</v>
      </c>
      <c r="K127" s="1895"/>
    </row>
    <row r="128" spans="2:11">
      <c r="B128" s="16"/>
      <c r="C128" s="16"/>
      <c r="D128" s="1876"/>
      <c r="E128" s="1876"/>
    </row>
    <row r="129" spans="2:11">
      <c r="B129" s="16"/>
      <c r="C129" s="16"/>
      <c r="D129" s="1876"/>
      <c r="E129" s="1876"/>
      <c r="F129" s="2002">
        <f t="shared" ref="F129:J129" si="42">G37</f>
        <v>1E-3</v>
      </c>
      <c r="G129" s="2002">
        <f t="shared" si="42"/>
        <v>0.01</v>
      </c>
      <c r="H129" s="2002">
        <f t="shared" si="42"/>
        <v>0.28999999999999998</v>
      </c>
      <c r="I129" s="2002">
        <f t="shared" si="42"/>
        <v>1.316465988258317</v>
      </c>
      <c r="J129" s="2002">
        <f t="shared" si="42"/>
        <v>1.6732194970168255</v>
      </c>
      <c r="K129" s="2002"/>
    </row>
    <row r="130" spans="2:11">
      <c r="B130" s="16"/>
      <c r="C130" s="16"/>
      <c r="D130" s="1876"/>
      <c r="E130" s="1876"/>
      <c r="F130" s="2001"/>
      <c r="G130" s="2001"/>
      <c r="H130" s="2001"/>
      <c r="I130" s="2001"/>
      <c r="J130" s="2001"/>
      <c r="K130" s="2001"/>
    </row>
    <row r="131" spans="2:11">
      <c r="D131" s="392">
        <f t="shared" ref="D131:J131" ca="1" si="43">NORMSDIST(D51)</f>
        <v>1</v>
      </c>
      <c r="E131" s="392">
        <f t="shared" ca="1" si="43"/>
        <v>0.86606510463252295</v>
      </c>
      <c r="F131" s="392">
        <f t="shared" ca="1" si="43"/>
        <v>0.75409338751747024</v>
      </c>
      <c r="G131" s="392">
        <f t="shared" ca="1" si="43"/>
        <v>0.75407277290316399</v>
      </c>
      <c r="H131" s="392">
        <f t="shared" ca="1" si="43"/>
        <v>0.75388716948483925</v>
      </c>
      <c r="I131" s="392">
        <f t="shared" ca="1" si="43"/>
        <v>0.74807981674789559</v>
      </c>
      <c r="J131" s="392">
        <f t="shared" ca="1" si="43"/>
        <v>0.71616506451865058</v>
      </c>
      <c r="K131" s="392"/>
    </row>
    <row r="132" spans="2:11">
      <c r="B132" s="385" t="s">
        <v>1150</v>
      </c>
      <c r="D132" s="872">
        <f ca="1">D131-E131</f>
        <v>0.13393489536747705</v>
      </c>
      <c r="E132" s="392"/>
      <c r="F132" s="392"/>
      <c r="G132" s="392"/>
      <c r="H132" s="392"/>
      <c r="I132" s="392"/>
      <c r="J132" s="392"/>
      <c r="K132" s="392"/>
    </row>
  </sheetData>
  <conditionalFormatting sqref="C4:I4">
    <cfRule type="cellIs" dxfId="102" priority="6" stopIfTrue="1" operator="equal">
      <formula>"input"</formula>
    </cfRule>
  </conditionalFormatting>
  <conditionalFormatting sqref="J4">
    <cfRule type="cellIs" dxfId="101" priority="4" stopIfTrue="1" operator="equal">
      <formula>"input"</formula>
    </cfRule>
  </conditionalFormatting>
  <conditionalFormatting sqref="J4">
    <cfRule type="cellIs" dxfId="100" priority="5" stopIfTrue="1" operator="equal">
      <formula>"input"</formula>
    </cfRule>
  </conditionalFormatting>
  <conditionalFormatting sqref="B4">
    <cfRule type="cellIs" dxfId="99" priority="3" stopIfTrue="1" operator="equal">
      <formula>"input"</formula>
    </cfRule>
  </conditionalFormatting>
  <conditionalFormatting sqref="K4">
    <cfRule type="cellIs" dxfId="98" priority="1" stopIfTrue="1" operator="equal">
      <formula>"input"</formula>
    </cfRule>
  </conditionalFormatting>
  <conditionalFormatting sqref="K4">
    <cfRule type="cellIs" dxfId="97" priority="2" stopIfTrue="1" operator="equal">
      <formula>"input"</formula>
    </cfRule>
  </conditionalFormatting>
  <pageMargins left="0.5" right="0.5" top="0.5" bottom="0.5" header="0.5" footer="0.5"/>
  <pageSetup scale="72" fitToHeight="0" pageOrder="overThenDown" orientation="landscape" r:id="rId1"/>
  <rowBreaks count="2" manualBreakCount="2">
    <brk id="61" max="11" man="1"/>
    <brk id="89" max="11" man="1"/>
  </rowBreaks>
  <legacyDrawing r:id="rId2"/>
  <legacyDrawingHF r:id="rId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B1:V40"/>
  <sheetViews>
    <sheetView showGridLines="0" view="pageBreakPreview" zoomScaleNormal="100" zoomScaleSheetLayoutView="100" workbookViewId="0">
      <selection activeCell="D16" sqref="D16"/>
    </sheetView>
  </sheetViews>
  <sheetFormatPr defaultRowHeight="12.75" outlineLevelRow="1"/>
  <cols>
    <col min="1" max="1" width="4.5" style="385" customWidth="1"/>
    <col min="2" max="2" width="42.33203125" style="385" customWidth="1"/>
    <col min="3" max="3" width="2.83203125" style="385" customWidth="1"/>
    <col min="4" max="4" width="15.83203125" style="385" customWidth="1"/>
    <col min="5" max="5" width="5.83203125" style="385" customWidth="1"/>
    <col min="6" max="6" width="15.83203125" style="385" customWidth="1"/>
    <col min="7" max="7" width="2.83203125" style="385" customWidth="1"/>
    <col min="8" max="8" width="15.83203125" style="385" customWidth="1"/>
    <col min="9" max="9" width="2.83203125" style="385" customWidth="1"/>
    <col min="10" max="10" width="15.83203125" style="385" customWidth="1"/>
    <col min="11" max="11" width="2.83203125" style="385" customWidth="1"/>
    <col min="12" max="12" width="24" style="385" customWidth="1"/>
    <col min="13" max="13" width="2.1640625" style="385" customWidth="1"/>
    <col min="14" max="14" width="9.33203125" style="385"/>
    <col min="15" max="15" width="15.33203125" style="385" bestFit="1" customWidth="1"/>
    <col min="16" max="16" width="11.5" style="385" bestFit="1" customWidth="1"/>
    <col min="17" max="17" width="22.6640625" style="385" customWidth="1"/>
    <col min="18" max="18" width="10.6640625" style="385" customWidth="1"/>
    <col min="19" max="16384" width="9.33203125" style="385"/>
  </cols>
  <sheetData>
    <row r="1" spans="2:17" ht="10.7" customHeight="1" thickBot="1"/>
    <row r="2" spans="2:17" ht="16.5" customHeight="1" thickTop="1">
      <c r="B2" s="10" t="str">
        <f>'MASTER PubCo Inputs'!$C$5</f>
        <v>Pliant Therapeutics, Inc.</v>
      </c>
      <c r="C2" s="10"/>
      <c r="D2" s="10"/>
      <c r="E2" s="10"/>
      <c r="F2" s="10"/>
      <c r="G2" s="10"/>
      <c r="H2" s="10"/>
      <c r="I2" s="10"/>
      <c r="J2" s="10"/>
      <c r="K2" s="10"/>
      <c r="L2" s="10"/>
      <c r="N2" s="16"/>
      <c r="O2" s="942"/>
      <c r="P2" s="942"/>
    </row>
    <row r="3" spans="2:17" ht="15.75" customHeight="1">
      <c r="B3" s="11" t="str">
        <f>VLOOKUP(B4,Outline!$E$8:$G$69,COLUMNS(Outline!$E$8:$G$8),FALSE)</f>
        <v>Workpaper #10</v>
      </c>
      <c r="C3" s="11"/>
      <c r="D3" s="11"/>
      <c r="E3" s="11"/>
      <c r="F3" s="11"/>
      <c r="G3" s="11"/>
      <c r="H3" s="11"/>
      <c r="I3" s="11"/>
      <c r="J3" s="11"/>
      <c r="K3" s="11"/>
      <c r="L3" s="11"/>
      <c r="N3" s="16"/>
      <c r="O3" s="16"/>
      <c r="P3" s="16"/>
    </row>
    <row r="4" spans="2:17" ht="16.5" customHeight="1" thickBot="1">
      <c r="B4" s="12" t="s">
        <v>2865</v>
      </c>
      <c r="C4" s="12"/>
      <c r="D4" s="12"/>
      <c r="E4" s="12"/>
      <c r="F4" s="12"/>
      <c r="G4" s="12"/>
      <c r="H4" s="12"/>
      <c r="I4" s="12"/>
      <c r="J4" s="12"/>
      <c r="K4" s="12"/>
      <c r="L4" s="13" t="str">
        <f>+'MASTER PubCo Inputs'!$C$20</f>
        <v>(in thousands of USD and shares, except price per share)</v>
      </c>
      <c r="N4" s="16"/>
      <c r="O4" s="16"/>
      <c r="P4" s="927"/>
    </row>
    <row r="5" spans="2:17" s="16" customFormat="1" ht="12.75" customHeight="1" thickTop="1">
      <c r="B5" s="385"/>
      <c r="C5" s="385"/>
      <c r="D5" s="385"/>
      <c r="E5" s="385"/>
      <c r="F5" s="385"/>
      <c r="G5" s="385"/>
      <c r="H5" s="385"/>
      <c r="I5" s="385"/>
      <c r="J5" s="385"/>
      <c r="K5" s="385"/>
      <c r="L5" s="385"/>
      <c r="M5" s="385"/>
      <c r="P5" s="871"/>
    </row>
    <row r="6" spans="2:17" ht="12.75" customHeight="1">
      <c r="N6" s="16"/>
      <c r="O6" s="16"/>
      <c r="P6" s="871"/>
    </row>
    <row r="7" spans="2:17" ht="12.75" customHeight="1">
      <c r="B7" s="558" t="s">
        <v>240</v>
      </c>
      <c r="C7" s="162"/>
      <c r="D7" s="556" t="s">
        <v>166</v>
      </c>
      <c r="E7" s="556"/>
      <c r="F7" s="556" t="s">
        <v>164</v>
      </c>
      <c r="G7" s="556"/>
      <c r="H7" s="2104" t="s">
        <v>241</v>
      </c>
      <c r="I7" s="2104"/>
      <c r="J7" s="2104" t="s">
        <v>215</v>
      </c>
      <c r="K7" s="2104"/>
      <c r="L7" s="1576" t="s">
        <v>241</v>
      </c>
      <c r="N7" s="16"/>
      <c r="O7" s="16"/>
      <c r="P7" s="928"/>
    </row>
    <row r="8" spans="2:17" ht="6" customHeight="1">
      <c r="N8" s="16"/>
      <c r="O8" s="16"/>
      <c r="P8" s="16"/>
    </row>
    <row r="9" spans="2:17" ht="12.75" customHeight="1">
      <c r="B9" s="385" t="str">
        <f>'OPM BackSolve WP'!B92</f>
        <v>Series A</v>
      </c>
      <c r="D9" s="431">
        <f ca="1">'OPM BackSolve WP'!M92</f>
        <v>47960.098862598446</v>
      </c>
      <c r="E9" s="802"/>
      <c r="F9" s="431">
        <f>'OPM BackSolve WP'!O26</f>
        <v>56000</v>
      </c>
      <c r="G9" s="4"/>
      <c r="H9" s="163">
        <f t="shared" ref="H9:H14" ca="1" si="0">D9/F9</f>
        <v>0.85643033683211511</v>
      </c>
      <c r="I9" s="4"/>
      <c r="J9" s="2105"/>
      <c r="K9" s="2105"/>
      <c r="L9" s="2106"/>
      <c r="N9" s="16"/>
      <c r="O9" s="385" t="s">
        <v>2868</v>
      </c>
      <c r="P9" s="941" t="s">
        <v>1229</v>
      </c>
      <c r="Q9" s="16"/>
    </row>
    <row r="10" spans="2:17" ht="12.75" customHeight="1">
      <c r="B10" s="385" t="str">
        <f>'OPM BackSolve WP'!B93</f>
        <v>Series B Tranche I</v>
      </c>
      <c r="D10" s="431">
        <f ca="1">'OPM BackSolve WP'!M93</f>
        <v>62148.313055485502</v>
      </c>
      <c r="E10" s="802"/>
      <c r="F10" s="431">
        <f>'OPM BackSolve WP'!O27</f>
        <v>45142.960008861766</v>
      </c>
      <c r="G10" s="4"/>
      <c r="H10" s="163">
        <f t="shared" ca="1" si="0"/>
        <v>1.3767000002499949</v>
      </c>
      <c r="I10" s="4"/>
      <c r="J10" s="2105"/>
      <c r="K10" s="2105"/>
      <c r="L10" s="2106"/>
      <c r="N10" s="16"/>
      <c r="O10" s="461">
        <f ca="1">H10</f>
        <v>1.3767000002499949</v>
      </c>
      <c r="P10" s="927">
        <f>'Econ Rights'!F11</f>
        <v>1.3767</v>
      </c>
      <c r="Q10" s="385" t="s">
        <v>1231</v>
      </c>
    </row>
    <row r="11" spans="2:17" ht="12.75" customHeight="1">
      <c r="B11" s="385" t="str">
        <f>'OPM BackSolve WP'!B94</f>
        <v>Series B Tranche II</v>
      </c>
      <c r="D11" s="431">
        <f ca="1">'OPM BackSolve WP'!M94</f>
        <v>7765.711836404862</v>
      </c>
      <c r="E11" s="802"/>
      <c r="F11" s="431">
        <f>'OPM BackSolve WP'!O28</f>
        <v>5703.2659999999996</v>
      </c>
      <c r="G11" s="4"/>
      <c r="H11" s="163">
        <f t="shared" ca="1" si="0"/>
        <v>1.3616253978693722</v>
      </c>
      <c r="I11" s="4"/>
      <c r="J11" s="2105"/>
      <c r="K11" s="2105"/>
      <c r="L11" s="2106"/>
      <c r="N11" s="16"/>
      <c r="P11" s="871" t="s">
        <v>1230</v>
      </c>
      <c r="Q11" s="928">
        <v>136170.68980112436</v>
      </c>
    </row>
    <row r="12" spans="2:17" ht="12.75" customHeight="1">
      <c r="B12" s="385" t="s">
        <v>1910</v>
      </c>
      <c r="D12" s="431">
        <f ca="1">SUM('OPM BackSolve WP'!M95:M97)</f>
        <v>5707.0793212980689</v>
      </c>
      <c r="E12" s="802"/>
      <c r="F12" s="431">
        <f>SUM('OPM BackSolve WP'!O29:O31)</f>
        <v>8055.8179999999993</v>
      </c>
      <c r="G12" s="4"/>
      <c r="H12" s="163">
        <f t="shared" ca="1" si="0"/>
        <v>0.70844193864584193</v>
      </c>
      <c r="I12" s="4"/>
      <c r="J12" s="2105"/>
      <c r="K12" s="2105"/>
      <c r="L12" s="2106"/>
      <c r="P12" s="924" t="s">
        <v>449</v>
      </c>
      <c r="Q12" s="871">
        <f ca="1">+H10-P10</f>
        <v>2.4999491365917947E-10</v>
      </c>
    </row>
    <row r="13" spans="2:17" ht="12.75" customHeight="1">
      <c r="B13" s="385" t="str">
        <f>'OPM BackSolve WP'!B98</f>
        <v>Phantom Stock</v>
      </c>
      <c r="C13" s="441"/>
      <c r="D13" s="431">
        <f ca="1">'OPM BackSolve WP'!M98</f>
        <v>812.38281623247349</v>
      </c>
      <c r="E13" s="802"/>
      <c r="F13" s="431">
        <f>'OPM BackSolve WP'!O32</f>
        <v>1149.1089999999999</v>
      </c>
      <c r="G13" s="4"/>
      <c r="H13" s="1363">
        <f t="shared" ca="1" si="0"/>
        <v>0.70696758639299973</v>
      </c>
      <c r="I13" s="4"/>
      <c r="J13" s="2105"/>
      <c r="K13" s="2105"/>
      <c r="L13" s="2106"/>
      <c r="O13" s="16"/>
      <c r="P13" s="929"/>
      <c r="Q13" s="960" t="str">
        <f ca="1">IF(OR(Q12&lt;-0.01,Q12&gt;0.01),"Check","")</f>
        <v/>
      </c>
    </row>
    <row r="14" spans="2:17" ht="12.75" customHeight="1">
      <c r="B14" s="385" t="str">
        <f>'OPM BackSolve WP'!B99</f>
        <v>Common Stock</v>
      </c>
      <c r="C14" s="441"/>
      <c r="D14" s="431">
        <f ca="1">'OPM BackSolve WP'!M99</f>
        <v>11777.103909104922</v>
      </c>
      <c r="E14" s="802"/>
      <c r="F14" s="431">
        <f>'OPM BackSolve WP'!O33</f>
        <v>15422.682000000001</v>
      </c>
      <c r="G14" s="4"/>
      <c r="H14" s="1363">
        <f t="shared" ca="1" si="0"/>
        <v>0.76362230052496194</v>
      </c>
      <c r="I14" s="4"/>
      <c r="J14" s="79">
        <f ca="1">'DLOM OPM Backsolve'!D59</f>
        <v>0.4</v>
      </c>
      <c r="K14" s="4"/>
      <c r="L14" s="2107">
        <f ca="1">(1-J14)*H14</f>
        <v>0.45817338031497712</v>
      </c>
      <c r="O14" s="16"/>
      <c r="P14" s="929"/>
      <c r="Q14" s="942"/>
    </row>
    <row r="15" spans="2:17" ht="12.75" customHeight="1">
      <c r="B15" s="5"/>
      <c r="C15" s="5"/>
      <c r="D15" s="166"/>
      <c r="E15" s="166"/>
      <c r="F15" s="166"/>
      <c r="G15" s="5"/>
      <c r="H15" s="5"/>
      <c r="I15" s="5"/>
      <c r="J15" s="5"/>
      <c r="K15" s="5"/>
      <c r="L15" s="5"/>
      <c r="O15" s="16"/>
      <c r="P15" s="16"/>
      <c r="Q15" s="16"/>
    </row>
    <row r="16" spans="2:17" ht="12.75" customHeight="1">
      <c r="B16" s="1" t="s">
        <v>2369</v>
      </c>
      <c r="D16" s="168">
        <f ca="1">SUM(D9:D14)</f>
        <v>136170.68980112427</v>
      </c>
      <c r="E16" s="91"/>
      <c r="F16" s="168">
        <f>SUM(F9:F14)</f>
        <v>131473.83500886176</v>
      </c>
      <c r="L16" s="169"/>
    </row>
    <row r="17" spans="2:22" ht="12.75" customHeight="1">
      <c r="B17" s="1"/>
      <c r="D17" s="168"/>
      <c r="E17" s="91"/>
      <c r="F17" s="168"/>
      <c r="L17" s="169"/>
    </row>
    <row r="18" spans="2:22" ht="12.75" hidden="1" customHeight="1" outlineLevel="1">
      <c r="B18" s="385" t="s">
        <v>2072</v>
      </c>
      <c r="D18" s="91">
        <f ca="1">F18/F10*D10</f>
        <v>-7851.6863036257873</v>
      </c>
      <c r="E18" s="91"/>
      <c r="F18" s="431">
        <f>-'Econ Rights'!F10</f>
        <v>-5703.2659999999996</v>
      </c>
      <c r="L18" s="169"/>
    </row>
    <row r="19" spans="2:22" ht="12.75" hidden="1" customHeight="1" outlineLevel="1"/>
    <row r="20" spans="2:22" ht="12.75" hidden="1" customHeight="1" outlineLevel="1">
      <c r="B20" s="1380" t="s">
        <v>2073</v>
      </c>
      <c r="C20" s="1379"/>
      <c r="D20" s="1381">
        <f ca="1">SUM(D16:D18)</f>
        <v>128319.00349749849</v>
      </c>
      <c r="E20" s="1380"/>
      <c r="F20" s="1381">
        <f>SUM(F16:F18)</f>
        <v>125770.56900886176</v>
      </c>
      <c r="G20" s="1379"/>
      <c r="H20" s="2091"/>
      <c r="I20" s="2091"/>
      <c r="J20" s="2091"/>
      <c r="K20" s="2091"/>
      <c r="L20" s="1379"/>
    </row>
    <row r="21" spans="2:22" ht="12.75" hidden="1" customHeight="1" outlineLevel="1"/>
    <row r="22" spans="2:22" ht="12.75" customHeight="1" collapsed="1">
      <c r="O22" s="942"/>
      <c r="P22" s="16"/>
      <c r="Q22" s="16"/>
      <c r="R22" s="16"/>
      <c r="S22" s="16"/>
      <c r="T22" s="16"/>
      <c r="U22" s="16"/>
      <c r="V22" s="16"/>
    </row>
    <row r="23" spans="2:22">
      <c r="D23" s="870" t="s">
        <v>45</v>
      </c>
      <c r="O23" s="16"/>
      <c r="P23" s="16"/>
      <c r="Q23" s="16"/>
      <c r="R23" s="16"/>
      <c r="S23" s="16"/>
      <c r="T23" s="16"/>
      <c r="U23" s="16"/>
      <c r="V23" s="16"/>
    </row>
    <row r="24" spans="2:22">
      <c r="D24" s="706" t="str">
        <f ca="1">IF((D16&lt;&gt;'OPM BackSolve WP'!M101),"Check","")</f>
        <v/>
      </c>
      <c r="O24" s="16"/>
      <c r="P24" s="16"/>
      <c r="Q24" s="16"/>
      <c r="R24" s="925"/>
      <c r="S24" s="16"/>
      <c r="T24" s="16"/>
      <c r="U24" s="16"/>
      <c r="V24" s="16"/>
    </row>
    <row r="25" spans="2:22">
      <c r="O25" s="898"/>
      <c r="P25" s="16"/>
      <c r="Q25" s="16"/>
      <c r="R25" s="16"/>
      <c r="S25" s="16"/>
      <c r="T25" s="16"/>
      <c r="U25" s="16"/>
      <c r="V25" s="16"/>
    </row>
    <row r="26" spans="2:22">
      <c r="O26" s="898"/>
      <c r="P26" s="16"/>
      <c r="Q26" s="16"/>
      <c r="R26" s="16"/>
      <c r="S26" s="16"/>
      <c r="T26" s="16"/>
      <c r="U26" s="16"/>
      <c r="V26" s="16"/>
    </row>
    <row r="27" spans="2:22">
      <c r="O27" s="1018"/>
      <c r="P27" s="16"/>
      <c r="Q27" s="16"/>
      <c r="R27" s="871"/>
      <c r="S27" s="16"/>
      <c r="T27" s="16"/>
      <c r="U27" s="16"/>
      <c r="V27" s="16"/>
    </row>
    <row r="28" spans="2:22">
      <c r="O28" s="898"/>
      <c r="P28" s="16"/>
      <c r="Q28" s="16"/>
      <c r="R28" s="16"/>
      <c r="S28" s="16"/>
      <c r="T28" s="16"/>
      <c r="U28" s="16"/>
      <c r="V28" s="16"/>
    </row>
    <row r="29" spans="2:22">
      <c r="O29" s="898"/>
      <c r="P29" s="16"/>
      <c r="Q29" s="16"/>
      <c r="R29" s="16"/>
      <c r="S29" s="16"/>
      <c r="T29" s="16"/>
      <c r="U29" s="16"/>
      <c r="V29" s="16"/>
    </row>
    <row r="30" spans="2:22">
      <c r="O30" s="16"/>
      <c r="P30" s="16"/>
      <c r="Q30" s="16"/>
      <c r="R30" s="16"/>
      <c r="S30" s="16"/>
      <c r="T30" s="16"/>
      <c r="U30" s="16"/>
      <c r="V30" s="16"/>
    </row>
    <row r="31" spans="2:22">
      <c r="O31" s="16"/>
      <c r="P31" s="16"/>
      <c r="Q31" s="16"/>
      <c r="R31" s="16"/>
      <c r="S31" s="16"/>
      <c r="T31" s="16"/>
      <c r="U31" s="16"/>
      <c r="V31" s="16"/>
    </row>
    <row r="32" spans="2:22">
      <c r="O32" s="16"/>
      <c r="P32" s="16"/>
      <c r="Q32" s="16"/>
      <c r="R32" s="925"/>
      <c r="S32" s="16"/>
      <c r="T32" s="16"/>
      <c r="U32" s="16"/>
      <c r="V32" s="16"/>
    </row>
    <row r="33" spans="15:22">
      <c r="O33" s="947"/>
      <c r="P33" s="16"/>
      <c r="Q33" s="16"/>
      <c r="R33" s="16"/>
      <c r="S33" s="16"/>
      <c r="T33" s="16"/>
      <c r="U33" s="16"/>
      <c r="V33" s="16"/>
    </row>
    <row r="34" spans="15:22">
      <c r="O34" s="947"/>
      <c r="P34" s="16"/>
      <c r="Q34" s="16"/>
      <c r="R34" s="16"/>
      <c r="S34" s="16"/>
      <c r="T34" s="16"/>
      <c r="U34" s="16"/>
      <c r="V34" s="16"/>
    </row>
    <row r="35" spans="15:22">
      <c r="O35" s="1019"/>
      <c r="P35" s="16"/>
      <c r="Q35" s="16"/>
      <c r="R35" s="871"/>
      <c r="S35" s="16"/>
      <c r="T35" s="16"/>
      <c r="U35" s="16"/>
      <c r="V35" s="16"/>
    </row>
    <row r="36" spans="15:22">
      <c r="O36" s="947"/>
      <c r="P36" s="16"/>
      <c r="Q36" s="16"/>
      <c r="R36" s="16"/>
      <c r="S36" s="16"/>
      <c r="T36" s="16"/>
      <c r="U36" s="16"/>
      <c r="V36" s="16"/>
    </row>
    <row r="37" spans="15:22">
      <c r="O37" s="947"/>
      <c r="P37" s="16"/>
      <c r="Q37" s="16"/>
      <c r="R37" s="16"/>
      <c r="S37" s="16"/>
      <c r="T37" s="16"/>
      <c r="U37" s="16"/>
      <c r="V37" s="16"/>
    </row>
    <row r="38" spans="15:22">
      <c r="O38" s="16"/>
      <c r="P38" s="16"/>
      <c r="Q38" s="16"/>
      <c r="R38" s="16"/>
      <c r="S38" s="16"/>
      <c r="T38" s="16"/>
      <c r="U38" s="16"/>
      <c r="V38" s="16"/>
    </row>
    <row r="39" spans="15:22">
      <c r="O39" s="16"/>
      <c r="P39" s="16"/>
      <c r="Q39" s="16"/>
      <c r="R39" s="16"/>
      <c r="S39" s="16"/>
      <c r="T39" s="16"/>
      <c r="U39" s="16"/>
      <c r="V39" s="16"/>
    </row>
    <row r="40" spans="15:22">
      <c r="O40" s="16"/>
      <c r="P40" s="16"/>
      <c r="Q40" s="16"/>
      <c r="R40" s="16"/>
      <c r="S40" s="16"/>
      <c r="T40" s="16"/>
      <c r="U40" s="16"/>
      <c r="V40" s="16"/>
    </row>
  </sheetData>
  <dataConsolidate/>
  <conditionalFormatting sqref="B4:K4">
    <cfRule type="cellIs" dxfId="96" priority="3" stopIfTrue="1" operator="equal">
      <formula>"input"</formula>
    </cfRule>
  </conditionalFormatting>
  <conditionalFormatting sqref="L4">
    <cfRule type="cellIs" dxfId="95" priority="1" stopIfTrue="1" operator="equal">
      <formula>"input"</formula>
    </cfRule>
  </conditionalFormatting>
  <conditionalFormatting sqref="L4">
    <cfRule type="cellIs" dxfId="94" priority="2" stopIfTrue="1" operator="equal">
      <formula>"input"</formula>
    </cfRule>
  </conditionalFormatting>
  <pageMargins left="0.5" right="0.5" top="0.5" bottom="0.5" header="0.5" footer="0.5"/>
  <pageSetup fitToWidth="0" fitToHeight="0" orientation="landscape" r:id="rId1"/>
  <legacyDrawingHF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I61"/>
  <sheetViews>
    <sheetView showGridLines="0" view="pageBreakPreview" zoomScaleNormal="100" zoomScaleSheetLayoutView="100" workbookViewId="0"/>
  </sheetViews>
  <sheetFormatPr defaultRowHeight="12.75" outlineLevelRow="1" outlineLevelCol="1"/>
  <cols>
    <col min="1" max="1" width="4.5" style="385" customWidth="1"/>
    <col min="2" max="2" width="42" style="385" customWidth="1"/>
    <col min="3" max="3" width="2.83203125" style="385" customWidth="1"/>
    <col min="4" max="4" width="12" style="385" bestFit="1" customWidth="1"/>
    <col min="5" max="5" width="10.83203125" style="385" hidden="1" customWidth="1" outlineLevel="1"/>
    <col min="6" max="7" width="9.83203125" style="385" hidden="1" customWidth="1" outlineLevel="1"/>
    <col min="8" max="8" width="12.83203125" style="385" customWidth="1" collapsed="1"/>
    <col min="9" max="9" width="11.6640625" style="385" bestFit="1" customWidth="1"/>
    <col min="10" max="10" width="9.5" style="385" bestFit="1" customWidth="1"/>
    <col min="11" max="11" width="11.6640625" style="385" bestFit="1" customWidth="1"/>
    <col min="12" max="12" width="2.83203125" style="385" customWidth="1"/>
    <col min="13" max="13" width="10" style="385" bestFit="1" customWidth="1"/>
    <col min="14" max="14" width="8.6640625" style="385" customWidth="1"/>
    <col min="15" max="15" width="10.83203125" style="385" bestFit="1" customWidth="1"/>
    <col min="16" max="16" width="2.83203125" style="20" customWidth="1"/>
    <col min="17" max="17" width="9.83203125" style="385" customWidth="1"/>
    <col min="18" max="18" width="2.83203125" style="385" customWidth="1"/>
    <col min="19" max="19" width="11.6640625" style="385" hidden="1" customWidth="1" outlineLevel="1"/>
    <col min="20" max="23" width="8.83203125" style="385" hidden="1" customWidth="1" outlineLevel="1"/>
    <col min="24" max="24" width="11" style="385" customWidth="1" collapsed="1"/>
    <col min="25" max="25" width="10.1640625" style="385" customWidth="1"/>
    <col min="26" max="26" width="4.5" style="385" customWidth="1"/>
    <col min="27" max="27" width="17.5" style="385" bestFit="1" customWidth="1"/>
    <col min="28" max="28" width="12.33203125" style="385" bestFit="1" customWidth="1"/>
    <col min="29" max="29" width="40" style="385" bestFit="1" customWidth="1"/>
    <col min="30" max="30" width="10.1640625" style="385" bestFit="1" customWidth="1"/>
    <col min="31" max="16384" width="9.33203125" style="385"/>
  </cols>
  <sheetData>
    <row r="1" spans="2:35" ht="10.7" customHeight="1" thickBot="1">
      <c r="P1" s="385"/>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0" t="s">
        <v>22</v>
      </c>
      <c r="AB2" s="271">
        <f>+'Comp.1'!$AM$2</f>
        <v>43312</v>
      </c>
    </row>
    <row r="3" spans="2:35" ht="15.75" customHeight="1">
      <c r="B3" s="11" t="str">
        <f>VLOOKUP(B4,Outline!$E$8:$G$69,COLUMNS(Outline!$E$8:$G$8),FALSE)</f>
        <v>Workpaper #11</v>
      </c>
      <c r="C3" s="11"/>
      <c r="D3" s="11"/>
      <c r="E3" s="11"/>
      <c r="F3" s="11"/>
      <c r="G3" s="11"/>
      <c r="H3" s="11"/>
      <c r="I3" s="11"/>
      <c r="J3" s="11"/>
      <c r="K3" s="11"/>
      <c r="L3" s="11"/>
      <c r="M3" s="11"/>
      <c r="N3" s="11"/>
      <c r="O3" s="11"/>
      <c r="P3" s="11"/>
      <c r="Q3" s="11"/>
      <c r="R3" s="11"/>
      <c r="S3" s="11"/>
      <c r="T3" s="11"/>
      <c r="U3" s="11"/>
      <c r="V3" s="11"/>
      <c r="W3" s="11"/>
      <c r="X3" s="11"/>
      <c r="Y3" s="11"/>
      <c r="AA3" s="194" t="s">
        <v>299</v>
      </c>
      <c r="AB3" s="275" t="str">
        <f>+'Comp.1'!$AM$3</f>
        <v>F</v>
      </c>
    </row>
    <row r="4" spans="2:35" ht="16.5" customHeight="1" thickBot="1">
      <c r="B4" s="12" t="s">
        <v>2866</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4" t="s">
        <v>300</v>
      </c>
      <c r="AB4" s="275" t="str">
        <f>+'Comp.1'!$AM$4</f>
        <v>USD</v>
      </c>
    </row>
    <row r="5" spans="2:35" ht="12.75" customHeight="1" thickTop="1">
      <c r="B5" s="20"/>
      <c r="AA5" s="78" t="s">
        <v>24</v>
      </c>
      <c r="AB5" s="274" t="str">
        <f>+'Comp.1'!$AM$5</f>
        <v>H</v>
      </c>
    </row>
    <row r="6" spans="2:35" ht="12.75" customHeight="1" outlineLevel="1">
      <c r="N6" s="202">
        <f>'OPM BackSolve WP'!D10</f>
        <v>2.6630410958904109</v>
      </c>
      <c r="O6" s="203">
        <f>'Risk-Free Rates'!E42</f>
        <v>2.7329345205479451E-2</v>
      </c>
      <c r="Q6" s="204">
        <f>HLOOKUP(ROUND(N6,0),'Equity Vol'!$D$8:$I$8,1,TRUE)</f>
        <v>3</v>
      </c>
    </row>
    <row r="7" spans="2:35" ht="25.5" customHeight="1">
      <c r="D7" s="190" t="s">
        <v>26</v>
      </c>
      <c r="E7" s="191"/>
      <c r="F7" s="191"/>
      <c r="G7" s="191"/>
      <c r="H7" s="191"/>
      <c r="I7" s="191"/>
      <c r="J7" s="191"/>
      <c r="K7" s="192"/>
      <c r="M7" s="190" t="s">
        <v>27</v>
      </c>
      <c r="N7" s="191"/>
      <c r="O7" s="191"/>
      <c r="P7" s="205"/>
      <c r="Q7" s="192"/>
      <c r="S7" s="190" t="s">
        <v>28</v>
      </c>
      <c r="T7" s="191"/>
      <c r="U7" s="191"/>
      <c r="V7" s="191"/>
      <c r="W7" s="191"/>
      <c r="X7" s="995" t="s">
        <v>28</v>
      </c>
      <c r="Y7" s="996"/>
    </row>
    <row r="8" spans="2:35" s="6" customFormat="1" ht="25.5">
      <c r="B8" s="460" t="s">
        <v>519</v>
      </c>
      <c r="D8" s="595" t="s">
        <v>29</v>
      </c>
      <c r="E8" s="596" t="s">
        <v>30</v>
      </c>
      <c r="F8" s="596" t="s">
        <v>31</v>
      </c>
      <c r="G8" s="596" t="s">
        <v>32</v>
      </c>
      <c r="H8" s="596" t="s">
        <v>33</v>
      </c>
      <c r="I8" s="596" t="s">
        <v>34</v>
      </c>
      <c r="J8" s="596" t="s">
        <v>35</v>
      </c>
      <c r="K8" s="597" t="s">
        <v>36</v>
      </c>
      <c r="L8" s="298"/>
      <c r="M8" s="595" t="s">
        <v>8</v>
      </c>
      <c r="N8" s="596" t="s">
        <v>37</v>
      </c>
      <c r="O8" s="597" t="s">
        <v>7</v>
      </c>
      <c r="P8" s="580"/>
      <c r="Q8" s="598" t="s">
        <v>38</v>
      </c>
      <c r="R8" s="580"/>
      <c r="S8" s="595" t="s">
        <v>39</v>
      </c>
      <c r="T8" s="596" t="s">
        <v>19</v>
      </c>
      <c r="U8" s="596" t="s">
        <v>20</v>
      </c>
      <c r="V8" s="596" t="s">
        <v>40</v>
      </c>
      <c r="W8" s="596" t="s">
        <v>41</v>
      </c>
      <c r="X8" s="599" t="s">
        <v>42</v>
      </c>
      <c r="Y8" s="597" t="s">
        <v>530</v>
      </c>
      <c r="AA8" s="86" t="s">
        <v>43</v>
      </c>
      <c r="AB8" s="87" t="s">
        <v>44</v>
      </c>
      <c r="AC8" s="87" t="s">
        <v>45</v>
      </c>
      <c r="AD8" s="88"/>
    </row>
    <row r="9" spans="2:35" ht="12.75" customHeight="1"/>
    <row r="10" spans="2:35" ht="12.75" customHeight="1">
      <c r="B10" s="385" t="str">
        <f>'Comp.1'!B10</f>
        <v>Vertex Pharmaceuticals Incorporated</v>
      </c>
      <c r="D10" s="386">
        <f>'Beta Calc'!K10</f>
        <v>44574.8</v>
      </c>
      <c r="E10" s="386">
        <f>'Beta Calc'!L10</f>
        <v>592.70000000000005</v>
      </c>
      <c r="F10" s="386" t="str">
        <f>'Beta Calc'!M10</f>
        <v xml:space="preserve"> n/a </v>
      </c>
      <c r="G10" s="386">
        <f>'Beta Calc'!N10</f>
        <v>28.7</v>
      </c>
      <c r="H10" s="386">
        <f>SUM(E10:G10)</f>
        <v>621.40000000000009</v>
      </c>
      <c r="I10" s="386">
        <f>SUM(D10:G10)</f>
        <v>45196.2</v>
      </c>
      <c r="J10" s="386">
        <f>'Beta Calc'!Q10</f>
        <v>2767.8</v>
      </c>
      <c r="K10" s="386">
        <f>I10-J10</f>
        <v>42428.399999999994</v>
      </c>
      <c r="M10" s="54">
        <f>IFERROR('Capital IQ Sheet-GPC'!AT13,"n/a")</f>
        <v>0</v>
      </c>
      <c r="N10" s="386">
        <f t="shared" ref="N10:O29" si="0">N$6</f>
        <v>2.6630410958904109</v>
      </c>
      <c r="O10" s="206">
        <f t="shared" si="0"/>
        <v>2.7329345205479451E-2</v>
      </c>
      <c r="P10" s="207"/>
      <c r="Q10" s="208">
        <f>IFERROR(HLOOKUP($Q$6,'Equity Vol'!$B$8:$I10,ROWS('Equity Vol'!$C$8:$C10),FALSE),"n/a")</f>
        <v>0.40100000000000002</v>
      </c>
      <c r="R10" s="44"/>
      <c r="S10" s="209">
        <f>IFERROR(IF(Q10="n/a","n/a",Q10^2),"n/a")</f>
        <v>0.16080100000000003</v>
      </c>
      <c r="T10" s="209">
        <f t="shared" ref="T10:T29" si="1">IF(OR(K10="n/a",S10="n/a"),"n/a",IF(H10=0,0,IF(M10=0,(LN(K10/H10)+((O10+(S10/2))*N10))/((S10*N10)^0.5),(LN(K10/H10)+((O10-M10+(S10/2))*N10))/((S10*N10)^0.5))))</f>
        <v>6.8927122968932437</v>
      </c>
      <c r="U10" s="210">
        <f t="shared" ref="U10:U29" si="2">IF(T10="n/a","n/a",IF(H10=0,0,T10-(S10*N10)^0.5))</f>
        <v>6.2383273404186363</v>
      </c>
      <c r="V10" s="210">
        <f t="shared" ref="V10:V29" si="3">IF(OR(T10="n/a",S10="n/a"),"n/a",IF(H10=0,0,NORMSDIST(T10)))</f>
        <v>0.99999999999726308</v>
      </c>
      <c r="W10" s="210">
        <f t="shared" ref="W10:W29" si="4">IF(OR(U10="n/a",S10="n/a"),"n/a",IF(H10=0,0,NORMSDIST(U10)))</f>
        <v>0.99999999977886278</v>
      </c>
      <c r="X10" s="91">
        <f t="shared" ref="X10:X29" si="5">IF(OR(K10="n/a",S10="n/a"),"n/a",IF(M10=0,(K10*V10)-((H10*EXP(1)^(-O10*N10))*W10),(K10*(2.718^(-M10*N10))*V10)-(H10*(2.718^(-O10*N10))*W10)))</f>
        <v>41850.618466481392</v>
      </c>
      <c r="Y10" s="208">
        <f>IFERROR(IF(LEN(B10)&gt;0,IF(H10=0,Q10,IF(ISERROR(Q10/((K10/X10)*V10)),"n/a",Q10/((K10/X10)*V10)))),"n/a")</f>
        <v>0.39553926155841307</v>
      </c>
      <c r="AA10" s="92" t="str">
        <f>IF('MASTER PubCo Inputs'!B28=0,"",'MASTER PubCo Inputs'!B28)</f>
        <v>NasdaqGS:VRTX</v>
      </c>
      <c r="AB10" s="386">
        <f>'Beta Calc'!Z10</f>
        <v>42428.4</v>
      </c>
      <c r="AC10" s="93">
        <f t="shared" ref="AC10:AC39" si="6">K10-AB10</f>
        <v>0</v>
      </c>
      <c r="AI10" s="94"/>
    </row>
    <row r="11" spans="2:35" ht="12.75" customHeight="1">
      <c r="B11" s="385" t="str">
        <f>'Comp.1'!B11</f>
        <v>FibroGen, Inc.</v>
      </c>
      <c r="D11" s="386">
        <f>'Beta Calc'!K11</f>
        <v>5153.3</v>
      </c>
      <c r="E11" s="386">
        <f>'Beta Calc'!L11</f>
        <v>115.4</v>
      </c>
      <c r="F11" s="386" t="str">
        <f>'Beta Calc'!M11</f>
        <v xml:space="preserve"> n/a </v>
      </c>
      <c r="G11" s="386">
        <f>'Beta Calc'!N11</f>
        <v>19.3</v>
      </c>
      <c r="H11" s="386">
        <f t="shared" ref="H11:H29" si="7">SUM(E11:G11)</f>
        <v>134.70000000000002</v>
      </c>
      <c r="I11" s="386">
        <f t="shared" ref="I11:I29" si="8">SUM(D11:G11)</f>
        <v>5288</v>
      </c>
      <c r="J11" s="386">
        <f>'Beta Calc'!Q11</f>
        <v>703.8</v>
      </c>
      <c r="K11" s="386">
        <f t="shared" ref="K11:K29" si="9">I11-J11</f>
        <v>4584.2</v>
      </c>
      <c r="M11" s="54">
        <f>IFERROR('Capital IQ Sheet-GPC'!AT14,"n/a")</f>
        <v>0</v>
      </c>
      <c r="N11" s="386">
        <f t="shared" si="0"/>
        <v>2.6630410958904109</v>
      </c>
      <c r="O11" s="206">
        <f t="shared" si="0"/>
        <v>2.7329345205479451E-2</v>
      </c>
      <c r="P11" s="207"/>
      <c r="Q11" s="208">
        <f>IFERROR(HLOOKUP($Q$6,'Equity Vol'!$B$8:$I11,ROWS('Equity Vol'!$C$8:$C11),FALSE),"n/a")</f>
        <v>0.60099999999999998</v>
      </c>
      <c r="R11" s="44"/>
      <c r="S11" s="209">
        <f t="shared" ref="S11:S29" si="10">IFERROR(IF(Q11="n/a","n/a",Q11^2),"n/a")</f>
        <v>0.36120099999999999</v>
      </c>
      <c r="T11" s="209">
        <f t="shared" si="1"/>
        <v>4.1610998744115886</v>
      </c>
      <c r="U11" s="210">
        <f t="shared" si="2"/>
        <v>3.1803383810419152</v>
      </c>
      <c r="V11" s="210">
        <f t="shared" si="3"/>
        <v>0.99998416407364676</v>
      </c>
      <c r="W11" s="210">
        <f t="shared" si="4"/>
        <v>0.99926448415295388</v>
      </c>
      <c r="X11" s="91">
        <f t="shared" si="5"/>
        <v>4458.9746378917434</v>
      </c>
      <c r="Y11" s="208">
        <f t="shared" ref="Y11:Y29" si="11">IFERROR(IF(LEN(B11)&gt;0,IF(H11=0,Q11,IF(ISERROR(Q11/((K11/X11)*V11)),"n/a",Q11/((K11/X11)*V11)))),"n/a")</f>
        <v>0.58459190171750142</v>
      </c>
      <c r="AA11" s="92" t="str">
        <f>IF('MASTER PubCo Inputs'!B29=0,"",'MASTER PubCo Inputs'!B29)</f>
        <v>NasdaqGS:FGEN</v>
      </c>
      <c r="AB11" s="386">
        <f>'Beta Calc'!Z11</f>
        <v>4584.3</v>
      </c>
      <c r="AC11" s="93">
        <f t="shared" si="6"/>
        <v>-0.1000000000003638</v>
      </c>
      <c r="AI11" s="94"/>
    </row>
    <row r="12" spans="2:35" ht="12.75" customHeight="1">
      <c r="B12" s="385" t="str">
        <f>'Comp.1'!B12</f>
        <v>Galapagos NV</v>
      </c>
      <c r="D12" s="386">
        <f>'Beta Calc'!K12</f>
        <v>5773</v>
      </c>
      <c r="E12" s="386" t="str">
        <f>'Beta Calc'!L12</f>
        <v xml:space="preserve"> -   </v>
      </c>
      <c r="F12" s="386" t="str">
        <f>'Beta Calc'!M12</f>
        <v xml:space="preserve"> n/a </v>
      </c>
      <c r="G12" s="386" t="str">
        <f>'Beta Calc'!N12</f>
        <v xml:space="preserve"> n/a </v>
      </c>
      <c r="H12" s="386">
        <f t="shared" si="7"/>
        <v>0</v>
      </c>
      <c r="I12" s="386">
        <f t="shared" si="8"/>
        <v>5773</v>
      </c>
      <c r="J12" s="386">
        <f>'Beta Calc'!Q12</f>
        <v>1365.3</v>
      </c>
      <c r="K12" s="386">
        <f t="shared" si="9"/>
        <v>4407.7</v>
      </c>
      <c r="M12" s="54">
        <f>IFERROR('Capital IQ Sheet-GPC'!AT15,"n/a")</f>
        <v>0</v>
      </c>
      <c r="N12" s="386">
        <f t="shared" si="0"/>
        <v>2.6630410958904109</v>
      </c>
      <c r="O12" s="206">
        <f t="shared" si="0"/>
        <v>2.7329345205479451E-2</v>
      </c>
      <c r="P12" s="207"/>
      <c r="Q12" s="208">
        <f>IFERROR(HLOOKUP($Q$6,'Equity Vol'!$B$8:$I12,ROWS('Equity Vol'!$C$8:$C12),FALSE),"n/a")</f>
        <v>0.40200000000000002</v>
      </c>
      <c r="R12" s="44"/>
      <c r="S12" s="209">
        <f t="shared" si="10"/>
        <v>0.16160400000000003</v>
      </c>
      <c r="T12" s="209">
        <f t="shared" si="1"/>
        <v>0</v>
      </c>
      <c r="U12" s="210">
        <f t="shared" si="2"/>
        <v>0</v>
      </c>
      <c r="V12" s="210">
        <f t="shared" si="3"/>
        <v>0</v>
      </c>
      <c r="W12" s="210">
        <f t="shared" si="4"/>
        <v>0</v>
      </c>
      <c r="X12" s="91">
        <f t="shared" si="5"/>
        <v>0</v>
      </c>
      <c r="Y12" s="208">
        <f t="shared" si="11"/>
        <v>0.40200000000000002</v>
      </c>
      <c r="AA12" s="92" t="str">
        <f>IF('MASTER PubCo Inputs'!B30=0,"",'MASTER PubCo Inputs'!B30)</f>
        <v>ENXTAM:GLPG</v>
      </c>
      <c r="AB12" s="386">
        <f>'Beta Calc'!Z12</f>
        <v>4474.8999999999996</v>
      </c>
      <c r="AC12" s="93">
        <f t="shared" si="6"/>
        <v>-67.199999999999818</v>
      </c>
      <c r="AI12" s="94"/>
    </row>
    <row r="13" spans="2:35" ht="12.75" customHeight="1">
      <c r="B13" s="385" t="str">
        <f>'Comp.1'!B13</f>
        <v>Madrigal Pharmaceuticals, Inc.</v>
      </c>
      <c r="D13" s="386">
        <f>'Beta Calc'!K13</f>
        <v>3964.4</v>
      </c>
      <c r="E13" s="386" t="str">
        <f>'Beta Calc'!L13</f>
        <v xml:space="preserve"> -   </v>
      </c>
      <c r="F13" s="386" t="str">
        <f>'Beta Calc'!M13</f>
        <v xml:space="preserve"> n/a </v>
      </c>
      <c r="G13" s="386" t="str">
        <f>'Beta Calc'!N13</f>
        <v xml:space="preserve"> n/a </v>
      </c>
      <c r="H13" s="386">
        <f t="shared" si="7"/>
        <v>0</v>
      </c>
      <c r="I13" s="386">
        <f t="shared" si="8"/>
        <v>3964.4</v>
      </c>
      <c r="J13" s="386">
        <f>'Beta Calc'!Q13</f>
        <v>182.8</v>
      </c>
      <c r="K13" s="386">
        <f t="shared" si="9"/>
        <v>3781.6</v>
      </c>
      <c r="M13" s="54">
        <f>IFERROR('Capital IQ Sheet-GPC'!AT16,"n/a")</f>
        <v>0</v>
      </c>
      <c r="N13" s="386">
        <f t="shared" si="0"/>
        <v>2.6630410958904109</v>
      </c>
      <c r="O13" s="206">
        <f t="shared" si="0"/>
        <v>2.7329345205479451E-2</v>
      </c>
      <c r="P13" s="207"/>
      <c r="Q13" s="208">
        <f>IFERROR(HLOOKUP($Q$6,'Equity Vol'!$B$8:$I13,ROWS('Equity Vol'!$C$8:$C13),FALSE),"n/a")</f>
        <v>1.016</v>
      </c>
      <c r="R13" s="44"/>
      <c r="S13" s="209">
        <f t="shared" si="10"/>
        <v>1.0322560000000001</v>
      </c>
      <c r="T13" s="209">
        <f t="shared" si="1"/>
        <v>0</v>
      </c>
      <c r="U13" s="210">
        <f t="shared" si="2"/>
        <v>0</v>
      </c>
      <c r="V13" s="210">
        <f t="shared" si="3"/>
        <v>0</v>
      </c>
      <c r="W13" s="210">
        <f t="shared" si="4"/>
        <v>0</v>
      </c>
      <c r="X13" s="91">
        <f t="shared" si="5"/>
        <v>0</v>
      </c>
      <c r="Y13" s="208">
        <f t="shared" si="11"/>
        <v>1.016</v>
      </c>
      <c r="AA13" s="92" t="str">
        <f>IF('MASTER PubCo Inputs'!B31=0,"",'MASTER PubCo Inputs'!B31)</f>
        <v>NasdaqCM:MDGL</v>
      </c>
      <c r="AB13" s="386">
        <f>'Beta Calc'!Z13</f>
        <v>3781.5</v>
      </c>
      <c r="AC13" s="93">
        <f t="shared" si="6"/>
        <v>9.9999999999909051E-2</v>
      </c>
      <c r="AI13" s="94"/>
    </row>
    <row r="14" spans="2:35" ht="12.75" customHeight="1">
      <c r="B14" s="385" t="str">
        <f>'Comp.1'!B14</f>
        <v>Intercept Pharmaceuticals, Inc.</v>
      </c>
      <c r="D14" s="386">
        <f>'Beta Calc'!K14</f>
        <v>2630.5</v>
      </c>
      <c r="E14" s="386">
        <f>'Beta Calc'!L14</f>
        <v>359.4</v>
      </c>
      <c r="F14" s="386" t="str">
        <f>'Beta Calc'!M14</f>
        <v xml:space="preserve"> n/a </v>
      </c>
      <c r="G14" s="386" t="str">
        <f>'Beta Calc'!N14</f>
        <v xml:space="preserve"> n/a </v>
      </c>
      <c r="H14" s="386">
        <f t="shared" si="7"/>
        <v>359.4</v>
      </c>
      <c r="I14" s="386">
        <f t="shared" si="8"/>
        <v>2989.9</v>
      </c>
      <c r="J14" s="386">
        <f>'Beta Calc'!Q14</f>
        <v>326.10000000000002</v>
      </c>
      <c r="K14" s="386">
        <f t="shared" si="9"/>
        <v>2663.8</v>
      </c>
      <c r="M14" s="54">
        <f>IFERROR('Capital IQ Sheet-GPC'!AT17,"n/a")</f>
        <v>0</v>
      </c>
      <c r="N14" s="386">
        <f t="shared" si="0"/>
        <v>2.6630410958904109</v>
      </c>
      <c r="O14" s="206">
        <f t="shared" si="0"/>
        <v>2.7329345205479451E-2</v>
      </c>
      <c r="P14" s="207"/>
      <c r="Q14" s="208">
        <f>IFERROR(HLOOKUP($Q$6,'Equity Vol'!$B$8:$I14,ROWS('Equity Vol'!$C$8:$C14),FALSE),"n/a")</f>
        <v>0.6</v>
      </c>
      <c r="R14" s="44"/>
      <c r="S14" s="209">
        <f t="shared" si="10"/>
        <v>0.36</v>
      </c>
      <c r="T14" s="209">
        <f t="shared" si="1"/>
        <v>2.6096642550679019</v>
      </c>
      <c r="U14" s="210">
        <f t="shared" si="2"/>
        <v>1.6305346443827036</v>
      </c>
      <c r="V14" s="210">
        <f t="shared" si="3"/>
        <v>0.99546844377146781</v>
      </c>
      <c r="W14" s="210">
        <f t="shared" si="4"/>
        <v>0.9485057253507132</v>
      </c>
      <c r="X14" s="91">
        <f t="shared" si="5"/>
        <v>2334.7644763980734</v>
      </c>
      <c r="Y14" s="208">
        <f t="shared" si="11"/>
        <v>0.52828127236605538</v>
      </c>
      <c r="AA14" s="92" t="str">
        <f>IF('MASTER PubCo Inputs'!B32=0,"",'MASTER PubCo Inputs'!B32)</f>
        <v>NasdaqGS:ICPT</v>
      </c>
      <c r="AB14" s="386">
        <f>'Beta Calc'!Z14</f>
        <v>2663.9</v>
      </c>
      <c r="AC14" s="93">
        <f t="shared" si="6"/>
        <v>-9.9999999999909051E-2</v>
      </c>
      <c r="AI14" s="94"/>
    </row>
    <row r="15" spans="2:35" ht="12.75" customHeight="1">
      <c r="B15" s="385" t="str">
        <f>'Comp.1'!B15</f>
        <v>Insmed Incorporated</v>
      </c>
      <c r="D15" s="386">
        <f>'Beta Calc'!K15</f>
        <v>1863.5</v>
      </c>
      <c r="E15" s="386">
        <f>'Beta Calc'!L15</f>
        <v>302.7</v>
      </c>
      <c r="F15" s="386" t="str">
        <f>'Beta Calc'!M15</f>
        <v xml:space="preserve"> n/a </v>
      </c>
      <c r="G15" s="386" t="str">
        <f>'Beta Calc'!N15</f>
        <v xml:space="preserve"> n/a </v>
      </c>
      <c r="H15" s="386">
        <f t="shared" si="7"/>
        <v>302.7</v>
      </c>
      <c r="I15" s="386">
        <f t="shared" si="8"/>
        <v>2166.1999999999998</v>
      </c>
      <c r="J15" s="386">
        <f>'Beta Calc'!Q15</f>
        <v>686.6</v>
      </c>
      <c r="K15" s="386">
        <f t="shared" si="9"/>
        <v>1479.6</v>
      </c>
      <c r="M15" s="54">
        <f>IFERROR('Capital IQ Sheet-GPC'!AT18,"n/a")</f>
        <v>0</v>
      </c>
      <c r="N15" s="386">
        <f t="shared" si="0"/>
        <v>2.6630410958904109</v>
      </c>
      <c r="O15" s="206">
        <f t="shared" si="0"/>
        <v>2.7329345205479451E-2</v>
      </c>
      <c r="P15" s="207"/>
      <c r="Q15" s="208">
        <f>IFERROR(HLOOKUP($Q$6,'Equity Vol'!$B$8:$I15,ROWS('Equity Vol'!$C$8:$C15),FALSE),"n/a")</f>
        <v>0.69899999999999995</v>
      </c>
      <c r="R15" s="44"/>
      <c r="S15" s="209">
        <f t="shared" si="10"/>
        <v>0.48860099999999995</v>
      </c>
      <c r="T15" s="209">
        <f t="shared" si="1"/>
        <v>2.0252254273097514</v>
      </c>
      <c r="U15" s="210">
        <f t="shared" si="2"/>
        <v>0.88453943086149556</v>
      </c>
      <c r="V15" s="210">
        <f t="shared" si="3"/>
        <v>0.97857788907688004</v>
      </c>
      <c r="W15" s="210">
        <f t="shared" si="4"/>
        <v>0.81179745667517389</v>
      </c>
      <c r="X15" s="91">
        <f t="shared" si="5"/>
        <v>1219.421569019009</v>
      </c>
      <c r="Y15" s="208">
        <f t="shared" si="11"/>
        <v>0.58869632805882788</v>
      </c>
      <c r="AA15" s="92" t="str">
        <f>IF('MASTER PubCo Inputs'!B33=0,"",'MASTER PubCo Inputs'!B33)</f>
        <v>NasdaqGS:INSM</v>
      </c>
      <c r="AB15" s="386">
        <f>'Beta Calc'!Z15</f>
        <v>1479.6</v>
      </c>
      <c r="AC15" s="93">
        <f t="shared" si="6"/>
        <v>0</v>
      </c>
      <c r="AI15" s="94"/>
    </row>
    <row r="16" spans="2:35" ht="12.75" customHeight="1">
      <c r="B16" s="385" t="str">
        <f>'Comp.1'!B16</f>
        <v>Genfit SA</v>
      </c>
      <c r="D16" s="386">
        <f>'Beta Calc'!K16</f>
        <v>882.5</v>
      </c>
      <c r="E16" s="386">
        <f>'Beta Calc'!L16</f>
        <v>196.6</v>
      </c>
      <c r="F16" s="386" t="str">
        <f>'Beta Calc'!M16</f>
        <v xml:space="preserve"> n/a </v>
      </c>
      <c r="G16" s="386" t="str">
        <f>'Beta Calc'!N16</f>
        <v xml:space="preserve"> n/a </v>
      </c>
      <c r="H16" s="386">
        <f t="shared" si="7"/>
        <v>196.6</v>
      </c>
      <c r="I16" s="386">
        <f t="shared" si="8"/>
        <v>1079.0999999999999</v>
      </c>
      <c r="J16" s="386">
        <f>'Beta Calc'!Q16</f>
        <v>328.8</v>
      </c>
      <c r="K16" s="386">
        <f t="shared" si="9"/>
        <v>750.3</v>
      </c>
      <c r="M16" s="54">
        <f>IFERROR('Capital IQ Sheet-GPC'!AT19,"n/a")</f>
        <v>0</v>
      </c>
      <c r="N16" s="386">
        <f t="shared" si="0"/>
        <v>2.6630410958904109</v>
      </c>
      <c r="O16" s="206">
        <f t="shared" si="0"/>
        <v>2.7329345205479451E-2</v>
      </c>
      <c r="P16" s="207"/>
      <c r="Q16" s="208">
        <f>IFERROR(HLOOKUP($Q$6,'Equity Vol'!$B$8:$I16,ROWS('Equity Vol'!$C$8:$C16),FALSE),"n/a")</f>
        <v>0.48599999999999999</v>
      </c>
      <c r="R16" s="44"/>
      <c r="S16" s="209">
        <f t="shared" si="10"/>
        <v>0.23619599999999999</v>
      </c>
      <c r="T16" s="209">
        <f t="shared" si="1"/>
        <v>2.1770165604288843</v>
      </c>
      <c r="U16" s="210">
        <f t="shared" si="2"/>
        <v>1.3839215757738736</v>
      </c>
      <c r="V16" s="210">
        <f t="shared" si="3"/>
        <v>0.98526033407083702</v>
      </c>
      <c r="W16" s="210">
        <f t="shared" si="4"/>
        <v>0.91680876526062505</v>
      </c>
      <c r="X16" s="91">
        <f t="shared" si="5"/>
        <v>571.64829039059805</v>
      </c>
      <c r="Y16" s="208">
        <f t="shared" si="11"/>
        <v>0.37581943307423682</v>
      </c>
      <c r="AA16" s="92" t="str">
        <f>IF('MASTER PubCo Inputs'!B34=0,"",'MASTER PubCo Inputs'!B34)</f>
        <v>ENXTPA:GNFT</v>
      </c>
      <c r="AB16" s="386">
        <f>'Beta Calc'!Z16</f>
        <v>753.6</v>
      </c>
      <c r="AC16" s="93">
        <f t="shared" si="6"/>
        <v>-3.3000000000000682</v>
      </c>
      <c r="AI16" s="94"/>
    </row>
    <row r="17" spans="2:35" ht="12.75" customHeight="1">
      <c r="B17" s="385" t="str">
        <f>'Comp.1'!B17</f>
        <v>Kadmon Holdings, Inc.</v>
      </c>
      <c r="D17" s="386">
        <f>'Beta Calc'!K17</f>
        <v>365.5</v>
      </c>
      <c r="E17" s="386">
        <f>'Beta Calc'!L17</f>
        <v>33.1</v>
      </c>
      <c r="F17" s="386">
        <f>'Beta Calc'!M17</f>
        <v>40.700000000000003</v>
      </c>
      <c r="G17" s="386" t="str">
        <f>'Beta Calc'!N17</f>
        <v xml:space="preserve"> n/a </v>
      </c>
      <c r="H17" s="386">
        <f t="shared" si="7"/>
        <v>73.800000000000011</v>
      </c>
      <c r="I17" s="386">
        <f t="shared" si="8"/>
        <v>439.3</v>
      </c>
      <c r="J17" s="386">
        <f>'Beta Calc'!Q17</f>
        <v>49.2</v>
      </c>
      <c r="K17" s="386">
        <f t="shared" si="9"/>
        <v>390.1</v>
      </c>
      <c r="M17" s="54">
        <f>IFERROR('Capital IQ Sheet-GPC'!AT20,"n/a")</f>
        <v>0</v>
      </c>
      <c r="N17" s="386">
        <f t="shared" si="0"/>
        <v>2.6630410958904109</v>
      </c>
      <c r="O17" s="206">
        <f t="shared" si="0"/>
        <v>2.7329345205479451E-2</v>
      </c>
      <c r="P17" s="207"/>
      <c r="Q17" s="208">
        <f>IFERROR(HLOOKUP($Q$6,'Equity Vol'!$B$8:$I17,ROWS('Equity Vol'!$C$8:$C17),FALSE),"n/a")</f>
        <v>0.67200000000000004</v>
      </c>
      <c r="R17" s="44"/>
      <c r="S17" s="209">
        <f t="shared" si="10"/>
        <v>0.45158400000000004</v>
      </c>
      <c r="T17" s="209">
        <f t="shared" si="1"/>
        <v>2.133014092958502</v>
      </c>
      <c r="U17" s="210">
        <f t="shared" si="2"/>
        <v>1.0363889289910799</v>
      </c>
      <c r="V17" s="210">
        <f t="shared" si="3"/>
        <v>0.98353821493381044</v>
      </c>
      <c r="W17" s="210">
        <f t="shared" si="4"/>
        <v>0.84998963340479816</v>
      </c>
      <c r="X17" s="91">
        <f t="shared" si="5"/>
        <v>325.3522300244058</v>
      </c>
      <c r="Y17" s="208">
        <f t="shared" si="11"/>
        <v>0.56984385802311499</v>
      </c>
      <c r="AA17" s="92" t="str">
        <f>IF('MASTER PubCo Inputs'!B35=0,"",'MASTER PubCo Inputs'!B35)</f>
        <v>NYSE:KDMN</v>
      </c>
      <c r="AB17" s="386">
        <f>'Beta Calc'!Z17</f>
        <v>390.1</v>
      </c>
      <c r="AC17" s="93">
        <f t="shared" si="6"/>
        <v>0</v>
      </c>
      <c r="AI17" s="94"/>
    </row>
    <row r="18" spans="2:35" ht="12.75" customHeight="1">
      <c r="B18" s="385" t="str">
        <f>'Comp.1'!B18</f>
        <v>MediciNova, Inc.</v>
      </c>
      <c r="D18" s="386">
        <f>'Beta Calc'!K18</f>
        <v>398.7</v>
      </c>
      <c r="E18" s="386" t="str">
        <f>'Beta Calc'!L18</f>
        <v xml:space="preserve"> -   </v>
      </c>
      <c r="F18" s="386" t="str">
        <f>'Beta Calc'!M18</f>
        <v xml:space="preserve"> n/a </v>
      </c>
      <c r="G18" s="386" t="str">
        <f>'Beta Calc'!N18</f>
        <v xml:space="preserve"> n/a </v>
      </c>
      <c r="H18" s="386">
        <f t="shared" si="7"/>
        <v>0</v>
      </c>
      <c r="I18" s="386">
        <f t="shared" si="8"/>
        <v>398.7</v>
      </c>
      <c r="J18" s="386">
        <f>'Beta Calc'!Q18</f>
        <v>64.2</v>
      </c>
      <c r="K18" s="386">
        <f t="shared" si="9"/>
        <v>334.5</v>
      </c>
      <c r="M18" s="54">
        <f>IFERROR('Capital IQ Sheet-GPC'!AT21,"n/a")</f>
        <v>0</v>
      </c>
      <c r="N18" s="386">
        <f t="shared" si="0"/>
        <v>2.6630410958904109</v>
      </c>
      <c r="O18" s="206">
        <f t="shared" si="0"/>
        <v>2.7329345205479451E-2</v>
      </c>
      <c r="P18" s="207"/>
      <c r="Q18" s="208">
        <f>IFERROR(HLOOKUP($Q$6,'Equity Vol'!$B$8:$I18,ROWS('Equity Vol'!$C$8:$C18),FALSE),"n/a")</f>
        <v>0.54200000000000004</v>
      </c>
      <c r="R18" s="44"/>
      <c r="S18" s="209">
        <f t="shared" si="10"/>
        <v>0.29376400000000003</v>
      </c>
      <c r="T18" s="209">
        <f t="shared" si="1"/>
        <v>0</v>
      </c>
      <c r="U18" s="210">
        <f t="shared" si="2"/>
        <v>0</v>
      </c>
      <c r="V18" s="210">
        <f t="shared" si="3"/>
        <v>0</v>
      </c>
      <c r="W18" s="210">
        <f t="shared" si="4"/>
        <v>0</v>
      </c>
      <c r="X18" s="91">
        <f t="shared" si="5"/>
        <v>0</v>
      </c>
      <c r="Y18" s="208">
        <f t="shared" si="11"/>
        <v>0.54200000000000004</v>
      </c>
      <c r="AA18" s="92" t="str">
        <f>IF('MASTER PubCo Inputs'!B36=0,"",'MASTER PubCo Inputs'!B36)</f>
        <v>NasdaqGM:MNOV</v>
      </c>
      <c r="AB18" s="386">
        <f>'Beta Calc'!Z18</f>
        <v>334.5</v>
      </c>
      <c r="AC18" s="93">
        <f t="shared" si="6"/>
        <v>0</v>
      </c>
      <c r="AI18" s="94"/>
    </row>
    <row r="19" spans="2:35" ht="12.75" customHeight="1">
      <c r="B19" s="385" t="str">
        <f>'Comp.1'!B19</f>
        <v>Savara Inc.</v>
      </c>
      <c r="D19" s="386">
        <f>'Beta Calc'!K19</f>
        <v>393.3</v>
      </c>
      <c r="E19" s="386">
        <f>'Beta Calc'!L19</f>
        <v>15.2</v>
      </c>
      <c r="F19" s="386" t="str">
        <f>'Beta Calc'!M19</f>
        <v xml:space="preserve"> n/a </v>
      </c>
      <c r="G19" s="386" t="str">
        <f>'Beta Calc'!N19</f>
        <v xml:space="preserve"> n/a </v>
      </c>
      <c r="H19" s="386">
        <f t="shared" si="7"/>
        <v>15.2</v>
      </c>
      <c r="I19" s="386">
        <f t="shared" si="8"/>
        <v>408.5</v>
      </c>
      <c r="J19" s="386">
        <f>'Beta Calc'!Q19</f>
        <v>85.2</v>
      </c>
      <c r="K19" s="386">
        <f t="shared" si="9"/>
        <v>323.3</v>
      </c>
      <c r="M19" s="54">
        <f>IFERROR('Capital IQ Sheet-GPC'!AT22,"n/a")</f>
        <v>0</v>
      </c>
      <c r="N19" s="386">
        <f t="shared" si="0"/>
        <v>2.6630410958904109</v>
      </c>
      <c r="O19" s="206">
        <f t="shared" si="0"/>
        <v>2.7329345205479451E-2</v>
      </c>
      <c r="P19" s="207"/>
      <c r="Q19" s="208">
        <f>IFERROR(HLOOKUP($Q$6,'Equity Vol'!$B$8:$I19,ROWS('Equity Vol'!$C$8:$C19),FALSE),"n/a")</f>
        <v>0.628</v>
      </c>
      <c r="R19" s="44"/>
      <c r="S19" s="209">
        <f t="shared" si="10"/>
        <v>0.39438400000000001</v>
      </c>
      <c r="T19" s="209">
        <f t="shared" si="1"/>
        <v>3.5666619801949309</v>
      </c>
      <c r="U19" s="210">
        <f t="shared" si="2"/>
        <v>2.5418396543444235</v>
      </c>
      <c r="V19" s="210">
        <f t="shared" si="3"/>
        <v>0.99981922132008438</v>
      </c>
      <c r="W19" s="210">
        <f t="shared" si="4"/>
        <v>0.99448646259967544</v>
      </c>
      <c r="X19" s="91">
        <f t="shared" si="5"/>
        <v>309.18642408827446</v>
      </c>
      <c r="Y19" s="208">
        <f t="shared" si="11"/>
        <v>0.60069341881579708</v>
      </c>
      <c r="AA19" s="92" t="str">
        <f>IF('MASTER PubCo Inputs'!B37=0,"",'MASTER PubCo Inputs'!B37)</f>
        <v>NasdaqGS:SVRA</v>
      </c>
      <c r="AB19" s="386">
        <f>'Beta Calc'!Z19</f>
        <v>323.39999999999998</v>
      </c>
      <c r="AC19" s="93">
        <f t="shared" si="6"/>
        <v>-9.9999999999965894E-2</v>
      </c>
      <c r="AI19" s="94"/>
    </row>
    <row r="20" spans="2:35" ht="12.75" customHeight="1">
      <c r="B20" s="385" t="str">
        <f>'Comp.1'!B20</f>
        <v>Galmed Pharmaceuticals Ltd.</v>
      </c>
      <c r="D20" s="386">
        <f>'Beta Calc'!K20</f>
        <v>289.7</v>
      </c>
      <c r="E20" s="386" t="str">
        <f>'Beta Calc'!L20</f>
        <v xml:space="preserve"> -   </v>
      </c>
      <c r="F20" s="386" t="str">
        <f>'Beta Calc'!M20</f>
        <v xml:space="preserve"> n/a </v>
      </c>
      <c r="G20" s="386" t="str">
        <f>'Beta Calc'!N20</f>
        <v xml:space="preserve"> n/a </v>
      </c>
      <c r="H20" s="386">
        <f t="shared" si="7"/>
        <v>0</v>
      </c>
      <c r="I20" s="386">
        <f t="shared" si="8"/>
        <v>289.7</v>
      </c>
      <c r="J20" s="386">
        <f>'Beta Calc'!Q20</f>
        <v>15.5</v>
      </c>
      <c r="K20" s="386">
        <f t="shared" si="9"/>
        <v>274.2</v>
      </c>
      <c r="M20" s="54">
        <f>IFERROR('Capital IQ Sheet-GPC'!AT23,"n/a")</f>
        <v>0</v>
      </c>
      <c r="N20" s="386">
        <f t="shared" si="0"/>
        <v>2.6630410958904109</v>
      </c>
      <c r="O20" s="206">
        <f t="shared" si="0"/>
        <v>2.7329345205479451E-2</v>
      </c>
      <c r="P20" s="207"/>
      <c r="Q20" s="208">
        <f>IFERROR(HLOOKUP($Q$6,'Equity Vol'!$B$8:$I20,ROWS('Equity Vol'!$C$8:$C20),FALSE),"n/a")</f>
        <v>0.97699999999999998</v>
      </c>
      <c r="R20" s="44"/>
      <c r="S20" s="209">
        <f t="shared" si="10"/>
        <v>0.95452899999999996</v>
      </c>
      <c r="T20" s="209">
        <f t="shared" si="1"/>
        <v>0</v>
      </c>
      <c r="U20" s="210">
        <f t="shared" si="2"/>
        <v>0</v>
      </c>
      <c r="V20" s="210">
        <f t="shared" si="3"/>
        <v>0</v>
      </c>
      <c r="W20" s="210">
        <f t="shared" si="4"/>
        <v>0</v>
      </c>
      <c r="X20" s="91">
        <f t="shared" si="5"/>
        <v>0</v>
      </c>
      <c r="Y20" s="208">
        <f t="shared" si="11"/>
        <v>0.97699999999999998</v>
      </c>
      <c r="AA20" s="92" t="str">
        <f>IF('MASTER PubCo Inputs'!B38=0,"",'MASTER PubCo Inputs'!B38)</f>
        <v>NasdaqCM:GLMD</v>
      </c>
      <c r="AB20" s="386">
        <f>'Beta Calc'!Z20</f>
        <v>274.2</v>
      </c>
      <c r="AC20" s="93">
        <f t="shared" si="6"/>
        <v>0</v>
      </c>
      <c r="AI20" s="94"/>
    </row>
    <row r="21" spans="2:35" ht="12.75" customHeight="1">
      <c r="B21" s="385" t="str">
        <f>'Comp.1'!B21</f>
        <v>Galectin Therapeutics, Inc.</v>
      </c>
      <c r="D21" s="386">
        <f>'Beta Calc'!K21</f>
        <v>202.3</v>
      </c>
      <c r="E21" s="386" t="str">
        <f>'Beta Calc'!L21</f>
        <v xml:space="preserve"> -   </v>
      </c>
      <c r="F21" s="386">
        <f>'Beta Calc'!M21</f>
        <v>9</v>
      </c>
      <c r="G21" s="386" t="str">
        <f>'Beta Calc'!N21</f>
        <v xml:space="preserve"> n/a </v>
      </c>
      <c r="H21" s="386">
        <f t="shared" si="7"/>
        <v>9</v>
      </c>
      <c r="I21" s="386">
        <f t="shared" si="8"/>
        <v>211.3</v>
      </c>
      <c r="J21" s="386">
        <f>'Beta Calc'!Q21</f>
        <v>4</v>
      </c>
      <c r="K21" s="386">
        <f t="shared" si="9"/>
        <v>207.3</v>
      </c>
      <c r="M21" s="54">
        <f>IFERROR('Capital IQ Sheet-GPC'!AT24,"n/a")</f>
        <v>0</v>
      </c>
      <c r="N21" s="386">
        <f t="shared" si="0"/>
        <v>2.6630410958904109</v>
      </c>
      <c r="O21" s="206">
        <f t="shared" si="0"/>
        <v>2.7329345205479451E-2</v>
      </c>
      <c r="P21" s="207"/>
      <c r="Q21" s="208">
        <f>IFERROR(HLOOKUP($Q$6,'Equity Vol'!$B$8:$I21,ROWS('Equity Vol'!$C$8:$C21),FALSE),"n/a")</f>
        <v>1.0489999999999999</v>
      </c>
      <c r="R21" s="44"/>
      <c r="S21" s="209">
        <f t="shared" si="10"/>
        <v>1.100401</v>
      </c>
      <c r="T21" s="209">
        <f t="shared" si="1"/>
        <v>2.7309296862335684</v>
      </c>
      <c r="U21" s="210">
        <f t="shared" si="2"/>
        <v>1.0190847502189466</v>
      </c>
      <c r="V21" s="210">
        <f t="shared" si="3"/>
        <v>0.99684220277511115</v>
      </c>
      <c r="W21" s="210">
        <f t="shared" si="4"/>
        <v>0.84591863335187323</v>
      </c>
      <c r="X21" s="91">
        <f t="shared" si="5"/>
        <v>199.56652560506058</v>
      </c>
      <c r="Y21" s="208">
        <f t="shared" si="11"/>
        <v>1.0130653615948486</v>
      </c>
      <c r="AA21" s="92" t="str">
        <f>IF('MASTER PubCo Inputs'!B39=0,"",'MASTER PubCo Inputs'!B39)</f>
        <v>NasdaqCM:GALT</v>
      </c>
      <c r="AB21" s="386">
        <f>'Beta Calc'!Z21</f>
        <v>207.3</v>
      </c>
      <c r="AC21" s="93">
        <f t="shared" si="6"/>
        <v>0</v>
      </c>
      <c r="AI21" s="94"/>
    </row>
    <row r="22" spans="2:35" ht="12.75" customHeight="1">
      <c r="B22" s="385" t="str">
        <f>'Comp.1'!B22</f>
        <v>Corbus Pharmaceuticals Holdings, Inc.</v>
      </c>
      <c r="D22" s="386">
        <f>'Beta Calc'!K22</f>
        <v>274.3</v>
      </c>
      <c r="E22" s="386">
        <f>'Beta Calc'!L22</f>
        <v>0.2</v>
      </c>
      <c r="F22" s="386" t="str">
        <f>'Beta Calc'!M22</f>
        <v xml:space="preserve"> n/a </v>
      </c>
      <c r="G22" s="386" t="str">
        <f>'Beta Calc'!N22</f>
        <v xml:space="preserve"> n/a </v>
      </c>
      <c r="H22" s="386">
        <f t="shared" si="7"/>
        <v>0.2</v>
      </c>
      <c r="I22" s="386">
        <f t="shared" si="8"/>
        <v>274.5</v>
      </c>
      <c r="J22" s="386">
        <f>'Beta Calc'!Q22</f>
        <v>71</v>
      </c>
      <c r="K22" s="386">
        <f t="shared" si="9"/>
        <v>203.5</v>
      </c>
      <c r="M22" s="54">
        <f>IFERROR('Capital IQ Sheet-GPC'!AT25,"n/a")</f>
        <v>0</v>
      </c>
      <c r="N22" s="386">
        <f t="shared" si="0"/>
        <v>2.6630410958904109</v>
      </c>
      <c r="O22" s="206">
        <f t="shared" si="0"/>
        <v>2.7329345205479451E-2</v>
      </c>
      <c r="P22" s="207"/>
      <c r="Q22" s="208">
        <f>IFERROR(HLOOKUP($Q$6,'Equity Vol'!$B$8:$I22,ROWS('Equity Vol'!$C$8:$C22),FALSE),"n/a")</f>
        <v>0.79900000000000004</v>
      </c>
      <c r="R22" s="44"/>
      <c r="S22" s="209">
        <f t="shared" si="10"/>
        <v>0.63840100000000011</v>
      </c>
      <c r="T22" s="209">
        <f t="shared" si="1"/>
        <v>6.0189293916915547</v>
      </c>
      <c r="U22" s="210">
        <f t="shared" si="2"/>
        <v>4.7150551267957654</v>
      </c>
      <c r="V22" s="210">
        <f t="shared" si="3"/>
        <v>0.99999999912212789</v>
      </c>
      <c r="W22" s="210">
        <f t="shared" si="4"/>
        <v>0.99999879177341877</v>
      </c>
      <c r="X22" s="91">
        <f t="shared" si="5"/>
        <v>203.31403881863682</v>
      </c>
      <c r="Y22" s="208">
        <f t="shared" si="11"/>
        <v>0.79826986318771165</v>
      </c>
      <c r="AA22" s="92" t="str">
        <f>IF('MASTER PubCo Inputs'!B40=0,"",'MASTER PubCo Inputs'!B40)</f>
        <v>NasdaqGM:CRBP</v>
      </c>
      <c r="AB22" s="386">
        <f>'Beta Calc'!Z22</f>
        <v>203.5</v>
      </c>
      <c r="AC22" s="93">
        <f t="shared" si="6"/>
        <v>0</v>
      </c>
      <c r="AI22" s="94"/>
    </row>
    <row r="23" spans="2:35" ht="12.75" customHeight="1">
      <c r="B23" s="385" t="str">
        <f>'Comp.1'!B23</f>
        <v>ProQR Therapeutics N.V.</v>
      </c>
      <c r="D23" s="386">
        <f>'Beta Calc'!K23</f>
        <v>212.3</v>
      </c>
      <c r="E23" s="386">
        <f>'Beta Calc'!L23</f>
        <v>8.6999999999999993</v>
      </c>
      <c r="F23" s="386" t="str">
        <f>'Beta Calc'!M23</f>
        <v xml:space="preserve"> n/a </v>
      </c>
      <c r="G23" s="386">
        <f>'Beta Calc'!N23</f>
        <v>0</v>
      </c>
      <c r="H23" s="386">
        <f t="shared" si="7"/>
        <v>8.6999999999999993</v>
      </c>
      <c r="I23" s="386">
        <f t="shared" si="8"/>
        <v>221</v>
      </c>
      <c r="J23" s="386">
        <f>'Beta Calc'!Q23</f>
        <v>57.8</v>
      </c>
      <c r="K23" s="386">
        <f t="shared" si="9"/>
        <v>163.19999999999999</v>
      </c>
      <c r="M23" s="54">
        <f>IFERROR('Capital IQ Sheet-GPC'!AT26,"n/a")</f>
        <v>0</v>
      </c>
      <c r="N23" s="386">
        <f t="shared" si="0"/>
        <v>2.6630410958904109</v>
      </c>
      <c r="O23" s="206">
        <f t="shared" si="0"/>
        <v>2.7329345205479451E-2</v>
      </c>
      <c r="P23" s="207"/>
      <c r="Q23" s="208">
        <f>IFERROR(HLOOKUP($Q$6,'Equity Vol'!$B$8:$I23,ROWS('Equity Vol'!$C$8:$C23),FALSE),"n/a")</f>
        <v>0.73199999999999998</v>
      </c>
      <c r="R23" s="44"/>
      <c r="S23" s="209">
        <f t="shared" si="10"/>
        <v>0.53582399999999997</v>
      </c>
      <c r="T23" s="209">
        <f t="shared" si="1"/>
        <v>3.1124107087379582</v>
      </c>
      <c r="U23" s="210">
        <f t="shared" si="2"/>
        <v>1.9178725837020163</v>
      </c>
      <c r="V23" s="210">
        <f t="shared" si="3"/>
        <v>0.99907216930213172</v>
      </c>
      <c r="W23" s="210">
        <f t="shared" si="4"/>
        <v>0.97243641531902669</v>
      </c>
      <c r="X23" s="91">
        <f t="shared" si="5"/>
        <v>155.18223511291762</v>
      </c>
      <c r="Y23" s="208">
        <f t="shared" si="11"/>
        <v>0.6966843714618598</v>
      </c>
      <c r="AA23" s="92" t="str">
        <f>IF('MASTER PubCo Inputs'!B41=0,"",'MASTER PubCo Inputs'!B41)</f>
        <v>NasdaqGM:PRQR</v>
      </c>
      <c r="AB23" s="386">
        <f>'Beta Calc'!Z23</f>
        <v>174.9</v>
      </c>
      <c r="AC23" s="93">
        <f t="shared" si="6"/>
        <v>-11.700000000000017</v>
      </c>
      <c r="AI23" s="94"/>
    </row>
    <row r="24" spans="2:35" ht="12.75" customHeight="1">
      <c r="B24" s="385" t="str">
        <f>'Comp.1'!B24</f>
        <v>Miragen Therapeutics, Inc.</v>
      </c>
      <c r="D24" s="386">
        <f>'Beta Calc'!K24</f>
        <v>194.7</v>
      </c>
      <c r="E24" s="386">
        <f>'Beta Calc'!L24</f>
        <v>10</v>
      </c>
      <c r="F24" s="386" t="str">
        <f>'Beta Calc'!M24</f>
        <v xml:space="preserve"> n/a </v>
      </c>
      <c r="G24" s="386" t="str">
        <f>'Beta Calc'!N24</f>
        <v xml:space="preserve"> n/a </v>
      </c>
      <c r="H24" s="386">
        <f t="shared" si="7"/>
        <v>10</v>
      </c>
      <c r="I24" s="386">
        <f t="shared" si="8"/>
        <v>204.7</v>
      </c>
      <c r="J24" s="386">
        <f>'Beta Calc'!Q24</f>
        <v>78.099999999999994</v>
      </c>
      <c r="K24" s="386">
        <f t="shared" si="9"/>
        <v>126.6</v>
      </c>
      <c r="M24" s="54">
        <f>IFERROR('Capital IQ Sheet-GPC'!AT27,"n/a")</f>
        <v>0</v>
      </c>
      <c r="N24" s="386">
        <f t="shared" si="0"/>
        <v>2.6630410958904109</v>
      </c>
      <c r="O24" s="206">
        <f t="shared" si="0"/>
        <v>2.7329345205479451E-2</v>
      </c>
      <c r="P24" s="207"/>
      <c r="Q24" s="208">
        <f>IFERROR(HLOOKUP($Q$6,'Equity Vol'!$B$8:$I24,ROWS('Equity Vol'!$C$8:$C24),FALSE),"n/a")</f>
        <v>0.69599999999999995</v>
      </c>
      <c r="R24" s="44"/>
      <c r="S24" s="209">
        <f t="shared" si="10"/>
        <v>0.48441599999999996</v>
      </c>
      <c r="T24" s="209">
        <f t="shared" si="1"/>
        <v>2.8669344201395437</v>
      </c>
      <c r="U24" s="210">
        <f t="shared" si="2"/>
        <v>1.7311440717447137</v>
      </c>
      <c r="V24" s="210">
        <f t="shared" si="3"/>
        <v>0.99792765556027763</v>
      </c>
      <c r="W24" s="210">
        <f t="shared" si="4"/>
        <v>0.95828696421897686</v>
      </c>
      <c r="X24" s="91">
        <f t="shared" si="5"/>
        <v>117.4274301905761</v>
      </c>
      <c r="Y24" s="208">
        <f t="shared" si="11"/>
        <v>0.64691322902874471</v>
      </c>
      <c r="AA24" s="92" t="str">
        <f>IF('MASTER PubCo Inputs'!B42=0,"",'MASTER PubCo Inputs'!B42)</f>
        <v>NasdaqCM:MGEN</v>
      </c>
      <c r="AB24" s="386">
        <f>'Beta Calc'!Z24</f>
        <v>126.7</v>
      </c>
      <c r="AC24" s="93">
        <f t="shared" si="6"/>
        <v>-0.10000000000000853</v>
      </c>
      <c r="AI24" s="94"/>
    </row>
    <row r="25" spans="2:35" ht="12.75" customHeight="1">
      <c r="B25" s="385" t="str">
        <f>'Comp.1'!B25</f>
        <v>Conatus Pharmaceuticals Inc.</v>
      </c>
      <c r="D25" s="386">
        <f>'Beta Calc'!K25</f>
        <v>115.7</v>
      </c>
      <c r="E25" s="386">
        <f>'Beta Calc'!L25</f>
        <v>13.3</v>
      </c>
      <c r="F25" s="386" t="str">
        <f>'Beta Calc'!M25</f>
        <v xml:space="preserve"> n/a </v>
      </c>
      <c r="G25" s="386" t="str">
        <f>'Beta Calc'!N25</f>
        <v xml:space="preserve"> n/a </v>
      </c>
      <c r="H25" s="386">
        <f t="shared" si="7"/>
        <v>13.3</v>
      </c>
      <c r="I25" s="386">
        <f t="shared" si="8"/>
        <v>129</v>
      </c>
      <c r="J25" s="386">
        <f>'Beta Calc'!Q25</f>
        <v>66.8</v>
      </c>
      <c r="K25" s="386">
        <f t="shared" si="9"/>
        <v>62.2</v>
      </c>
      <c r="M25" s="54">
        <f>IFERROR('Capital IQ Sheet-GPC'!AT28,"n/a")</f>
        <v>0</v>
      </c>
      <c r="N25" s="386">
        <f t="shared" si="0"/>
        <v>2.6630410958904109</v>
      </c>
      <c r="O25" s="206">
        <f t="shared" si="0"/>
        <v>2.7329345205479451E-2</v>
      </c>
      <c r="P25" s="207"/>
      <c r="Q25" s="208">
        <f>IFERROR(HLOOKUP($Q$6,'Equity Vol'!$B$8:$I25,ROWS('Equity Vol'!$C$8:$C25),FALSE),"n/a")</f>
        <v>0.93</v>
      </c>
      <c r="R25" s="44"/>
      <c r="S25" s="209">
        <f t="shared" si="10"/>
        <v>0.86490000000000011</v>
      </c>
      <c r="T25" s="209">
        <f t="shared" si="1"/>
        <v>1.8232139302321146</v>
      </c>
      <c r="U25" s="210">
        <f t="shared" si="2"/>
        <v>0.30556303367005722</v>
      </c>
      <c r="V25" s="210">
        <f t="shared" si="3"/>
        <v>0.96586450197302443</v>
      </c>
      <c r="W25" s="210">
        <f t="shared" si="4"/>
        <v>0.62003131506161491</v>
      </c>
      <c r="X25" s="91">
        <f t="shared" si="5"/>
        <v>52.409203361785714</v>
      </c>
      <c r="Y25" s="208">
        <f t="shared" si="11"/>
        <v>0.81130456057169908</v>
      </c>
      <c r="AA25" s="92" t="str">
        <f>IF('MASTER PubCo Inputs'!B43=0,"",'MASTER PubCo Inputs'!B43)</f>
        <v>NasdaqGM:CNAT</v>
      </c>
      <c r="AB25" s="386">
        <f>'Beta Calc'!Z25</f>
        <v>62.3</v>
      </c>
      <c r="AC25" s="93">
        <f t="shared" si="6"/>
        <v>-9.9999999999994316E-2</v>
      </c>
      <c r="AI25" s="94"/>
    </row>
    <row r="26" spans="2:35" ht="12.75" customHeight="1">
      <c r="B26" s="385" t="str">
        <f>'Comp.1'!B26</f>
        <v>Immuron Limited</v>
      </c>
      <c r="D26" s="386">
        <f>'Beta Calc'!K26</f>
        <v>39.700000000000003</v>
      </c>
      <c r="E26" s="386">
        <f>'Beta Calc'!L26</f>
        <v>0</v>
      </c>
      <c r="F26" s="386" t="str">
        <f>'Beta Calc'!M26</f>
        <v xml:space="preserve"> n/a </v>
      </c>
      <c r="G26" s="386" t="str">
        <f>'Beta Calc'!N26</f>
        <v xml:space="preserve"> n/a </v>
      </c>
      <c r="H26" s="386">
        <f t="shared" si="7"/>
        <v>0</v>
      </c>
      <c r="I26" s="386">
        <f t="shared" si="8"/>
        <v>39.700000000000003</v>
      </c>
      <c r="J26" s="386">
        <f>'Beta Calc'!Q26</f>
        <v>0.5</v>
      </c>
      <c r="K26" s="386">
        <f t="shared" si="9"/>
        <v>39.200000000000003</v>
      </c>
      <c r="M26" s="54">
        <f>IFERROR('Capital IQ Sheet-GPC'!AT29,"n/a")</f>
        <v>0</v>
      </c>
      <c r="N26" s="386">
        <f t="shared" si="0"/>
        <v>2.6630410958904109</v>
      </c>
      <c r="O26" s="206">
        <f t="shared" si="0"/>
        <v>2.7329345205479451E-2</v>
      </c>
      <c r="P26" s="207"/>
      <c r="Q26" s="208">
        <f>IFERROR(HLOOKUP($Q$6,'Equity Vol'!$B$8:$I26,ROWS('Equity Vol'!$C$8:$C26),FALSE),"n/a")</f>
        <v>0.96199999999999997</v>
      </c>
      <c r="R26" s="44"/>
      <c r="S26" s="209">
        <f t="shared" si="10"/>
        <v>0.92544399999999993</v>
      </c>
      <c r="T26" s="209">
        <f t="shared" si="1"/>
        <v>0</v>
      </c>
      <c r="U26" s="210">
        <f t="shared" si="2"/>
        <v>0</v>
      </c>
      <c r="V26" s="210">
        <f t="shared" si="3"/>
        <v>0</v>
      </c>
      <c r="W26" s="210">
        <f t="shared" si="4"/>
        <v>0</v>
      </c>
      <c r="X26" s="91">
        <f t="shared" si="5"/>
        <v>0</v>
      </c>
      <c r="Y26" s="208">
        <f t="shared" si="11"/>
        <v>0.96199999999999997</v>
      </c>
      <c r="AA26" s="92" t="str">
        <f>IF('MASTER PubCo Inputs'!B44=0,"",'MASTER PubCo Inputs'!B44)</f>
        <v>ASX:IMC</v>
      </c>
      <c r="AB26" s="386">
        <f>'Beta Calc'!Z26</f>
        <v>39.299999999999997</v>
      </c>
      <c r="AC26" s="93">
        <f t="shared" si="6"/>
        <v>-9.9999999999994316E-2</v>
      </c>
      <c r="AI26" s="94"/>
    </row>
    <row r="27" spans="2:35" ht="12.75" customHeight="1">
      <c r="B27" s="385" t="str">
        <f>'Comp.1'!B27</f>
        <v>AdAlta Limited</v>
      </c>
      <c r="D27" s="386">
        <f>'Beta Calc'!K27</f>
        <v>25.2</v>
      </c>
      <c r="E27" s="386" t="str">
        <f>'Beta Calc'!L27</f>
        <v xml:space="preserve"> -   </v>
      </c>
      <c r="F27" s="386" t="str">
        <f>'Beta Calc'!M27</f>
        <v xml:space="preserve"> n/a </v>
      </c>
      <c r="G27" s="386" t="str">
        <f>'Beta Calc'!N27</f>
        <v xml:space="preserve"> n/a </v>
      </c>
      <c r="H27" s="386">
        <f t="shared" si="7"/>
        <v>0</v>
      </c>
      <c r="I27" s="386">
        <f t="shared" si="8"/>
        <v>25.2</v>
      </c>
      <c r="J27" s="386">
        <f>'Beta Calc'!Q27</f>
        <v>4.0999999999999996</v>
      </c>
      <c r="K27" s="386">
        <f t="shared" si="9"/>
        <v>21.1</v>
      </c>
      <c r="M27" s="54">
        <f>IFERROR('Capital IQ Sheet-GPC'!AT30,"n/a")</f>
        <v>0</v>
      </c>
      <c r="N27" s="386">
        <f t="shared" si="0"/>
        <v>2.6630410958904109</v>
      </c>
      <c r="O27" s="206">
        <f t="shared" si="0"/>
        <v>2.7329345205479451E-2</v>
      </c>
      <c r="P27" s="207"/>
      <c r="Q27" s="208">
        <f>IFERROR(HLOOKUP($Q$6,'Equity Vol'!$B$8:$I27,ROWS('Equity Vol'!$C$8:$C27),FALSE),"n/a")</f>
        <v>0.89800000000000002</v>
      </c>
      <c r="R27" s="44"/>
      <c r="S27" s="209">
        <f t="shared" si="10"/>
        <v>0.80640400000000001</v>
      </c>
      <c r="T27" s="209">
        <f t="shared" si="1"/>
        <v>0</v>
      </c>
      <c r="U27" s="210">
        <f t="shared" si="2"/>
        <v>0</v>
      </c>
      <c r="V27" s="210">
        <f t="shared" si="3"/>
        <v>0</v>
      </c>
      <c r="W27" s="210">
        <f t="shared" si="4"/>
        <v>0</v>
      </c>
      <c r="X27" s="91">
        <f t="shared" si="5"/>
        <v>0</v>
      </c>
      <c r="Y27" s="208">
        <f t="shared" si="11"/>
        <v>0.89800000000000002</v>
      </c>
      <c r="AA27" s="92" t="str">
        <f>IF('MASTER PubCo Inputs'!B45=0,"",'MASTER PubCo Inputs'!B45)</f>
        <v>ASX:1AD</v>
      </c>
      <c r="AB27" s="386">
        <f>'Beta Calc'!Z27</f>
        <v>21.3</v>
      </c>
      <c r="AC27" s="93">
        <f t="shared" si="6"/>
        <v>-0.19999999999999929</v>
      </c>
      <c r="AI27" s="94"/>
    </row>
    <row r="28" spans="2:35" ht="12.75" customHeight="1">
      <c r="B28" s="385" t="str">
        <f>'Comp.1'!B28</f>
        <v>Pulmatrix, Inc.</v>
      </c>
      <c r="D28" s="386">
        <f>'Beta Calc'!K28</f>
        <v>19.3</v>
      </c>
      <c r="E28" s="386">
        <f>'Beta Calc'!L28</f>
        <v>2.5</v>
      </c>
      <c r="F28" s="386" t="str">
        <f>'Beta Calc'!M28</f>
        <v xml:space="preserve"> n/a </v>
      </c>
      <c r="G28" s="386" t="str">
        <f>'Beta Calc'!N28</f>
        <v xml:space="preserve"> n/a </v>
      </c>
      <c r="H28" s="386">
        <f t="shared" si="7"/>
        <v>2.5</v>
      </c>
      <c r="I28" s="386">
        <f t="shared" si="8"/>
        <v>21.8</v>
      </c>
      <c r="J28" s="386">
        <f>'Beta Calc'!Q28</f>
        <v>1.6</v>
      </c>
      <c r="K28" s="386">
        <f t="shared" si="9"/>
        <v>20.2</v>
      </c>
      <c r="M28" s="54">
        <f>IFERROR('Capital IQ Sheet-GPC'!AT31,"n/a")</f>
        <v>0</v>
      </c>
      <c r="N28" s="386">
        <f t="shared" si="0"/>
        <v>2.6630410958904109</v>
      </c>
      <c r="O28" s="206">
        <f t="shared" si="0"/>
        <v>2.7329345205479451E-2</v>
      </c>
      <c r="P28" s="207"/>
      <c r="Q28" s="208">
        <f>IFERROR(HLOOKUP($Q$6,'Equity Vol'!$B$8:$I28,ROWS('Equity Vol'!$C$8:$C28),FALSE),"n/a")</f>
        <v>1.226</v>
      </c>
      <c r="R28" s="44"/>
      <c r="S28" s="209">
        <f t="shared" si="10"/>
        <v>1.5030759999999999</v>
      </c>
      <c r="T28" s="209">
        <f t="shared" si="1"/>
        <v>2.081057748561673</v>
      </c>
      <c r="U28" s="210">
        <f t="shared" si="2"/>
        <v>8.0369577394917791E-2</v>
      </c>
      <c r="V28" s="210">
        <f t="shared" si="3"/>
        <v>0.98128568971933339</v>
      </c>
      <c r="W28" s="210">
        <f t="shared" si="4"/>
        <v>0.53202833883265233</v>
      </c>
      <c r="X28" s="91">
        <f t="shared" si="5"/>
        <v>18.585262896072575</v>
      </c>
      <c r="Y28" s="208">
        <f t="shared" si="11"/>
        <v>1.1495089155549483</v>
      </c>
      <c r="AA28" s="92" t="str">
        <f>IF('MASTER PubCo Inputs'!B46=0,"",'MASTER PubCo Inputs'!B46)</f>
        <v>NasdaqGM:PULM</v>
      </c>
      <c r="AB28" s="386">
        <f>'Beta Calc'!Z28</f>
        <v>20.3</v>
      </c>
      <c r="AC28" s="93">
        <f t="shared" si="6"/>
        <v>-0.10000000000000142</v>
      </c>
      <c r="AI28" s="94"/>
    </row>
    <row r="29" spans="2:35" ht="12.75" customHeight="1">
      <c r="B29" s="385" t="str">
        <f>'Comp.1'!B29</f>
        <v>AmpliPhi Biosciences Corporation</v>
      </c>
      <c r="D29" s="386">
        <f>'Beta Calc'!K29</f>
        <v>16.5</v>
      </c>
      <c r="E29" s="386" t="str">
        <f>'Beta Calc'!L29</f>
        <v xml:space="preserve"> -   </v>
      </c>
      <c r="F29" s="386" t="str">
        <f>'Beta Calc'!M29</f>
        <v xml:space="preserve"> n/a </v>
      </c>
      <c r="G29" s="386" t="str">
        <f>'Beta Calc'!N29</f>
        <v xml:space="preserve"> n/a </v>
      </c>
      <c r="H29" s="386">
        <f t="shared" si="7"/>
        <v>0</v>
      </c>
      <c r="I29" s="386">
        <f t="shared" si="8"/>
        <v>16.5</v>
      </c>
      <c r="J29" s="386">
        <f>'Beta Calc'!Q29</f>
        <v>8.1999999999999993</v>
      </c>
      <c r="K29" s="386">
        <f t="shared" si="9"/>
        <v>8.3000000000000007</v>
      </c>
      <c r="M29" s="54">
        <f>IFERROR('Capital IQ Sheet-GPC'!AT32,"n/a")</f>
        <v>0</v>
      </c>
      <c r="N29" s="386">
        <f t="shared" si="0"/>
        <v>2.6630410958904109</v>
      </c>
      <c r="O29" s="206">
        <f t="shared" si="0"/>
        <v>2.7329345205479451E-2</v>
      </c>
      <c r="P29" s="207"/>
      <c r="Q29" s="208">
        <f>IFERROR(HLOOKUP($Q$6,'Equity Vol'!$B$8:$I29,ROWS('Equity Vol'!$C$8:$C29),FALSE),"n/a")</f>
        <v>1.2470000000000001</v>
      </c>
      <c r="R29" s="44"/>
      <c r="S29" s="209">
        <f t="shared" si="10"/>
        <v>1.5550090000000003</v>
      </c>
      <c r="T29" s="209">
        <f t="shared" si="1"/>
        <v>0</v>
      </c>
      <c r="U29" s="210">
        <f t="shared" si="2"/>
        <v>0</v>
      </c>
      <c r="V29" s="210">
        <f t="shared" si="3"/>
        <v>0</v>
      </c>
      <c r="W29" s="210">
        <f t="shared" si="4"/>
        <v>0</v>
      </c>
      <c r="X29" s="91">
        <f t="shared" si="5"/>
        <v>0</v>
      </c>
      <c r="Y29" s="208">
        <f t="shared" si="11"/>
        <v>1.2470000000000001</v>
      </c>
      <c r="AA29" s="92" t="str">
        <f>IF('MASTER PubCo Inputs'!B47=0,"",'MASTER PubCo Inputs'!B47)</f>
        <v>AMEX:APHB</v>
      </c>
      <c r="AB29" s="386">
        <f>'Beta Calc'!Z29</f>
        <v>8.3000000000000007</v>
      </c>
      <c r="AC29" s="93">
        <f t="shared" si="6"/>
        <v>0</v>
      </c>
      <c r="AI29" s="94"/>
    </row>
    <row r="30" spans="2:35" ht="12.75" hidden="1" customHeight="1" outlineLevel="1">
      <c r="D30" s="386"/>
      <c r="E30" s="386"/>
      <c r="F30" s="386"/>
      <c r="G30" s="386"/>
      <c r="H30" s="386"/>
      <c r="I30" s="386"/>
      <c r="J30" s="386"/>
      <c r="K30" s="386"/>
      <c r="M30" s="54"/>
      <c r="N30" s="386"/>
      <c r="O30" s="206"/>
      <c r="P30" s="207"/>
      <c r="Q30" s="208"/>
      <c r="R30" s="44"/>
      <c r="S30" s="209"/>
      <c r="T30" s="209"/>
      <c r="U30" s="210"/>
      <c r="V30" s="210"/>
      <c r="W30" s="210"/>
      <c r="X30" s="91"/>
      <c r="Y30" s="208"/>
      <c r="AA30" s="92"/>
      <c r="AB30" s="386"/>
      <c r="AC30" s="93"/>
      <c r="AI30" s="94"/>
    </row>
    <row r="31" spans="2:35" ht="12.75" hidden="1" customHeight="1" outlineLevel="1">
      <c r="D31" s="386"/>
      <c r="E31" s="386"/>
      <c r="F31" s="386"/>
      <c r="G31" s="386"/>
      <c r="H31" s="386"/>
      <c r="I31" s="386"/>
      <c r="J31" s="386"/>
      <c r="K31" s="386"/>
      <c r="M31" s="54"/>
      <c r="N31" s="386"/>
      <c r="O31" s="206"/>
      <c r="P31" s="207"/>
      <c r="Q31" s="208"/>
      <c r="R31" s="44"/>
      <c r="S31" s="209"/>
      <c r="T31" s="209"/>
      <c r="U31" s="210"/>
      <c r="V31" s="210"/>
      <c r="W31" s="210"/>
      <c r="X31" s="91"/>
      <c r="Y31" s="208"/>
      <c r="AA31" s="92"/>
      <c r="AB31" s="386"/>
      <c r="AC31" s="93"/>
      <c r="AI31" s="94"/>
    </row>
    <row r="32" spans="2:35" ht="12.75" hidden="1" customHeight="1" outlineLevel="1">
      <c r="D32" s="386"/>
      <c r="E32" s="386"/>
      <c r="F32" s="386"/>
      <c r="G32" s="386"/>
      <c r="H32" s="386"/>
      <c r="I32" s="386"/>
      <c r="J32" s="386"/>
      <c r="K32" s="386"/>
      <c r="M32" s="54"/>
      <c r="N32" s="386"/>
      <c r="O32" s="206"/>
      <c r="P32" s="207"/>
      <c r="Q32" s="208"/>
      <c r="R32" s="44"/>
      <c r="S32" s="209"/>
      <c r="T32" s="209"/>
      <c r="U32" s="210"/>
      <c r="V32" s="210"/>
      <c r="W32" s="210"/>
      <c r="X32" s="91"/>
      <c r="Y32" s="208"/>
      <c r="AA32" s="92"/>
      <c r="AB32" s="386"/>
      <c r="AC32" s="93"/>
      <c r="AI32" s="94"/>
    </row>
    <row r="33" spans="2:35" ht="12.75" hidden="1" customHeight="1" outlineLevel="1">
      <c r="D33" s="386"/>
      <c r="E33" s="386"/>
      <c r="F33" s="386"/>
      <c r="G33" s="386"/>
      <c r="H33" s="386"/>
      <c r="I33" s="386"/>
      <c r="J33" s="386"/>
      <c r="K33" s="386"/>
      <c r="M33" s="54"/>
      <c r="N33" s="386"/>
      <c r="O33" s="206"/>
      <c r="P33" s="207"/>
      <c r="Q33" s="208"/>
      <c r="R33" s="44"/>
      <c r="S33" s="209"/>
      <c r="T33" s="209"/>
      <c r="U33" s="210"/>
      <c r="V33" s="210"/>
      <c r="W33" s="210"/>
      <c r="X33" s="91"/>
      <c r="Y33" s="208"/>
      <c r="AA33" s="92"/>
      <c r="AB33" s="386"/>
      <c r="AC33" s="93"/>
      <c r="AI33" s="94"/>
    </row>
    <row r="34" spans="2:35" ht="12.75" hidden="1" customHeight="1" outlineLevel="1">
      <c r="D34" s="386"/>
      <c r="E34" s="386"/>
      <c r="F34" s="386"/>
      <c r="G34" s="386"/>
      <c r="H34" s="386"/>
      <c r="I34" s="386"/>
      <c r="J34" s="386"/>
      <c r="K34" s="386"/>
      <c r="M34" s="54"/>
      <c r="N34" s="386"/>
      <c r="O34" s="206"/>
      <c r="P34" s="207"/>
      <c r="Q34" s="208"/>
      <c r="R34" s="44"/>
      <c r="S34" s="209"/>
      <c r="T34" s="209"/>
      <c r="U34" s="210"/>
      <c r="V34" s="210"/>
      <c r="W34" s="210"/>
      <c r="X34" s="91"/>
      <c r="Y34" s="208"/>
      <c r="AA34" s="92"/>
      <c r="AB34" s="386"/>
      <c r="AC34" s="93"/>
      <c r="AI34" s="94"/>
    </row>
    <row r="35" spans="2:35" ht="12.75" hidden="1" customHeight="1" outlineLevel="1">
      <c r="D35" s="386"/>
      <c r="E35" s="386"/>
      <c r="F35" s="386"/>
      <c r="G35" s="386"/>
      <c r="H35" s="386"/>
      <c r="I35" s="386"/>
      <c r="J35" s="386"/>
      <c r="K35" s="386"/>
      <c r="M35" s="54"/>
      <c r="N35" s="386"/>
      <c r="O35" s="206"/>
      <c r="P35" s="207"/>
      <c r="Q35" s="208"/>
      <c r="R35" s="44"/>
      <c r="S35" s="209"/>
      <c r="T35" s="209"/>
      <c r="U35" s="210"/>
      <c r="V35" s="210"/>
      <c r="W35" s="210"/>
      <c r="X35" s="91"/>
      <c r="Y35" s="208"/>
      <c r="AA35" s="92"/>
      <c r="AB35" s="386"/>
      <c r="AC35" s="93"/>
      <c r="AI35" s="94"/>
    </row>
    <row r="36" spans="2:35" ht="12.75" hidden="1" customHeight="1" outlineLevel="1">
      <c r="D36" s="386"/>
      <c r="E36" s="386"/>
      <c r="F36" s="386"/>
      <c r="G36" s="386"/>
      <c r="H36" s="386"/>
      <c r="I36" s="386"/>
      <c r="J36" s="386"/>
      <c r="K36" s="386"/>
      <c r="M36" s="54"/>
      <c r="N36" s="386"/>
      <c r="O36" s="206"/>
      <c r="P36" s="207"/>
      <c r="Q36" s="208"/>
      <c r="R36" s="44"/>
      <c r="S36" s="209"/>
      <c r="T36" s="209"/>
      <c r="U36" s="210"/>
      <c r="V36" s="210"/>
      <c r="W36" s="210"/>
      <c r="X36" s="386"/>
      <c r="Y36" s="208"/>
      <c r="AA36" s="92" t="str">
        <f>IF('MASTER PubCo Inputs'!B54=0,"",'MASTER PubCo Inputs'!B54)</f>
        <v/>
      </c>
      <c r="AB36" s="386">
        <f>'Beta Calc'!Z36</f>
        <v>0</v>
      </c>
      <c r="AC36" s="93">
        <f t="shared" si="6"/>
        <v>0</v>
      </c>
      <c r="AI36" s="94"/>
    </row>
    <row r="37" spans="2:35" ht="12.75" hidden="1" customHeight="1" outlineLevel="1">
      <c r="D37" s="386"/>
      <c r="E37" s="386"/>
      <c r="F37" s="386"/>
      <c r="G37" s="386"/>
      <c r="H37" s="386"/>
      <c r="I37" s="386"/>
      <c r="J37" s="386"/>
      <c r="K37" s="386"/>
      <c r="M37" s="54"/>
      <c r="N37" s="386"/>
      <c r="O37" s="206"/>
      <c r="P37" s="207"/>
      <c r="Q37" s="208"/>
      <c r="R37" s="44"/>
      <c r="S37" s="209"/>
      <c r="T37" s="209"/>
      <c r="U37" s="210"/>
      <c r="V37" s="210"/>
      <c r="W37" s="210"/>
      <c r="X37" s="386"/>
      <c r="Y37" s="208"/>
      <c r="AA37" s="92" t="str">
        <f>IF('MASTER PubCo Inputs'!B55=0,"",'MASTER PubCo Inputs'!B55)</f>
        <v/>
      </c>
      <c r="AB37" s="386">
        <f>'Beta Calc'!Z37</f>
        <v>0</v>
      </c>
      <c r="AC37" s="93">
        <f t="shared" si="6"/>
        <v>0</v>
      </c>
      <c r="AI37" s="94"/>
    </row>
    <row r="38" spans="2:35" ht="12.75" hidden="1" customHeight="1" outlineLevel="1">
      <c r="D38" s="386"/>
      <c r="E38" s="386"/>
      <c r="F38" s="386"/>
      <c r="G38" s="386"/>
      <c r="H38" s="386"/>
      <c r="I38" s="386"/>
      <c r="J38" s="386"/>
      <c r="K38" s="386"/>
      <c r="M38" s="54"/>
      <c r="N38" s="386"/>
      <c r="O38" s="206"/>
      <c r="P38" s="207"/>
      <c r="Q38" s="208"/>
      <c r="R38" s="44"/>
      <c r="S38" s="209"/>
      <c r="T38" s="209"/>
      <c r="U38" s="210"/>
      <c r="V38" s="210"/>
      <c r="W38" s="210"/>
      <c r="X38" s="386"/>
      <c r="Y38" s="208"/>
      <c r="AA38" s="92" t="str">
        <f>IF('MASTER PubCo Inputs'!B56=0,"",'MASTER PubCo Inputs'!B56)</f>
        <v/>
      </c>
      <c r="AB38" s="386">
        <f>'Beta Calc'!Z38</f>
        <v>0</v>
      </c>
      <c r="AC38" s="93">
        <f t="shared" si="6"/>
        <v>0</v>
      </c>
      <c r="AI38" s="94"/>
    </row>
    <row r="39" spans="2:35" ht="12.75" hidden="1" customHeight="1" outlineLevel="1">
      <c r="D39" s="386"/>
      <c r="E39" s="386"/>
      <c r="F39" s="386"/>
      <c r="G39" s="386"/>
      <c r="H39" s="386"/>
      <c r="I39" s="386"/>
      <c r="J39" s="386"/>
      <c r="K39" s="386"/>
      <c r="M39" s="54"/>
      <c r="N39" s="386"/>
      <c r="O39" s="206"/>
      <c r="P39" s="207"/>
      <c r="Q39" s="208"/>
      <c r="R39" s="44"/>
      <c r="S39" s="209"/>
      <c r="T39" s="209"/>
      <c r="U39" s="210"/>
      <c r="V39" s="210"/>
      <c r="W39" s="210"/>
      <c r="X39" s="386"/>
      <c r="Y39" s="208"/>
      <c r="AA39" s="92" t="str">
        <f>IF('MASTER PubCo Inputs'!B57=0,"",'MASTER PubCo Inputs'!B57)</f>
        <v/>
      </c>
      <c r="AB39" s="386">
        <f>'Beta Calc'!Z39</f>
        <v>0</v>
      </c>
      <c r="AC39" s="93">
        <f t="shared" si="6"/>
        <v>0</v>
      </c>
      <c r="AI39" s="94"/>
    </row>
    <row r="40" spans="2:35" ht="12.75" customHeight="1" collapsed="1">
      <c r="D40" s="386"/>
      <c r="E40" s="386"/>
      <c r="F40" s="386"/>
      <c r="G40" s="386"/>
      <c r="H40" s="386"/>
      <c r="I40" s="386"/>
      <c r="J40" s="386"/>
      <c r="K40" s="386"/>
      <c r="R40" s="20"/>
    </row>
    <row r="41" spans="2:35" ht="12.75" customHeight="1">
      <c r="B41" s="753" t="s">
        <v>46</v>
      </c>
      <c r="C41" s="769"/>
      <c r="D41" s="768">
        <f>MAX(D10:D39)</f>
        <v>44574.8</v>
      </c>
      <c r="E41" s="768">
        <f t="shared" ref="E41:K41" si="12">MAX(E10:E39)</f>
        <v>592.70000000000005</v>
      </c>
      <c r="F41" s="768">
        <f t="shared" si="12"/>
        <v>40.700000000000003</v>
      </c>
      <c r="G41" s="768">
        <f t="shared" si="12"/>
        <v>28.7</v>
      </c>
      <c r="H41" s="768">
        <f t="shared" si="12"/>
        <v>621.40000000000009</v>
      </c>
      <c r="I41" s="768">
        <f t="shared" si="12"/>
        <v>45196.2</v>
      </c>
      <c r="J41" s="768">
        <f t="shared" si="12"/>
        <v>2767.8</v>
      </c>
      <c r="K41" s="768">
        <f t="shared" si="12"/>
        <v>42428.399999999994</v>
      </c>
      <c r="L41" s="769"/>
      <c r="M41" s="773">
        <f t="shared" ref="M41:O41" si="13">MAX(M10:M39)</f>
        <v>0</v>
      </c>
      <c r="N41" s="768">
        <f t="shared" si="13"/>
        <v>2.6630410958904109</v>
      </c>
      <c r="O41" s="775">
        <f t="shared" si="13"/>
        <v>2.7329345205479451E-2</v>
      </c>
      <c r="P41" s="776"/>
      <c r="Q41" s="777">
        <f>MAX(Q10:Q39)</f>
        <v>1.2470000000000001</v>
      </c>
      <c r="R41" s="778"/>
      <c r="S41" s="779">
        <f t="shared" ref="S41:W41" si="14">MAX(S10:S40)</f>
        <v>1.5550090000000003</v>
      </c>
      <c r="T41" s="779">
        <f t="shared" si="14"/>
        <v>6.8927122968932437</v>
      </c>
      <c r="U41" s="780">
        <f t="shared" si="14"/>
        <v>6.2383273404186363</v>
      </c>
      <c r="V41" s="780">
        <f t="shared" si="14"/>
        <v>0.99999999999726308</v>
      </c>
      <c r="W41" s="780">
        <f t="shared" si="14"/>
        <v>0.99999999977886278</v>
      </c>
      <c r="X41" s="768">
        <f t="shared" ref="X41:Y41" si="15">MAX(X10:X39)</f>
        <v>41850.618466481392</v>
      </c>
      <c r="Y41" s="781">
        <f t="shared" si="15"/>
        <v>1.2470000000000001</v>
      </c>
      <c r="AB41" s="817">
        <f>+'Asset Vol_OPM BackSolve'!Y49</f>
        <v>0.90935264718767195</v>
      </c>
      <c r="AC41" s="818" t="s">
        <v>1112</v>
      </c>
      <c r="AD41" s="818"/>
      <c r="AE41" s="818"/>
      <c r="AF41" s="792"/>
    </row>
    <row r="42" spans="2:35" ht="12.75" customHeight="1">
      <c r="B42" s="339" t="s">
        <v>50</v>
      </c>
      <c r="C42" s="75"/>
      <c r="D42" s="99">
        <f t="shared" ref="D42:K42" si="16">QUARTILE(D10:D39,3)</f>
        <v>2055.25</v>
      </c>
      <c r="E42" s="99">
        <f t="shared" si="16"/>
        <v>196.6</v>
      </c>
      <c r="F42" s="99">
        <f t="shared" si="16"/>
        <v>32.775000000000006</v>
      </c>
      <c r="G42" s="99">
        <f t="shared" si="16"/>
        <v>24</v>
      </c>
      <c r="H42" s="99">
        <f t="shared" si="16"/>
        <v>89.025000000000006</v>
      </c>
      <c r="I42" s="99">
        <f t="shared" si="16"/>
        <v>2372.125</v>
      </c>
      <c r="J42" s="99">
        <f t="shared" si="16"/>
        <v>326.77500000000003</v>
      </c>
      <c r="K42" s="99">
        <f t="shared" si="16"/>
        <v>1775.65</v>
      </c>
      <c r="L42" s="75"/>
      <c r="M42" s="139">
        <f>QUARTILE(M10:M39,3)</f>
        <v>0</v>
      </c>
      <c r="N42" s="99">
        <f>QUARTILE(N10:N39,3)</f>
        <v>2.6630410958904109</v>
      </c>
      <c r="O42" s="211">
        <f>QUARTILE(O10:O39,3)</f>
        <v>2.7329345205479451E-2</v>
      </c>
      <c r="P42" s="212"/>
      <c r="Q42" s="213">
        <f>QUARTILE(Q10:Q39,3)</f>
        <v>0.96575</v>
      </c>
      <c r="R42" s="214"/>
      <c r="S42" s="215">
        <f>QUARTILE(S10:S40,3)</f>
        <v>0.93271525</v>
      </c>
      <c r="T42" s="215">
        <f>QUARTILE(T10:T40,3)</f>
        <v>2.9283034922891473</v>
      </c>
      <c r="U42" s="216">
        <f>QUARTILE(U10:U40,3)</f>
        <v>1.7778261997340394</v>
      </c>
      <c r="V42" s="216">
        <f>QUARTILE(V10:V40,3)</f>
        <v>0.99821378399574112</v>
      </c>
      <c r="W42" s="216">
        <f>QUARTILE(W10:W40,3)</f>
        <v>0.96182432699398934</v>
      </c>
      <c r="X42" s="99">
        <f>QUARTILE(X10:X39,3)</f>
        <v>386.92624511595386</v>
      </c>
      <c r="Y42" s="217">
        <f>QUARTILE(Y10:Y39,3)</f>
        <v>0.96575</v>
      </c>
      <c r="AB42" s="819">
        <f>+'Asset Vol_OPM BackSolve'!Y51</f>
        <v>0.90935264718767195</v>
      </c>
      <c r="AC42" s="16" t="s">
        <v>1113</v>
      </c>
      <c r="AD42" s="16"/>
      <c r="AE42" s="16"/>
      <c r="AF42" s="197"/>
    </row>
    <row r="43" spans="2:35" ht="12.75" customHeight="1">
      <c r="B43" s="339" t="s">
        <v>48</v>
      </c>
      <c r="C43" s="75"/>
      <c r="D43" s="99">
        <f>AVERAGE(D10:D39)</f>
        <v>3369.4600000000005</v>
      </c>
      <c r="E43" s="99">
        <f t="shared" ref="E43:K43" si="17">AVERAGE(E10:E39)</f>
        <v>126.9076923076923</v>
      </c>
      <c r="F43" s="99">
        <f t="shared" si="17"/>
        <v>24.85</v>
      </c>
      <c r="G43" s="99">
        <f t="shared" si="17"/>
        <v>16</v>
      </c>
      <c r="H43" s="99">
        <f t="shared" si="17"/>
        <v>87.375</v>
      </c>
      <c r="I43" s="99">
        <f t="shared" si="17"/>
        <v>3456.835</v>
      </c>
      <c r="J43" s="99">
        <f t="shared" si="17"/>
        <v>343.37000000000012</v>
      </c>
      <c r="K43" s="99">
        <f t="shared" si="17"/>
        <v>3113.4649999999992</v>
      </c>
      <c r="L43" s="75"/>
      <c r="M43" s="139">
        <f t="shared" ref="M43:O43" si="18">AVERAGE(M10:M39)</f>
        <v>0</v>
      </c>
      <c r="N43" s="99">
        <f t="shared" si="18"/>
        <v>2.6630410958904114</v>
      </c>
      <c r="O43" s="211">
        <f t="shared" si="18"/>
        <v>2.7329345205479461E-2</v>
      </c>
      <c r="P43" s="212"/>
      <c r="Q43" s="213">
        <f>AVERAGE(Q10:Q39)</f>
        <v>0.7781499999999999</v>
      </c>
      <c r="R43" s="214"/>
      <c r="S43" s="215">
        <f t="shared" ref="S43:W43" si="19">AVERAGE(S10:S40)</f>
        <v>0.66543975000000011</v>
      </c>
      <c r="T43" s="215">
        <f t="shared" si="19"/>
        <v>2.1099435186430613</v>
      </c>
      <c r="U43" s="216">
        <f t="shared" si="19"/>
        <v>1.3332489549670272</v>
      </c>
      <c r="V43" s="216">
        <f t="shared" si="19"/>
        <v>0.64418202428479976</v>
      </c>
      <c r="W43" s="216">
        <f t="shared" si="19"/>
        <v>0.57247764928901834</v>
      </c>
      <c r="X43" s="99">
        <f t="shared" ref="X43:Y43" si="20">AVERAGE(X10:X39)</f>
        <v>2590.822539513927</v>
      </c>
      <c r="Y43" s="217">
        <f t="shared" si="20"/>
        <v>0.74016058875068791</v>
      </c>
      <c r="AB43" s="819">
        <f>+'Asset Vol_OPM BackSolve'!Y47</f>
        <v>0.90935264718767195</v>
      </c>
      <c r="AC43" s="16" t="s">
        <v>1111</v>
      </c>
      <c r="AD43" s="16"/>
      <c r="AE43" s="16"/>
      <c r="AF43" s="820" t="s">
        <v>1242</v>
      </c>
    </row>
    <row r="44" spans="2:35" ht="12.75" customHeight="1">
      <c r="B44" s="339" t="s">
        <v>3</v>
      </c>
      <c r="C44" s="75"/>
      <c r="D44" s="99">
        <f>MEDIAN(D10:D39)</f>
        <v>327.60000000000002</v>
      </c>
      <c r="E44" s="99">
        <f t="shared" ref="E44:K44" si="21">MEDIAN(E10:E39)</f>
        <v>15.2</v>
      </c>
      <c r="F44" s="99">
        <f t="shared" si="21"/>
        <v>24.85</v>
      </c>
      <c r="G44" s="99">
        <f t="shared" si="21"/>
        <v>19.3</v>
      </c>
      <c r="H44" s="99">
        <f t="shared" si="21"/>
        <v>8.85</v>
      </c>
      <c r="I44" s="99">
        <f t="shared" si="21"/>
        <v>344.2</v>
      </c>
      <c r="J44" s="99">
        <f t="shared" si="21"/>
        <v>68.900000000000006</v>
      </c>
      <c r="K44" s="99">
        <f t="shared" si="21"/>
        <v>298.75</v>
      </c>
      <c r="L44" s="75"/>
      <c r="M44" s="139">
        <f t="shared" ref="M44:O44" si="22">MEDIAN(M10:M39)</f>
        <v>0</v>
      </c>
      <c r="N44" s="99">
        <f t="shared" si="22"/>
        <v>2.6630410958904109</v>
      </c>
      <c r="O44" s="211">
        <f t="shared" si="22"/>
        <v>2.7329345205479451E-2</v>
      </c>
      <c r="P44" s="212"/>
      <c r="Q44" s="213">
        <f>MEDIAN(Q10:Q39)</f>
        <v>0.71550000000000002</v>
      </c>
      <c r="R44" s="214"/>
      <c r="S44" s="215">
        <f t="shared" ref="S44:W44" si="23">MEDIAN(S10:S40)</f>
        <v>0.51221249999999996</v>
      </c>
      <c r="T44" s="215">
        <f t="shared" si="23"/>
        <v>2.1070359207600875</v>
      </c>
      <c r="U44" s="216">
        <f t="shared" si="23"/>
        <v>0.95181209054022109</v>
      </c>
      <c r="V44" s="216">
        <f t="shared" si="23"/>
        <v>0.98241195232657197</v>
      </c>
      <c r="W44" s="216">
        <f t="shared" si="23"/>
        <v>0.82885804501352356</v>
      </c>
      <c r="X44" s="99">
        <f t="shared" ref="X44:Y44" si="24">MEDIAN(X10:X39)</f>
        <v>136.30483265174686</v>
      </c>
      <c r="Y44" s="217">
        <f t="shared" si="24"/>
        <v>0.67179880024530225</v>
      </c>
      <c r="AB44" s="821" t="str">
        <f>IF(ROUND(AB41,3)=ROUND(AB43,3),"","Update Volatility - OPM")</f>
        <v/>
      </c>
      <c r="AC44" s="16"/>
      <c r="AD44" s="16"/>
      <c r="AE44" s="16"/>
      <c r="AF44" s="197"/>
    </row>
    <row r="45" spans="2:35" ht="12.75" customHeight="1">
      <c r="B45" s="339" t="s">
        <v>49</v>
      </c>
      <c r="C45" s="75"/>
      <c r="D45" s="99">
        <f>QUARTILE(D10:D39,1)</f>
        <v>174.95</v>
      </c>
      <c r="E45" s="99">
        <f t="shared" ref="E45:K45" si="25">QUARTILE(E10:E39,1)</f>
        <v>8.6999999999999993</v>
      </c>
      <c r="F45" s="99">
        <f t="shared" si="25"/>
        <v>16.925000000000001</v>
      </c>
      <c r="G45" s="99">
        <f t="shared" si="25"/>
        <v>9.65</v>
      </c>
      <c r="H45" s="99">
        <f t="shared" si="25"/>
        <v>0</v>
      </c>
      <c r="I45" s="99">
        <f t="shared" si="25"/>
        <v>185.77499999999998</v>
      </c>
      <c r="J45" s="99">
        <f t="shared" si="25"/>
        <v>13.675000000000001</v>
      </c>
      <c r="K45" s="99">
        <f t="shared" si="25"/>
        <v>110.5</v>
      </c>
      <c r="L45" s="75"/>
      <c r="M45" s="139">
        <f t="shared" ref="M45:O45" si="26">QUARTILE(M10:M39,1)</f>
        <v>0</v>
      </c>
      <c r="N45" s="99">
        <f t="shared" si="26"/>
        <v>2.6630410958904109</v>
      </c>
      <c r="O45" s="211">
        <f t="shared" si="26"/>
        <v>2.7329345205479451E-2</v>
      </c>
      <c r="P45" s="212"/>
      <c r="Q45" s="213">
        <f>QUARTILE(Q10:Q39,1)</f>
        <v>0.60075000000000001</v>
      </c>
      <c r="R45" s="214"/>
      <c r="S45" s="215">
        <f t="shared" ref="S45:W45" si="27">QUARTILE(S10:S40,1)</f>
        <v>0.36090074999999999</v>
      </c>
      <c r="T45" s="215">
        <f t="shared" si="27"/>
        <v>0</v>
      </c>
      <c r="U45" s="216">
        <f t="shared" si="27"/>
        <v>0</v>
      </c>
      <c r="V45" s="216">
        <f t="shared" si="27"/>
        <v>0</v>
      </c>
      <c r="W45" s="216">
        <f t="shared" si="27"/>
        <v>0</v>
      </c>
      <c r="X45" s="99">
        <f t="shared" ref="X45:Y45" si="28">QUARTILE(X10:X39,1)</f>
        <v>0</v>
      </c>
      <c r="Y45" s="217">
        <f t="shared" si="28"/>
        <v>0.56288289351733622</v>
      </c>
      <c r="AB45" s="822" t="str">
        <f>IF(ROUND(AB42,3)=ROUND(AB43,3),"","Update Volatility - DLOM")</f>
        <v/>
      </c>
      <c r="AC45" s="5"/>
      <c r="AD45" s="5"/>
      <c r="AE45" s="5"/>
      <c r="AF45" s="427"/>
    </row>
    <row r="46" spans="2:35" ht="12.75" customHeight="1">
      <c r="B46" s="101" t="s">
        <v>47</v>
      </c>
      <c r="C46" s="68"/>
      <c r="D46" s="71">
        <f t="shared" ref="D46:K46" si="29">MIN(D10:D39)</f>
        <v>16.5</v>
      </c>
      <c r="E46" s="71">
        <f t="shared" si="29"/>
        <v>0</v>
      </c>
      <c r="F46" s="71">
        <f t="shared" si="29"/>
        <v>9</v>
      </c>
      <c r="G46" s="71">
        <f t="shared" si="29"/>
        <v>0</v>
      </c>
      <c r="H46" s="71">
        <f t="shared" si="29"/>
        <v>0</v>
      </c>
      <c r="I46" s="71">
        <f t="shared" si="29"/>
        <v>16.5</v>
      </c>
      <c r="J46" s="71">
        <f t="shared" si="29"/>
        <v>0.5</v>
      </c>
      <c r="K46" s="71">
        <f t="shared" si="29"/>
        <v>8.3000000000000007</v>
      </c>
      <c r="L46" s="68"/>
      <c r="M46" s="141">
        <f>MIN(M10:M39)</f>
        <v>0</v>
      </c>
      <c r="N46" s="71">
        <f>MIN(N10:N39)</f>
        <v>2.6630410958904109</v>
      </c>
      <c r="O46" s="782">
        <f>MIN(O10:O39)</f>
        <v>2.7329345205479451E-2</v>
      </c>
      <c r="P46" s="783"/>
      <c r="Q46" s="784">
        <f>MIN(Q10:Q39)</f>
        <v>0.40100000000000002</v>
      </c>
      <c r="R46" s="785"/>
      <c r="S46" s="786">
        <f>MIN(S10:S40)</f>
        <v>0.16080100000000003</v>
      </c>
      <c r="T46" s="786">
        <f>MIN(T10:T40)</f>
        <v>0</v>
      </c>
      <c r="U46" s="787">
        <f>MIN(U10:U40)</f>
        <v>0</v>
      </c>
      <c r="V46" s="787">
        <f>MIN(V10:V40)</f>
        <v>0</v>
      </c>
      <c r="W46" s="787">
        <f>MIN(W10:W40)</f>
        <v>0</v>
      </c>
      <c r="X46" s="71">
        <f>MIN(X10:X39)</f>
        <v>0</v>
      </c>
      <c r="Y46" s="788">
        <f>MIN(Y10:Y39)</f>
        <v>0.37581943307423682</v>
      </c>
      <c r="AB46" s="496" t="str">
        <f ca="1">IF(K49&lt;&gt;K51,"Check","")</f>
        <v/>
      </c>
    </row>
    <row r="47" spans="2:35" ht="12.75" customHeight="1">
      <c r="B47" s="2039" t="s">
        <v>147</v>
      </c>
      <c r="C47" s="2040"/>
      <c r="D47" s="2041"/>
      <c r="E47" s="2041"/>
      <c r="F47" s="2041"/>
      <c r="G47" s="2041"/>
      <c r="H47" s="2041"/>
      <c r="I47" s="2041"/>
      <c r="J47" s="2041"/>
      <c r="K47" s="2041"/>
      <c r="L47" s="2040"/>
      <c r="M47" s="2042"/>
      <c r="N47" s="2041"/>
      <c r="O47" s="2043"/>
      <c r="P47" s="2044"/>
      <c r="Q47" s="2045"/>
      <c r="R47" s="2046"/>
      <c r="S47" s="2047"/>
      <c r="T47" s="2047"/>
      <c r="U47" s="2048"/>
      <c r="V47" s="2048"/>
      <c r="W47" s="2048"/>
      <c r="X47" s="2041"/>
      <c r="Y47" s="2049">
        <f>QUARTILE(Y42:Y43,3)</f>
        <v>0.90935264718767195</v>
      </c>
      <c r="Z47" s="441" t="s">
        <v>148</v>
      </c>
      <c r="AB47" s="496"/>
    </row>
    <row r="48" spans="2:35" ht="12.75" customHeight="1">
      <c r="AB48" s="962" t="str">
        <f ca="1">IF(AND(AB44=$AF$45,AB46=$AF$45,AB45=$AF$45),"","Check")</f>
        <v/>
      </c>
    </row>
    <row r="49" spans="1:25" ht="12.75" customHeight="1">
      <c r="B49" s="218" t="str">
        <f>B2</f>
        <v>Pliant Therapeutics, Inc.</v>
      </c>
      <c r="C49" s="459" t="s">
        <v>132</v>
      </c>
      <c r="D49" s="1528">
        <f ca="1">'OPM Backsolve WP2'!D16/1000</f>
        <v>136.17068980112427</v>
      </c>
      <c r="E49" s="1528">
        <f>'Hist BS'!H52/1000</f>
        <v>0</v>
      </c>
      <c r="F49" s="219"/>
      <c r="G49" s="219"/>
      <c r="H49" s="220">
        <f>SUM(E49:G49)+0.0000000001</f>
        <v>1E-10</v>
      </c>
      <c r="I49" s="1830">
        <f ca="1">SUM(D49:H49)</f>
        <v>136.17068980122426</v>
      </c>
      <c r="J49" s="1389">
        <f>'Hist BS'!H50</f>
        <v>0</v>
      </c>
      <c r="K49" s="229">
        <f ca="1">I49-J49</f>
        <v>136.17068980122426</v>
      </c>
      <c r="L49" s="219"/>
      <c r="M49" s="221">
        <f>'OPM 1'!D13</f>
        <v>0</v>
      </c>
      <c r="N49" s="222">
        <f>N$6</f>
        <v>2.6630410958904109</v>
      </c>
      <c r="O49" s="223">
        <f>O$6</f>
        <v>2.7329345205479451E-2</v>
      </c>
      <c r="P49" s="224"/>
      <c r="Q49" s="2180">
        <f ca="1">Y49*((K49/X49)*V49)</f>
        <v>0.9093526471882929</v>
      </c>
      <c r="R49" s="219"/>
      <c r="S49" s="226">
        <f ca="1">IF(Q49="n/a","n/a",Q49^2)</f>
        <v>0.82692223694835587</v>
      </c>
      <c r="T49" s="226">
        <f ca="1">IF(OR(K49="n/a",S49="n/a"),"n/a",IF(H49=0,0,IF(M49=0,(LN(K49/H49)+((O49+(S49/2))*N49))/((S49*N49)^0.5),(LN(K49/H49)+((O49-M49+(S49/2))*N49))/((S49*N49)^0.5))))</f>
        <v>19.61890161126075</v>
      </c>
      <c r="U49" s="227">
        <f ca="1">IF(T49="n/a","n/a",IF(H49=0,0,T49-(S49*N49)^0.5))</f>
        <v>18.13494477223237</v>
      </c>
      <c r="V49" s="227">
        <f ca="1">IF(OR(T49="n/a",S49="n/a"),"n/a",IF(H49=0,0,NORMSDIST(T49)))</f>
        <v>1</v>
      </c>
      <c r="W49" s="227">
        <f ca="1">IF(OR(U49="n/a",S49="n/a"),"n/a",IF(H49=0,0,NORMSDIST(U49)))</f>
        <v>1</v>
      </c>
      <c r="X49" s="227">
        <f ca="1">IF(OR(K49="n/a",S49="n/a"),"n/a",IF(M49=0,(K49*V49)-((H49*EXP(1)^(-O49*N49))*W49),(K49*(2.718^(-M49*N49))*V49)-(H49*(2.718^(-O49*N49))*W49)))</f>
        <v>136.17068980113129</v>
      </c>
      <c r="Y49" s="228">
        <f>Y47</f>
        <v>0.90935264718767195</v>
      </c>
    </row>
    <row r="50" spans="1:25" ht="12.75" customHeight="1">
      <c r="C50" s="74"/>
      <c r="D50" s="74"/>
      <c r="E50" s="74"/>
      <c r="F50" s="74"/>
      <c r="G50" s="74"/>
      <c r="H50" s="74"/>
      <c r="I50" s="74"/>
      <c r="J50" s="74"/>
    </row>
    <row r="51" spans="1:25" ht="12.75" customHeight="1">
      <c r="B51" s="218" t="str">
        <f>B49</f>
        <v>Pliant Therapeutics, Inc.</v>
      </c>
      <c r="C51" s="459" t="s">
        <v>132</v>
      </c>
      <c r="D51" s="1389">
        <f ca="1">D49</f>
        <v>136.17068980112427</v>
      </c>
      <c r="E51" s="1528">
        <f ca="1">SUM('OPM BackSolve WP'!D60:E60)/1000+E49</f>
        <v>64.914873911579576</v>
      </c>
      <c r="F51" s="219"/>
      <c r="G51" s="219"/>
      <c r="H51" s="229">
        <f ca="1">SUM(E51:G51)</f>
        <v>64.914873911579576</v>
      </c>
      <c r="I51" s="222">
        <f ca="1">I49</f>
        <v>136.17068980122426</v>
      </c>
      <c r="J51" s="222">
        <f>J49</f>
        <v>0</v>
      </c>
      <c r="K51" s="229">
        <f ca="1">K49</f>
        <v>136.17068980122426</v>
      </c>
      <c r="L51" s="219"/>
      <c r="M51" s="230">
        <f>M49</f>
        <v>0</v>
      </c>
      <c r="N51" s="222">
        <f>N$6</f>
        <v>2.6630410958904109</v>
      </c>
      <c r="O51" s="223">
        <f>O$6</f>
        <v>2.7329345205479451E-2</v>
      </c>
      <c r="P51" s="224"/>
      <c r="Q51" s="2180">
        <f ca="1">Y51*((K51/X51)*V51)</f>
        <v>1.0862330094443111</v>
      </c>
      <c r="R51" s="219"/>
      <c r="S51" s="226">
        <f ca="1">IF(Q51="n/a","n/a",Q51^2)</f>
        <v>1.1799021508064449</v>
      </c>
      <c r="T51" s="226">
        <f ca="1">IF(OR(K51="n/a",S51="n/a"),"n/a",IF(H51=0,0,IF(M51=0,(LN(K51/H51)+((O51+(S51/2))*N51))/((S51*N51)^0.5),(LN(K51/H51)+((O51-M51+(S51/2))*N51))/((S51*N51)^0.5))))</f>
        <v>1.3452944876105044</v>
      </c>
      <c r="U51" s="227">
        <f ca="1">IF(T51="n/a","n/a",IF(H51=0,0,T51-(S51*N51)^0.5))</f>
        <v>-0.42731035180719501</v>
      </c>
      <c r="V51" s="227">
        <f ca="1">IF(OR(T51="n/a",S51="n/a"),"n/a",IF(H51=0,0,NORMSDIST(T51)))</f>
        <v>0.91073492349469021</v>
      </c>
      <c r="W51" s="227">
        <f ca="1">IF(OR(U51="n/a",S51="n/a"),"n/a",IF(H51=0,0,NORMSDIST(U51)))</f>
        <v>0.33457664696465705</v>
      </c>
      <c r="X51" s="227">
        <f ca="1">IF(OR(K51="n/a",S51="n/a"),"n/a",IF(M51=0,(K51*V51)-((H51*EXP(1)^(-O51*N51))*W51),(K51*(2.718^(-M51*N51))*V51)-(H51*(2.718^(-O51*N51))*W51)))</f>
        <v>103.8209424771867</v>
      </c>
      <c r="Y51" s="228">
        <f>Y47</f>
        <v>0.90935264718767195</v>
      </c>
    </row>
    <row r="52" spans="1:25" ht="12.75" customHeight="1"/>
    <row r="53" spans="1:25" ht="12.75" customHeight="1">
      <c r="B53" s="8" t="s">
        <v>21</v>
      </c>
    </row>
    <row r="54" spans="1:25" ht="12.75" customHeight="1">
      <c r="A54" s="714" t="s">
        <v>133</v>
      </c>
      <c r="B54" s="17" t="s">
        <v>708</v>
      </c>
    </row>
    <row r="55" spans="1:25" s="414" customFormat="1" ht="12.75" hidden="1" customHeight="1" outlineLevel="1">
      <c r="A55" s="854" t="s">
        <v>132</v>
      </c>
      <c r="B55" s="853" t="s">
        <v>709</v>
      </c>
      <c r="P55" s="855"/>
    </row>
    <row r="56" spans="1:25" s="74" customFormat="1" ht="12.75" customHeight="1" collapsed="1">
      <c r="A56" s="715" t="str">
        <f>C51</f>
        <v>(2)</v>
      </c>
      <c r="B56" s="320" t="s">
        <v>2371</v>
      </c>
      <c r="P56" s="20"/>
    </row>
    <row r="57" spans="1:25" s="74" customFormat="1" ht="26.1" customHeight="1">
      <c r="A57" s="1945" t="str">
        <f>Z47</f>
        <v>(3)</v>
      </c>
      <c r="B57" s="2300" t="str">
        <f>'Asset Vol_Early'!B56:Y56</f>
        <v>Given the early stage of development of the Company compared to well-capitalized Guideline Public Companies, volatility selection at higher end is warranted. As such, we considered a value between the mean and the third quartile of the range exhibited by the Guideline Public Companies.</v>
      </c>
      <c r="C57" s="2300"/>
      <c r="D57" s="2300"/>
      <c r="E57" s="2300"/>
      <c r="F57" s="2300"/>
      <c r="G57" s="2300"/>
      <c r="H57" s="2300"/>
      <c r="I57" s="2300"/>
      <c r="J57" s="2300"/>
      <c r="K57" s="2300"/>
      <c r="L57" s="2300"/>
      <c r="M57" s="2300"/>
      <c r="N57" s="2300"/>
      <c r="O57" s="2300"/>
      <c r="P57" s="2300"/>
      <c r="Q57" s="2300"/>
      <c r="R57" s="2300"/>
      <c r="S57" s="2300"/>
      <c r="T57" s="2300"/>
      <c r="U57" s="2300"/>
      <c r="V57" s="2300"/>
      <c r="W57" s="2300"/>
      <c r="X57" s="2300"/>
      <c r="Y57" s="2300"/>
    </row>
    <row r="58" spans="1:25" ht="12.75" customHeight="1"/>
    <row r="59" spans="1:25" ht="12.75" customHeight="1">
      <c r="B59" s="8" t="s">
        <v>51</v>
      </c>
    </row>
    <row r="60" spans="1:25" ht="12.75" customHeight="1"/>
    <row r="61" spans="1:25" ht="12.75" customHeight="1"/>
  </sheetData>
  <mergeCells count="1">
    <mergeCell ref="B57:Y57"/>
  </mergeCells>
  <conditionalFormatting sqref="B10:B39">
    <cfRule type="cellIs" dxfId="93" priority="8" operator="equal">
      <formula>"(Invalid Identifier)"</formula>
    </cfRule>
  </conditionalFormatting>
  <conditionalFormatting sqref="B4:I4">
    <cfRule type="cellIs" dxfId="92" priority="7" stopIfTrue="1" operator="equal">
      <formula>"input"</formula>
    </cfRule>
  </conditionalFormatting>
  <conditionalFormatting sqref="J4">
    <cfRule type="cellIs" dxfId="91" priority="5" stopIfTrue="1" operator="equal">
      <formula>"input"</formula>
    </cfRule>
  </conditionalFormatting>
  <conditionalFormatting sqref="J4">
    <cfRule type="cellIs" dxfId="90" priority="6" stopIfTrue="1" operator="equal">
      <formula>"input"</formula>
    </cfRule>
  </conditionalFormatting>
  <conditionalFormatting sqref="K4:X4">
    <cfRule type="cellIs" dxfId="89" priority="3" stopIfTrue="1" operator="equal">
      <formula>"input"</formula>
    </cfRule>
  </conditionalFormatting>
  <conditionalFormatting sqref="K4:X4">
    <cfRule type="cellIs" dxfId="88" priority="4" stopIfTrue="1" operator="equal">
      <formula>"input"</formula>
    </cfRule>
  </conditionalFormatting>
  <conditionalFormatting sqref="Y4">
    <cfRule type="cellIs" dxfId="87" priority="1" stopIfTrue="1" operator="equal">
      <formula>"input"</formula>
    </cfRule>
  </conditionalFormatting>
  <conditionalFormatting sqref="Y4">
    <cfRule type="cellIs" dxfId="86" priority="2" stopIfTrue="1" operator="equal">
      <formula>"input"</formula>
    </cfRule>
  </conditionalFormatting>
  <pageMargins left="0.5" right="0.5" top="0.5" bottom="0.5" header="0.5" footer="0.5"/>
  <pageSetup scale="84" fitToWidth="0" fitToHeight="0" orientation="landscape" r:id="rId1"/>
  <legacyDrawing r:id="rId2"/>
  <legacyDrawingHF r:id="rId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F68"/>
  <sheetViews>
    <sheetView showGridLines="0" view="pageBreakPreview" topLeftCell="A4" zoomScaleNormal="100" zoomScaleSheetLayoutView="100" workbookViewId="0">
      <selection activeCell="H33" sqref="H33"/>
    </sheetView>
  </sheetViews>
  <sheetFormatPr defaultRowHeight="12.75" outlineLevelRow="1"/>
  <cols>
    <col min="1" max="1" width="4.5" style="385" customWidth="1"/>
    <col min="2" max="2" width="85.6640625" style="385" customWidth="1"/>
    <col min="3" max="3" width="2.83203125" style="385" customWidth="1"/>
    <col min="4" max="4" width="25.83203125" style="385" customWidth="1"/>
    <col min="5" max="5" width="2.83203125" style="385" customWidth="1"/>
    <col min="6" max="6" width="18" style="385" customWidth="1"/>
    <col min="7" max="7" width="4.5" style="385" customWidth="1"/>
    <col min="8" max="16384" width="9.33203125" style="385"/>
  </cols>
  <sheetData>
    <row r="1" spans="2:6" ht="10.7" customHeight="1" thickBot="1"/>
    <row r="2" spans="2:6" ht="16.5" customHeight="1" thickTop="1">
      <c r="B2" s="10" t="str">
        <f>'MASTER PubCo Inputs'!$C$5</f>
        <v>Pliant Therapeutics, Inc.</v>
      </c>
      <c r="C2" s="10"/>
      <c r="D2" s="10"/>
      <c r="E2" s="10"/>
      <c r="F2" s="10"/>
    </row>
    <row r="3" spans="2:6" ht="15.75" customHeight="1">
      <c r="B3" s="11" t="str">
        <f>VLOOKUP(B4,Outline!$E$8:$G$69,COLUMNS(Outline!$E$8:$G$8),FALSE)</f>
        <v>Workpaper #12</v>
      </c>
      <c r="C3" s="11"/>
      <c r="D3" s="11"/>
      <c r="E3" s="11"/>
      <c r="F3" s="11"/>
    </row>
    <row r="4" spans="2:6" ht="16.5" customHeight="1" thickBot="1">
      <c r="B4" s="12" t="s">
        <v>2867</v>
      </c>
      <c r="C4" s="12"/>
      <c r="D4" s="12"/>
      <c r="E4" s="12"/>
      <c r="F4" s="13"/>
    </row>
    <row r="5" spans="2:6" ht="16.5" customHeight="1" thickTop="1">
      <c r="B5" s="244"/>
      <c r="C5" s="244"/>
      <c r="D5" s="244"/>
      <c r="E5" s="244"/>
      <c r="F5" s="984"/>
    </row>
    <row r="6" spans="2:6">
      <c r="B6" s="1966" t="s">
        <v>310</v>
      </c>
      <c r="C6" s="1967"/>
      <c r="D6" s="1969"/>
      <c r="F6" s="1970" t="s">
        <v>5</v>
      </c>
    </row>
    <row r="7" spans="2:6" ht="12.75" customHeight="1">
      <c r="D7" s="16"/>
    </row>
    <row r="8" spans="2:6" ht="12.75" customHeight="1">
      <c r="B8" s="1959" t="s">
        <v>6</v>
      </c>
      <c r="C8" s="1938"/>
      <c r="D8" s="1978">
        <f>'OPM BackSolve WP'!D10</f>
        <v>2.6630410958904109</v>
      </c>
      <c r="F8" s="975" t="str">
        <f>'OPM BackSolve WP'!B3</f>
        <v>Workpaper #9</v>
      </c>
    </row>
    <row r="9" spans="2:6" ht="12.75" customHeight="1">
      <c r="B9" s="335" t="s">
        <v>7</v>
      </c>
      <c r="C9" s="16"/>
      <c r="D9" s="977">
        <f>'Risk-Free Rates'!E42</f>
        <v>2.7329345205479451E-2</v>
      </c>
      <c r="F9" s="22" t="s">
        <v>2637</v>
      </c>
    </row>
    <row r="10" spans="2:6" ht="12.75" customHeight="1">
      <c r="B10" s="335" t="s">
        <v>8</v>
      </c>
      <c r="C10" s="16"/>
      <c r="D10" s="195">
        <v>0</v>
      </c>
      <c r="F10" s="20"/>
    </row>
    <row r="11" spans="2:6" ht="12.75" customHeight="1">
      <c r="B11" s="937" t="s">
        <v>9</v>
      </c>
      <c r="C11" s="196"/>
      <c r="D11" s="973">
        <f ca="1">'Asset Vol_OPM BackSolve'!Q51</f>
        <v>1.0862330094443111</v>
      </c>
      <c r="F11" s="975" t="str">
        <f>'Asset Vol_OPM BackSolve'!B3</f>
        <v>Workpaper #11</v>
      </c>
    </row>
    <row r="12" spans="2:6" ht="8.25" customHeight="1">
      <c r="B12" s="335"/>
      <c r="C12" s="16"/>
      <c r="D12" s="197"/>
    </row>
    <row r="13" spans="2:6" ht="12.75" customHeight="1">
      <c r="B13" s="335" t="s">
        <v>10</v>
      </c>
      <c r="C13" s="16"/>
      <c r="D13" s="198">
        <f ca="1">D11^2*D8</f>
        <v>3.1421279167270479</v>
      </c>
    </row>
    <row r="14" spans="2:6" ht="12.75" customHeight="1">
      <c r="B14" s="335" t="s">
        <v>11</v>
      </c>
      <c r="C14" s="16"/>
      <c r="D14" s="198">
        <f ca="1">(D11^2*D8+LN(2*(EXP(D13)-D11^2*D8-1))-2*LN(EXP(D13)-1))^0.5</f>
        <v>0.76441949959787259</v>
      </c>
    </row>
    <row r="15" spans="2:6" ht="12.75" customHeight="1">
      <c r="B15" s="335" t="s">
        <v>12</v>
      </c>
      <c r="C15" s="16"/>
      <c r="D15" s="198">
        <f ca="1">((D9-D10)*D8)/D14+0.5*D14</f>
        <v>0.47741816539306131</v>
      </c>
    </row>
    <row r="16" spans="2:6" ht="12.75" customHeight="1">
      <c r="B16" s="335" t="s">
        <v>13</v>
      </c>
      <c r="C16" s="16"/>
      <c r="D16" s="198">
        <f ca="1">((D9-D10)*D8)/D14-0.5*D14</f>
        <v>-0.28700133420481128</v>
      </c>
    </row>
    <row r="17" spans="2:6" ht="12.75" customHeight="1">
      <c r="B17" s="335"/>
      <c r="C17" s="16"/>
      <c r="D17" s="199"/>
    </row>
    <row r="18" spans="2:6" ht="12.75" customHeight="1">
      <c r="B18" s="1972" t="s">
        <v>14</v>
      </c>
      <c r="C18" s="939"/>
      <c r="D18" s="940">
        <f ca="1">EXP((D9-D10)*D8)*NORMSDIST(D15)-NORMSDIST(D16)</f>
        <v>0.34800920140709818</v>
      </c>
    </row>
    <row r="19" spans="2:6" ht="12.75" customHeight="1">
      <c r="D19" s="16"/>
    </row>
    <row r="20" spans="2:6" hidden="1" outlineLevel="1">
      <c r="B20" s="1966" t="s">
        <v>15</v>
      </c>
      <c r="C20" s="1967"/>
      <c r="D20" s="1969">
        <f>D6</f>
        <v>0</v>
      </c>
    </row>
    <row r="21" spans="2:6" ht="12.75" hidden="1" customHeight="1" outlineLevel="1">
      <c r="D21" s="16"/>
    </row>
    <row r="22" spans="2:6" ht="12.75" hidden="1" customHeight="1" outlineLevel="1">
      <c r="B22" s="1959" t="s">
        <v>16</v>
      </c>
      <c r="C22" s="1938"/>
      <c r="D22" s="1973">
        <v>1</v>
      </c>
    </row>
    <row r="23" spans="2:6" ht="12.75" hidden="1" customHeight="1" outlineLevel="1">
      <c r="B23" s="937" t="s">
        <v>17</v>
      </c>
      <c r="C23" s="16"/>
      <c r="D23" s="200">
        <v>1</v>
      </c>
    </row>
    <row r="24" spans="2:6" ht="12.75" hidden="1" customHeight="1" outlineLevel="1">
      <c r="B24" s="937" t="s">
        <v>18</v>
      </c>
      <c r="C24" s="16"/>
      <c r="D24" s="46">
        <f>D8</f>
        <v>2.6630410958904109</v>
      </c>
      <c r="F24" s="22"/>
    </row>
    <row r="25" spans="2:6" ht="12.75" hidden="1" customHeight="1" outlineLevel="1">
      <c r="B25" s="335" t="s">
        <v>7</v>
      </c>
      <c r="C25" s="16"/>
      <c r="D25" s="201">
        <f>D9</f>
        <v>2.7329345205479451E-2</v>
      </c>
      <c r="F25" s="22" t="str">
        <f>+F9</f>
        <v>Exhibit H.5</v>
      </c>
    </row>
    <row r="26" spans="2:6" ht="12.75" hidden="1" customHeight="1" outlineLevel="1">
      <c r="B26" s="335" t="s">
        <v>9</v>
      </c>
      <c r="C26" s="16"/>
      <c r="D26" s="400">
        <f t="shared" ref="D26" ca="1" si="0">D11</f>
        <v>1.0862330094443111</v>
      </c>
      <c r="F26" s="22" t="str">
        <f>+F11</f>
        <v>Workpaper #11</v>
      </c>
    </row>
    <row r="27" spans="2:6" ht="9" hidden="1" customHeight="1" outlineLevel="1">
      <c r="B27" s="335"/>
      <c r="C27" s="16"/>
      <c r="D27" s="197"/>
    </row>
    <row r="28" spans="2:6" ht="12.75" hidden="1" customHeight="1" outlineLevel="1">
      <c r="B28" s="335" t="s">
        <v>19</v>
      </c>
      <c r="C28" s="16"/>
      <c r="D28" s="198">
        <f t="shared" ref="D28" ca="1" si="1">(LN(D22/D23)+(D25+D26^2/2)*D24)/(D26*SQRT(D24))</f>
        <v>0.92736017143532889</v>
      </c>
    </row>
    <row r="29" spans="2:6" ht="12.75" hidden="1" customHeight="1" outlineLevel="1">
      <c r="B29" s="335" t="s">
        <v>20</v>
      </c>
      <c r="C29" s="16"/>
      <c r="D29" s="198">
        <f t="shared" ref="D29" ca="1" si="2">D28-D26*SQRT(D24)</f>
        <v>-0.84524466798237052</v>
      </c>
    </row>
    <row r="30" spans="2:6" ht="12.75" hidden="1" customHeight="1" outlineLevel="1">
      <c r="B30" s="335"/>
      <c r="C30" s="16"/>
      <c r="D30" s="197"/>
    </row>
    <row r="31" spans="2:6" ht="12.75" hidden="1" customHeight="1" outlineLevel="1">
      <c r="B31" s="1972" t="s">
        <v>14</v>
      </c>
      <c r="C31" s="5"/>
      <c r="D31" s="940">
        <f t="shared" ref="D31" ca="1" si="3">D23*EXP(-D25*D24)*NORMSDIST(-D29)-D22*NORMSDIST(-D28)</f>
        <v>0.56791690685483531</v>
      </c>
    </row>
    <row r="32" spans="2:6" ht="12.75" hidden="1" customHeight="1" outlineLevel="1">
      <c r="D32" s="16"/>
    </row>
    <row r="33" spans="2:6" collapsed="1">
      <c r="B33" s="1966" t="s">
        <v>306</v>
      </c>
      <c r="C33" s="1967"/>
      <c r="D33" s="1969"/>
    </row>
    <row r="34" spans="2:6" ht="12.75" customHeight="1">
      <c r="D34" s="16"/>
    </row>
    <row r="35" spans="2:6" ht="12.75" customHeight="1">
      <c r="B35" s="1959" t="s">
        <v>18</v>
      </c>
      <c r="C35" s="1938"/>
      <c r="D35" s="1974">
        <f t="shared" ref="D35" si="4">+D24</f>
        <v>2.6630410958904109</v>
      </c>
      <c r="F35" s="22"/>
    </row>
    <row r="36" spans="2:6" ht="12.75" customHeight="1">
      <c r="B36" s="335" t="s">
        <v>16</v>
      </c>
      <c r="C36" s="16"/>
      <c r="D36" s="1399">
        <f t="shared" ref="D36:D37" si="5">+D22</f>
        <v>1</v>
      </c>
    </row>
    <row r="37" spans="2:6" ht="12.75" customHeight="1">
      <c r="B37" s="335" t="s">
        <v>17</v>
      </c>
      <c r="C37" s="16"/>
      <c r="D37" s="1399">
        <f t="shared" si="5"/>
        <v>1</v>
      </c>
    </row>
    <row r="38" spans="2:6" ht="12.75" customHeight="1">
      <c r="B38" s="335" t="s">
        <v>8</v>
      </c>
      <c r="C38" s="16"/>
      <c r="D38" s="1400">
        <f t="shared" ref="D38:D39" si="6">+D10</f>
        <v>0</v>
      </c>
    </row>
    <row r="39" spans="2:6" ht="12.75" customHeight="1">
      <c r="B39" s="335" t="s">
        <v>9</v>
      </c>
      <c r="C39" s="16"/>
      <c r="D39" s="894">
        <f t="shared" ca="1" si="6"/>
        <v>1.0862330094443111</v>
      </c>
      <c r="F39" s="22" t="str">
        <f>F26</f>
        <v>Workpaper #11</v>
      </c>
    </row>
    <row r="40" spans="2:6" ht="8.25" customHeight="1">
      <c r="B40" s="335"/>
      <c r="C40" s="16"/>
      <c r="D40" s="1401"/>
    </row>
    <row r="41" spans="2:6" ht="12.75" customHeight="1">
      <c r="B41" s="335" t="s">
        <v>308</v>
      </c>
      <c r="C41" s="16"/>
      <c r="D41" s="1402">
        <f t="shared" ref="D41" ca="1" si="7">LN(2*(EXP((D39^2)*D35)-((D39^2)*D35)-1))-2*(LN((D39^2)*D35))</f>
        <v>1.3483620387313304</v>
      </c>
    </row>
    <row r="42" spans="2:6" ht="12.75" customHeight="1">
      <c r="B42" s="335" t="s">
        <v>309</v>
      </c>
      <c r="C42" s="16"/>
      <c r="D42" s="1402">
        <f t="shared" ref="D42" ca="1" si="8">SQRT(D41)</f>
        <v>1.1611899236263337</v>
      </c>
    </row>
    <row r="43" spans="2:6" ht="12.75" customHeight="1">
      <c r="B43" s="335"/>
      <c r="C43" s="16"/>
      <c r="D43" s="1401"/>
    </row>
    <row r="44" spans="2:6" ht="12.75" customHeight="1">
      <c r="B44" s="1972" t="s">
        <v>14</v>
      </c>
      <c r="C44" s="5"/>
      <c r="D44" s="1403">
        <f t="shared" ref="D44" ca="1" si="9">EXP(-D38*D35)*D37*(2*NORMSDIST(D42/2)-1)</f>
        <v>0.43848653134286053</v>
      </c>
    </row>
    <row r="45" spans="2:6" ht="12.75" customHeight="1">
      <c r="D45" s="16"/>
    </row>
    <row r="46" spans="2:6" hidden="1" outlineLevel="1">
      <c r="B46" s="1966" t="s">
        <v>1496</v>
      </c>
      <c r="C46" s="1967"/>
      <c r="D46" s="1968"/>
    </row>
    <row r="47" spans="2:6" ht="12.75" hidden="1" customHeight="1" outlineLevel="1">
      <c r="D47" s="16"/>
    </row>
    <row r="48" spans="2:6" ht="12.75" hidden="1" customHeight="1" outlineLevel="1">
      <c r="B48" s="1959" t="s">
        <v>6</v>
      </c>
      <c r="C48" s="1938"/>
      <c r="D48" s="1971">
        <f>D8</f>
        <v>2.6630410958904109</v>
      </c>
      <c r="F48" s="281" t="str">
        <f>F8</f>
        <v>Workpaper #9</v>
      </c>
    </row>
    <row r="49" spans="1:6" ht="12.75" hidden="1" customHeight="1" outlineLevel="1">
      <c r="B49" s="335" t="s">
        <v>7</v>
      </c>
      <c r="C49" s="16"/>
      <c r="D49" s="1717">
        <f t="shared" ref="D49:D51" si="10">D9</f>
        <v>2.7329345205479451E-2</v>
      </c>
      <c r="F49" s="391" t="str">
        <f>F9</f>
        <v>Exhibit H.5</v>
      </c>
    </row>
    <row r="50" spans="1:6" ht="12.75" hidden="1" customHeight="1" outlineLevel="1">
      <c r="B50" s="335" t="s">
        <v>8</v>
      </c>
      <c r="C50" s="16"/>
      <c r="D50" s="1718">
        <f t="shared" si="10"/>
        <v>0</v>
      </c>
    </row>
    <row r="51" spans="1:6" ht="12.75" hidden="1" customHeight="1" outlineLevel="1">
      <c r="B51" s="937" t="s">
        <v>9</v>
      </c>
      <c r="C51" s="196"/>
      <c r="D51" s="1718">
        <f t="shared" ca="1" si="10"/>
        <v>1.0862330094443111</v>
      </c>
      <c r="F51" s="414"/>
    </row>
    <row r="52" spans="1:6" ht="12.75" hidden="1" customHeight="1" outlineLevel="1">
      <c r="B52" s="335"/>
      <c r="C52" s="16"/>
      <c r="D52" s="197"/>
    </row>
    <row r="53" spans="1:6" ht="12.75" hidden="1" customHeight="1" outlineLevel="1">
      <c r="B53" s="335" t="s">
        <v>10</v>
      </c>
      <c r="C53" s="16"/>
      <c r="D53" s="198">
        <f ca="1">D51^2*D48</f>
        <v>3.1421279167270479</v>
      </c>
    </row>
    <row r="54" spans="1:6" ht="12.75" hidden="1" customHeight="1" outlineLevel="1">
      <c r="B54" s="335"/>
      <c r="C54" s="16"/>
      <c r="D54" s="198"/>
    </row>
    <row r="55" spans="1:6" ht="12.75" hidden="1" customHeight="1" outlineLevel="1">
      <c r="B55" s="335" t="s">
        <v>1497</v>
      </c>
      <c r="C55" s="16"/>
      <c r="D55" s="400">
        <f ca="1">(2+(D53/2))*NORMSDIST(SQRT(D53)/2)+(SQRT(D53/(2*PI()))*EXP(-D53/8))-1</f>
        <v>2.3781475747891854</v>
      </c>
    </row>
    <row r="56" spans="1:6" ht="12.75" hidden="1" customHeight="1" outlineLevel="1">
      <c r="B56" s="335"/>
      <c r="C56" s="16"/>
      <c r="D56" s="198"/>
    </row>
    <row r="57" spans="1:6" ht="12.75" hidden="1" customHeight="1" outlineLevel="1">
      <c r="B57" s="1972" t="s">
        <v>1498</v>
      </c>
      <c r="C57" s="939"/>
      <c r="D57" s="940">
        <f ca="1">D55/(1+D55)</f>
        <v>0.70397977653110511</v>
      </c>
    </row>
    <row r="58" spans="1:6" ht="12.75" hidden="1" customHeight="1" outlineLevel="1">
      <c r="D58" s="16"/>
    </row>
    <row r="59" spans="1:6" ht="12.75" customHeight="1" collapsed="1">
      <c r="B59" s="1975" t="s">
        <v>311</v>
      </c>
      <c r="C59" s="1976"/>
      <c r="D59" s="1977">
        <f ca="1">MROUND(AVERAGE(D18,D44),5%)</f>
        <v>0.4</v>
      </c>
    </row>
    <row r="60" spans="1:6" s="1833" customFormat="1" ht="12.75" customHeight="1">
      <c r="B60" s="1834"/>
      <c r="C60" s="1834"/>
      <c r="D60" s="1835"/>
    </row>
    <row r="61" spans="1:6" ht="12.75" customHeight="1">
      <c r="B61" s="8" t="s">
        <v>21</v>
      </c>
      <c r="D61" s="16"/>
    </row>
    <row r="62" spans="1:6" ht="12.75" customHeight="1">
      <c r="A62" s="1009" t="str">
        <f>F11</f>
        <v>Workpaper #11</v>
      </c>
      <c r="B62" s="385" t="s">
        <v>2638</v>
      </c>
    </row>
    <row r="63" spans="1:6" ht="12.75" customHeight="1">
      <c r="A63" s="816"/>
      <c r="B63" s="1026"/>
      <c r="C63" s="1027"/>
      <c r="D63" s="1027"/>
      <c r="E63" s="1027"/>
      <c r="F63" s="1027"/>
    </row>
    <row r="64" spans="1:6" ht="26.25" customHeight="1">
      <c r="A64" s="816"/>
      <c r="B64" s="2310"/>
      <c r="C64" s="2310"/>
      <c r="D64" s="2310"/>
      <c r="E64" s="2310"/>
      <c r="F64" s="2310"/>
    </row>
    <row r="65" spans="1:6" ht="12.75" customHeight="1">
      <c r="A65" s="149"/>
      <c r="B65" s="1026"/>
      <c r="C65" s="1027"/>
      <c r="D65" s="1027"/>
      <c r="E65" s="1027"/>
      <c r="F65" s="1027"/>
    </row>
    <row r="66" spans="1:6" ht="12.75" customHeight="1"/>
    <row r="67" spans="1:6" ht="12.75" customHeight="1"/>
    <row r="68" spans="1:6" ht="12.75" customHeight="1"/>
  </sheetData>
  <mergeCells count="1">
    <mergeCell ref="B64:F64"/>
  </mergeCells>
  <conditionalFormatting sqref="B4:E5">
    <cfRule type="cellIs" dxfId="85" priority="3" stopIfTrue="1" operator="equal">
      <formula>"input"</formula>
    </cfRule>
  </conditionalFormatting>
  <conditionalFormatting sqref="F4:F5">
    <cfRule type="cellIs" dxfId="84" priority="1" stopIfTrue="1" operator="equal">
      <formula>"input"</formula>
    </cfRule>
  </conditionalFormatting>
  <conditionalFormatting sqref="F4:F5">
    <cfRule type="cellIs" dxfId="83" priority="2" stopIfTrue="1" operator="equal">
      <formula>"input"</formula>
    </cfRule>
  </conditionalFormatting>
  <pageMargins left="0.5" right="0.5" top="0.5" bottom="0.5" header="0.5" footer="0.5"/>
  <pageSetup scale="89" fitToWidth="0" fitToHeight="0" orientation="landscape" r:id="rId1"/>
  <legacyDrawingHF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dimension ref="A1:N35"/>
  <sheetViews>
    <sheetView showGridLines="0" view="pageBreakPreview" topLeftCell="A7" zoomScaleNormal="100" zoomScaleSheetLayoutView="100" workbookViewId="0">
      <selection activeCell="B20" sqref="B20:H20"/>
    </sheetView>
  </sheetViews>
  <sheetFormatPr defaultRowHeight="12.75"/>
  <cols>
    <col min="1" max="1" width="4.5" style="385" customWidth="1"/>
    <col min="2" max="2" width="51.5" style="385" customWidth="1"/>
    <col min="3" max="3" width="3.5" style="385" customWidth="1"/>
    <col min="4" max="4" width="27" style="385" customWidth="1"/>
    <col min="5" max="5" width="4.1640625" style="385" customWidth="1"/>
    <col min="6" max="6" width="27" style="385" customWidth="1"/>
    <col min="7" max="7" width="4.1640625" style="385" customWidth="1"/>
    <col min="8" max="8" width="27" style="385" customWidth="1"/>
    <col min="9" max="9" width="4.5" style="385" customWidth="1"/>
    <col min="10" max="16384" width="9.33203125" style="385"/>
  </cols>
  <sheetData>
    <row r="1" spans="2:12" ht="13.5" thickBot="1"/>
    <row r="2" spans="2:12" ht="16.5" thickTop="1">
      <c r="B2" s="10" t="str">
        <f>'MASTER PubCo Inputs'!$C$5</f>
        <v>Pliant Therapeutics, Inc.</v>
      </c>
      <c r="C2" s="10"/>
      <c r="D2" s="10"/>
      <c r="E2" s="10"/>
      <c r="F2" s="10"/>
      <c r="G2" s="10"/>
      <c r="H2" s="10"/>
    </row>
    <row r="3" spans="2:12" ht="15.75">
      <c r="B3" s="11" t="str">
        <f>VLOOKUP(B4,Outline!$E$8:$G$69,COLUMNS(Outline!$E$8:$G$8),FALSE)</f>
        <v>Workpaper #13</v>
      </c>
      <c r="C3" s="11"/>
      <c r="D3" s="11"/>
      <c r="E3" s="11"/>
      <c r="F3" s="11"/>
      <c r="G3" s="11"/>
      <c r="H3" s="11"/>
    </row>
    <row r="4" spans="2:12" ht="16.5" thickBot="1">
      <c r="B4" s="12" t="s">
        <v>2832</v>
      </c>
      <c r="C4" s="1734" t="s">
        <v>133</v>
      </c>
      <c r="D4" s="12"/>
      <c r="E4" s="12"/>
      <c r="F4" s="12"/>
      <c r="G4" s="12"/>
      <c r="H4" s="12"/>
    </row>
    <row r="5" spans="2:12" ht="13.5" thickTop="1"/>
    <row r="6" spans="2:12">
      <c r="B6" s="1735" t="s">
        <v>2833</v>
      </c>
      <c r="C6" s="1709"/>
      <c r="D6" s="1709"/>
      <c r="E6" s="1709"/>
      <c r="F6" s="1736"/>
      <c r="H6" s="1737" t="s">
        <v>5</v>
      </c>
    </row>
    <row r="7" spans="2:12" ht="14.25" customHeight="1">
      <c r="B7" s="1738" t="s">
        <v>2307</v>
      </c>
      <c r="C7" s="1739" t="s">
        <v>2308</v>
      </c>
      <c r="D7" s="1740" t="s">
        <v>2309</v>
      </c>
      <c r="E7" s="1739"/>
      <c r="F7" s="1741" t="s">
        <v>78</v>
      </c>
    </row>
    <row r="8" spans="2:12">
      <c r="B8" s="196" t="s">
        <v>2310</v>
      </c>
      <c r="C8" s="16"/>
      <c r="D8" s="1742">
        <v>100</v>
      </c>
      <c r="E8" s="1743"/>
      <c r="F8" s="1743">
        <f>D8</f>
        <v>100</v>
      </c>
      <c r="L8" s="18"/>
    </row>
    <row r="9" spans="2:12">
      <c r="B9" s="196" t="s">
        <v>2311</v>
      </c>
      <c r="C9" s="16"/>
      <c r="D9" s="2121">
        <f>'Hybrid OPM 1'!P12</f>
        <v>4.3015042208904113</v>
      </c>
      <c r="E9" s="1744"/>
      <c r="F9" s="1744">
        <f>D9</f>
        <v>4.3015042208904113</v>
      </c>
      <c r="H9" s="1024" t="s">
        <v>132</v>
      </c>
    </row>
    <row r="10" spans="2:12">
      <c r="B10" s="196" t="s">
        <v>255</v>
      </c>
      <c r="D10" s="2122">
        <f>'WACC PWERM'!J23</f>
        <v>0.17</v>
      </c>
      <c r="E10" s="1745" t="s">
        <v>148</v>
      </c>
      <c r="F10" s="2115">
        <f>'WACC PWERM'!J15</f>
        <v>0.35</v>
      </c>
      <c r="G10" s="1745" t="s">
        <v>149</v>
      </c>
      <c r="H10" s="391"/>
      <c r="J10" s="177"/>
      <c r="K10" s="1746">
        <f>F10/D10</f>
        <v>2.0588235294117645</v>
      </c>
    </row>
    <row r="11" spans="2:12">
      <c r="B11" s="196" t="s">
        <v>95</v>
      </c>
      <c r="C11" s="16"/>
      <c r="D11" s="1744">
        <f>1/(1+D10)^D9</f>
        <v>0.50897708239963801</v>
      </c>
      <c r="E11" s="16"/>
      <c r="F11" s="1744">
        <f>1/(1+F10)^F9</f>
        <v>0.275022828747502</v>
      </c>
    </row>
    <row r="12" spans="2:12">
      <c r="B12" s="196" t="s">
        <v>96</v>
      </c>
      <c r="C12" s="291" t="s">
        <v>2312</v>
      </c>
      <c r="D12" s="1698">
        <f>D8*D11</f>
        <v>50.897708239963805</v>
      </c>
      <c r="E12" s="1698"/>
      <c r="F12" s="1698">
        <f>F8*F11</f>
        <v>27.5022828747502</v>
      </c>
    </row>
    <row r="13" spans="2:12">
      <c r="B13" s="16"/>
      <c r="C13" s="16"/>
      <c r="D13" s="1747"/>
      <c r="E13" s="16"/>
      <c r="F13" s="1747"/>
    </row>
    <row r="14" spans="2:12">
      <c r="B14" s="1639" t="s">
        <v>449</v>
      </c>
      <c r="C14" s="1748" t="s">
        <v>2313</v>
      </c>
      <c r="D14" s="1749">
        <f>D12-F12</f>
        <v>23.395425365213605</v>
      </c>
      <c r="E14" s="16"/>
      <c r="F14" s="16"/>
    </row>
    <row r="15" spans="2:12">
      <c r="B15" s="900" t="s">
        <v>2314</v>
      </c>
      <c r="C15" s="5"/>
      <c r="D15" s="1750">
        <f>MROUND(D14/D12,5%)</f>
        <v>0.45</v>
      </c>
      <c r="E15" s="16"/>
    </row>
    <row r="16" spans="2:12">
      <c r="B16" s="1751"/>
      <c r="C16" s="5"/>
      <c r="D16" s="1752"/>
      <c r="E16" s="16"/>
    </row>
    <row r="17" spans="1:14">
      <c r="B17" s="1696" t="s">
        <v>2315</v>
      </c>
      <c r="C17" s="1751"/>
      <c r="D17" s="1753">
        <f>D15</f>
        <v>0.45</v>
      </c>
      <c r="E17" s="16"/>
    </row>
    <row r="19" spans="1:14">
      <c r="B19" s="903" t="s">
        <v>21</v>
      </c>
    </row>
    <row r="20" spans="1:14" ht="54" customHeight="1">
      <c r="A20" s="816" t="s">
        <v>133</v>
      </c>
      <c r="B20" s="2297" t="str">
        <f>"RNA applied an additional adjustment factor of "&amp;TEXT(D17,"0.0%")&amp;" in addition to the calculated DLOM using Finnerty and Asian Put methods since these do not fully capture the illiquidity factor and underestimate the discount to be applied. Furthermore, "&amp;"given the nature of the common securities and the current stage of the Company, the dynamic would more "&amp;"closely represent a 15 to 50 buyer scenario (considering the estimated exit term is "&amp;TEXT(D9,"0.0")&amp;" years) compared to a 2 to 3 buyer scenario that would warrant a higher"&amp;" discount. Refer to the study conducted by Harvard Business School at: https://hbr.org/2009/12/negotiation-auction-a-deal-makersguide."</f>
        <v>RNA applied an additional adjustment factor of 45.0% in addition to the calculated DLOM using Finnerty and Asian Put methods since these do not fully capture the illiquidity factor and underestimate the discount to be applied. Furthermore, given the nature of the common securities and the current stage of the Company, the dynamic would more closely represent a 15 to 50 buyer scenario (considering the estimated exit term is 4.3 years) compared to a 2 to 3 buyer scenario that would warrant a higher discount. Refer to the study conducted by Harvard Business School at: https://hbr.org/2009/12/negotiation-auction-a-deal-makersguide.</v>
      </c>
      <c r="C20" s="2297"/>
      <c r="D20" s="2297"/>
      <c r="E20" s="2297"/>
      <c r="F20" s="2297"/>
      <c r="G20" s="2297"/>
      <c r="H20" s="2297"/>
    </row>
    <row r="21" spans="1:14" ht="13.5" customHeight="1">
      <c r="A21" s="816" t="s">
        <v>132</v>
      </c>
      <c r="B21" s="2314" t="s">
        <v>2316</v>
      </c>
      <c r="C21" s="2314"/>
      <c r="D21" s="2314"/>
      <c r="E21" s="2314"/>
      <c r="F21" s="2314"/>
      <c r="G21" s="2314"/>
      <c r="H21" s="2314"/>
      <c r="I21" s="1754"/>
      <c r="J21" s="1754"/>
      <c r="K21" s="1754"/>
      <c r="L21" s="1754"/>
      <c r="M21" s="1754"/>
      <c r="N21" s="1754"/>
    </row>
    <row r="22" spans="1:14">
      <c r="A22" s="149" t="s">
        <v>148</v>
      </c>
      <c r="B22" s="2314" t="str">
        <f>"As noted above, required rate of return reflects approximately "&amp;TEXT(D10,"0.0%")&amp;" venture capital portfolio returns (across the total preferred investment)."</f>
        <v>As noted above, required rate of return reflects approximately 17.0% venture capital portfolio returns (across the total preferred investment).</v>
      </c>
      <c r="C22" s="2314"/>
      <c r="D22" s="2314"/>
      <c r="E22" s="2314"/>
      <c r="F22" s="2314"/>
      <c r="G22" s="2314"/>
      <c r="H22" s="2314"/>
      <c r="I22" s="1754"/>
      <c r="J22" s="1754"/>
      <c r="K22" s="1754"/>
      <c r="L22" s="1754"/>
      <c r="M22" s="1754"/>
      <c r="N22" s="1754"/>
    </row>
    <row r="23" spans="1:14" ht="26.1" customHeight="1">
      <c r="A23" s="816" t="s">
        <v>149</v>
      </c>
      <c r="B23" s="2314" t="s">
        <v>2317</v>
      </c>
      <c r="C23" s="2314"/>
      <c r="D23" s="2314"/>
      <c r="E23" s="2314"/>
      <c r="F23" s="2314"/>
      <c r="G23" s="2314"/>
      <c r="H23" s="2314"/>
    </row>
    <row r="35" spans="8:8">
      <c r="H35" s="18"/>
    </row>
  </sheetData>
  <mergeCells count="4">
    <mergeCell ref="B20:H20"/>
    <mergeCell ref="B21:H21"/>
    <mergeCell ref="B22:H22"/>
    <mergeCell ref="B23:H23"/>
  </mergeCells>
  <conditionalFormatting sqref="B4:H4">
    <cfRule type="cellIs" dxfId="82" priority="1" stopIfTrue="1" operator="equal">
      <formula>"input"</formula>
    </cfRule>
  </conditionalFormatting>
  <pageMargins left="0.5" right="0.5" top="0.5" bottom="0.5" header="0.5" footer="0.5"/>
  <pageSetup fitToWidth="0" fitToHeight="0" orientation="landscape" r:id="rId1"/>
  <legacy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theme="1"/>
  </sheetPr>
  <dimension ref="A1"/>
  <sheetViews>
    <sheetView workbookViewId="0"/>
  </sheetViews>
  <sheetFormatPr defaultRowHeight="12.75"/>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pageSetUpPr fitToPage="1"/>
  </sheetPr>
  <dimension ref="A1:Y94"/>
  <sheetViews>
    <sheetView topLeftCell="B1" zoomScale="80" zoomScaleNormal="80" workbookViewId="0">
      <selection activeCell="E31" sqref="E31"/>
    </sheetView>
  </sheetViews>
  <sheetFormatPr defaultColWidth="9.33203125" defaultRowHeight="12.75"/>
  <cols>
    <col min="1" max="1" width="3.1640625" style="1244" customWidth="1"/>
    <col min="2" max="2" width="2.5" style="1244" customWidth="1"/>
    <col min="3" max="4" width="48.83203125" style="1244" customWidth="1"/>
    <col min="5" max="8" width="16.6640625" style="1244" customWidth="1"/>
    <col min="9" max="9" width="9.33203125" style="1245"/>
    <col min="10" max="10" width="37" style="1245" customWidth="1"/>
    <col min="11" max="11" width="11.6640625" style="1245" customWidth="1"/>
    <col min="12" max="12" width="11" style="1245" customWidth="1"/>
    <col min="13" max="13" width="11.83203125" style="1245" customWidth="1"/>
    <col min="14" max="14" width="8.33203125" style="1245" customWidth="1"/>
    <col min="15" max="15" width="9.33203125" style="1245"/>
    <col min="16" max="16" width="9.33203125" style="1305"/>
    <col min="17" max="18" width="9.33203125" style="1245"/>
    <col min="19" max="19" width="28.5" style="1245" customWidth="1"/>
    <col min="20" max="20" width="12.5" style="1245" bestFit="1" customWidth="1"/>
    <col min="21" max="21" width="2.1640625" style="1245" customWidth="1"/>
    <col min="22" max="22" width="12.5" style="1245" bestFit="1" customWidth="1"/>
    <col min="23" max="23" width="2.5" style="1245" customWidth="1"/>
    <col min="24" max="24" width="16.1640625" style="1245" customWidth="1"/>
    <col min="25" max="25" width="91.83203125" style="1305" customWidth="1"/>
    <col min="26" max="16384" width="9.33203125" style="1245"/>
  </cols>
  <sheetData>
    <row r="1" spans="1:15" ht="13.5" thickBot="1"/>
    <row r="2" spans="1:15" s="1251" customFormat="1" ht="16.5" customHeight="1">
      <c r="A2" s="1246"/>
      <c r="B2" s="1247" t="s">
        <v>1631</v>
      </c>
      <c r="C2" s="1248"/>
      <c r="D2" s="1309"/>
      <c r="E2" s="1249"/>
      <c r="F2" s="1249"/>
      <c r="G2" s="1249"/>
      <c r="H2" s="1250"/>
    </row>
    <row r="3" spans="1:15" s="1251" customFormat="1" ht="12.75" customHeight="1">
      <c r="A3" s="1246"/>
      <c r="B3" s="1252"/>
      <c r="C3" s="1253"/>
      <c r="D3" s="1310"/>
      <c r="E3" s="1254" t="s">
        <v>1842</v>
      </c>
      <c r="F3" s="1254" t="s">
        <v>1843</v>
      </c>
      <c r="G3" s="1254" t="s">
        <v>1844</v>
      </c>
      <c r="H3" s="1255" t="s">
        <v>1845</v>
      </c>
    </row>
    <row r="4" spans="1:15" s="1251" customFormat="1" ht="12.6" customHeight="1">
      <c r="A4" s="1246"/>
      <c r="B4" s="1256"/>
      <c r="C4" s="1257"/>
      <c r="D4" s="1311"/>
      <c r="E4" s="1258"/>
      <c r="F4" s="1258"/>
      <c r="G4" s="1258"/>
      <c r="H4" s="1259"/>
    </row>
    <row r="5" spans="1:15" s="1251" customFormat="1">
      <c r="A5" s="1246"/>
      <c r="B5" s="1260"/>
      <c r="C5" s="1261"/>
      <c r="D5" s="1261"/>
      <c r="E5" s="1262"/>
      <c r="F5" s="1262"/>
      <c r="G5" s="1262"/>
      <c r="H5" s="1263"/>
    </row>
    <row r="6" spans="1:15" s="1251" customFormat="1">
      <c r="A6" s="1246"/>
      <c r="B6" s="1260"/>
      <c r="C6" s="1261" t="s">
        <v>1632</v>
      </c>
      <c r="D6" s="1261"/>
      <c r="E6" s="1264">
        <v>50</v>
      </c>
      <c r="F6" s="1264">
        <v>57</v>
      </c>
      <c r="G6" s="1264">
        <v>63</v>
      </c>
      <c r="H6" s="1265">
        <v>73</v>
      </c>
    </row>
    <row r="7" spans="1:15" s="1251" customFormat="1">
      <c r="A7" s="1246"/>
      <c r="B7" s="1260"/>
      <c r="C7" s="1261"/>
      <c r="D7" s="1261"/>
      <c r="E7" s="1262"/>
      <c r="F7" s="1262"/>
      <c r="G7" s="1262"/>
      <c r="H7" s="1263"/>
      <c r="L7" s="1254" t="s">
        <v>1842</v>
      </c>
      <c r="M7" s="1254" t="s">
        <v>1843</v>
      </c>
      <c r="N7" s="1254" t="s">
        <v>1844</v>
      </c>
      <c r="O7" s="1255" t="s">
        <v>1845</v>
      </c>
    </row>
    <row r="8" spans="1:15" s="1251" customFormat="1">
      <c r="A8" s="1246"/>
      <c r="B8" s="1260"/>
      <c r="C8" s="1261" t="s">
        <v>1633</v>
      </c>
      <c r="D8" s="1261"/>
      <c r="E8" s="1262"/>
      <c r="F8" s="1262"/>
      <c r="G8" s="1262"/>
      <c r="H8" s="1263"/>
    </row>
    <row r="9" spans="1:15" s="1269" customFormat="1">
      <c r="A9" s="1266"/>
      <c r="B9" s="1267"/>
      <c r="C9" s="1268" t="s">
        <v>1573</v>
      </c>
      <c r="D9" s="1312" t="s">
        <v>89</v>
      </c>
      <c r="E9" s="1269">
        <v>9176.1464984166669</v>
      </c>
      <c r="F9" s="1269">
        <v>12582.104562061457</v>
      </c>
      <c r="G9" s="1269">
        <v>14644.288197456197</v>
      </c>
      <c r="H9" s="1270">
        <v>17320.614519829011</v>
      </c>
      <c r="J9" s="1313" t="s">
        <v>89</v>
      </c>
      <c r="L9" s="1269">
        <f>SUMIF($D$9:$D$15,J9,$E$9:$E$15)</f>
        <v>14276.834598416666</v>
      </c>
      <c r="M9" s="1269">
        <f>SUMIF($D$9:$D$15,J9,$F$9:$F$15)</f>
        <v>21924.491162061458</v>
      </c>
      <c r="N9" s="1269">
        <f>SUMIF($D$9:$D$15,J9,$G$9:$G$15)</f>
        <v>21443.488677456196</v>
      </c>
      <c r="O9" s="1269">
        <f>SUMIF($D$9:$D$15,J9,$H$9:$H$15)</f>
        <v>24415.03863982901</v>
      </c>
    </row>
    <row r="10" spans="1:15" s="1269" customFormat="1">
      <c r="A10" s="1266"/>
      <c r="B10" s="1267"/>
      <c r="C10" s="1268" t="s">
        <v>1574</v>
      </c>
      <c r="D10" s="1312" t="s">
        <v>89</v>
      </c>
      <c r="E10" s="1269">
        <v>144</v>
      </c>
      <c r="F10" s="1269">
        <v>208.5</v>
      </c>
      <c r="G10" s="1269">
        <v>237.59999999999997</v>
      </c>
      <c r="H10" s="1270">
        <v>304.2</v>
      </c>
      <c r="J10" s="1313" t="s">
        <v>90</v>
      </c>
      <c r="L10" s="1269">
        <f t="shared" ref="L10:L12" si="0">SUMIF($D$9:$D$15,J10,$E$9:$E$15)</f>
        <v>0</v>
      </c>
      <c r="M10" s="1269">
        <f t="shared" ref="M10:M12" si="1">SUMIF($D$9:$D$15,J10,$F$9:$F$15)</f>
        <v>0</v>
      </c>
      <c r="N10" s="1269">
        <f t="shared" ref="N10:N12" si="2">SUMIF($D$9:$D$15,J10,$G$9:$G$15)</f>
        <v>0</v>
      </c>
      <c r="O10" s="1269">
        <f t="shared" ref="O10:O12" si="3">SUMIF($D$9:$D$15,J10,$H$9:$H$15)</f>
        <v>0</v>
      </c>
    </row>
    <row r="11" spans="1:15" s="1269" customFormat="1">
      <c r="A11" s="1266"/>
      <c r="B11" s="1267"/>
      <c r="C11" s="1268" t="s">
        <v>1634</v>
      </c>
      <c r="D11" s="1312" t="s">
        <v>91</v>
      </c>
      <c r="E11" s="1269">
        <v>15670.245003564076</v>
      </c>
      <c r="F11" s="1269">
        <v>20054.858546398049</v>
      </c>
      <c r="G11" s="1269">
        <v>22221.534315789471</v>
      </c>
      <c r="H11" s="1270">
        <v>20590.94035087719</v>
      </c>
      <c r="J11" s="1313" t="s">
        <v>91</v>
      </c>
      <c r="L11" s="1269">
        <f t="shared" si="0"/>
        <v>20889.745003564076</v>
      </c>
      <c r="M11" s="1269">
        <f t="shared" si="1"/>
        <v>25986.858546398049</v>
      </c>
      <c r="N11" s="1269">
        <f t="shared" si="2"/>
        <v>28228.534315789471</v>
      </c>
      <c r="O11" s="1269">
        <f t="shared" si="3"/>
        <v>26597.94035087719</v>
      </c>
    </row>
    <row r="12" spans="1:15" s="1269" customFormat="1">
      <c r="A12" s="1266"/>
      <c r="B12" s="1267"/>
      <c r="C12" s="1268" t="s">
        <v>1576</v>
      </c>
      <c r="D12" s="1312" t="s">
        <v>91</v>
      </c>
      <c r="E12" s="1269">
        <v>5171.5</v>
      </c>
      <c r="F12" s="1269">
        <v>5884</v>
      </c>
      <c r="G12" s="1269">
        <v>5959</v>
      </c>
      <c r="H12" s="1270">
        <v>5959</v>
      </c>
      <c r="J12" s="1313" t="s">
        <v>92</v>
      </c>
      <c r="L12" s="1269">
        <f t="shared" si="0"/>
        <v>0</v>
      </c>
      <c r="M12" s="1269">
        <f t="shared" si="1"/>
        <v>0</v>
      </c>
      <c r="N12" s="1269">
        <f t="shared" si="2"/>
        <v>0</v>
      </c>
      <c r="O12" s="1269">
        <f t="shared" si="3"/>
        <v>0</v>
      </c>
    </row>
    <row r="13" spans="1:15" s="1269" customFormat="1">
      <c r="A13" s="1266"/>
      <c r="B13" s="1267"/>
      <c r="C13" s="1268" t="s">
        <v>1635</v>
      </c>
      <c r="D13" s="1312" t="s">
        <v>89</v>
      </c>
      <c r="E13" s="1269">
        <v>2235.096</v>
      </c>
      <c r="F13" s="1269">
        <v>5864.6959999999999</v>
      </c>
      <c r="G13" s="1269">
        <v>3189.8159999999998</v>
      </c>
      <c r="H13" s="1270">
        <v>3284.7599999999993</v>
      </c>
      <c r="L13" s="1269">
        <f>SUM(L8:L12)</f>
        <v>35166.579601980746</v>
      </c>
      <c r="M13" s="1269">
        <f t="shared" ref="M13:O13" si="4">SUM(M8:M12)</f>
        <v>47911.349708459507</v>
      </c>
      <c r="N13" s="1269">
        <f t="shared" si="4"/>
        <v>49672.022993245671</v>
      </c>
      <c r="O13" s="1269">
        <f t="shared" si="4"/>
        <v>51012.9789907062</v>
      </c>
    </row>
    <row r="14" spans="1:15" s="1269" customFormat="1">
      <c r="A14" s="1266"/>
      <c r="B14" s="1267"/>
      <c r="C14" s="1268" t="s">
        <v>1636</v>
      </c>
      <c r="D14" s="1312" t="s">
        <v>91</v>
      </c>
      <c r="E14" s="1269">
        <v>48</v>
      </c>
      <c r="F14" s="1269">
        <v>48</v>
      </c>
      <c r="G14" s="1269">
        <v>48</v>
      </c>
      <c r="H14" s="1270">
        <v>48</v>
      </c>
      <c r="L14" s="1269" t="b">
        <f>L13=E16</f>
        <v>1</v>
      </c>
      <c r="M14" s="1269" t="b">
        <f t="shared" ref="M14:O14" si="5">M13=F16</f>
        <v>1</v>
      </c>
      <c r="N14" s="1269" t="b">
        <f t="shared" si="5"/>
        <v>1</v>
      </c>
      <c r="O14" s="1269" t="b">
        <f t="shared" si="5"/>
        <v>1</v>
      </c>
    </row>
    <row r="15" spans="1:15" s="1269" customFormat="1">
      <c r="A15" s="1266"/>
      <c r="B15" s="1267"/>
      <c r="C15" s="1268" t="s">
        <v>1637</v>
      </c>
      <c r="D15" s="1312" t="s">
        <v>89</v>
      </c>
      <c r="E15" s="1271">
        <v>2721.5920999999998</v>
      </c>
      <c r="F15" s="1271">
        <v>3269.1905999999999</v>
      </c>
      <c r="G15" s="1271">
        <v>3371.7844800000003</v>
      </c>
      <c r="H15" s="1272">
        <v>3505.4641200000001</v>
      </c>
    </row>
    <row r="16" spans="1:15" s="1269" customFormat="1">
      <c r="A16" s="1266"/>
      <c r="B16" s="1267"/>
      <c r="C16" s="1273" t="s">
        <v>1638</v>
      </c>
      <c r="E16" s="1274">
        <f>SUM(E9:E15)</f>
        <v>35166.579601980746</v>
      </c>
      <c r="F16" s="1274">
        <f t="shared" ref="F16:H16" si="6">SUM(F9:F15)</f>
        <v>47911.3497084595</v>
      </c>
      <c r="G16" s="1274">
        <f t="shared" si="6"/>
        <v>49672.022993245671</v>
      </c>
      <c r="H16" s="1274">
        <f t="shared" si="6"/>
        <v>51012.9789907062</v>
      </c>
    </row>
    <row r="17" spans="1:8" s="1269" customFormat="1">
      <c r="A17" s="1266"/>
      <c r="B17" s="1267"/>
      <c r="C17" s="1273"/>
      <c r="D17" s="1273"/>
      <c r="E17" s="1274"/>
      <c r="F17" s="1274"/>
      <c r="G17" s="1274"/>
      <c r="H17" s="1275"/>
    </row>
    <row r="18" spans="1:8" s="1269" customFormat="1">
      <c r="A18" s="1266"/>
      <c r="B18" s="1267"/>
      <c r="C18" s="1276" t="s">
        <v>105</v>
      </c>
      <c r="D18" s="1276"/>
      <c r="E18" s="1269">
        <v>3935.04</v>
      </c>
      <c r="F18" s="1269">
        <v>400</v>
      </c>
      <c r="G18" s="1269">
        <v>400</v>
      </c>
      <c r="H18" s="1270">
        <v>400</v>
      </c>
    </row>
    <row r="19" spans="1:8" s="1269" customFormat="1">
      <c r="A19" s="1266"/>
      <c r="B19" s="1267"/>
      <c r="C19" s="1273"/>
      <c r="D19" s="1273"/>
      <c r="E19" s="1274"/>
      <c r="F19" s="1274"/>
      <c r="G19" s="1274"/>
      <c r="H19" s="1275"/>
    </row>
    <row r="20" spans="1:8" s="1269" customFormat="1">
      <c r="A20" s="1266"/>
      <c r="B20" s="1267"/>
      <c r="C20" s="1273" t="s">
        <v>1846</v>
      </c>
      <c r="D20" s="1273"/>
      <c r="E20" s="1277">
        <f>+E16+E18</f>
        <v>39101.619601980747</v>
      </c>
      <c r="F20" s="1277">
        <f t="shared" ref="F20:H20" si="7">+F16+F18</f>
        <v>48311.3497084595</v>
      </c>
      <c r="G20" s="1277">
        <f t="shared" si="7"/>
        <v>50072.022993245671</v>
      </c>
      <c r="H20" s="1277">
        <f t="shared" si="7"/>
        <v>51412.9789907062</v>
      </c>
    </row>
    <row r="21" spans="1:8" s="1269" customFormat="1">
      <c r="A21" s="1266"/>
      <c r="B21" s="1267"/>
      <c r="C21" s="1273"/>
      <c r="D21" s="1273"/>
      <c r="E21" s="1274"/>
      <c r="F21" s="1274"/>
      <c r="G21" s="1274"/>
      <c r="H21" s="1275"/>
    </row>
    <row r="22" spans="1:8" s="1269" customFormat="1">
      <c r="A22" s="1266"/>
      <c r="B22" s="1267"/>
      <c r="C22" s="1276" t="s">
        <v>1668</v>
      </c>
      <c r="D22" s="1276"/>
      <c r="E22" s="1269">
        <v>0</v>
      </c>
      <c r="F22" s="1269">
        <v>0</v>
      </c>
      <c r="G22" s="1269">
        <v>0</v>
      </c>
      <c r="H22" s="1270">
        <v>0</v>
      </c>
    </row>
    <row r="23" spans="1:8" s="1269" customFormat="1">
      <c r="A23" s="1266"/>
      <c r="B23" s="1267"/>
      <c r="C23" s="1273"/>
      <c r="D23" s="1273"/>
      <c r="E23" s="1274"/>
      <c r="F23" s="1274"/>
      <c r="G23" s="1274"/>
      <c r="H23" s="1275"/>
    </row>
    <row r="24" spans="1:8" s="1269" customFormat="1">
      <c r="A24" s="1266"/>
      <c r="B24" s="1267"/>
      <c r="C24" s="1273" t="s">
        <v>1847</v>
      </c>
      <c r="D24" s="1273"/>
      <c r="E24" s="1277">
        <v>39101.619601980747</v>
      </c>
      <c r="F24" s="1277">
        <v>48311.3497084595</v>
      </c>
      <c r="G24" s="1277">
        <v>50072.022993245671</v>
      </c>
      <c r="H24" s="1278">
        <v>51412.9789907062</v>
      </c>
    </row>
    <row r="25" spans="1:8" s="1269" customFormat="1">
      <c r="A25" s="1266"/>
      <c r="B25" s="1267"/>
      <c r="C25" s="1273"/>
      <c r="D25" s="1273"/>
      <c r="E25" s="1274"/>
      <c r="F25" s="1274"/>
      <c r="G25" s="1274"/>
      <c r="H25" s="1275"/>
    </row>
    <row r="26" spans="1:8" s="1269" customFormat="1">
      <c r="A26" s="1266"/>
      <c r="B26" s="1267"/>
      <c r="C26" s="1279" t="s">
        <v>1640</v>
      </c>
      <c r="D26" s="1279"/>
      <c r="E26" s="1269">
        <v>5.9325237649090763</v>
      </c>
      <c r="F26" s="1269">
        <v>1.0734445007318087</v>
      </c>
      <c r="G26" s="1269">
        <v>3.3928004782538587E-2</v>
      </c>
      <c r="H26" s="1270">
        <v>0</v>
      </c>
    </row>
    <row r="27" spans="1:8" s="1269" customFormat="1">
      <c r="A27" s="1266"/>
      <c r="B27" s="1267"/>
      <c r="C27" s="1279" t="s">
        <v>1641</v>
      </c>
      <c r="D27" s="1279"/>
      <c r="E27" s="1269">
        <v>0</v>
      </c>
      <c r="F27" s="1269">
        <v>0</v>
      </c>
      <c r="G27" s="1269">
        <v>0</v>
      </c>
      <c r="H27" s="1270">
        <v>0</v>
      </c>
    </row>
    <row r="28" spans="1:8" s="1269" customFormat="1">
      <c r="A28" s="1266"/>
      <c r="B28" s="1267"/>
      <c r="C28" s="1279" t="s">
        <v>1642</v>
      </c>
      <c r="D28" s="1279"/>
      <c r="E28" s="1269">
        <v>18500</v>
      </c>
      <c r="F28" s="1269">
        <v>65000</v>
      </c>
      <c r="G28" s="1269">
        <v>0</v>
      </c>
      <c r="H28" s="1270">
        <v>0</v>
      </c>
    </row>
    <row r="29" spans="1:8" s="1269" customFormat="1">
      <c r="A29" s="1266"/>
      <c r="B29" s="1267"/>
      <c r="C29" s="1279" t="s">
        <v>1643</v>
      </c>
      <c r="D29" s="1279"/>
      <c r="E29" s="1269">
        <v>0</v>
      </c>
      <c r="F29" s="1269">
        <v>0</v>
      </c>
      <c r="G29" s="1269">
        <v>0</v>
      </c>
      <c r="H29" s="1270">
        <v>0</v>
      </c>
    </row>
    <row r="30" spans="1:8" s="1269" customFormat="1">
      <c r="A30" s="1266"/>
      <c r="B30" s="1267"/>
      <c r="C30" s="1273"/>
      <c r="D30" s="1273"/>
      <c r="E30" s="1274"/>
      <c r="F30" s="1274"/>
      <c r="G30" s="1274"/>
      <c r="H30" s="1275"/>
    </row>
    <row r="31" spans="1:8" s="1269" customFormat="1" ht="13.5" thickBot="1">
      <c r="A31" s="1266"/>
      <c r="B31" s="1267"/>
      <c r="C31" s="1273" t="s">
        <v>1626</v>
      </c>
      <c r="D31" s="1273"/>
      <c r="E31" s="1280">
        <v>-16350.443688215833</v>
      </c>
      <c r="F31" s="1280">
        <v>339.28004782539938</v>
      </c>
      <c r="G31" s="1280">
        <v>-49732.709017415487</v>
      </c>
      <c r="H31" s="1281">
        <v>-101145.68800812168</v>
      </c>
    </row>
    <row r="32" spans="1:8" s="1269" customFormat="1" ht="13.5" thickTop="1">
      <c r="A32" s="1266"/>
      <c r="B32" s="1267"/>
      <c r="C32" s="1273"/>
      <c r="D32" s="1273"/>
      <c r="H32" s="1270"/>
    </row>
    <row r="33" spans="1:14" s="1286" customFormat="1" ht="13.5" thickBot="1">
      <c r="A33" s="1282"/>
      <c r="B33" s="1283"/>
      <c r="C33" s="1284"/>
      <c r="D33" s="1284"/>
      <c r="E33" s="1284"/>
      <c r="F33" s="1284"/>
      <c r="G33" s="1284"/>
      <c r="H33" s="1285"/>
    </row>
    <row r="34" spans="1:14" ht="13.5" thickBot="1"/>
    <row r="35" spans="1:14" s="1251" customFormat="1" ht="15" customHeight="1">
      <c r="A35" s="1246"/>
      <c r="B35" s="1247" t="s">
        <v>1644</v>
      </c>
      <c r="C35" s="1248"/>
      <c r="D35" s="1309"/>
      <c r="E35" s="1249"/>
      <c r="F35" s="1249"/>
      <c r="G35" s="1249"/>
      <c r="H35" s="1250"/>
    </row>
    <row r="36" spans="1:14" s="1251" customFormat="1" ht="12.75" customHeight="1">
      <c r="A36" s="1246"/>
      <c r="B36" s="1252"/>
      <c r="C36" s="1253"/>
      <c r="D36" s="1310"/>
      <c r="E36" s="1254" t="s">
        <v>1842</v>
      </c>
      <c r="F36" s="1254" t="s">
        <v>1843</v>
      </c>
      <c r="G36" s="1254" t="s">
        <v>1844</v>
      </c>
      <c r="H36" s="1255" t="s">
        <v>1845</v>
      </c>
      <c r="J36" s="1287"/>
      <c r="K36" s="1288" t="s">
        <v>1848</v>
      </c>
      <c r="L36" s="1288"/>
      <c r="M36" s="1288" t="s">
        <v>1849</v>
      </c>
      <c r="N36" s="1289"/>
    </row>
    <row r="37" spans="1:14" s="1251" customFormat="1" ht="11.1" customHeight="1">
      <c r="A37" s="1246"/>
      <c r="B37" s="1256"/>
      <c r="C37" s="1257"/>
      <c r="D37" s="1311"/>
      <c r="E37" s="1258"/>
      <c r="F37" s="1258"/>
      <c r="G37" s="1258"/>
      <c r="H37" s="1259"/>
      <c r="J37" s="1290"/>
      <c r="K37" s="1291"/>
      <c r="L37" s="1291"/>
      <c r="M37" s="1291"/>
      <c r="N37" s="1292"/>
    </row>
    <row r="38" spans="1:14" s="1251" customFormat="1">
      <c r="A38" s="1246"/>
      <c r="B38" s="1260"/>
      <c r="C38" s="1261"/>
      <c r="D38" s="1261"/>
      <c r="E38" s="1262"/>
      <c r="F38" s="1262"/>
      <c r="G38" s="1262"/>
      <c r="H38" s="1263"/>
      <c r="J38" s="1290"/>
      <c r="K38" s="1291"/>
      <c r="L38" s="1291"/>
      <c r="M38" s="1291"/>
      <c r="N38" s="1292"/>
    </row>
    <row r="39" spans="1:14" s="1251" customFormat="1">
      <c r="A39" s="1246"/>
      <c r="B39" s="1260"/>
      <c r="C39" s="1261" t="s">
        <v>1645</v>
      </c>
      <c r="D39" s="1261"/>
      <c r="E39" s="1262"/>
      <c r="F39" s="1262"/>
      <c r="G39" s="1262"/>
      <c r="H39" s="1263"/>
      <c r="J39" s="1290"/>
      <c r="K39" s="1291"/>
      <c r="L39" s="1291"/>
      <c r="M39" s="1291"/>
      <c r="N39" s="1292"/>
    </row>
    <row r="40" spans="1:14" s="1269" customFormat="1">
      <c r="A40" s="1266"/>
      <c r="B40" s="1267"/>
      <c r="C40" s="1293" t="s">
        <v>1850</v>
      </c>
      <c r="D40" s="1293"/>
      <c r="E40" s="1269">
        <v>3397.3968253968251</v>
      </c>
      <c r="F40" s="1269">
        <v>9295.3809523809523</v>
      </c>
      <c r="G40" s="1269">
        <v>9615.5263157894733</v>
      </c>
      <c r="H40" s="1270">
        <v>9314.4736842105267</v>
      </c>
      <c r="J40" s="1294" t="s">
        <v>1851</v>
      </c>
      <c r="K40" s="1295"/>
      <c r="L40" s="1295"/>
      <c r="M40" s="1295"/>
      <c r="N40" s="1296"/>
    </row>
    <row r="41" spans="1:14" s="1269" customFormat="1">
      <c r="A41" s="1266"/>
      <c r="B41" s="1267"/>
      <c r="C41" s="1293" t="s">
        <v>1852</v>
      </c>
      <c r="D41" s="1293"/>
      <c r="E41" s="1269">
        <v>2774.5245562499999</v>
      </c>
      <c r="F41" s="1269">
        <v>0</v>
      </c>
      <c r="G41" s="1269">
        <v>0</v>
      </c>
      <c r="H41" s="1270">
        <v>0</v>
      </c>
      <c r="J41" s="1297" t="s">
        <v>1853</v>
      </c>
      <c r="K41" s="1298">
        <v>15467.302334027778</v>
      </c>
      <c r="L41" s="1298" t="s">
        <v>1853</v>
      </c>
      <c r="M41" s="1298">
        <v>34397.30233402778</v>
      </c>
      <c r="N41" s="1299"/>
    </row>
    <row r="42" spans="1:14" s="1269" customFormat="1">
      <c r="A42" s="1266"/>
      <c r="B42" s="1267"/>
      <c r="C42" s="1293" t="s">
        <v>1854</v>
      </c>
      <c r="D42" s="1293"/>
      <c r="E42" s="1269">
        <v>1122.9850048076923</v>
      </c>
      <c r="F42" s="1269">
        <v>2759.8200576923082</v>
      </c>
      <c r="G42" s="1269">
        <v>3104.0080000000003</v>
      </c>
      <c r="H42" s="1270">
        <v>5438.8</v>
      </c>
      <c r="J42" s="1297" t="s">
        <v>1854</v>
      </c>
      <c r="K42" s="1298">
        <v>3882.8050625000005</v>
      </c>
      <c r="L42" s="1298" t="s">
        <v>1855</v>
      </c>
      <c r="M42" s="1298">
        <v>12425.613062500001</v>
      </c>
      <c r="N42" s="1299"/>
    </row>
    <row r="43" spans="1:14" s="1269" customFormat="1">
      <c r="A43" s="1266"/>
      <c r="B43" s="1267"/>
      <c r="C43" s="1293" t="s">
        <v>1856</v>
      </c>
      <c r="D43" s="1293"/>
      <c r="E43" s="1269">
        <v>1253.4891025641025</v>
      </c>
      <c r="F43" s="1269">
        <v>5471.1825641025644</v>
      </c>
      <c r="G43" s="1269">
        <v>8500.5</v>
      </c>
      <c r="H43" s="1270">
        <v>5044.666666666667</v>
      </c>
      <c r="J43" s="1297"/>
      <c r="K43" s="1298"/>
      <c r="L43" s="1298"/>
      <c r="M43" s="1298"/>
      <c r="N43" s="1299"/>
    </row>
    <row r="44" spans="1:14" s="1269" customFormat="1">
      <c r="A44" s="1266"/>
      <c r="B44" s="1267"/>
      <c r="C44" s="1293" t="s">
        <v>1655</v>
      </c>
      <c r="D44" s="1293"/>
      <c r="E44" s="1269">
        <v>48</v>
      </c>
      <c r="F44" s="1269">
        <v>48</v>
      </c>
      <c r="G44" s="1269">
        <v>48</v>
      </c>
      <c r="H44" s="1270">
        <v>48</v>
      </c>
      <c r="J44" s="1297"/>
      <c r="K44" s="1298"/>
      <c r="L44" s="1298"/>
      <c r="M44" s="1298"/>
      <c r="N44" s="1299"/>
    </row>
    <row r="45" spans="1:14" s="1269" customFormat="1">
      <c r="A45" s="1266"/>
      <c r="B45" s="1267"/>
      <c r="C45" s="1293" t="s">
        <v>1857</v>
      </c>
      <c r="D45" s="1293"/>
      <c r="E45" s="1271">
        <v>3571.0514545454548</v>
      </c>
      <c r="F45" s="1271">
        <v>1188.4749722222223</v>
      </c>
      <c r="G45" s="1271">
        <v>340</v>
      </c>
      <c r="H45" s="1272">
        <v>265</v>
      </c>
      <c r="J45" s="1297" t="s">
        <v>1856</v>
      </c>
      <c r="K45" s="1298">
        <v>6724.6716666666671</v>
      </c>
      <c r="L45" s="1298" t="s">
        <v>1858</v>
      </c>
      <c r="M45" s="1298">
        <v>20269.838333333333</v>
      </c>
      <c r="N45" s="1299"/>
    </row>
    <row r="46" spans="1:14" s="1269" customFormat="1">
      <c r="A46" s="1266"/>
      <c r="B46" s="1267"/>
      <c r="C46" s="1273" t="s">
        <v>1657</v>
      </c>
      <c r="D46" s="1273"/>
      <c r="E46" s="1274">
        <v>12167.446943564075</v>
      </c>
      <c r="F46" s="1274">
        <v>18762.858546398045</v>
      </c>
      <c r="G46" s="1274">
        <v>21608.034315789475</v>
      </c>
      <c r="H46" s="1275">
        <v>20110.940350877194</v>
      </c>
      <c r="J46" s="1297"/>
      <c r="K46" s="1298"/>
      <c r="L46" s="1298"/>
      <c r="M46" s="1298"/>
      <c r="N46" s="1299"/>
    </row>
    <row r="47" spans="1:14" s="1269" customFormat="1">
      <c r="A47" s="1266"/>
      <c r="B47" s="1267"/>
      <c r="C47" s="1273"/>
      <c r="D47" s="1273"/>
      <c r="E47" s="1274"/>
      <c r="F47" s="1274"/>
      <c r="G47" s="1274"/>
      <c r="H47" s="1275"/>
      <c r="J47" s="1297"/>
      <c r="K47" s="1298"/>
      <c r="L47" s="1298"/>
      <c r="M47" s="1298"/>
      <c r="N47" s="1299"/>
    </row>
    <row r="48" spans="1:14" s="1269" customFormat="1">
      <c r="A48" s="1266"/>
      <c r="B48" s="1267"/>
      <c r="C48" s="1261" t="s">
        <v>1658</v>
      </c>
      <c r="D48" s="1261"/>
      <c r="E48" s="1274"/>
      <c r="F48" s="1274"/>
      <c r="G48" s="1274"/>
      <c r="H48" s="1275"/>
      <c r="J48" s="1297"/>
      <c r="K48" s="1298"/>
      <c r="L48" s="1298"/>
      <c r="M48" s="1298"/>
      <c r="N48" s="1299"/>
    </row>
    <row r="49" spans="1:14" s="1269" customFormat="1">
      <c r="A49" s="1266"/>
      <c r="B49" s="1267"/>
      <c r="C49" s="1276" t="s">
        <v>1659</v>
      </c>
      <c r="D49" s="1276"/>
      <c r="E49" s="1269">
        <v>7146.1718367500007</v>
      </c>
      <c r="F49" s="1269">
        <v>9372.3590672072914</v>
      </c>
      <c r="G49" s="1269">
        <v>10737.048899734322</v>
      </c>
      <c r="H49" s="1270">
        <v>11515.08485722104</v>
      </c>
      <c r="J49" s="1297" t="s">
        <v>1655</v>
      </c>
      <c r="K49" s="1298">
        <v>96</v>
      </c>
      <c r="L49" s="1298" t="s">
        <v>1655</v>
      </c>
      <c r="M49" s="1298">
        <v>192</v>
      </c>
      <c r="N49" s="1299"/>
    </row>
    <row r="50" spans="1:14" s="1269" customFormat="1">
      <c r="A50" s="1266"/>
      <c r="B50" s="1267"/>
      <c r="C50" s="1276" t="s">
        <v>1660</v>
      </c>
      <c r="D50" s="1276"/>
      <c r="E50" s="1269">
        <v>2029.9746616666662</v>
      </c>
      <c r="F50" s="1269">
        <v>3209.7454948541672</v>
      </c>
      <c r="G50" s="1269">
        <v>3907.2392977218751</v>
      </c>
      <c r="H50" s="1270">
        <v>5805.5296626079689</v>
      </c>
      <c r="J50" s="1297" t="s">
        <v>1857</v>
      </c>
      <c r="K50" s="1298">
        <v>4759.5264267676775</v>
      </c>
      <c r="L50" s="1297" t="s">
        <v>1857</v>
      </c>
      <c r="M50" s="1298">
        <v>5364.5264267676775</v>
      </c>
      <c r="N50" s="1299"/>
    </row>
    <row r="51" spans="1:14" s="1269" customFormat="1">
      <c r="A51" s="1266"/>
      <c r="B51" s="1267"/>
      <c r="C51" s="1268" t="s">
        <v>1661</v>
      </c>
      <c r="D51" s="1268"/>
      <c r="E51" s="1269">
        <v>2235.096</v>
      </c>
      <c r="F51" s="1269">
        <v>5864.6959999999999</v>
      </c>
      <c r="G51" s="1269">
        <v>3189.8159999999998</v>
      </c>
      <c r="H51" s="1270">
        <v>3284.7599999999993</v>
      </c>
      <c r="J51" s="1300"/>
      <c r="K51" s="1301"/>
      <c r="L51" s="1301"/>
      <c r="M51" s="1301"/>
      <c r="N51" s="1302"/>
    </row>
    <row r="52" spans="1:14" s="1269" customFormat="1">
      <c r="A52" s="1266"/>
      <c r="B52" s="1267"/>
      <c r="C52" s="1276" t="s">
        <v>1612</v>
      </c>
      <c r="D52" s="1276"/>
      <c r="E52" s="1269">
        <v>322.60000000000002</v>
      </c>
      <c r="F52" s="1269">
        <v>409.4</v>
      </c>
      <c r="G52" s="1269">
        <v>456.79999999999995</v>
      </c>
      <c r="H52" s="1270">
        <v>550.70000000000005</v>
      </c>
    </row>
    <row r="53" spans="1:14" s="1269" customFormat="1">
      <c r="A53" s="1266"/>
      <c r="B53" s="1267"/>
      <c r="C53" s="1293" t="s">
        <v>1662</v>
      </c>
      <c r="D53" s="1293"/>
      <c r="E53" s="1269">
        <v>3550.7980600000001</v>
      </c>
      <c r="F53" s="1269">
        <v>1340</v>
      </c>
      <c r="G53" s="1269">
        <v>661.5</v>
      </c>
      <c r="H53" s="1270">
        <v>528</v>
      </c>
    </row>
    <row r="54" spans="1:14" s="1269" customFormat="1">
      <c r="A54" s="1266"/>
      <c r="B54" s="1267"/>
      <c r="C54" s="1293" t="s">
        <v>1663</v>
      </c>
      <c r="D54" s="1293"/>
      <c r="E54" s="1269">
        <v>5171.5</v>
      </c>
      <c r="F54" s="1269">
        <v>5884</v>
      </c>
      <c r="G54" s="1269">
        <v>5959</v>
      </c>
      <c r="H54" s="1270">
        <v>5959</v>
      </c>
    </row>
    <row r="55" spans="1:14" s="1269" customFormat="1">
      <c r="A55" s="1266"/>
      <c r="B55" s="1267"/>
      <c r="C55" s="1268" t="s">
        <v>1664</v>
      </c>
      <c r="D55" s="1268"/>
      <c r="E55" s="1269">
        <v>2136.3921</v>
      </c>
      <c r="F55" s="1269">
        <v>2685.3905999999997</v>
      </c>
      <c r="G55" s="1269">
        <v>2761.5844800000004</v>
      </c>
      <c r="H55" s="1270">
        <v>2840.06412</v>
      </c>
    </row>
    <row r="56" spans="1:14" s="1269" customFormat="1">
      <c r="A56" s="1266"/>
      <c r="B56" s="1267"/>
      <c r="C56" s="1268" t="s">
        <v>1665</v>
      </c>
      <c r="D56" s="1268"/>
      <c r="E56" s="1271">
        <v>406.6</v>
      </c>
      <c r="F56" s="1271">
        <v>382.89999999999992</v>
      </c>
      <c r="G56" s="1271">
        <v>391</v>
      </c>
      <c r="H56" s="1272">
        <v>418.89999999999992</v>
      </c>
    </row>
    <row r="57" spans="1:14" s="1269" customFormat="1">
      <c r="A57" s="1266"/>
      <c r="B57" s="1267"/>
      <c r="C57" s="1261" t="s">
        <v>1666</v>
      </c>
      <c r="D57" s="1261"/>
      <c r="E57" s="1274">
        <v>22999.132658416667</v>
      </c>
      <c r="F57" s="1274">
        <v>29148.491162061458</v>
      </c>
      <c r="G57" s="1274">
        <v>28063.988677456196</v>
      </c>
      <c r="H57" s="1275">
        <v>30902.03863982901</v>
      </c>
    </row>
    <row r="58" spans="1:14" s="1269" customFormat="1">
      <c r="A58" s="1266"/>
      <c r="B58" s="1267"/>
      <c r="C58" s="1273"/>
      <c r="D58" s="1273"/>
      <c r="E58" s="1274"/>
      <c r="F58" s="1274"/>
      <c r="G58" s="1274"/>
      <c r="H58" s="1275"/>
    </row>
    <row r="59" spans="1:14" s="1269" customFormat="1">
      <c r="A59" s="1266"/>
      <c r="B59" s="1267"/>
      <c r="C59" s="1268" t="s">
        <v>105</v>
      </c>
      <c r="D59" s="1268"/>
      <c r="E59" s="1269">
        <v>3935.04</v>
      </c>
      <c r="F59" s="1269">
        <v>400</v>
      </c>
      <c r="G59" s="1269">
        <v>400</v>
      </c>
      <c r="H59" s="1270">
        <v>400</v>
      </c>
    </row>
    <row r="60" spans="1:14" s="1269" customFormat="1">
      <c r="A60" s="1266"/>
      <c r="B60" s="1267"/>
      <c r="C60" s="1268"/>
      <c r="D60" s="1268"/>
      <c r="H60" s="1270"/>
    </row>
    <row r="61" spans="1:14" s="1269" customFormat="1">
      <c r="A61" s="1266"/>
      <c r="B61" s="1267"/>
      <c r="C61" s="1273" t="s">
        <v>1846</v>
      </c>
      <c r="D61" s="1273"/>
      <c r="E61" s="1277">
        <v>39101.619601980739</v>
      </c>
      <c r="F61" s="1277">
        <v>48311.3497084595</v>
      </c>
      <c r="G61" s="1277">
        <v>50072.022993245671</v>
      </c>
      <c r="H61" s="1278">
        <v>51412.978990706208</v>
      </c>
    </row>
    <row r="62" spans="1:14" s="1269" customFormat="1">
      <c r="A62" s="1266"/>
      <c r="B62" s="1267"/>
      <c r="C62" s="1273"/>
      <c r="D62" s="1273"/>
      <c r="H62" s="1270"/>
    </row>
    <row r="63" spans="1:14" s="1269" customFormat="1">
      <c r="A63" s="1266"/>
      <c r="B63" s="1267"/>
      <c r="C63" s="1276" t="s">
        <v>1668</v>
      </c>
      <c r="D63" s="1276"/>
      <c r="E63" s="1269">
        <v>0</v>
      </c>
      <c r="F63" s="1269">
        <v>0</v>
      </c>
      <c r="G63" s="1269">
        <v>0</v>
      </c>
      <c r="H63" s="1270">
        <v>0</v>
      </c>
    </row>
    <row r="64" spans="1:14" s="1269" customFormat="1">
      <c r="A64" s="1266"/>
      <c r="B64" s="1267"/>
      <c r="C64" s="1273"/>
      <c r="D64" s="1273"/>
      <c r="E64" s="1274"/>
      <c r="F64" s="1274"/>
      <c r="G64" s="1274"/>
      <c r="H64" s="1275"/>
    </row>
    <row r="65" spans="1:25" s="1269" customFormat="1" ht="13.5" thickBot="1">
      <c r="A65" s="1266"/>
      <c r="B65" s="1267"/>
      <c r="C65" s="1273" t="s">
        <v>1847</v>
      </c>
      <c r="D65" s="1273"/>
      <c r="E65" s="1280">
        <v>39101.619601980739</v>
      </c>
      <c r="F65" s="1280">
        <v>48311.3497084595</v>
      </c>
      <c r="G65" s="1280">
        <v>50072.022993245671</v>
      </c>
      <c r="H65" s="1303">
        <v>51412.978990706208</v>
      </c>
    </row>
    <row r="66" spans="1:25" s="1269" customFormat="1" ht="13.5" thickTop="1">
      <c r="A66" s="1266"/>
      <c r="B66" s="1267"/>
      <c r="C66" s="1273"/>
      <c r="D66" s="1273"/>
      <c r="H66" s="1270"/>
    </row>
    <row r="67" spans="1:25" s="1269" customFormat="1" ht="13.5" thickBot="1">
      <c r="A67" s="1282"/>
      <c r="B67" s="1283"/>
      <c r="C67" s="1284"/>
      <c r="D67" s="1284"/>
      <c r="E67" s="1284"/>
      <c r="F67" s="1284"/>
      <c r="G67" s="1284"/>
      <c r="H67" s="1285"/>
    </row>
    <row r="68" spans="1:25" s="1269" customFormat="1">
      <c r="A68" s="1244"/>
      <c r="B68" s="1244"/>
      <c r="C68" s="1244"/>
      <c r="D68" s="1244"/>
      <c r="E68" s="1244"/>
      <c r="F68" s="1244"/>
      <c r="G68" s="1244"/>
      <c r="H68" s="1244"/>
    </row>
    <row r="69" spans="1:25" s="1269" customFormat="1">
      <c r="A69" s="1304"/>
      <c r="B69" s="1304"/>
      <c r="C69" s="1304"/>
      <c r="D69" s="1304"/>
      <c r="E69" s="1304"/>
      <c r="F69" s="1304"/>
      <c r="G69" s="1304"/>
      <c r="H69" s="1304"/>
    </row>
    <row r="70" spans="1:25" s="1269" customFormat="1">
      <c r="A70" s="1304"/>
      <c r="B70" s="1304"/>
      <c r="C70" s="1304"/>
      <c r="D70" s="1304"/>
      <c r="E70" s="1304"/>
      <c r="F70" s="1304"/>
      <c r="G70" s="1304"/>
      <c r="H70" s="1304"/>
    </row>
    <row r="71" spans="1:25" s="1269" customFormat="1">
      <c r="A71" s="1304"/>
      <c r="B71" s="1304"/>
      <c r="C71" s="1304"/>
      <c r="D71" s="1304"/>
      <c r="E71" s="1304"/>
      <c r="F71" s="1304"/>
      <c r="G71" s="1304"/>
      <c r="H71" s="1304"/>
    </row>
    <row r="72" spans="1:25" s="1286" customFormat="1">
      <c r="A72" s="1304"/>
      <c r="B72" s="1304"/>
      <c r="C72" s="1304"/>
      <c r="D72" s="1304"/>
      <c r="E72" s="1304"/>
      <c r="F72" s="1304"/>
      <c r="G72" s="1304"/>
      <c r="H72" s="1304"/>
    </row>
    <row r="73" spans="1:25">
      <c r="A73" s="1304"/>
      <c r="B73" s="1304"/>
      <c r="C73" s="1304"/>
      <c r="D73" s="1304"/>
      <c r="E73" s="1304"/>
      <c r="F73" s="1304"/>
      <c r="G73" s="1304"/>
      <c r="H73" s="1304"/>
    </row>
    <row r="74" spans="1:25" s="1262" customFormat="1">
      <c r="A74" s="1304"/>
      <c r="B74" s="1304"/>
      <c r="C74" s="1304"/>
      <c r="D74" s="1304"/>
      <c r="E74" s="1304"/>
      <c r="F74" s="1304"/>
      <c r="G74" s="1304"/>
      <c r="H74" s="1304"/>
    </row>
    <row r="75" spans="1:25" s="1262" customFormat="1">
      <c r="A75" s="1304"/>
      <c r="B75" s="1304"/>
      <c r="C75" s="1304"/>
      <c r="D75" s="1304"/>
      <c r="E75" s="1304"/>
      <c r="F75" s="1304"/>
      <c r="G75" s="1304"/>
      <c r="H75" s="1304"/>
    </row>
    <row r="76" spans="1:25" s="1262" customFormat="1">
      <c r="A76" s="1304"/>
      <c r="B76" s="1304"/>
      <c r="C76" s="1304"/>
      <c r="D76" s="1304"/>
      <c r="E76" s="1304"/>
      <c r="F76" s="1304"/>
      <c r="G76" s="1304"/>
      <c r="H76" s="1304"/>
      <c r="P76" s="1306"/>
      <c r="Y76" s="1306"/>
    </row>
    <row r="77" spans="1:25" s="1262" customFormat="1">
      <c r="A77" s="1304"/>
      <c r="B77" s="1304"/>
      <c r="C77" s="1304"/>
      <c r="D77" s="1304"/>
      <c r="E77" s="1304"/>
      <c r="F77" s="1304"/>
      <c r="G77" s="1304"/>
      <c r="H77" s="1304"/>
      <c r="P77" s="1306"/>
      <c r="Y77" s="1306"/>
    </row>
    <row r="78" spans="1:25" s="1262" customFormat="1">
      <c r="A78" s="1304"/>
      <c r="B78" s="1304"/>
      <c r="C78" s="1304"/>
      <c r="D78" s="1304"/>
      <c r="E78" s="1304"/>
      <c r="F78" s="1304"/>
      <c r="G78" s="1304"/>
      <c r="H78" s="1304"/>
      <c r="P78" s="1306"/>
      <c r="Y78" s="1306"/>
    </row>
    <row r="79" spans="1:25" s="1262" customFormat="1">
      <c r="A79" s="1304"/>
      <c r="B79" s="1304"/>
      <c r="C79" s="1304"/>
      <c r="D79" s="1304"/>
      <c r="E79" s="1304"/>
      <c r="F79" s="1304"/>
      <c r="G79" s="1304"/>
      <c r="H79" s="1304"/>
      <c r="P79" s="1306"/>
      <c r="Y79" s="1306"/>
    </row>
    <row r="80" spans="1:25" s="1262" customFormat="1">
      <c r="A80" s="1304"/>
      <c r="B80" s="1304"/>
      <c r="C80" s="1304"/>
      <c r="D80" s="1304"/>
      <c r="E80" s="1304"/>
      <c r="F80" s="1304"/>
      <c r="G80" s="1304"/>
      <c r="H80" s="1304"/>
      <c r="P80" s="1306"/>
      <c r="Y80" s="1306"/>
    </row>
    <row r="81" spans="1:25" s="1262" customFormat="1">
      <c r="A81" s="1304"/>
      <c r="B81" s="1304"/>
      <c r="C81" s="1304"/>
      <c r="D81" s="1304"/>
      <c r="E81" s="1304"/>
      <c r="F81" s="1304"/>
      <c r="G81" s="1304"/>
      <c r="H81" s="1304"/>
      <c r="P81" s="1306"/>
      <c r="Y81" s="1306"/>
    </row>
    <row r="82" spans="1:25" s="1262" customFormat="1">
      <c r="A82" s="1304"/>
      <c r="B82" s="1304"/>
      <c r="C82" s="1304"/>
      <c r="D82" s="1304"/>
      <c r="E82" s="1304"/>
      <c r="F82" s="1304"/>
      <c r="G82" s="1304"/>
      <c r="H82" s="1304"/>
      <c r="P82" s="1306"/>
      <c r="Y82" s="1306"/>
    </row>
    <row r="83" spans="1:25" s="1262" customFormat="1">
      <c r="A83" s="1304"/>
      <c r="B83" s="1304"/>
      <c r="C83" s="1304"/>
      <c r="D83" s="1304"/>
      <c r="E83" s="1304"/>
      <c r="F83" s="1304"/>
      <c r="G83" s="1304"/>
      <c r="H83" s="1304"/>
      <c r="P83" s="1306"/>
      <c r="Y83" s="1306"/>
    </row>
    <row r="84" spans="1:25" s="1262" customFormat="1">
      <c r="A84" s="1304"/>
      <c r="B84" s="1304"/>
      <c r="C84" s="1304"/>
      <c r="D84" s="1304"/>
      <c r="E84" s="1304"/>
      <c r="F84" s="1304"/>
      <c r="G84" s="1304"/>
      <c r="H84" s="1304"/>
      <c r="P84" s="1306"/>
      <c r="Y84" s="1306"/>
    </row>
    <row r="85" spans="1:25" s="1262" customFormat="1">
      <c r="A85" s="1304"/>
      <c r="B85" s="1304"/>
      <c r="C85" s="1304"/>
      <c r="D85" s="1304"/>
      <c r="E85" s="1304"/>
      <c r="F85" s="1304"/>
      <c r="G85" s="1304"/>
      <c r="H85" s="1304"/>
      <c r="P85" s="1306"/>
      <c r="Y85" s="1306"/>
    </row>
    <row r="86" spans="1:25" s="1262" customFormat="1">
      <c r="A86" s="1304"/>
      <c r="B86" s="1304"/>
      <c r="C86" s="1304"/>
      <c r="D86" s="1304"/>
      <c r="E86" s="1304"/>
      <c r="F86" s="1304"/>
      <c r="G86" s="1304"/>
      <c r="H86" s="1304"/>
      <c r="P86" s="1306"/>
      <c r="Y86" s="1306"/>
    </row>
    <row r="87" spans="1:25" s="1262" customFormat="1">
      <c r="A87" s="1304"/>
      <c r="B87" s="1304"/>
      <c r="C87" s="1304"/>
      <c r="D87" s="1304"/>
      <c r="E87" s="1304"/>
      <c r="F87" s="1304"/>
      <c r="G87" s="1304"/>
      <c r="H87" s="1304"/>
      <c r="P87" s="1306"/>
      <c r="Y87" s="1306"/>
    </row>
    <row r="88" spans="1:25" s="1262" customFormat="1">
      <c r="A88" s="1304"/>
      <c r="B88" s="1304"/>
      <c r="C88" s="1304"/>
      <c r="D88" s="1304"/>
      <c r="E88" s="1304"/>
      <c r="F88" s="1304"/>
      <c r="G88" s="1304"/>
      <c r="H88" s="1304"/>
      <c r="P88" s="1306"/>
      <c r="Y88" s="1306"/>
    </row>
    <row r="89" spans="1:25" s="1262" customFormat="1">
      <c r="A89" s="1304"/>
      <c r="B89" s="1304"/>
      <c r="C89" s="1304"/>
      <c r="D89" s="1304"/>
      <c r="E89" s="1304"/>
      <c r="F89" s="1304"/>
      <c r="G89" s="1304"/>
      <c r="H89" s="1304"/>
      <c r="P89" s="1306"/>
      <c r="Y89" s="1306"/>
    </row>
    <row r="90" spans="1:25" s="1262" customFormat="1">
      <c r="A90" s="1244"/>
      <c r="B90" s="1244"/>
      <c r="C90" s="1244"/>
      <c r="D90" s="1244"/>
      <c r="E90" s="1244"/>
      <c r="F90" s="1244"/>
      <c r="G90" s="1244"/>
      <c r="H90" s="1244"/>
      <c r="P90" s="1306"/>
      <c r="Y90" s="1306"/>
    </row>
    <row r="91" spans="1:25" s="1262" customFormat="1">
      <c r="A91" s="1244"/>
      <c r="B91" s="1244"/>
      <c r="C91" s="1244"/>
      <c r="D91" s="1244"/>
      <c r="E91" s="1244"/>
      <c r="F91" s="1244"/>
      <c r="G91" s="1244"/>
      <c r="H91" s="1244"/>
      <c r="P91" s="1306"/>
      <c r="Y91" s="1306"/>
    </row>
    <row r="92" spans="1:25" s="1262" customFormat="1">
      <c r="A92" s="1244"/>
      <c r="B92" s="1244"/>
      <c r="C92" s="1244"/>
      <c r="D92" s="1244"/>
      <c r="E92" s="1244"/>
      <c r="F92" s="1244"/>
      <c r="G92" s="1244"/>
      <c r="H92" s="1244"/>
      <c r="P92" s="1306"/>
      <c r="Y92" s="1306"/>
    </row>
    <row r="93" spans="1:25" s="1262" customFormat="1">
      <c r="A93" s="1244"/>
      <c r="B93" s="1244"/>
      <c r="C93" s="1244"/>
      <c r="D93" s="1244"/>
      <c r="E93" s="1244"/>
      <c r="F93" s="1244"/>
      <c r="G93" s="1244"/>
      <c r="H93" s="1244"/>
      <c r="P93" s="1306"/>
      <c r="Y93" s="1306"/>
    </row>
    <row r="94" spans="1:25" s="1262" customFormat="1">
      <c r="A94" s="1244"/>
      <c r="B94" s="1244"/>
      <c r="C94" s="1244"/>
      <c r="D94" s="1244"/>
      <c r="E94" s="1244"/>
      <c r="F94" s="1244"/>
      <c r="G94" s="1244"/>
      <c r="H94" s="1244"/>
      <c r="J94" s="1245"/>
      <c r="K94" s="1245"/>
      <c r="L94" s="1245"/>
      <c r="M94" s="1245"/>
      <c r="P94" s="1306"/>
      <c r="Y94" s="1306"/>
    </row>
  </sheetData>
  <printOptions horizontalCentered="1" verticalCentered="1"/>
  <pageMargins left="0" right="0" top="0.75" bottom="0.75" header="0.3" footer="0.3"/>
  <pageSetup scale="72" orientation="landscape" horizontalDpi="4294967293"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B1:BG45"/>
  <sheetViews>
    <sheetView showGridLines="0" topLeftCell="A4" zoomScale="90" zoomScaleNormal="90" workbookViewId="0">
      <selection activeCell="D23" sqref="D23"/>
    </sheetView>
  </sheetViews>
  <sheetFormatPr defaultColWidth="9.5" defaultRowHeight="15.75"/>
  <cols>
    <col min="1" max="1" width="3.5" style="1030" customWidth="1"/>
    <col min="2" max="2" width="3.33203125" style="1030" customWidth="1"/>
    <col min="3" max="3" width="54.6640625" style="1030" customWidth="1"/>
    <col min="4" max="4" width="17.6640625" style="1030" customWidth="1"/>
    <col min="5" max="5" width="4.5" style="1030" customWidth="1"/>
    <col min="6" max="6" width="17.6640625" style="1030" customWidth="1"/>
    <col min="7" max="7" width="3.5" style="1030" customWidth="1"/>
    <col min="8" max="8" width="18.1640625" style="1030" customWidth="1"/>
    <col min="9" max="9" width="5" style="1030" customWidth="1"/>
    <col min="10" max="10" width="17.5" style="1030" customWidth="1"/>
    <col min="11" max="11" width="5.1640625" style="1030" customWidth="1"/>
    <col min="12" max="12" width="15.1640625" style="1030" customWidth="1"/>
    <col min="13" max="13" width="4.5" style="1031" customWidth="1"/>
    <col min="14" max="14" width="10.1640625" style="1030" bestFit="1" customWidth="1"/>
    <col min="15" max="15" width="10.33203125" style="1030" bestFit="1" customWidth="1"/>
    <col min="16" max="17" width="9.5" style="1030"/>
    <col min="18" max="18" width="16.33203125" style="1030" bestFit="1" customWidth="1"/>
    <col min="19" max="19" width="9.5" style="1030"/>
    <col min="20" max="20" width="10.6640625" style="1030" bestFit="1" customWidth="1"/>
    <col min="21" max="21" width="9.5" style="1030"/>
    <col min="22" max="22" width="4.5" style="1030" customWidth="1"/>
    <col min="23" max="23" width="44.5" style="1030" customWidth="1"/>
    <col min="24" max="24" width="4.1640625" style="1030" customWidth="1"/>
    <col min="25" max="25" width="14.6640625" style="1030" customWidth="1"/>
    <col min="26" max="26" width="18.83203125" style="1030" customWidth="1"/>
    <col min="27" max="27" width="13.83203125" style="1030" customWidth="1"/>
    <col min="28" max="29" width="13.83203125" style="1030" bestFit="1" customWidth="1"/>
    <col min="30" max="30" width="18" style="1030" customWidth="1"/>
    <col min="31" max="39" width="13.83203125" style="1030" bestFit="1" customWidth="1"/>
    <col min="40" max="40" width="20.33203125" style="1030" customWidth="1"/>
    <col min="41" max="41" width="13.83203125" style="1030" bestFit="1" customWidth="1"/>
    <col min="42" max="42" width="15.83203125" style="1030" bestFit="1" customWidth="1"/>
    <col min="43" max="48" width="14.5" style="1030" bestFit="1" customWidth="1"/>
    <col min="49" max="51" width="15.33203125" style="1030" bestFit="1" customWidth="1"/>
    <col min="52" max="52" width="15.6640625" style="1030" customWidth="1"/>
    <col min="53" max="53" width="14.5" style="1030" bestFit="1" customWidth="1"/>
    <col min="54" max="54" width="16.1640625" style="1030" customWidth="1"/>
    <col min="55" max="55" width="24.5" style="1030" customWidth="1"/>
    <col min="56" max="56" width="22.1640625" style="1030" customWidth="1"/>
    <col min="57" max="59" width="15.33203125" style="1030" customWidth="1"/>
    <col min="60" max="16384" width="9.5" style="1030"/>
  </cols>
  <sheetData>
    <row r="1" spans="2:59">
      <c r="R1" s="1032"/>
    </row>
    <row r="2" spans="2:59" ht="26.25">
      <c r="B2" s="2315" t="s">
        <v>1502</v>
      </c>
      <c r="C2" s="2315"/>
      <c r="D2" s="2315"/>
      <c r="E2" s="2315"/>
      <c r="F2" s="2315"/>
      <c r="G2" s="1033"/>
      <c r="H2" s="1033"/>
      <c r="I2" s="1033"/>
      <c r="J2" s="1033"/>
      <c r="K2" s="1033"/>
      <c r="L2" s="1033"/>
      <c r="M2" s="1034"/>
      <c r="N2" s="1033"/>
    </row>
    <row r="3" spans="2:59" ht="19.5" thickBot="1">
      <c r="B3" s="2316" t="s">
        <v>1503</v>
      </c>
      <c r="C3" s="2316"/>
      <c r="D3" s="2316"/>
      <c r="E3" s="2316"/>
      <c r="F3" s="2316"/>
      <c r="N3" s="1035"/>
    </row>
    <row r="4" spans="2:59" ht="19.5" thickBot="1">
      <c r="B4" s="2316" t="s">
        <v>1504</v>
      </c>
      <c r="C4" s="2316"/>
      <c r="D4" s="2316"/>
      <c r="E4" s="2316"/>
      <c r="F4" s="2316"/>
      <c r="N4" s="2317" t="s">
        <v>1505</v>
      </c>
      <c r="O4" s="2318"/>
      <c r="P4" s="2318"/>
      <c r="Q4" s="2318"/>
      <c r="R4" s="2318"/>
      <c r="S4" s="2319"/>
    </row>
    <row r="5" spans="2:59">
      <c r="N5" s="1035"/>
    </row>
    <row r="6" spans="2:59" ht="15.75" customHeight="1">
      <c r="B6" s="1036"/>
      <c r="C6" s="1036"/>
      <c r="D6" s="1037" t="s">
        <v>1506</v>
      </c>
      <c r="E6" s="1036"/>
      <c r="F6" s="1037" t="s">
        <v>1507</v>
      </c>
      <c r="G6" s="1036"/>
      <c r="H6" s="1037" t="s">
        <v>1507</v>
      </c>
      <c r="I6" s="1036"/>
      <c r="J6" s="1037" t="s">
        <v>1507</v>
      </c>
      <c r="K6" s="1036"/>
      <c r="L6" s="1037"/>
      <c r="N6" s="1038" t="s">
        <v>1508</v>
      </c>
      <c r="O6" s="1039"/>
      <c r="P6" s="1038" t="s">
        <v>1509</v>
      </c>
      <c r="Q6" s="1039"/>
      <c r="R6" s="1038"/>
      <c r="Y6" s="1040" t="s">
        <v>1510</v>
      </c>
      <c r="Z6" s="1040" t="s">
        <v>1511</v>
      </c>
      <c r="AA6" s="1040" t="s">
        <v>1512</v>
      </c>
      <c r="AB6" s="1040" t="s">
        <v>1513</v>
      </c>
      <c r="AC6" s="1040" t="s">
        <v>1514</v>
      </c>
      <c r="AD6" s="1040" t="s">
        <v>1515</v>
      </c>
      <c r="AE6" s="1040" t="s">
        <v>1516</v>
      </c>
      <c r="AF6" s="1040" t="s">
        <v>1517</v>
      </c>
      <c r="AG6" s="1040" t="s">
        <v>1518</v>
      </c>
      <c r="AH6" s="1040" t="s">
        <v>1519</v>
      </c>
      <c r="AI6" s="1040" t="s">
        <v>1520</v>
      </c>
      <c r="AJ6" s="1040" t="s">
        <v>1521</v>
      </c>
      <c r="AK6" s="1040" t="s">
        <v>1522</v>
      </c>
      <c r="AL6" s="1040" t="s">
        <v>1523</v>
      </c>
      <c r="AM6" s="1040" t="s">
        <v>1524</v>
      </c>
      <c r="AN6" s="1040" t="s">
        <v>1525</v>
      </c>
      <c r="AO6" s="1040" t="s">
        <v>1526</v>
      </c>
      <c r="AP6" s="1040" t="s">
        <v>1527</v>
      </c>
      <c r="AQ6" s="1040" t="s">
        <v>1528</v>
      </c>
      <c r="AR6" s="1040" t="s">
        <v>1529</v>
      </c>
      <c r="AS6" s="1040" t="s">
        <v>1530</v>
      </c>
      <c r="AT6" s="1040" t="s">
        <v>1531</v>
      </c>
      <c r="AU6" s="1040" t="s">
        <v>1532</v>
      </c>
      <c r="AV6" s="1040" t="s">
        <v>1533</v>
      </c>
      <c r="AW6" s="1040" t="s">
        <v>1534</v>
      </c>
      <c r="AX6" s="1040" t="s">
        <v>1535</v>
      </c>
      <c r="AY6" s="1041" t="s">
        <v>1536</v>
      </c>
      <c r="AZ6" s="1042" t="s">
        <v>1537</v>
      </c>
      <c r="BA6" s="1042" t="s">
        <v>1538</v>
      </c>
      <c r="BB6" s="1043" t="s">
        <v>1539</v>
      </c>
      <c r="BC6" s="1043" t="s">
        <v>1540</v>
      </c>
      <c r="BD6" s="1043" t="s">
        <v>1541</v>
      </c>
      <c r="BE6" s="1043" t="s">
        <v>1542</v>
      </c>
      <c r="BF6" s="1043" t="s">
        <v>1543</v>
      </c>
      <c r="BG6" s="1043" t="s">
        <v>1544</v>
      </c>
    </row>
    <row r="7" spans="2:59" ht="15.75" customHeight="1">
      <c r="B7" s="1036" t="s">
        <v>1545</v>
      </c>
      <c r="C7" s="1036"/>
      <c r="D7" s="1044">
        <v>2018</v>
      </c>
      <c r="E7" s="1036"/>
      <c r="F7" s="1044">
        <f>D7-1</f>
        <v>2017</v>
      </c>
      <c r="G7" s="1036"/>
      <c r="H7" s="1044">
        <f>F7-1</f>
        <v>2016</v>
      </c>
      <c r="I7" s="1036"/>
      <c r="J7" s="1044">
        <f>H7-1</f>
        <v>2015</v>
      </c>
      <c r="K7" s="1036"/>
      <c r="L7" s="1036"/>
      <c r="N7" s="1045" t="s">
        <v>1546</v>
      </c>
      <c r="O7" s="1046"/>
      <c r="P7" s="1045" t="s">
        <v>1546</v>
      </c>
      <c r="Q7" s="1046"/>
      <c r="R7" s="1045" t="s">
        <v>1547</v>
      </c>
      <c r="V7" s="1036" t="s">
        <v>1545</v>
      </c>
      <c r="W7" s="1036"/>
    </row>
    <row r="8" spans="2:59">
      <c r="D8" s="1047" t="s">
        <v>1548</v>
      </c>
      <c r="E8" s="1047"/>
      <c r="F8" s="1047" t="s">
        <v>1548</v>
      </c>
      <c r="G8" s="1047"/>
      <c r="H8" s="1047" t="s">
        <v>1548</v>
      </c>
      <c r="I8" s="1047"/>
      <c r="J8" s="1047" t="s">
        <v>1548</v>
      </c>
      <c r="K8" s="1047"/>
      <c r="L8" s="1047"/>
      <c r="N8" s="1048" t="s">
        <v>1548</v>
      </c>
      <c r="O8" s="1049"/>
      <c r="P8" s="1048" t="s">
        <v>1548</v>
      </c>
      <c r="Q8" s="1049"/>
      <c r="R8" s="1048" t="s">
        <v>1548</v>
      </c>
    </row>
    <row r="9" spans="2:59">
      <c r="D9" s="1047"/>
      <c r="E9" s="1047"/>
      <c r="F9" s="1047"/>
      <c r="G9" s="1047"/>
      <c r="H9" s="1047"/>
      <c r="I9" s="1047"/>
      <c r="J9" s="1047"/>
      <c r="K9" s="1047"/>
      <c r="L9" s="1047"/>
      <c r="N9" s="1035"/>
    </row>
    <row r="10" spans="2:59">
      <c r="B10" s="1030" t="s">
        <v>1549</v>
      </c>
      <c r="C10" s="1050"/>
      <c r="D10" s="1051">
        <f>R10+P10+N10</f>
        <v>11015.63299</v>
      </c>
      <c r="F10" s="1051">
        <f>SUMIF('QB BS det'!$A$9:$A$58,B10,'QB BS det'!$AG$9:$AG$58)/1000</f>
        <v>4247.2690700000003</v>
      </c>
      <c r="H10" s="1051">
        <f>SUMIF('QB BS det'!$A$9:$A$58,B10,'QB BS det'!$U$9:$U$58)/1000</f>
        <v>2573.7890499999999</v>
      </c>
      <c r="J10" s="1051">
        <f>SUMIF('QB BS det'!$A$9:$A$58,B10,'QB BS det'!$I$9:$I$58)/1000</f>
        <v>3357.2073100000002</v>
      </c>
      <c r="N10" s="1035"/>
      <c r="O10" s="1052"/>
      <c r="R10" s="1051">
        <f>BG10/1000</f>
        <v>11015.63299</v>
      </c>
      <c r="V10" s="1030" t="s">
        <v>1549</v>
      </c>
      <c r="W10" s="1050"/>
      <c r="Y10" s="1053">
        <f>SUMIF('QB BS det'!$A$6:$A$60,BOD.BS!$V10,'QB BS det'!D$6:D$60)</f>
        <v>21958</v>
      </c>
      <c r="Z10" s="1053">
        <f>SUMIF('QB BS det'!$A$6:$A$60,BOD.BS!$V10,'QB BS det'!E$6:E$60)</f>
        <v>6188657.2000000002</v>
      </c>
      <c r="AA10" s="1053">
        <f>SUMIF('QB BS det'!$A$6:$A$60,BOD.BS!$V10,'QB BS det'!F$6:F$60)</f>
        <v>5189321.0599999996</v>
      </c>
      <c r="AB10" s="1053">
        <f>SUMIF('QB BS det'!$A$6:$A$60,BOD.BS!$V10,'QB BS det'!G$6:G$60)</f>
        <v>4458206.8600000003</v>
      </c>
      <c r="AC10" s="1053">
        <f>SUMIF('QB BS det'!$A$6:$A$60,BOD.BS!$V10,'QB BS det'!H$6:H$60)</f>
        <v>3874121.18</v>
      </c>
      <c r="AD10" s="1053">
        <f>SUMIF('QB BS det'!$A$6:$A$60,BOD.BS!$V10,'QB BS det'!I$6:I$60)</f>
        <v>3357207.31</v>
      </c>
      <c r="AE10" s="1053">
        <f>SUMIF('QB BS det'!$A$6:$A$60,BOD.BS!$V10,'QB BS det'!J$6:J$60)</f>
        <v>2672383.83</v>
      </c>
      <c r="AF10" s="1053">
        <f>SUMIF('QB BS det'!$A$6:$A$60,BOD.BS!$V10,'QB BS det'!K$6:K$60)</f>
        <v>1952837.28</v>
      </c>
      <c r="AG10" s="1053">
        <f>SUMIF('QB BS det'!$A$6:$A$60,BOD.BS!$V10,'QB BS det'!L$6:L$60)</f>
        <v>683784.96</v>
      </c>
      <c r="AH10" s="1053">
        <f>SUMIF('QB BS det'!$A$6:$A$60,BOD.BS!$V10,'QB BS det'!M$6:M$60)</f>
        <v>4932934.57</v>
      </c>
      <c r="AI10" s="1053">
        <f>SUMIF('QB BS det'!$A$6:$A$60,BOD.BS!$V10,'QB BS det'!N$6:N$60)</f>
        <v>4380703.95</v>
      </c>
      <c r="AJ10" s="1053">
        <f>SUMIF('QB BS det'!$A$6:$A$60,BOD.BS!$V10,'QB BS det'!O$6:O$60)</f>
        <v>3718998.37</v>
      </c>
      <c r="AK10" s="1053">
        <f>SUMIF('QB BS det'!$A$6:$A$60,BOD.BS!$V10,'QB BS det'!P$6:P$60)</f>
        <v>2961510.34</v>
      </c>
      <c r="AL10" s="1053">
        <f>SUMIF('QB BS det'!$A$6:$A$60,BOD.BS!$V10,'QB BS det'!Q$6:Q$60)</f>
        <v>1613054.67</v>
      </c>
      <c r="AM10" s="1053">
        <f>SUMIF('QB BS det'!$A$6:$A$60,BOD.BS!$V10,'QB BS det'!R$6:R$60)</f>
        <v>5593893.3899999997</v>
      </c>
      <c r="AN10" s="1053">
        <f>SUMIF('QB BS det'!$A$6:$A$60,BOD.BS!$V10,'QB BS det'!S$6:S$60)</f>
        <v>4614336.74</v>
      </c>
      <c r="AO10" s="1053">
        <f>SUMIF('QB BS det'!$A$6:$A$60,BOD.BS!$V10,'QB BS det'!T$6:T$60)</f>
        <v>3552834.98</v>
      </c>
      <c r="AP10" s="1053">
        <f>SUMIF('QB BS det'!$A$6:$A$60,BOD.BS!$V10,'QB BS det'!U$6:U$60)</f>
        <v>2573789.0499999998</v>
      </c>
      <c r="AQ10" s="1053">
        <f>SUMIF('QB BS det'!$A$6:$A$60,BOD.BS!$V10,'QB BS det'!V$6:V$60)</f>
        <v>1701025.27</v>
      </c>
      <c r="AR10" s="1053">
        <f>SUMIF('QB BS det'!$A$6:$A$60,BOD.BS!$V10,'QB BS det'!W$6:W$60)</f>
        <v>8628460.3399999999</v>
      </c>
      <c r="AS10" s="1053">
        <f>SUMIF('QB BS det'!$A$6:$A$60,BOD.BS!$V10,'QB BS det'!X$6:X$60)</f>
        <v>6983237.4400000004</v>
      </c>
      <c r="AT10" s="1053">
        <f>SUMIF('QB BS det'!$A$6:$A$60,BOD.BS!$V10,'QB BS det'!Y$6:Y$60)</f>
        <v>5434999.6699999999</v>
      </c>
      <c r="AU10" s="1053">
        <f>SUMIF('QB BS det'!$A$6:$A$60,BOD.BS!$V10,'QB BS det'!Z$6:Z$60)</f>
        <v>4334413.54</v>
      </c>
      <c r="AV10" s="1053">
        <f>SUMIF('QB BS det'!$A$6:$A$60,BOD.BS!$V10,'QB BS det'!AA$6:AA$60)</f>
        <v>3201573.64</v>
      </c>
      <c r="AW10" s="1053">
        <f>SUMIF('QB BS det'!$A$6:$A$60,BOD.BS!$V10,'QB BS det'!AB$6:AB$60)</f>
        <v>13417919.09</v>
      </c>
      <c r="AX10" s="1053">
        <f>SUMIF('QB BS det'!$A$6:$A$60,BOD.BS!$V10,'QB BS det'!AC$6:AC$60)</f>
        <v>11298667.199999999</v>
      </c>
      <c r="AY10" s="1053">
        <f>SUMIF('QB BS det'!$A$6:$A$60,BOD.BS!$V10,'QB BS det'!AD$6:AD$60)</f>
        <v>9224671.959999999</v>
      </c>
      <c r="AZ10" s="1053">
        <f>SUMIF('QB BS det'!$A$6:$A$60,BOD.BS!$V10,'QB BS det'!AE$6:AE$60)</f>
        <v>7931318.54</v>
      </c>
      <c r="BA10" s="1053">
        <f>SUMIF('QB BS det'!$A$6:$A$60,BOD.BS!$V10,'QB BS det'!AF$6:AF$60)</f>
        <v>6341968.2700000005</v>
      </c>
      <c r="BB10" s="1053">
        <f>SUMIF('QB BS det'!$A$6:$A$60,BOD.BS!$V10,'QB BS det'!AG$6:AG$60)</f>
        <v>4247269.07</v>
      </c>
      <c r="BC10" s="1053">
        <f>SUMIF('QB BS det'!$A$6:$A$60,BOD.BS!$V10,'QB BS det'!AH$6:AH$60)</f>
        <v>10240772.74</v>
      </c>
      <c r="BD10" s="1053">
        <f>SUMIF('QB BS det'!$A$6:$A$60,BOD.BS!$V10,'QB BS det'!AI$6:AI$60)</f>
        <v>6959472.9000000004</v>
      </c>
      <c r="BE10" s="1053">
        <f>SUMIF('QB BS det'!$A$6:$A$60,BOD.BS!$V10,'QB BS det'!AJ$6:AJ$60)</f>
        <v>15269400.779999999</v>
      </c>
      <c r="BF10" s="1053">
        <f>SUMIF('QB BS det'!$A$6:$A$60,BOD.BS!$V10,'QB BS det'!AK$6:AK$60)</f>
        <v>13137460.389999999</v>
      </c>
      <c r="BG10" s="1053">
        <f>SUMIF('QB BS det'!$A$6:$A$60,BOD.BS!$V10,'QB BS det'!AL$6:AL$60)</f>
        <v>11015632.99</v>
      </c>
    </row>
    <row r="11" spans="2:59">
      <c r="B11" s="1030" t="s">
        <v>1550</v>
      </c>
      <c r="D11" s="1054">
        <f>R11+P11+N11</f>
        <v>297.60708</v>
      </c>
      <c r="F11" s="1054">
        <f>SUMIF('QB BS det'!$A$9:$A$58,B11,'QB BS det'!$AG$9:$AG$58)/1000</f>
        <v>0</v>
      </c>
      <c r="H11" s="1054">
        <f>SUMIF('QB BS det'!$A$9:$A$58,B11,'QB BS det'!$U$9:$U$58)/1000</f>
        <v>2.3085</v>
      </c>
      <c r="J11" s="1054">
        <f>SUMIF('QB BS det'!$A$9:$A$58,B11,'QB BS det'!$I$9:$I$58)/1000</f>
        <v>99.891249999999999</v>
      </c>
      <c r="N11" s="1035"/>
      <c r="R11" s="1051">
        <f t="shared" ref="R11:R15" si="0">BG11/1000</f>
        <v>297.60708</v>
      </c>
      <c r="V11" s="1030" t="s">
        <v>1550</v>
      </c>
      <c r="Y11" s="1053">
        <f>SUMIF('QB BS det'!$A$6:$A$60,BOD.BS!$V11,'QB BS det'!D$6:D$60)</f>
        <v>0</v>
      </c>
      <c r="Z11" s="1053">
        <f>SUMIF('QB BS det'!$A$6:$A$60,BOD.BS!$V11,'QB BS det'!E$6:E$60)</f>
        <v>0</v>
      </c>
      <c r="AA11" s="1053">
        <f>SUMIF('QB BS det'!$A$6:$A$60,BOD.BS!$V11,'QB BS det'!F$6:F$60)</f>
        <v>0</v>
      </c>
      <c r="AB11" s="1053">
        <f>SUMIF('QB BS det'!$A$6:$A$60,BOD.BS!$V11,'QB BS det'!G$6:G$60)</f>
        <v>75403.149999999994</v>
      </c>
      <c r="AC11" s="1053">
        <f>SUMIF('QB BS det'!$A$6:$A$60,BOD.BS!$V11,'QB BS det'!H$6:H$60)</f>
        <v>99891.25</v>
      </c>
      <c r="AD11" s="1053">
        <f>SUMIF('QB BS det'!$A$6:$A$60,BOD.BS!$V11,'QB BS det'!I$6:I$60)</f>
        <v>99891.25</v>
      </c>
      <c r="AE11" s="1053">
        <f>SUMIF('QB BS det'!$A$6:$A$60,BOD.BS!$V11,'QB BS det'!J$6:J$60)</f>
        <v>99891.25</v>
      </c>
      <c r="AF11" s="1053">
        <f>SUMIF('QB BS det'!$A$6:$A$60,BOD.BS!$V11,'QB BS det'!K$6:K$60)</f>
        <v>73805.55</v>
      </c>
      <c r="AG11" s="1053">
        <f>SUMIF('QB BS det'!$A$6:$A$60,BOD.BS!$V11,'QB BS det'!L$6:L$60)</f>
        <v>73805.55</v>
      </c>
      <c r="AH11" s="1053">
        <f>SUMIF('QB BS det'!$A$6:$A$60,BOD.BS!$V11,'QB BS det'!M$6:M$60)</f>
        <v>73405.55</v>
      </c>
      <c r="AI11" s="1053">
        <f>SUMIF('QB BS det'!$A$6:$A$60,BOD.BS!$V11,'QB BS det'!N$6:N$60)</f>
        <v>70642.67</v>
      </c>
      <c r="AJ11" s="1053">
        <f>SUMIF('QB BS det'!$A$6:$A$60,BOD.BS!$V11,'QB BS det'!O$6:O$60)</f>
        <v>7108.5</v>
      </c>
      <c r="AK11" s="1053">
        <f>SUMIF('QB BS det'!$A$6:$A$60,BOD.BS!$V11,'QB BS det'!P$6:P$60)</f>
        <v>6308.5</v>
      </c>
      <c r="AL11" s="1053">
        <f>SUMIF('QB BS det'!$A$6:$A$60,BOD.BS!$V11,'QB BS det'!Q$6:Q$60)</f>
        <v>5508.5</v>
      </c>
      <c r="AM11" s="1053">
        <f>SUMIF('QB BS det'!$A$6:$A$60,BOD.BS!$V11,'QB BS det'!R$6:R$60)</f>
        <v>4708.5</v>
      </c>
      <c r="AN11" s="1053">
        <f>SUMIF('QB BS det'!$A$6:$A$60,BOD.BS!$V11,'QB BS det'!S$6:S$60)</f>
        <v>3908.5</v>
      </c>
      <c r="AO11" s="1053">
        <f>SUMIF('QB BS det'!$A$6:$A$60,BOD.BS!$V11,'QB BS det'!T$6:T$60)</f>
        <v>3108.5</v>
      </c>
      <c r="AP11" s="1053">
        <f>SUMIF('QB BS det'!$A$6:$A$60,BOD.BS!$V11,'QB BS det'!U$6:U$60)</f>
        <v>2308.5</v>
      </c>
      <c r="AQ11" s="1053">
        <f>SUMIF('QB BS det'!$A$6:$A$60,BOD.BS!$V11,'QB BS det'!V$6:V$60)</f>
        <v>1508.5</v>
      </c>
      <c r="AR11" s="1053">
        <f>SUMIF('QB BS det'!$A$6:$A$60,BOD.BS!$V11,'QB BS det'!W$6:W$60)</f>
        <v>708.5</v>
      </c>
      <c r="AS11" s="1053">
        <f>SUMIF('QB BS det'!$A$6:$A$60,BOD.BS!$V11,'QB BS det'!X$6:X$60)</f>
        <v>-91.5</v>
      </c>
      <c r="AT11" s="1053">
        <f>SUMIF('QB BS det'!$A$6:$A$60,BOD.BS!$V11,'QB BS det'!Y$6:Y$60)</f>
        <v>-891.5</v>
      </c>
      <c r="AU11" s="1053">
        <f>SUMIF('QB BS det'!$A$6:$A$60,BOD.BS!$V11,'QB BS det'!Z$6:Z$60)</f>
        <v>-1691.5</v>
      </c>
      <c r="AV11" s="1053">
        <f>SUMIF('QB BS det'!$A$6:$A$60,BOD.BS!$V11,'QB BS det'!AA$6:AA$60)</f>
        <v>-2491.5</v>
      </c>
      <c r="AW11" s="1053">
        <f>SUMIF('QB BS det'!$A$6:$A$60,BOD.BS!$V11,'QB BS det'!AB$6:AB$60)</f>
        <v>-3291.5</v>
      </c>
      <c r="AX11" s="1053">
        <f>SUMIF('QB BS det'!$A$6:$A$60,BOD.BS!$V11,'QB BS det'!AC$6:AC$60)</f>
        <v>-4091.5</v>
      </c>
      <c r="AY11" s="1053">
        <f>SUMIF('QB BS det'!$A$6:$A$60,BOD.BS!$V11,'QB BS det'!AD$6:AD$60)</f>
        <v>-4891.5</v>
      </c>
      <c r="AZ11" s="1053">
        <f>SUMIF('QB BS det'!$A$6:$A$60,BOD.BS!$V11,'QB BS det'!AE$6:AE$60)</f>
        <v>-11808.55</v>
      </c>
      <c r="BA11" s="1053">
        <f>SUMIF('QB BS det'!$A$6:$A$60,BOD.BS!$V11,'QB BS det'!AF$6:AF$60)</f>
        <v>-15600</v>
      </c>
      <c r="BB11" s="1053">
        <f>SUMIF('QB BS det'!$A$6:$A$60,BOD.BS!$V11,'QB BS det'!AG$6:AG$60)</f>
        <v>0</v>
      </c>
      <c r="BC11" s="1053">
        <f>SUMIF('QB BS det'!$A$6:$A$60,BOD.BS!$V11,'QB BS det'!AH$6:AH$60)</f>
        <v>0</v>
      </c>
      <c r="BD11" s="1053">
        <f>SUMIF('QB BS det'!$A$6:$A$60,BOD.BS!$V11,'QB BS det'!AI$6:AI$60)</f>
        <v>0</v>
      </c>
      <c r="BE11" s="1053">
        <f>SUMIF('QB BS det'!$A$6:$A$60,BOD.BS!$V11,'QB BS det'!AJ$6:AJ$60)</f>
        <v>0</v>
      </c>
      <c r="BF11" s="1053">
        <f>SUMIF('QB BS det'!$A$6:$A$60,BOD.BS!$V11,'QB BS det'!AK$6:AK$60)</f>
        <v>244326</v>
      </c>
      <c r="BG11" s="1053">
        <f>SUMIF('QB BS det'!$A$6:$A$60,BOD.BS!$V11,'QB BS det'!AL$6:AL$60)</f>
        <v>297607.08</v>
      </c>
    </row>
    <row r="12" spans="2:59">
      <c r="C12" s="1036" t="s">
        <v>113</v>
      </c>
      <c r="D12" s="1055">
        <f>SUM(D10:D11)</f>
        <v>11313.24007</v>
      </c>
      <c r="F12" s="1055">
        <f>SUM(F10:F11)</f>
        <v>4247.2690700000003</v>
      </c>
      <c r="H12" s="1055">
        <f>SUM(H10:H11)</f>
        <v>2576.09755</v>
      </c>
      <c r="J12" s="1055">
        <f>SUM(J10:J11)</f>
        <v>3457.0985600000004</v>
      </c>
      <c r="N12" s="1035"/>
      <c r="R12" s="1055">
        <f>SUM(R10:R11)</f>
        <v>11313.24007</v>
      </c>
      <c r="W12" s="1036" t="s">
        <v>113</v>
      </c>
      <c r="Y12" s="1055">
        <f>SUM(Y10:Y11)</f>
        <v>21958</v>
      </c>
      <c r="Z12" s="1055">
        <f t="shared" ref="Z12:BG12" si="1">SUM(Z10:Z11)</f>
        <v>6188657.2000000002</v>
      </c>
      <c r="AA12" s="1055">
        <f t="shared" si="1"/>
        <v>5189321.0599999996</v>
      </c>
      <c r="AB12" s="1055">
        <f t="shared" si="1"/>
        <v>4533610.0100000007</v>
      </c>
      <c r="AC12" s="1055">
        <f t="shared" si="1"/>
        <v>3974012.43</v>
      </c>
      <c r="AD12" s="1055">
        <f t="shared" si="1"/>
        <v>3457098.56</v>
      </c>
      <c r="AE12" s="1055">
        <f t="shared" si="1"/>
        <v>2772275.08</v>
      </c>
      <c r="AF12" s="1055">
        <f t="shared" si="1"/>
        <v>2026642.83</v>
      </c>
      <c r="AG12" s="1055">
        <f t="shared" si="1"/>
        <v>757590.51</v>
      </c>
      <c r="AH12" s="1055">
        <f t="shared" si="1"/>
        <v>5006340.12</v>
      </c>
      <c r="AI12" s="1055">
        <f t="shared" si="1"/>
        <v>4451346.62</v>
      </c>
      <c r="AJ12" s="1055">
        <f t="shared" si="1"/>
        <v>3726106.87</v>
      </c>
      <c r="AK12" s="1055">
        <f t="shared" si="1"/>
        <v>2967818.84</v>
      </c>
      <c r="AL12" s="1055">
        <f t="shared" si="1"/>
        <v>1618563.17</v>
      </c>
      <c r="AM12" s="1055">
        <f t="shared" si="1"/>
        <v>5598601.8899999997</v>
      </c>
      <c r="AN12" s="1055">
        <f t="shared" si="1"/>
        <v>4618245.24</v>
      </c>
      <c r="AO12" s="1055">
        <f t="shared" si="1"/>
        <v>3555943.48</v>
      </c>
      <c r="AP12" s="1055">
        <f t="shared" si="1"/>
        <v>2576097.5499999998</v>
      </c>
      <c r="AQ12" s="1055">
        <f t="shared" si="1"/>
        <v>1702533.77</v>
      </c>
      <c r="AR12" s="1055">
        <f t="shared" si="1"/>
        <v>8629168.8399999999</v>
      </c>
      <c r="AS12" s="1055">
        <f t="shared" si="1"/>
        <v>6983145.9400000004</v>
      </c>
      <c r="AT12" s="1055">
        <f t="shared" si="1"/>
        <v>5434108.1699999999</v>
      </c>
      <c r="AU12" s="1055">
        <f t="shared" si="1"/>
        <v>4332722.04</v>
      </c>
      <c r="AV12" s="1055">
        <f t="shared" si="1"/>
        <v>3199082.14</v>
      </c>
      <c r="AW12" s="1055">
        <f t="shared" si="1"/>
        <v>13414627.59</v>
      </c>
      <c r="AX12" s="1055">
        <f t="shared" si="1"/>
        <v>11294575.699999999</v>
      </c>
      <c r="AY12" s="1055">
        <f t="shared" si="1"/>
        <v>9219780.459999999</v>
      </c>
      <c r="AZ12" s="1055">
        <f t="shared" si="1"/>
        <v>7919509.9900000002</v>
      </c>
      <c r="BA12" s="1055">
        <f t="shared" si="1"/>
        <v>6326368.2700000005</v>
      </c>
      <c r="BB12" s="1055">
        <f t="shared" si="1"/>
        <v>4247269.07</v>
      </c>
      <c r="BC12" s="1055">
        <f t="shared" si="1"/>
        <v>10240772.74</v>
      </c>
      <c r="BD12" s="1055">
        <f t="shared" si="1"/>
        <v>6959472.9000000004</v>
      </c>
      <c r="BE12" s="1055">
        <f t="shared" si="1"/>
        <v>15269400.779999999</v>
      </c>
      <c r="BF12" s="1055">
        <f t="shared" si="1"/>
        <v>13381786.389999999</v>
      </c>
      <c r="BG12" s="1055">
        <f t="shared" si="1"/>
        <v>11313240.07</v>
      </c>
    </row>
    <row r="13" spans="2:59">
      <c r="N13" s="1035"/>
      <c r="R13" s="1051"/>
    </row>
    <row r="14" spans="2:59">
      <c r="B14" s="1030" t="s">
        <v>1551</v>
      </c>
      <c r="D14" s="1056">
        <f t="shared" ref="D14:D15" si="2">R14+P14+N14</f>
        <v>3357.8658700000001</v>
      </c>
      <c r="F14" s="1056">
        <f>SUMIF('QB BS det'!$A$9:$A$58,B14,'QB BS det'!$AG$9:$AG$58)/1000</f>
        <v>2276.4583199999997</v>
      </c>
      <c r="H14" s="1056">
        <f>SUMIF('QB BS det'!$A$9:$A$58,B14,'QB BS det'!$U$9:$U$58)/1000</f>
        <v>753.85301000000004</v>
      </c>
      <c r="J14" s="1056">
        <f>SUMIF('QB BS det'!$A$9:$A$58,B14,'QB BS det'!$I$9:$I$58)/1000</f>
        <v>148.57804000000002</v>
      </c>
      <c r="N14" s="1056"/>
      <c r="R14" s="1051">
        <f t="shared" si="0"/>
        <v>3357.8658700000001</v>
      </c>
      <c r="T14" s="1057">
        <f>D14-F14</f>
        <v>1081.4075500000004</v>
      </c>
      <c r="V14" s="1030" t="s">
        <v>1551</v>
      </c>
      <c r="Y14" s="1053">
        <f>SUMIF('QB BS det'!$A$6:$A$60,BOD.BS!$V14,'QB BS det'!D$6:D$60)</f>
        <v>0</v>
      </c>
      <c r="Z14" s="1053">
        <f>SUMIF('QB BS det'!$A$6:$A$60,BOD.BS!$V14,'QB BS det'!E$6:E$60)</f>
        <v>8068</v>
      </c>
      <c r="AA14" s="1053">
        <f>SUMIF('QB BS det'!$A$6:$A$60,BOD.BS!$V14,'QB BS det'!F$6:F$60)</f>
        <v>34825.26</v>
      </c>
      <c r="AB14" s="1053">
        <f>SUMIF('QB BS det'!$A$6:$A$60,BOD.BS!$V14,'QB BS det'!G$6:G$60)</f>
        <v>34825.26</v>
      </c>
      <c r="AC14" s="1053">
        <f>SUMIF('QB BS det'!$A$6:$A$60,BOD.BS!$V14,'QB BS det'!H$6:H$60)</f>
        <v>69664.539999999994</v>
      </c>
      <c r="AD14" s="1053">
        <f>SUMIF('QB BS det'!$A$6:$A$60,BOD.BS!$V14,'QB BS det'!I$6:I$60)</f>
        <v>148578.04</v>
      </c>
      <c r="AE14" s="1053">
        <f>SUMIF('QB BS det'!$A$6:$A$60,BOD.BS!$V14,'QB BS det'!J$6:J$60)</f>
        <v>148578.04</v>
      </c>
      <c r="AF14" s="1053">
        <f>SUMIF('QB BS det'!$A$6:$A$60,BOD.BS!$V14,'QB BS det'!K$6:K$60)</f>
        <v>239128.17</v>
      </c>
      <c r="AG14" s="1053">
        <f>SUMIF('QB BS det'!$A$6:$A$60,BOD.BS!$V14,'QB BS det'!L$6:L$60)</f>
        <v>522257.84</v>
      </c>
      <c r="AH14" s="1053">
        <f>SUMIF('QB BS det'!$A$6:$A$60,BOD.BS!$V14,'QB BS det'!M$6:M$60)</f>
        <v>525307.84000000008</v>
      </c>
      <c r="AI14" s="1053">
        <f>SUMIF('QB BS det'!$A$6:$A$60,BOD.BS!$V14,'QB BS det'!N$6:N$60)</f>
        <v>525307.84000000008</v>
      </c>
      <c r="AJ14" s="1053">
        <f>SUMIF('QB BS det'!$A$6:$A$60,BOD.BS!$V14,'QB BS det'!O$6:O$60)</f>
        <v>530882.84000000008</v>
      </c>
      <c r="AK14" s="1053">
        <f>SUMIF('QB BS det'!$A$6:$A$60,BOD.BS!$V14,'QB BS det'!P$6:P$60)</f>
        <v>545949.84000000008</v>
      </c>
      <c r="AL14" s="1053">
        <f>SUMIF('QB BS det'!$A$6:$A$60,BOD.BS!$V14,'QB BS det'!Q$6:Q$60)</f>
        <v>570561.76</v>
      </c>
      <c r="AM14" s="1053">
        <f>SUMIF('QB BS det'!$A$6:$A$60,BOD.BS!$V14,'QB BS det'!R$6:R$60)</f>
        <v>681483.79</v>
      </c>
      <c r="AN14" s="1053">
        <f>SUMIF('QB BS det'!$A$6:$A$60,BOD.BS!$V14,'QB BS det'!S$6:S$60)</f>
        <v>735186.75</v>
      </c>
      <c r="AO14" s="1053">
        <f>SUMIF('QB BS det'!$A$6:$A$60,BOD.BS!$V14,'QB BS det'!T$6:T$60)</f>
        <v>753853.01</v>
      </c>
      <c r="AP14" s="1053">
        <f>SUMIF('QB BS det'!$A$6:$A$60,BOD.BS!$V14,'QB BS det'!U$6:U$60)</f>
        <v>753853.01</v>
      </c>
      <c r="AQ14" s="1053">
        <f>SUMIF('QB BS det'!$A$6:$A$60,BOD.BS!$V14,'QB BS det'!V$6:V$60)</f>
        <v>771369.41</v>
      </c>
      <c r="AR14" s="1053">
        <f>SUMIF('QB BS det'!$A$6:$A$60,BOD.BS!$V14,'QB BS det'!W$6:W$60)</f>
        <v>774219.41</v>
      </c>
      <c r="AS14" s="1053">
        <f>SUMIF('QB BS det'!$A$6:$A$60,BOD.BS!$V14,'QB BS det'!X$6:X$60)</f>
        <v>1077632.9100000001</v>
      </c>
      <c r="AT14" s="1053">
        <f>SUMIF('QB BS det'!$A$6:$A$60,BOD.BS!$V14,'QB BS det'!Y$6:Y$60)</f>
        <v>1085795.42</v>
      </c>
      <c r="AU14" s="1053">
        <f>SUMIF('QB BS det'!$A$6:$A$60,BOD.BS!$V14,'QB BS det'!Z$6:Z$60)</f>
        <v>1086745.42</v>
      </c>
      <c r="AV14" s="1053">
        <f>SUMIF('QB BS det'!$A$6:$A$60,BOD.BS!$V14,'QB BS det'!AA$6:AA$60)</f>
        <v>1684345.37</v>
      </c>
      <c r="AW14" s="1053">
        <f>SUMIF('QB BS det'!$A$6:$A$60,BOD.BS!$V14,'QB BS det'!AB$6:AB$60)</f>
        <v>1684345.37</v>
      </c>
      <c r="AX14" s="1053">
        <f>SUMIF('QB BS det'!$A$6:$A$60,BOD.BS!$V14,'QB BS det'!AC$6:AC$60)</f>
        <v>1684345.37</v>
      </c>
      <c r="AY14" s="1053">
        <f>SUMIF('QB BS det'!$A$6:$A$60,BOD.BS!$V14,'QB BS det'!AD$6:AD$60)</f>
        <v>2045408.9</v>
      </c>
      <c r="AZ14" s="1053">
        <f>SUMIF('QB BS det'!$A$6:$A$60,BOD.BS!$V14,'QB BS det'!AE$6:AE$60)</f>
        <v>2079668.9</v>
      </c>
      <c r="BA14" s="1053">
        <f>SUMIF('QB BS det'!$A$6:$A$60,BOD.BS!$V14,'QB BS det'!AF$6:AF$60)</f>
        <v>2251893.48</v>
      </c>
      <c r="BB14" s="1053">
        <f>SUMIF('QB BS det'!$A$6:$A$60,BOD.BS!$V14,'QB BS det'!AG$6:AG$60)</f>
        <v>2276458.3199999998</v>
      </c>
      <c r="BC14" s="1053">
        <f>SUMIF('QB BS det'!$A$6:$A$60,BOD.BS!$V14,'QB BS det'!AH$6:AH$60)</f>
        <v>2966114.86</v>
      </c>
      <c r="BD14" s="1053">
        <f>SUMIF('QB BS det'!$A$6:$A$60,BOD.BS!$V14,'QB BS det'!AI$6:AI$60)</f>
        <v>3021558.89</v>
      </c>
      <c r="BE14" s="1053">
        <f>SUMIF('QB BS det'!$A$6:$A$60,BOD.BS!$V14,'QB BS det'!AJ$6:AJ$60)</f>
        <v>3238020.66</v>
      </c>
      <c r="BF14" s="1053">
        <f>SUMIF('QB BS det'!$A$6:$A$60,BOD.BS!$V14,'QB BS det'!AK$6:AK$60)</f>
        <v>3357787.19</v>
      </c>
      <c r="BG14" s="1053">
        <f>SUMIF('QB BS det'!$A$6:$A$60,BOD.BS!$V14,'QB BS det'!AL$6:AL$60)</f>
        <v>3357865.87</v>
      </c>
    </row>
    <row r="15" spans="2:59" s="1058" customFormat="1">
      <c r="B15" s="1058" t="s">
        <v>1552</v>
      </c>
      <c r="D15" s="1056">
        <f t="shared" si="2"/>
        <v>523.07758000000001</v>
      </c>
      <c r="F15" s="1056">
        <f>SUMIF('QB BS det'!$A$9:$A$58,B15,'QB BS det'!$AG$9:$AG$58)/1000</f>
        <v>142.06299999999999</v>
      </c>
      <c r="H15" s="1056">
        <f>SUMIF('QB BS det'!$A$9:$A$58,B15,'QB BS det'!$U$9:$U$58)/1000</f>
        <v>142.06299999999999</v>
      </c>
      <c r="J15" s="1056">
        <f>SUMIF('QB BS det'!$A$9:$A$58,B15,'QB BS det'!$I$9:$I$58)/1000</f>
        <v>61.212000000000003</v>
      </c>
      <c r="M15" s="1059"/>
      <c r="N15" s="1060"/>
      <c r="R15" s="1051">
        <f t="shared" si="0"/>
        <v>523.07758000000001</v>
      </c>
      <c r="V15" s="1058" t="s">
        <v>1552</v>
      </c>
      <c r="Y15" s="1053">
        <f>SUMIF('QB BS det'!$A$6:$A$60,BOD.BS!$V15,'QB BS det'!D$6:D$60)</f>
        <v>0</v>
      </c>
      <c r="Z15" s="1053">
        <f>SUMIF('QB BS det'!$A$6:$A$60,BOD.BS!$V15,'QB BS det'!E$6:E$60)</f>
        <v>61212</v>
      </c>
      <c r="AA15" s="1053">
        <f>SUMIF('QB BS det'!$A$6:$A$60,BOD.BS!$V15,'QB BS det'!F$6:F$60)</f>
        <v>61212</v>
      </c>
      <c r="AB15" s="1053">
        <f>SUMIF('QB BS det'!$A$6:$A$60,BOD.BS!$V15,'QB BS det'!G$6:G$60)</f>
        <v>61212</v>
      </c>
      <c r="AC15" s="1053">
        <f>SUMIF('QB BS det'!$A$6:$A$60,BOD.BS!$V15,'QB BS det'!H$6:H$60)</f>
        <v>61212</v>
      </c>
      <c r="AD15" s="1053">
        <f>SUMIF('QB BS det'!$A$6:$A$60,BOD.BS!$V15,'QB BS det'!I$6:I$60)</f>
        <v>61212</v>
      </c>
      <c r="AE15" s="1053">
        <f>SUMIF('QB BS det'!$A$6:$A$60,BOD.BS!$V15,'QB BS det'!J$6:J$60)</f>
        <v>61212</v>
      </c>
      <c r="AF15" s="1053">
        <f>SUMIF('QB BS det'!$A$6:$A$60,BOD.BS!$V15,'QB BS det'!K$6:K$60)</f>
        <v>61212</v>
      </c>
      <c r="AG15" s="1053">
        <f>SUMIF('QB BS det'!$A$6:$A$60,BOD.BS!$V15,'QB BS det'!L$6:L$60)</f>
        <v>61212</v>
      </c>
      <c r="AH15" s="1053">
        <f>SUMIF('QB BS det'!$A$6:$A$60,BOD.BS!$V15,'QB BS det'!M$6:M$60)</f>
        <v>61212</v>
      </c>
      <c r="AI15" s="1053">
        <f>SUMIF('QB BS det'!$A$6:$A$60,BOD.BS!$V15,'QB BS det'!N$6:N$60)</f>
        <v>61212</v>
      </c>
      <c r="AJ15" s="1053">
        <f>SUMIF('QB BS det'!$A$6:$A$60,BOD.BS!$V15,'QB BS det'!O$6:O$60)</f>
        <v>61212</v>
      </c>
      <c r="AK15" s="1053">
        <f>SUMIF('QB BS det'!$A$6:$A$60,BOD.BS!$V15,'QB BS det'!P$6:P$60)</f>
        <v>61212</v>
      </c>
      <c r="AL15" s="1053">
        <f>SUMIF('QB BS det'!$A$6:$A$60,BOD.BS!$V15,'QB BS det'!Q$6:Q$60)</f>
        <v>61212</v>
      </c>
      <c r="AM15" s="1053">
        <f>SUMIF('QB BS det'!$A$6:$A$60,BOD.BS!$V15,'QB BS det'!R$6:R$60)</f>
        <v>61212</v>
      </c>
      <c r="AN15" s="1053">
        <f>SUMIF('QB BS det'!$A$6:$A$60,BOD.BS!$V15,'QB BS det'!S$6:S$60)</f>
        <v>142063</v>
      </c>
      <c r="AO15" s="1053">
        <f>SUMIF('QB BS det'!$A$6:$A$60,BOD.BS!$V15,'QB BS det'!T$6:T$60)</f>
        <v>142063</v>
      </c>
      <c r="AP15" s="1053">
        <f>SUMIF('QB BS det'!$A$6:$A$60,BOD.BS!$V15,'QB BS det'!U$6:U$60)</f>
        <v>142063</v>
      </c>
      <c r="AQ15" s="1053">
        <f>SUMIF('QB BS det'!$A$6:$A$60,BOD.BS!$V15,'QB BS det'!V$6:V$60)</f>
        <v>142063</v>
      </c>
      <c r="AR15" s="1053">
        <f>SUMIF('QB BS det'!$A$6:$A$60,BOD.BS!$V15,'QB BS det'!W$6:W$60)</f>
        <v>142063</v>
      </c>
      <c r="AS15" s="1053">
        <f>SUMIF('QB BS det'!$A$6:$A$60,BOD.BS!$V15,'QB BS det'!X$6:X$60)</f>
        <v>142063</v>
      </c>
      <c r="AT15" s="1053">
        <f>SUMIF('QB BS det'!$A$6:$A$60,BOD.BS!$V15,'QB BS det'!Y$6:Y$60)</f>
        <v>142063</v>
      </c>
      <c r="AU15" s="1053">
        <f>SUMIF('QB BS det'!$A$6:$A$60,BOD.BS!$V15,'QB BS det'!Z$6:Z$60)</f>
        <v>142063</v>
      </c>
      <c r="AV15" s="1053">
        <f>SUMIF('QB BS det'!$A$6:$A$60,BOD.BS!$V15,'QB BS det'!AA$6:AA$60)</f>
        <v>142063</v>
      </c>
      <c r="AW15" s="1053">
        <f>SUMIF('QB BS det'!$A$6:$A$60,BOD.BS!$V15,'QB BS det'!AB$6:AB$60)</f>
        <v>142063</v>
      </c>
      <c r="AX15" s="1053">
        <f>SUMIF('QB BS det'!$A$6:$A$60,BOD.BS!$V15,'QB BS det'!AC$6:AC$60)</f>
        <v>142063</v>
      </c>
      <c r="AY15" s="1053">
        <f>SUMIF('QB BS det'!$A$6:$A$60,BOD.BS!$V15,'QB BS det'!AD$6:AD$60)</f>
        <v>142063</v>
      </c>
      <c r="AZ15" s="1053">
        <f>SUMIF('QB BS det'!$A$6:$A$60,BOD.BS!$V15,'QB BS det'!AE$6:AE$60)</f>
        <v>142063</v>
      </c>
      <c r="BA15" s="1053">
        <f>SUMIF('QB BS det'!$A$6:$A$60,BOD.BS!$V15,'QB BS det'!AF$6:AF$60)</f>
        <v>142063</v>
      </c>
      <c r="BB15" s="1053">
        <f>SUMIF('QB BS det'!$A$6:$A$60,BOD.BS!$V15,'QB BS det'!AG$6:AG$60)</f>
        <v>142063</v>
      </c>
      <c r="BC15" s="1053">
        <f>SUMIF('QB BS det'!$A$6:$A$60,BOD.BS!$V15,'QB BS det'!AH$6:AH$60)</f>
        <v>142063</v>
      </c>
      <c r="BD15" s="1053">
        <f>SUMIF('QB BS det'!$A$6:$A$60,BOD.BS!$V15,'QB BS det'!AI$6:AI$60)</f>
        <v>523077.58</v>
      </c>
      <c r="BE15" s="1053">
        <f>SUMIF('QB BS det'!$A$6:$A$60,BOD.BS!$V15,'QB BS det'!AJ$6:AJ$60)</f>
        <v>523077.58</v>
      </c>
      <c r="BF15" s="1053">
        <f>SUMIF('QB BS det'!$A$6:$A$60,BOD.BS!$V15,'QB BS det'!AK$6:AK$60)</f>
        <v>523077.58</v>
      </c>
      <c r="BG15" s="1053">
        <f>SUMIF('QB BS det'!$A$6:$A$60,BOD.BS!$V15,'QB BS det'!AL$6:AL$60)</f>
        <v>523077.58</v>
      </c>
    </row>
    <row r="16" spans="2:59" ht="4.5" customHeight="1">
      <c r="D16" s="1061"/>
      <c r="F16" s="1061"/>
      <c r="H16" s="1061"/>
      <c r="J16" s="1061"/>
      <c r="N16" s="1035"/>
      <c r="R16" s="1051"/>
    </row>
    <row r="17" spans="2:59" ht="16.5" thickBot="1">
      <c r="C17" s="1036" t="s">
        <v>1553</v>
      </c>
      <c r="D17" s="1062">
        <f>SUM(D12:D15)</f>
        <v>15194.183519999999</v>
      </c>
      <c r="F17" s="1062">
        <f>SUM(F12:F15)</f>
        <v>6665.7903900000001</v>
      </c>
      <c r="H17" s="1062">
        <f>SUM(H12:H15)</f>
        <v>3472.0135600000003</v>
      </c>
      <c r="J17" s="1062">
        <f>SUM(J12:J15)</f>
        <v>3666.8886000000002</v>
      </c>
      <c r="N17" s="1035"/>
      <c r="R17" s="1062">
        <f>SUM(R12:R15)</f>
        <v>15194.183519999999</v>
      </c>
      <c r="W17" s="1036" t="s">
        <v>1553</v>
      </c>
      <c r="Y17" s="1062">
        <f>SUM(Y12:Y15)</f>
        <v>21958</v>
      </c>
      <c r="Z17" s="1062">
        <f t="shared" ref="Z17:BG17" si="3">SUM(Z12:Z15)</f>
        <v>6257937.2000000002</v>
      </c>
      <c r="AA17" s="1062">
        <f t="shared" si="3"/>
        <v>5285358.3199999994</v>
      </c>
      <c r="AB17" s="1062">
        <f t="shared" si="3"/>
        <v>4629647.2700000005</v>
      </c>
      <c r="AC17" s="1062">
        <f t="shared" si="3"/>
        <v>4104888.97</v>
      </c>
      <c r="AD17" s="1062">
        <f t="shared" si="3"/>
        <v>3666888.6</v>
      </c>
      <c r="AE17" s="1062">
        <f t="shared" si="3"/>
        <v>2982065.12</v>
      </c>
      <c r="AF17" s="1062">
        <f t="shared" si="3"/>
        <v>2326983</v>
      </c>
      <c r="AG17" s="1062">
        <f t="shared" si="3"/>
        <v>1341060.3500000001</v>
      </c>
      <c r="AH17" s="1062">
        <f t="shared" si="3"/>
        <v>5592859.96</v>
      </c>
      <c r="AI17" s="1062">
        <f t="shared" si="3"/>
        <v>5037866.46</v>
      </c>
      <c r="AJ17" s="1062">
        <f t="shared" si="3"/>
        <v>4318201.71</v>
      </c>
      <c r="AK17" s="1062">
        <f t="shared" si="3"/>
        <v>3574980.6799999997</v>
      </c>
      <c r="AL17" s="1062">
        <f t="shared" si="3"/>
        <v>2250336.9299999997</v>
      </c>
      <c r="AM17" s="1062">
        <f t="shared" si="3"/>
        <v>6341297.6799999997</v>
      </c>
      <c r="AN17" s="1062">
        <f t="shared" si="3"/>
        <v>5495494.9900000002</v>
      </c>
      <c r="AO17" s="1062">
        <f t="shared" si="3"/>
        <v>4451859.49</v>
      </c>
      <c r="AP17" s="1062">
        <f t="shared" si="3"/>
        <v>3472013.5599999996</v>
      </c>
      <c r="AQ17" s="1062">
        <f t="shared" si="3"/>
        <v>2615966.1800000002</v>
      </c>
      <c r="AR17" s="1062">
        <f t="shared" si="3"/>
        <v>9545451.25</v>
      </c>
      <c r="AS17" s="1062">
        <f t="shared" si="3"/>
        <v>8202841.8500000006</v>
      </c>
      <c r="AT17" s="1062">
        <f t="shared" si="3"/>
        <v>6661966.5899999999</v>
      </c>
      <c r="AU17" s="1062">
        <f t="shared" si="3"/>
        <v>5561530.46</v>
      </c>
      <c r="AV17" s="1062">
        <f t="shared" si="3"/>
        <v>5025490.51</v>
      </c>
      <c r="AW17" s="1062">
        <f t="shared" si="3"/>
        <v>15241035.960000001</v>
      </c>
      <c r="AX17" s="1062">
        <f t="shared" si="3"/>
        <v>13120984.07</v>
      </c>
      <c r="AY17" s="1062">
        <f t="shared" si="3"/>
        <v>11407252.359999999</v>
      </c>
      <c r="AZ17" s="1062">
        <f t="shared" si="3"/>
        <v>10141241.890000001</v>
      </c>
      <c r="BA17" s="1062">
        <f t="shared" si="3"/>
        <v>8720324.75</v>
      </c>
      <c r="BB17" s="1062">
        <f t="shared" si="3"/>
        <v>6665790.3900000006</v>
      </c>
      <c r="BC17" s="1062">
        <f t="shared" si="3"/>
        <v>13348950.6</v>
      </c>
      <c r="BD17" s="1062">
        <f t="shared" si="3"/>
        <v>10504109.370000001</v>
      </c>
      <c r="BE17" s="1062">
        <f t="shared" si="3"/>
        <v>19030499.019999996</v>
      </c>
      <c r="BF17" s="1062">
        <f t="shared" si="3"/>
        <v>17262651.159999996</v>
      </c>
      <c r="BG17" s="1062">
        <f t="shared" si="3"/>
        <v>15194183.520000001</v>
      </c>
    </row>
    <row r="18" spans="2:59" ht="16.5" thickTop="1">
      <c r="N18" s="1035"/>
    </row>
    <row r="19" spans="2:59">
      <c r="B19" s="1036" t="s">
        <v>1554</v>
      </c>
      <c r="D19" s="1057"/>
      <c r="N19" s="1035"/>
      <c r="V19" s="1036" t="s">
        <v>1554</v>
      </c>
    </row>
    <row r="20" spans="2:59" ht="5.25" customHeight="1"/>
    <row r="21" spans="2:59">
      <c r="B21" s="1036" t="s">
        <v>1555</v>
      </c>
      <c r="V21" s="1036" t="s">
        <v>1555</v>
      </c>
    </row>
    <row r="22" spans="2:59" ht="5.25" customHeight="1"/>
    <row r="23" spans="2:59">
      <c r="B23" s="1030" t="s">
        <v>1556</v>
      </c>
      <c r="D23" s="1056">
        <f t="shared" ref="D23" si="4">R23+P23+N23</f>
        <v>1558.4293700000003</v>
      </c>
      <c r="F23" s="1056">
        <f>SUMIF('QB BS det'!$A$9:$A$58,B23,'QB BS det'!$AG$9:$AG$58)/1000</f>
        <v>1745.4219800000001</v>
      </c>
      <c r="H23" s="1056">
        <f>SUMIF('QB BS det'!$A$9:$A$58,B23,'QB BS det'!$U$9:$U$58)/1000</f>
        <v>1249.28584</v>
      </c>
      <c r="J23" s="1056">
        <f>SUMIF('QB BS det'!$A$9:$A$58,B23,'QB BS det'!$I$9:$I$58)/1000</f>
        <v>654.85697000000005</v>
      </c>
      <c r="R23" s="1051">
        <f t="shared" ref="R23" si="5">BG23/1000</f>
        <v>1558.4293700000003</v>
      </c>
      <c r="V23" s="1030" t="s">
        <v>1556</v>
      </c>
      <c r="Y23" s="1053">
        <f>SUMIF('QB BS det'!$A$6:$A$60,BOD.BS!$V23,'QB BS det'!D$6:D$60)</f>
        <v>102787.65</v>
      </c>
      <c r="Z23" s="1053">
        <f>SUMIF('QB BS det'!$A$6:$A$60,BOD.BS!$V23,'QB BS det'!E$6:E$60)</f>
        <v>925112.3</v>
      </c>
      <c r="AA23" s="1053">
        <f>SUMIF('QB BS det'!$A$6:$A$60,BOD.BS!$V23,'QB BS det'!F$6:F$60)</f>
        <v>671107.79</v>
      </c>
      <c r="AB23" s="1053">
        <f>SUMIF('QB BS det'!$A$6:$A$60,BOD.BS!$V23,'QB BS det'!G$6:G$60)</f>
        <v>462275.86</v>
      </c>
      <c r="AC23" s="1053">
        <f>SUMIF('QB BS det'!$A$6:$A$60,BOD.BS!$V23,'QB BS det'!H$6:H$60)</f>
        <v>429906.02</v>
      </c>
      <c r="AD23" s="1053">
        <f>SUMIF('QB BS det'!$A$6:$A$60,BOD.BS!$V23,'QB BS det'!I$6:I$60)</f>
        <v>654856.97000000009</v>
      </c>
      <c r="AE23" s="1053">
        <f>SUMIF('QB BS det'!$A$6:$A$60,BOD.BS!$V23,'QB BS det'!J$6:J$60)</f>
        <v>453766.63999999996</v>
      </c>
      <c r="AF23" s="1053">
        <f>SUMIF('QB BS det'!$A$6:$A$60,BOD.BS!$V23,'QB BS det'!K$6:K$60)</f>
        <v>557879.78</v>
      </c>
      <c r="AG23" s="1053">
        <f>SUMIF('QB BS det'!$A$6:$A$60,BOD.BS!$V23,'QB BS det'!L$6:L$60)</f>
        <v>262019.88</v>
      </c>
      <c r="AH23" s="1053">
        <f>SUMIF('QB BS det'!$A$6:$A$60,BOD.BS!$V23,'QB BS det'!M$6:M$60)</f>
        <v>135817.81</v>
      </c>
      <c r="AI23" s="1053">
        <f>SUMIF('QB BS det'!$A$6:$A$60,BOD.BS!$V23,'QB BS det'!N$6:N$60)</f>
        <v>144976.75</v>
      </c>
      <c r="AJ23" s="1053">
        <f>SUMIF('QB BS det'!$A$6:$A$60,BOD.BS!$V23,'QB BS det'!O$6:O$60)</f>
        <v>364252.05</v>
      </c>
      <c r="AK23" s="1053">
        <f>SUMIF('QB BS det'!$A$6:$A$60,BOD.BS!$V23,'QB BS det'!P$6:P$60)</f>
        <v>1088368.7700000003</v>
      </c>
      <c r="AL23" s="1053">
        <f>SUMIF('QB BS det'!$A$6:$A$60,BOD.BS!$V23,'QB BS det'!Q$6:Q$60)</f>
        <v>1199599.08</v>
      </c>
      <c r="AM23" s="1053">
        <f>SUMIF('QB BS det'!$A$6:$A$60,BOD.BS!$V23,'QB BS det'!R$6:R$60)</f>
        <v>1173946.18</v>
      </c>
      <c r="AN23" s="1053">
        <f>SUMIF('QB BS det'!$A$6:$A$60,BOD.BS!$V23,'QB BS det'!S$6:S$60)</f>
        <v>1472480.47</v>
      </c>
      <c r="AO23" s="1053">
        <f>SUMIF('QB BS det'!$A$6:$A$60,BOD.BS!$V23,'QB BS det'!T$6:T$60)</f>
        <v>1230612.19</v>
      </c>
      <c r="AP23" s="1053">
        <f>SUMIF('QB BS det'!$A$6:$A$60,BOD.BS!$V23,'QB BS det'!U$6:U$60)</f>
        <v>1249285.8400000001</v>
      </c>
      <c r="AQ23" s="1053">
        <f>SUMIF('QB BS det'!$A$6:$A$60,BOD.BS!$V23,'QB BS det'!V$6:V$60)</f>
        <v>1384383.8099999998</v>
      </c>
      <c r="AR23" s="1053">
        <f>SUMIF('QB BS det'!$A$6:$A$60,BOD.BS!$V23,'QB BS det'!W$6:W$60)</f>
        <v>1307694.68</v>
      </c>
      <c r="AS23" s="1053">
        <f>SUMIF('QB BS det'!$A$6:$A$60,BOD.BS!$V23,'QB BS det'!X$6:X$60)</f>
        <v>1604482.66</v>
      </c>
      <c r="AT23" s="1053">
        <f>SUMIF('QB BS det'!$A$6:$A$60,BOD.BS!$V23,'QB BS det'!Y$6:Y$60)</f>
        <v>1047962.6099999999</v>
      </c>
      <c r="AU23" s="1053">
        <f>SUMIF('QB BS det'!$A$6:$A$60,BOD.BS!$V23,'QB BS det'!Z$6:Z$60)</f>
        <v>1092483.1100000001</v>
      </c>
      <c r="AV23" s="1053">
        <f>SUMIF('QB BS det'!$A$6:$A$60,BOD.BS!$V23,'QB BS det'!AA$6:AA$60)</f>
        <v>2032024.8</v>
      </c>
      <c r="AW23" s="1053">
        <f>SUMIF('QB BS det'!$A$6:$A$60,BOD.BS!$V23,'QB BS det'!AB$6:AB$60)</f>
        <v>1981477.3500000003</v>
      </c>
      <c r="AX23" s="1053">
        <f>SUMIF('QB BS det'!$A$6:$A$60,BOD.BS!$V23,'QB BS det'!AC$6:AC$60)</f>
        <v>1486193.6300000004</v>
      </c>
      <c r="AY23" s="1053">
        <f>SUMIF('QB BS det'!$A$6:$A$60,BOD.BS!$V23,'QB BS det'!AD$6:AD$60)</f>
        <v>1382769.9</v>
      </c>
      <c r="AZ23" s="1053">
        <f>SUMIF('QB BS det'!$A$6:$A$60,BOD.BS!$V23,'QB BS det'!AE$6:AE$60)</f>
        <v>1516559.7700000003</v>
      </c>
      <c r="BA23" s="1053">
        <f>SUMIF('QB BS det'!$A$6:$A$60,BOD.BS!$V23,'QB BS det'!AF$6:AF$60)</f>
        <v>1809184.87</v>
      </c>
      <c r="BB23" s="1053">
        <f>SUMIF('QB BS det'!$A$6:$A$60,BOD.BS!$V23,'QB BS det'!AG$6:AG$60)</f>
        <v>1745421.98</v>
      </c>
      <c r="BC23" s="1053">
        <f>SUMIF('QB BS det'!$A$6:$A$60,BOD.BS!$V23,'QB BS det'!AH$6:AH$60)</f>
        <v>1804195.9800000002</v>
      </c>
      <c r="BD23" s="1053">
        <f>SUMIF('QB BS det'!$A$6:$A$60,BOD.BS!$V23,'QB BS det'!AI$6:AI$60)</f>
        <v>1505449.93</v>
      </c>
      <c r="BE23" s="1053">
        <f>SUMIF('QB BS det'!$A$6:$A$60,BOD.BS!$V23,'QB BS det'!AJ$6:AJ$60)</f>
        <v>1119442.1400000001</v>
      </c>
      <c r="BF23" s="1053">
        <f>SUMIF('QB BS det'!$A$6:$A$60,BOD.BS!$V23,'QB BS det'!AK$6:AK$60)</f>
        <v>1532512.44</v>
      </c>
      <c r="BG23" s="1053">
        <f>SUMIF('QB BS det'!$A$6:$A$60,BOD.BS!$V23,'QB BS det'!AL$6:AL$60)</f>
        <v>1558429.3700000003</v>
      </c>
    </row>
    <row r="24" spans="2:59" hidden="1">
      <c r="B24" s="1030" t="s">
        <v>1557</v>
      </c>
      <c r="D24" s="1063"/>
      <c r="F24" s="1063"/>
      <c r="H24" s="1063"/>
      <c r="J24" s="1063"/>
      <c r="R24" s="1063"/>
      <c r="V24" s="1030" t="s">
        <v>1557</v>
      </c>
    </row>
    <row r="25" spans="2:59" hidden="1">
      <c r="B25" s="1030" t="s">
        <v>1558</v>
      </c>
      <c r="D25" s="1056"/>
      <c r="F25" s="1056"/>
      <c r="H25" s="1056"/>
      <c r="J25" s="1056"/>
      <c r="R25" s="1056"/>
      <c r="V25" s="1030" t="s">
        <v>1558</v>
      </c>
    </row>
    <row r="26" spans="2:59" ht="5.25" customHeight="1"/>
    <row r="27" spans="2:59">
      <c r="C27" s="1064" t="s">
        <v>1559</v>
      </c>
      <c r="D27" s="1065">
        <f>SUM(D23:D24)</f>
        <v>1558.4293700000003</v>
      </c>
      <c r="F27" s="1065">
        <f>SUM(F23:F24)</f>
        <v>1745.4219800000001</v>
      </c>
      <c r="H27" s="1065">
        <f>SUM(H23:H24)</f>
        <v>1249.28584</v>
      </c>
      <c r="J27" s="1065">
        <f>SUM(J23:J24)</f>
        <v>654.85697000000005</v>
      </c>
      <c r="R27" s="1065">
        <f>SUM(D23:D24)</f>
        <v>1558.4293700000003</v>
      </c>
      <c r="W27" s="1064" t="s">
        <v>1559</v>
      </c>
      <c r="Y27" s="1065">
        <f>SUM(Y23:Y24)</f>
        <v>102787.65</v>
      </c>
      <c r="Z27" s="1065">
        <f t="shared" ref="Z27:BG27" si="6">SUM(Z23:Z24)</f>
        <v>925112.3</v>
      </c>
      <c r="AA27" s="1065">
        <f t="shared" si="6"/>
        <v>671107.79</v>
      </c>
      <c r="AB27" s="1065">
        <f t="shared" si="6"/>
        <v>462275.86</v>
      </c>
      <c r="AC27" s="1065">
        <f t="shared" si="6"/>
        <v>429906.02</v>
      </c>
      <c r="AD27" s="1065">
        <f t="shared" si="6"/>
        <v>654856.97000000009</v>
      </c>
      <c r="AE27" s="1065">
        <f t="shared" si="6"/>
        <v>453766.63999999996</v>
      </c>
      <c r="AF27" s="1065">
        <f t="shared" si="6"/>
        <v>557879.78</v>
      </c>
      <c r="AG27" s="1065">
        <f t="shared" si="6"/>
        <v>262019.88</v>
      </c>
      <c r="AH27" s="1065">
        <f t="shared" si="6"/>
        <v>135817.81</v>
      </c>
      <c r="AI27" s="1065">
        <f t="shared" si="6"/>
        <v>144976.75</v>
      </c>
      <c r="AJ27" s="1065">
        <f t="shared" si="6"/>
        <v>364252.05</v>
      </c>
      <c r="AK27" s="1065">
        <f t="shared" si="6"/>
        <v>1088368.7700000003</v>
      </c>
      <c r="AL27" s="1065">
        <f t="shared" si="6"/>
        <v>1199599.08</v>
      </c>
      <c r="AM27" s="1065">
        <f t="shared" si="6"/>
        <v>1173946.18</v>
      </c>
      <c r="AN27" s="1065">
        <f t="shared" si="6"/>
        <v>1472480.47</v>
      </c>
      <c r="AO27" s="1065">
        <f t="shared" si="6"/>
        <v>1230612.19</v>
      </c>
      <c r="AP27" s="1065">
        <f t="shared" si="6"/>
        <v>1249285.8400000001</v>
      </c>
      <c r="AQ27" s="1065">
        <f t="shared" si="6"/>
        <v>1384383.8099999998</v>
      </c>
      <c r="AR27" s="1065">
        <f t="shared" si="6"/>
        <v>1307694.68</v>
      </c>
      <c r="AS27" s="1065">
        <f t="shared" si="6"/>
        <v>1604482.66</v>
      </c>
      <c r="AT27" s="1065">
        <f t="shared" si="6"/>
        <v>1047962.6099999999</v>
      </c>
      <c r="AU27" s="1065">
        <f t="shared" si="6"/>
        <v>1092483.1100000001</v>
      </c>
      <c r="AV27" s="1065">
        <f t="shared" si="6"/>
        <v>2032024.8</v>
      </c>
      <c r="AW27" s="1065">
        <f t="shared" si="6"/>
        <v>1981477.3500000003</v>
      </c>
      <c r="AX27" s="1065">
        <f t="shared" si="6"/>
        <v>1486193.6300000004</v>
      </c>
      <c r="AY27" s="1065">
        <f t="shared" si="6"/>
        <v>1382769.9</v>
      </c>
      <c r="AZ27" s="1065">
        <f t="shared" si="6"/>
        <v>1516559.7700000003</v>
      </c>
      <c r="BA27" s="1065">
        <f t="shared" si="6"/>
        <v>1809184.87</v>
      </c>
      <c r="BB27" s="1065">
        <f t="shared" si="6"/>
        <v>1745421.98</v>
      </c>
      <c r="BC27" s="1065">
        <f t="shared" si="6"/>
        <v>1804195.9800000002</v>
      </c>
      <c r="BD27" s="1065">
        <f t="shared" si="6"/>
        <v>1505449.93</v>
      </c>
      <c r="BE27" s="1065">
        <f t="shared" si="6"/>
        <v>1119442.1400000001</v>
      </c>
      <c r="BF27" s="1065">
        <f t="shared" si="6"/>
        <v>1532512.44</v>
      </c>
      <c r="BG27" s="1065">
        <f t="shared" si="6"/>
        <v>1558429.3700000003</v>
      </c>
    </row>
    <row r="28" spans="2:59" ht="11.25" customHeight="1"/>
    <row r="29" spans="2:59">
      <c r="B29" s="1036" t="s">
        <v>1560</v>
      </c>
      <c r="V29" s="1036" t="s">
        <v>1560</v>
      </c>
    </row>
    <row r="30" spans="2:59" ht="8.25" customHeight="1"/>
    <row r="31" spans="2:59">
      <c r="B31" s="1030" t="s">
        <v>119</v>
      </c>
      <c r="D31" s="1056">
        <f>'QB BS det'!AL51/1000</f>
        <v>4.6991800000000001</v>
      </c>
      <c r="F31" s="1056">
        <f>'QB BS det'!AG51/1000</f>
        <v>4.6991800000000001</v>
      </c>
      <c r="H31" s="1056">
        <f>'QB BS det'!U51/1000</f>
        <v>3.1654299999999997</v>
      </c>
      <c r="J31" s="1056">
        <f>'QB BS det'!I51/1000</f>
        <v>3.8280000000000002E-2</v>
      </c>
      <c r="M31" s="1066"/>
      <c r="R31" s="1051">
        <f t="shared" ref="R31:R33" si="7">BG31/1000</f>
        <v>56091.233989999993</v>
      </c>
      <c r="V31" s="1030" t="s">
        <v>144</v>
      </c>
      <c r="Y31" s="1053">
        <f>SUMIF('QB BS det'!$A$6:$A$60,BOD.BS!$V31,'QB BS det'!D$6:D$60)</f>
        <v>72000</v>
      </c>
      <c r="Z31" s="1053">
        <f>SUMIF('QB BS det'!$A$6:$A$60,BOD.BS!$V31,'QB BS det'!E$6:E$60)</f>
        <v>6494660.3100000005</v>
      </c>
      <c r="AA31" s="1053">
        <f>SUMIF('QB BS det'!$A$6:$A$60,BOD.BS!$V31,'QB BS det'!F$6:F$60)</f>
        <v>6498488.3100000005</v>
      </c>
      <c r="AB31" s="1053">
        <f>SUMIF('QB BS det'!$A$6:$A$60,BOD.BS!$V31,'QB BS det'!G$6:G$60)</f>
        <v>6498488.3100000005</v>
      </c>
      <c r="AC31" s="1053">
        <f>SUMIF('QB BS det'!$A$6:$A$60,BOD.BS!$V31,'QB BS det'!H$6:H$60)</f>
        <v>6491150.4100000001</v>
      </c>
      <c r="AD31" s="1053">
        <f>SUMIF('QB BS det'!$A$6:$A$60,BOD.BS!$V31,'QB BS det'!I$6:I$60)</f>
        <v>6491150.4100000001</v>
      </c>
      <c r="AE31" s="1053">
        <f>SUMIF('QB BS det'!$A$6:$A$60,BOD.BS!$V31,'QB BS det'!J$6:J$60)</f>
        <v>6491150.4100000001</v>
      </c>
      <c r="AF31" s="1053">
        <f>SUMIF('QB BS det'!$A$6:$A$60,BOD.BS!$V31,'QB BS det'!K$6:K$60)</f>
        <v>6491150.4100000001</v>
      </c>
      <c r="AG31" s="1053">
        <f>SUMIF('QB BS det'!$A$6:$A$60,BOD.BS!$V31,'QB BS det'!L$6:L$60)</f>
        <v>6491150.4100000001</v>
      </c>
      <c r="AH31" s="1053">
        <f>SUMIF('QB BS det'!$A$6:$A$60,BOD.BS!$V31,'QB BS det'!M$6:M$60)</f>
        <v>11530703.210000001</v>
      </c>
      <c r="AI31" s="1053">
        <f>SUMIF('QB BS det'!$A$6:$A$60,BOD.BS!$V31,'QB BS det'!N$6:N$60)</f>
        <v>11530703.210000001</v>
      </c>
      <c r="AJ31" s="1053">
        <f>SUMIF('QB BS det'!$A$6:$A$60,BOD.BS!$V31,'QB BS det'!O$6:O$60)</f>
        <v>11543473.210000001</v>
      </c>
      <c r="AK31" s="1053">
        <f>SUMIF('QB BS det'!$A$6:$A$60,BOD.BS!$V31,'QB BS det'!P$6:P$60)</f>
        <v>11548473.210000001</v>
      </c>
      <c r="AL31" s="1053">
        <f>SUMIF('QB BS det'!$A$6:$A$60,BOD.BS!$V31,'QB BS det'!Q$6:Q$60)</f>
        <v>11548473.210000001</v>
      </c>
      <c r="AM31" s="1053">
        <f>SUMIF('QB BS det'!$A$6:$A$60,BOD.BS!$V31,'QB BS det'!R$6:R$60)</f>
        <v>16557028.210000001</v>
      </c>
      <c r="AN31" s="1053">
        <f>SUMIF('QB BS det'!$A$6:$A$60,BOD.BS!$V31,'QB BS det'!S$6:S$60)</f>
        <v>16556678.210000001</v>
      </c>
      <c r="AO31" s="1053">
        <f>SUMIF('QB BS det'!$A$6:$A$60,BOD.BS!$V31,'QB BS det'!T$6:T$60)</f>
        <v>16556678.210000001</v>
      </c>
      <c r="AP31" s="1053">
        <f>SUMIF('QB BS det'!$A$6:$A$60,BOD.BS!$V31,'QB BS det'!U$6:U$60)</f>
        <v>16556678.210000001</v>
      </c>
      <c r="AQ31" s="1053">
        <f>SUMIF('QB BS det'!$A$6:$A$60,BOD.BS!$V31,'QB BS det'!V$6:V$60)</f>
        <v>16556678.210000001</v>
      </c>
      <c r="AR31" s="1053">
        <f>SUMIF('QB BS det'!$A$6:$A$60,BOD.BS!$V31,'QB BS det'!W$6:W$60)</f>
        <v>24556678.210000001</v>
      </c>
      <c r="AS31" s="1053">
        <f>SUMIF('QB BS det'!$A$6:$A$60,BOD.BS!$V31,'QB BS det'!X$6:X$60)</f>
        <v>24553738.210000001</v>
      </c>
      <c r="AT31" s="1053">
        <f>SUMIF('QB BS det'!$A$6:$A$60,BOD.BS!$V31,'QB BS det'!Y$6:Y$60)</f>
        <v>24560444.460000001</v>
      </c>
      <c r="AU31" s="1053">
        <f>SUMIF('QB BS det'!$A$6:$A$60,BOD.BS!$V31,'QB BS det'!Z$6:Z$60)</f>
        <v>24560444.460000001</v>
      </c>
      <c r="AV31" s="1053">
        <f>SUMIF('QB BS det'!$A$6:$A$60,BOD.BS!$V31,'QB BS det'!AA$6:AA$60)</f>
        <v>24560444.460000001</v>
      </c>
      <c r="AW31" s="1053">
        <f>SUMIF('QB BS det'!$A$6:$A$60,BOD.BS!$V31,'QB BS det'!AB$6:AB$60)</f>
        <v>36560444.459999993</v>
      </c>
      <c r="AX31" s="1053">
        <f>SUMIF('QB BS det'!$A$6:$A$60,BOD.BS!$V31,'QB BS det'!AC$6:AC$60)</f>
        <v>36555444.459999993</v>
      </c>
      <c r="AY31" s="1053">
        <f>SUMIF('QB BS det'!$A$6:$A$60,BOD.BS!$V31,'QB BS det'!AD$6:AD$60)</f>
        <v>36555744.459999993</v>
      </c>
      <c r="AZ31" s="1053">
        <f>SUMIF('QB BS det'!$A$6:$A$60,BOD.BS!$V31,'QB BS det'!AE$6:AE$60)</f>
        <v>36555744.459999993</v>
      </c>
      <c r="BA31" s="1053">
        <f>SUMIF('QB BS det'!$A$6:$A$60,BOD.BS!$V31,'QB BS det'!AF$6:AF$60)</f>
        <v>36562841.119999997</v>
      </c>
      <c r="BB31" s="1053">
        <f>SUMIF('QB BS det'!$A$6:$A$60,BOD.BS!$V31,'QB BS det'!AG$6:AG$60)</f>
        <v>36562663.619999997</v>
      </c>
      <c r="BC31" s="1053">
        <f>SUMIF('QB BS det'!$A$6:$A$60,BOD.BS!$V31,'QB BS det'!AH$6:AH$60)</f>
        <v>45062663.619999997</v>
      </c>
      <c r="BD31" s="1053">
        <f>SUMIF('QB BS det'!$A$6:$A$60,BOD.BS!$V31,'QB BS det'!AI$6:AI$60)</f>
        <v>45062663.619999997</v>
      </c>
      <c r="BE31" s="1053">
        <f>SUMIF('QB BS det'!$A$6:$A$60,BOD.BS!$V31,'QB BS det'!AJ$6:AJ$60)</f>
        <v>56062663.619999997</v>
      </c>
      <c r="BF31" s="1053">
        <f>SUMIF('QB BS det'!$A$6:$A$60,BOD.BS!$V31,'QB BS det'!AK$6:AK$60)</f>
        <v>56076697.640000001</v>
      </c>
      <c r="BG31" s="1053">
        <f>SUMIF('QB BS det'!$A$6:$A$60,BOD.BS!$V31,'QB BS det'!AL$6:AL$60)</f>
        <v>56091233.989999995</v>
      </c>
    </row>
    <row r="32" spans="2:59" ht="15" customHeight="1">
      <c r="B32" s="1030" t="s">
        <v>1836</v>
      </c>
      <c r="D32" s="1056">
        <f>'QB BS det'!AL52/1000</f>
        <v>22.06</v>
      </c>
      <c r="F32" s="1056">
        <f>'QB BS det'!AG52/1000</f>
        <v>22.06</v>
      </c>
      <c r="H32" s="1056">
        <f>'QB BS det'!U52/1000</f>
        <v>13.5</v>
      </c>
      <c r="J32" s="1056">
        <f>'QB BS det'!I52/1000</f>
        <v>8.5</v>
      </c>
      <c r="M32" s="1066"/>
      <c r="N32" s="1057"/>
      <c r="O32" s="1057"/>
      <c r="R32" s="1051">
        <f t="shared" si="7"/>
        <v>-31642.29521</v>
      </c>
      <c r="V32" s="1030" t="s">
        <v>1561</v>
      </c>
      <c r="Y32" s="1053">
        <f>SUMIF('QB BS det'!$A$6:$A$60,BOD.BS!$V32,'QB BS det'!D$6:D$60)</f>
        <v>0</v>
      </c>
      <c r="Z32" s="1053">
        <f>SUMIF('QB BS det'!$A$6:$A$60,BOD.BS!$V32,'QB BS det'!E$6:E$60)</f>
        <v>0</v>
      </c>
      <c r="AA32" s="1053">
        <f>SUMIF('QB BS det'!$A$6:$A$60,BOD.BS!$V32,'QB BS det'!F$6:F$60)</f>
        <v>0</v>
      </c>
      <c r="AB32" s="1053">
        <f>SUMIF('QB BS det'!$A$6:$A$60,BOD.BS!$V32,'QB BS det'!G$6:G$60)</f>
        <v>0</v>
      </c>
      <c r="AC32" s="1053">
        <f>SUMIF('QB BS det'!$A$6:$A$60,BOD.BS!$V32,'QB BS det'!H$6:H$60)</f>
        <v>0</v>
      </c>
      <c r="AD32" s="1053">
        <f>SUMIF('QB BS det'!$A$6:$A$60,BOD.BS!$V32,'QB BS det'!I$6:I$60)</f>
        <v>0</v>
      </c>
      <c r="AE32" s="1053">
        <f>SUMIF('QB BS det'!$A$6:$A$60,BOD.BS!$V32,'QB BS det'!J$6:J$60)</f>
        <v>-3479118.78</v>
      </c>
      <c r="AF32" s="1053">
        <f>SUMIF('QB BS det'!$A$6:$A$60,BOD.BS!$V32,'QB BS det'!K$6:K$60)</f>
        <v>-3479118.78</v>
      </c>
      <c r="AG32" s="1053">
        <f>SUMIF('QB BS det'!$A$6:$A$60,BOD.BS!$V32,'QB BS det'!L$6:L$60)</f>
        <v>-3479118.78</v>
      </c>
      <c r="AH32" s="1053">
        <f>SUMIF('QB BS det'!$A$6:$A$60,BOD.BS!$V32,'QB BS det'!M$6:M$60)</f>
        <v>-3479118.78</v>
      </c>
      <c r="AI32" s="1053">
        <f>SUMIF('QB BS det'!$A$6:$A$60,BOD.BS!$V32,'QB BS det'!N$6:N$60)</f>
        <v>-3479118.78</v>
      </c>
      <c r="AJ32" s="1053">
        <f>SUMIF('QB BS det'!$A$6:$A$60,BOD.BS!$V32,'QB BS det'!O$6:O$60)</f>
        <v>-3479118.78</v>
      </c>
      <c r="AK32" s="1053">
        <f>SUMIF('QB BS det'!$A$6:$A$60,BOD.BS!$V32,'QB BS det'!P$6:P$60)</f>
        <v>-3479118.78</v>
      </c>
      <c r="AL32" s="1053">
        <f>SUMIF('QB BS det'!$A$6:$A$60,BOD.BS!$V32,'QB BS det'!Q$6:Q$60)</f>
        <v>-3479118.78</v>
      </c>
      <c r="AM32" s="1053">
        <f>SUMIF('QB BS det'!$A$6:$A$60,BOD.BS!$V32,'QB BS det'!R$6:R$60)</f>
        <v>-3479118.78</v>
      </c>
      <c r="AN32" s="1053">
        <f>SUMIF('QB BS det'!$A$6:$A$60,BOD.BS!$V32,'QB BS det'!S$6:S$60)</f>
        <v>-3479118.78</v>
      </c>
      <c r="AO32" s="1053">
        <f>SUMIF('QB BS det'!$A$6:$A$60,BOD.BS!$V32,'QB BS det'!T$6:T$60)</f>
        <v>-3479118.78</v>
      </c>
      <c r="AP32" s="1053">
        <f>SUMIF('QB BS det'!$A$6:$A$60,BOD.BS!$V32,'QB BS det'!U$6:U$60)</f>
        <v>-3479118.78</v>
      </c>
      <c r="AQ32" s="1053">
        <f>SUMIF('QB BS det'!$A$6:$A$60,BOD.BS!$V32,'QB BS det'!V$6:V$60)</f>
        <v>-14333950.49</v>
      </c>
      <c r="AR32" s="1053">
        <f>SUMIF('QB BS det'!$A$6:$A$60,BOD.BS!$V32,'QB BS det'!W$6:W$60)</f>
        <v>-14333950.49</v>
      </c>
      <c r="AS32" s="1053">
        <f>SUMIF('QB BS det'!$A$6:$A$60,BOD.BS!$V32,'QB BS det'!X$6:X$60)</f>
        <v>-14333950.49</v>
      </c>
      <c r="AT32" s="1053">
        <f>SUMIF('QB BS det'!$A$6:$A$60,BOD.BS!$V32,'QB BS det'!Y$6:Y$60)</f>
        <v>-14333950.49</v>
      </c>
      <c r="AU32" s="1053">
        <f>SUMIF('QB BS det'!$A$6:$A$60,BOD.BS!$V32,'QB BS det'!Z$6:Z$60)</f>
        <v>-14333950.49</v>
      </c>
      <c r="AV32" s="1053">
        <f>SUMIF('QB BS det'!$A$6:$A$60,BOD.BS!$V32,'QB BS det'!AA$6:AA$60)</f>
        <v>-14333950.49</v>
      </c>
      <c r="AW32" s="1053">
        <f>SUMIF('QB BS det'!$A$6:$A$60,BOD.BS!$V32,'QB BS det'!AB$6:AB$60)</f>
        <v>-14333950.49</v>
      </c>
      <c r="AX32" s="1053">
        <f>SUMIF('QB BS det'!$A$6:$A$60,BOD.BS!$V32,'QB BS det'!AC$6:AC$60)</f>
        <v>-14333950.49</v>
      </c>
      <c r="AY32" s="1053">
        <f>SUMIF('QB BS det'!$A$6:$A$60,BOD.BS!$V32,'QB BS det'!AD$6:AD$60)</f>
        <v>-14333950.49</v>
      </c>
      <c r="AZ32" s="1053">
        <f>SUMIF('QB BS det'!$A$6:$A$60,BOD.BS!$V32,'QB BS det'!AE$6:AE$60)</f>
        <v>-14333950.49</v>
      </c>
      <c r="BA32" s="1053">
        <f>SUMIF('QB BS det'!$A$6:$A$60,BOD.BS!$V32,'QB BS det'!AF$6:AF$60)</f>
        <v>-14333950.49</v>
      </c>
      <c r="BB32" s="1053">
        <f>SUMIF('QB BS det'!$A$6:$A$60,BOD.BS!$V32,'QB BS det'!AG$6:AG$60)</f>
        <v>-14333950.49</v>
      </c>
      <c r="BC32" s="1053">
        <f>SUMIF('QB BS det'!$A$6:$A$60,BOD.BS!$V32,'QB BS det'!AH$6:AH$60)</f>
        <v>-31642295.210000001</v>
      </c>
      <c r="BD32" s="1053">
        <f>SUMIF('QB BS det'!$A$6:$A$60,BOD.BS!$V32,'QB BS det'!AI$6:AI$60)</f>
        <v>-31642295.210000001</v>
      </c>
      <c r="BE32" s="1053">
        <f>SUMIF('QB BS det'!$A$6:$A$60,BOD.BS!$V32,'QB BS det'!AJ$6:AJ$60)</f>
        <v>-31642295.210000001</v>
      </c>
      <c r="BF32" s="1053">
        <f>SUMIF('QB BS det'!$A$6:$A$60,BOD.BS!$V32,'QB BS det'!AK$6:AK$60)</f>
        <v>-31642295.210000001</v>
      </c>
      <c r="BG32" s="1053">
        <f>SUMIF('QB BS det'!$A$6:$A$60,BOD.BS!$V32,'QB BS det'!AL$6:AL$60)</f>
        <v>-31642295.210000001</v>
      </c>
    </row>
    <row r="33" spans="2:59" ht="15" customHeight="1">
      <c r="B33" s="1030" t="s">
        <v>1837</v>
      </c>
      <c r="D33" s="1056">
        <f>('QB BS det'!AL53+'QB BS det'!AL54+'QB BS det'!AL55)/1000</f>
        <v>56064.4568</v>
      </c>
      <c r="F33" s="1056">
        <f>('QB BS det'!AG53+'QB BS det'!AG54+'QB BS det'!AG55)/1000</f>
        <v>36535.904439999998</v>
      </c>
      <c r="H33" s="1056">
        <f>('QB BS det'!U53+'QB BS det'!U54+'QB BS det'!U55)/1000</f>
        <v>16540.012780000001</v>
      </c>
      <c r="J33" s="1056">
        <f>('QB BS det'!I53+'QB BS det'!I54+'QB BS det'!I55)/1000</f>
        <v>6482.6121299999995</v>
      </c>
      <c r="M33" s="1066"/>
      <c r="N33" s="1057"/>
      <c r="O33" s="1057"/>
      <c r="R33" s="1051">
        <f t="shared" si="7"/>
        <v>-10813.184630000002</v>
      </c>
      <c r="V33" s="1030" t="s">
        <v>1562</v>
      </c>
      <c r="Y33" s="1053">
        <f>SUMIF('QB BS det'!$A$6:$A$60,BOD.BS!$V33,'QB BS det'!D$6:D$60)</f>
        <v>-152829.65</v>
      </c>
      <c r="Z33" s="1053">
        <f>SUMIF('QB BS det'!$A$6:$A$60,BOD.BS!$V33,'QB BS det'!E$6:E$60)</f>
        <v>-1161835.4099999999</v>
      </c>
      <c r="AA33" s="1053">
        <f>SUMIF('QB BS det'!$A$6:$A$60,BOD.BS!$V33,'QB BS det'!F$6:F$60)</f>
        <v>-1884237.78</v>
      </c>
      <c r="AB33" s="1053">
        <f>SUMIF('QB BS det'!$A$6:$A$60,BOD.BS!$V33,'QB BS det'!G$6:G$60)</f>
        <v>-2331116.9</v>
      </c>
      <c r="AC33" s="1053">
        <f>SUMIF('QB BS det'!$A$6:$A$60,BOD.BS!$V33,'QB BS det'!H$6:H$60)</f>
        <v>-2816167.46</v>
      </c>
      <c r="AD33" s="1053">
        <f>SUMIF('QB BS det'!$A$6:$A$60,BOD.BS!$V33,'QB BS det'!I$6:I$60)</f>
        <v>-3479118.78</v>
      </c>
      <c r="AE33" s="1053">
        <f>SUMIF('QB BS det'!$A$6:$A$60,BOD.BS!$V33,'QB BS det'!J$6:J$60)</f>
        <v>-483733.15</v>
      </c>
      <c r="AF33" s="1053">
        <f>SUMIF('QB BS det'!$A$6:$A$60,BOD.BS!$V33,'QB BS det'!K$6:K$60)</f>
        <v>-1242928.4099999999</v>
      </c>
      <c r="AG33" s="1053">
        <f>SUMIF('QB BS det'!$A$6:$A$60,BOD.BS!$V33,'QB BS det'!L$6:L$60)</f>
        <v>-1932991.16</v>
      </c>
      <c r="AH33" s="1053">
        <f>SUMIF('QB BS det'!$A$6:$A$60,BOD.BS!$V33,'QB BS det'!M$6:M$60)</f>
        <v>-2594542.2799999998</v>
      </c>
      <c r="AI33" s="1053">
        <f>SUMIF('QB BS det'!$A$6:$A$60,BOD.BS!$V33,'QB BS det'!N$6:N$60)</f>
        <v>-3158694.72</v>
      </c>
      <c r="AJ33" s="1053">
        <f>SUMIF('QB BS det'!$A$6:$A$60,BOD.BS!$V33,'QB BS det'!O$6:O$60)</f>
        <v>-4110404.77</v>
      </c>
      <c r="AK33" s="1053">
        <f>SUMIF('QB BS det'!$A$6:$A$60,BOD.BS!$V33,'QB BS det'!P$6:P$60)</f>
        <v>-5582742.5199999996</v>
      </c>
      <c r="AL33" s="1053">
        <f>SUMIF('QB BS det'!$A$6:$A$60,BOD.BS!$V33,'QB BS det'!Q$6:Q$60)</f>
        <v>-7018616.5800000001</v>
      </c>
      <c r="AM33" s="1053">
        <f>SUMIF('QB BS det'!$A$6:$A$60,BOD.BS!$V33,'QB BS det'!R$6:R$60)</f>
        <v>-7910557.9299999997</v>
      </c>
      <c r="AN33" s="1053">
        <f>SUMIF('QB BS det'!$A$6:$A$60,BOD.BS!$V33,'QB BS det'!S$6:S$60)</f>
        <v>-9054544.9100000001</v>
      </c>
      <c r="AO33" s="1053">
        <f>SUMIF('QB BS det'!$A$6:$A$60,BOD.BS!$V33,'QB BS det'!T$6:T$60)</f>
        <v>-9856312.1300000008</v>
      </c>
      <c r="AP33" s="1053">
        <f>SUMIF('QB BS det'!$A$6:$A$60,BOD.BS!$V33,'QB BS det'!U$6:U$60)</f>
        <v>-10854831.710000001</v>
      </c>
      <c r="AQ33" s="1053">
        <f>SUMIF('QB BS det'!$A$6:$A$60,BOD.BS!$V33,'QB BS det'!V$6:V$60)</f>
        <v>-991145.35</v>
      </c>
      <c r="AR33" s="1053">
        <f>SUMIF('QB BS det'!$A$6:$A$60,BOD.BS!$V33,'QB BS det'!W$6:W$60)</f>
        <v>-1984971.15</v>
      </c>
      <c r="AS33" s="1053">
        <f>SUMIF('QB BS det'!$A$6:$A$60,BOD.BS!$V33,'QB BS det'!X$6:X$60)</f>
        <v>-3621428.53</v>
      </c>
      <c r="AT33" s="1053">
        <f>SUMIF('QB BS det'!$A$6:$A$60,BOD.BS!$V33,'QB BS det'!Y$6:Y$60)</f>
        <v>-4612489.99</v>
      </c>
      <c r="AU33" s="1053">
        <f>SUMIF('QB BS det'!$A$6:$A$60,BOD.BS!$V33,'QB BS det'!Z$6:Z$60)</f>
        <v>-5757446.6200000001</v>
      </c>
      <c r="AV33" s="1053">
        <f>SUMIF('QB BS det'!$A$6:$A$60,BOD.BS!$V33,'QB BS det'!AA$6:AA$60)</f>
        <v>-7233028.2599999998</v>
      </c>
      <c r="AW33" s="1053">
        <f>SUMIF('QB BS det'!$A$6:$A$60,BOD.BS!$V33,'QB BS det'!AB$6:AB$60)</f>
        <v>-8966935.3599999994</v>
      </c>
      <c r="AX33" s="1053">
        <f>SUMIF('QB BS det'!$A$6:$A$60,BOD.BS!$V33,'QB BS det'!AC$6:AC$60)</f>
        <v>-10586703.529999999</v>
      </c>
      <c r="AY33" s="1053">
        <f>SUMIF('QB BS det'!$A$6:$A$60,BOD.BS!$V33,'QB BS det'!AD$6:AD$60)</f>
        <v>-12197311.51</v>
      </c>
      <c r="AZ33" s="1053">
        <f>SUMIF('QB BS det'!$A$6:$A$60,BOD.BS!$V33,'QB BS det'!AE$6:AE$60)</f>
        <v>-13597111.85</v>
      </c>
      <c r="BA33" s="1053">
        <f>SUMIF('QB BS det'!$A$6:$A$60,BOD.BS!$V33,'QB BS det'!AF$6:AF$60)</f>
        <v>-15317750.75</v>
      </c>
      <c r="BB33" s="1053">
        <f>SUMIF('QB BS det'!$A$6:$A$60,BOD.BS!$V33,'QB BS det'!AG$6:AG$60)</f>
        <v>-17308344.719999999</v>
      </c>
      <c r="BC33" s="1053">
        <f>SUMIF('QB BS det'!$A$6:$A$60,BOD.BS!$V33,'QB BS det'!AH$6:AH$60)</f>
        <v>-1875613.79</v>
      </c>
      <c r="BD33" s="1053">
        <f>SUMIF('QB BS det'!$A$6:$A$60,BOD.BS!$V33,'QB BS det'!AI$6:AI$60)</f>
        <v>-4421708.97</v>
      </c>
      <c r="BE33" s="1053">
        <f>SUMIF('QB BS det'!$A$6:$A$60,BOD.BS!$V33,'QB BS det'!AJ$6:AJ$60)</f>
        <v>-6509311.5300000003</v>
      </c>
      <c r="BF33" s="1053">
        <f>SUMIF('QB BS det'!$A$6:$A$60,BOD.BS!$V33,'QB BS det'!AK$6:AK$60)</f>
        <v>-8704263.7100000009</v>
      </c>
      <c r="BG33" s="1053">
        <f>SUMIF('QB BS det'!$A$6:$A$60,BOD.BS!$V33,'QB BS det'!AL$6:AL$60)</f>
        <v>-10813184.630000001</v>
      </c>
    </row>
    <row r="34" spans="2:59">
      <c r="B34" s="1030" t="s">
        <v>1838</v>
      </c>
      <c r="D34" s="1056">
        <f>'QB BS det'!AL56/1000</f>
        <v>1.8010000000000002E-2</v>
      </c>
      <c r="F34" s="1056"/>
      <c r="H34" s="1056"/>
      <c r="J34" s="1056"/>
      <c r="L34" s="1058"/>
      <c r="R34" s="1065">
        <f>SUM(R31:R33)</f>
        <v>13635.754149999992</v>
      </c>
      <c r="W34" s="1036" t="s">
        <v>125</v>
      </c>
      <c r="Y34" s="1065">
        <f>SUM(Y31:Y33)</f>
        <v>-80829.649999999994</v>
      </c>
      <c r="Z34" s="1065">
        <f t="shared" ref="Z34:BG34" si="8">SUM(Z31:Z33)</f>
        <v>5332824.9000000004</v>
      </c>
      <c r="AA34" s="1065">
        <f t="shared" si="8"/>
        <v>4614250.53</v>
      </c>
      <c r="AB34" s="1065">
        <f t="shared" si="8"/>
        <v>4167371.4100000006</v>
      </c>
      <c r="AC34" s="1065">
        <f t="shared" si="8"/>
        <v>3674982.95</v>
      </c>
      <c r="AD34" s="1065">
        <f t="shared" si="8"/>
        <v>3012031.6300000004</v>
      </c>
      <c r="AE34" s="1065">
        <f t="shared" si="8"/>
        <v>2528298.4800000004</v>
      </c>
      <c r="AF34" s="1065">
        <f t="shared" si="8"/>
        <v>1769103.2200000004</v>
      </c>
      <c r="AG34" s="1065">
        <f t="shared" si="8"/>
        <v>1079040.4700000004</v>
      </c>
      <c r="AH34" s="1065">
        <f t="shared" si="8"/>
        <v>5457042.1500000022</v>
      </c>
      <c r="AI34" s="1065">
        <f t="shared" si="8"/>
        <v>4892889.7100000009</v>
      </c>
      <c r="AJ34" s="1065">
        <f t="shared" si="8"/>
        <v>3953949.6600000015</v>
      </c>
      <c r="AK34" s="1065">
        <f t="shared" si="8"/>
        <v>2486611.910000002</v>
      </c>
      <c r="AL34" s="1065">
        <f t="shared" si="8"/>
        <v>1050737.8500000015</v>
      </c>
      <c r="AM34" s="1065">
        <f t="shared" si="8"/>
        <v>5167351.5000000019</v>
      </c>
      <c r="AN34" s="1065">
        <f t="shared" si="8"/>
        <v>4023014.5200000014</v>
      </c>
      <c r="AO34" s="1065">
        <f t="shared" si="8"/>
        <v>3221247.3000000007</v>
      </c>
      <c r="AP34" s="1065">
        <f t="shared" si="8"/>
        <v>2222727.7200000007</v>
      </c>
      <c r="AQ34" s="1065">
        <f t="shared" si="8"/>
        <v>1231582.3700000006</v>
      </c>
      <c r="AR34" s="1065">
        <f t="shared" si="8"/>
        <v>8237756.5700000003</v>
      </c>
      <c r="AS34" s="1065">
        <f t="shared" si="8"/>
        <v>6598359.1900000013</v>
      </c>
      <c r="AT34" s="1065">
        <f t="shared" si="8"/>
        <v>5614003.9800000004</v>
      </c>
      <c r="AU34" s="1065">
        <f t="shared" si="8"/>
        <v>4469047.3500000006</v>
      </c>
      <c r="AV34" s="1065">
        <f t="shared" si="8"/>
        <v>2993465.7100000009</v>
      </c>
      <c r="AW34" s="1065">
        <f t="shared" si="8"/>
        <v>13259558.609999992</v>
      </c>
      <c r="AX34" s="1065">
        <f t="shared" si="8"/>
        <v>11634790.439999992</v>
      </c>
      <c r="AY34" s="1065">
        <f t="shared" si="8"/>
        <v>10024482.459999992</v>
      </c>
      <c r="AZ34" s="1065">
        <f t="shared" si="8"/>
        <v>8624682.1199999917</v>
      </c>
      <c r="BA34" s="1065">
        <f t="shared" si="8"/>
        <v>6911139.8799999952</v>
      </c>
      <c r="BB34" s="1065">
        <f t="shared" si="8"/>
        <v>4920368.4099999964</v>
      </c>
      <c r="BC34" s="1065">
        <f t="shared" si="8"/>
        <v>11544754.619999997</v>
      </c>
      <c r="BD34" s="1065">
        <f t="shared" si="8"/>
        <v>8998659.4399999976</v>
      </c>
      <c r="BE34" s="1065">
        <f t="shared" si="8"/>
        <v>17911056.879999995</v>
      </c>
      <c r="BF34" s="1065">
        <f t="shared" si="8"/>
        <v>15730138.719999999</v>
      </c>
      <c r="BG34" s="1065">
        <f t="shared" si="8"/>
        <v>13635754.149999993</v>
      </c>
    </row>
    <row r="35" spans="2:59" ht="21" customHeight="1">
      <c r="B35" s="1030" t="s">
        <v>1561</v>
      </c>
      <c r="D35" s="1056">
        <f>'QB BS det'!AL57/1000</f>
        <v>-31642.29521</v>
      </c>
      <c r="E35" s="1058"/>
      <c r="F35" s="1056">
        <f>SUMIF('QB BS det'!$A$9:$A$58,B35,'QB BS det'!$AG$9:$AG$58)/1000</f>
        <v>-14333.950490000001</v>
      </c>
      <c r="H35" s="1056">
        <f>SUMIF('QB BS det'!$A$9:$A$58,B35,'QB BS det'!$U$9:$U$58)/1000</f>
        <v>-3479.1187799999998</v>
      </c>
      <c r="J35" s="1056">
        <f>SUMIF('QB BS det'!$A$9:$A$58,B35,'QB BS det'!$I$9:$I$58)/1000</f>
        <v>0</v>
      </c>
      <c r="N35" s="1057"/>
    </row>
    <row r="36" spans="2:59" ht="16.5" thickBot="1">
      <c r="B36" s="1030" t="s">
        <v>1562</v>
      </c>
      <c r="D36" s="1063">
        <f>R33+P33+N33</f>
        <v>-10813.184630000002</v>
      </c>
      <c r="F36" s="1063">
        <f>SUMIF('QB BS det'!$A$9:$A$58,B36,'QB BS det'!$AG$9:$AG$58)/1000</f>
        <v>-17308.344719999997</v>
      </c>
      <c r="H36" s="1063">
        <f>SUMIF('QB BS det'!$A$9:$A$58,B36,'QB BS det'!$U$9:$U$58)/1000</f>
        <v>-10854.83171</v>
      </c>
      <c r="J36" s="1063">
        <f>SUMIF('QB BS det'!$A$9:$A$58,B36,'QB BS det'!$I$9:$I$58)/1000</f>
        <v>-3479.1187799999998</v>
      </c>
      <c r="K36" s="1058"/>
      <c r="O36" s="1057"/>
      <c r="R36" s="1062">
        <f>+R27+R34</f>
        <v>15194.183519999991</v>
      </c>
      <c r="W36" s="1036" t="s">
        <v>1563</v>
      </c>
      <c r="Y36" s="1062">
        <f>+Y27+Y34</f>
        <v>21958</v>
      </c>
      <c r="Z36" s="1062">
        <f t="shared" ref="Z36:BG36" si="9">+Z27+Z34</f>
        <v>6257937.2000000002</v>
      </c>
      <c r="AA36" s="1062">
        <f t="shared" si="9"/>
        <v>5285358.32</v>
      </c>
      <c r="AB36" s="1062">
        <f t="shared" si="9"/>
        <v>4629647.2700000005</v>
      </c>
      <c r="AC36" s="1062">
        <f t="shared" si="9"/>
        <v>4104888.97</v>
      </c>
      <c r="AD36" s="1062">
        <f t="shared" si="9"/>
        <v>3666888.6000000006</v>
      </c>
      <c r="AE36" s="1062">
        <f t="shared" si="9"/>
        <v>2982065.1200000006</v>
      </c>
      <c r="AF36" s="1062">
        <f t="shared" si="9"/>
        <v>2326983.0000000005</v>
      </c>
      <c r="AG36" s="1062">
        <f t="shared" si="9"/>
        <v>1341060.3500000006</v>
      </c>
      <c r="AH36" s="1062">
        <f t="shared" si="9"/>
        <v>5592859.9600000018</v>
      </c>
      <c r="AI36" s="1062">
        <f t="shared" si="9"/>
        <v>5037866.4600000009</v>
      </c>
      <c r="AJ36" s="1062">
        <f t="shared" si="9"/>
        <v>4318201.7100000018</v>
      </c>
      <c r="AK36" s="1062">
        <f t="shared" si="9"/>
        <v>3574980.6800000025</v>
      </c>
      <c r="AL36" s="1062">
        <f t="shared" si="9"/>
        <v>2250336.9300000016</v>
      </c>
      <c r="AM36" s="1062">
        <f t="shared" si="9"/>
        <v>6341297.6800000016</v>
      </c>
      <c r="AN36" s="1062">
        <f t="shared" si="9"/>
        <v>5495494.9900000012</v>
      </c>
      <c r="AO36" s="1062">
        <f t="shared" si="9"/>
        <v>4451859.49</v>
      </c>
      <c r="AP36" s="1062">
        <f t="shared" si="9"/>
        <v>3472013.5600000005</v>
      </c>
      <c r="AQ36" s="1062">
        <f t="shared" si="9"/>
        <v>2615966.1800000006</v>
      </c>
      <c r="AR36" s="1062">
        <f t="shared" si="9"/>
        <v>9545451.25</v>
      </c>
      <c r="AS36" s="1062">
        <f t="shared" si="9"/>
        <v>8202841.8500000015</v>
      </c>
      <c r="AT36" s="1062">
        <f t="shared" si="9"/>
        <v>6661966.5899999999</v>
      </c>
      <c r="AU36" s="1062">
        <f t="shared" si="9"/>
        <v>5561530.4600000009</v>
      </c>
      <c r="AV36" s="1062">
        <f t="shared" si="9"/>
        <v>5025490.5100000007</v>
      </c>
      <c r="AW36" s="1062">
        <f t="shared" si="9"/>
        <v>15241035.959999992</v>
      </c>
      <c r="AX36" s="1062">
        <f t="shared" si="9"/>
        <v>13120984.069999993</v>
      </c>
      <c r="AY36" s="1062">
        <f t="shared" si="9"/>
        <v>11407252.359999992</v>
      </c>
      <c r="AZ36" s="1062">
        <f t="shared" si="9"/>
        <v>10141241.889999991</v>
      </c>
      <c r="BA36" s="1062">
        <f t="shared" si="9"/>
        <v>8720324.7499999963</v>
      </c>
      <c r="BB36" s="1062">
        <f t="shared" si="9"/>
        <v>6665790.3899999969</v>
      </c>
      <c r="BC36" s="1062">
        <f t="shared" si="9"/>
        <v>13348950.599999998</v>
      </c>
      <c r="BD36" s="1062">
        <f t="shared" si="9"/>
        <v>10504109.369999997</v>
      </c>
      <c r="BE36" s="1062">
        <f t="shared" si="9"/>
        <v>19030499.019999996</v>
      </c>
      <c r="BF36" s="1062">
        <f t="shared" si="9"/>
        <v>17262651.16</v>
      </c>
      <c r="BG36" s="1062">
        <f t="shared" si="9"/>
        <v>15194183.519999994</v>
      </c>
    </row>
    <row r="37" spans="2:59" ht="15.75" customHeight="1" thickTop="1">
      <c r="C37" s="1036" t="s">
        <v>125</v>
      </c>
      <c r="D37" s="1065">
        <f>SUM(D31:D36)</f>
        <v>13635.754149999999</v>
      </c>
      <c r="E37" s="1058"/>
      <c r="F37" s="1065">
        <f>SUM(F31:F36)</f>
        <v>4920.3684099999991</v>
      </c>
      <c r="G37" s="1058"/>
      <c r="H37" s="1065">
        <f>SUM(H31:H36)</f>
        <v>2222.7277200000008</v>
      </c>
      <c r="I37" s="1058"/>
      <c r="J37" s="1065">
        <f>SUM(J31:J36)</f>
        <v>3012.0316299999995</v>
      </c>
      <c r="R37" s="1052">
        <f>BG36</f>
        <v>15194183.519999994</v>
      </c>
      <c r="AD37" s="1030" t="s">
        <v>1831</v>
      </c>
    </row>
    <row r="38" spans="2:59">
      <c r="M38" s="1066"/>
      <c r="R38" s="1052">
        <f>'QB BS det'!AL38</f>
        <v>15194183.520000001</v>
      </c>
    </row>
    <row r="39" spans="2:59" ht="15.75" customHeight="1" thickBot="1">
      <c r="C39" s="1036" t="s">
        <v>1563</v>
      </c>
      <c r="D39" s="1062">
        <f>+D27+D37</f>
        <v>15194.183519999999</v>
      </c>
      <c r="F39" s="1062">
        <f>+F27+F37</f>
        <v>6665.7903899999992</v>
      </c>
      <c r="H39" s="1062">
        <f>+H27+H37</f>
        <v>3472.0135600000008</v>
      </c>
      <c r="J39" s="1062">
        <f>+J27+J37</f>
        <v>3666.8885999999993</v>
      </c>
    </row>
    <row r="40" spans="2:59" ht="24" customHeight="1" thickTop="1">
      <c r="C40" s="1030" t="s">
        <v>125</v>
      </c>
      <c r="D40" s="1030">
        <v>13635.754149999992</v>
      </c>
      <c r="F40" s="1030">
        <v>4920.3684099999991</v>
      </c>
      <c r="H40" s="1030">
        <v>2222.7277200000008</v>
      </c>
      <c r="J40" s="1030">
        <v>3012.0316300000004</v>
      </c>
    </row>
    <row r="41" spans="2:59">
      <c r="C41" s="1030" t="s">
        <v>1563</v>
      </c>
      <c r="D41" s="1030">
        <v>15194.183519999991</v>
      </c>
      <c r="F41" s="1030">
        <v>6665.7903899999992</v>
      </c>
      <c r="H41" s="1030">
        <v>3472.0135600000008</v>
      </c>
      <c r="J41" s="1030">
        <v>3666.8886000000002</v>
      </c>
    </row>
    <row r="42" spans="2:59">
      <c r="B42" s="2320" t="s">
        <v>1564</v>
      </c>
      <c r="C42" s="2320"/>
      <c r="D42" s="2320"/>
      <c r="E42" s="2320"/>
      <c r="F42" s="2320"/>
    </row>
    <row r="43" spans="2:59">
      <c r="B43" s="2320"/>
      <c r="C43" s="2320"/>
      <c r="D43" s="2320"/>
      <c r="E43" s="2320"/>
      <c r="F43" s="2320"/>
    </row>
    <row r="45" spans="2:59">
      <c r="D45" s="1052"/>
    </row>
  </sheetData>
  <mergeCells count="5">
    <mergeCell ref="B2:F2"/>
    <mergeCell ref="B3:F3"/>
    <mergeCell ref="B4:F4"/>
    <mergeCell ref="N4:S4"/>
    <mergeCell ref="B42:F43"/>
  </mergeCells>
  <printOptions horizontalCentered="1" verticalCentered="1"/>
  <pageMargins left="0.75" right="0.75" top="1" bottom="1" header="0.5" footer="0.5"/>
  <pageSetup paperSize="5" scale="89" orientation="landscape"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pageSetUpPr fitToPage="1"/>
  </sheetPr>
  <dimension ref="A1:CF78"/>
  <sheetViews>
    <sheetView showGridLines="0" zoomScale="70" zoomScaleNormal="70" workbookViewId="0"/>
  </sheetViews>
  <sheetFormatPr defaultColWidth="9.5" defaultRowHeight="15.75" outlineLevelRow="1"/>
  <cols>
    <col min="1" max="1" width="21.6640625" style="1030" customWidth="1"/>
    <col min="2" max="2" width="55" style="1030" customWidth="1"/>
    <col min="3" max="3" width="15.6640625" style="1030" customWidth="1"/>
    <col min="4" max="4" width="3.5" style="1058" customWidth="1"/>
    <col min="5" max="5" width="3.33203125" style="1058" customWidth="1"/>
    <col min="6" max="6" width="7.83203125" style="1058" bestFit="1" customWidth="1"/>
    <col min="7" max="7" width="3.33203125" style="1058" customWidth="1"/>
    <col min="8" max="8" width="15.33203125" style="1058" customWidth="1"/>
    <col min="9" max="9" width="3.33203125" style="1058" customWidth="1"/>
    <col min="10" max="10" width="14.6640625" style="1058" customWidth="1"/>
    <col min="11" max="11" width="3.33203125" style="1058" customWidth="1"/>
    <col min="12" max="12" width="15.83203125" style="1058" customWidth="1"/>
    <col min="13" max="16" width="3.33203125" style="1058" customWidth="1"/>
    <col min="17" max="17" width="3.33203125" style="1059" customWidth="1"/>
    <col min="18" max="18" width="7" style="1030" customWidth="1"/>
    <col min="19" max="19" width="3.33203125" style="1058" customWidth="1"/>
    <col min="20" max="20" width="11.83203125" style="1058" customWidth="1"/>
    <col min="21" max="21" width="3.33203125" style="1058" customWidth="1"/>
    <col min="22" max="22" width="17.83203125" style="1030" bestFit="1" customWidth="1"/>
    <col min="23" max="24" width="3.33203125" style="1058" customWidth="1"/>
    <col min="25" max="25" width="12.6640625" style="1058" customWidth="1"/>
    <col min="26" max="26" width="10" style="1058" customWidth="1"/>
    <col min="27" max="27" width="11.1640625" style="1058" customWidth="1"/>
    <col min="28" max="28" width="10.33203125" style="1058" customWidth="1"/>
    <col min="29" max="29" width="11.6640625" style="1030" customWidth="1"/>
    <col min="30" max="30" width="2.83203125" style="1030" customWidth="1"/>
    <col min="31" max="31" width="15.33203125" style="1030" customWidth="1"/>
    <col min="32" max="32" width="9.5" style="1030"/>
    <col min="33" max="33" width="27" style="1030" customWidth="1"/>
    <col min="34" max="34" width="8" style="1030" customWidth="1"/>
    <col min="35" max="35" width="15.33203125" style="1030" customWidth="1"/>
    <col min="36" max="36" width="14.1640625" style="1030" bestFit="1" customWidth="1"/>
    <col min="37" max="46" width="12.1640625" style="1030" bestFit="1" customWidth="1"/>
    <col min="47" max="48" width="14.1640625" style="1030" bestFit="1" customWidth="1"/>
    <col min="49" max="49" width="12.1640625" style="1030" bestFit="1" customWidth="1"/>
    <col min="50" max="50" width="14.1640625" style="1030" bestFit="1" customWidth="1"/>
    <col min="51" max="53" width="12.1640625" style="1030" bestFit="1" customWidth="1"/>
    <col min="54" max="65" width="14.1640625" style="1030" bestFit="1" customWidth="1"/>
    <col min="66" max="66" width="14" style="1030" customWidth="1"/>
    <col min="67" max="69" width="17" style="1030" customWidth="1"/>
    <col min="70" max="70" width="9.5" style="1030"/>
    <col min="71" max="71" width="16.1640625" style="1030" bestFit="1" customWidth="1"/>
    <col min="72" max="72" width="9.83203125" style="1030" customWidth="1"/>
    <col min="73" max="73" width="10.83203125" style="1030" bestFit="1" customWidth="1"/>
    <col min="74" max="16384" width="9.5" style="1030"/>
  </cols>
  <sheetData>
    <row r="1" spans="1:69" ht="26.25">
      <c r="B1" s="2315" t="s">
        <v>1502</v>
      </c>
      <c r="C1" s="2315"/>
      <c r="D1" s="2315"/>
      <c r="E1" s="2315"/>
      <c r="F1" s="2315"/>
      <c r="G1" s="2315"/>
      <c r="H1" s="1033"/>
      <c r="I1" s="1033"/>
      <c r="J1" s="1033"/>
      <c r="K1" s="1033"/>
      <c r="L1" s="1033"/>
      <c r="M1" s="1033"/>
      <c r="N1" s="1033"/>
      <c r="O1" s="1033"/>
      <c r="P1" s="1033"/>
      <c r="Q1" s="1034"/>
      <c r="R1" s="1033"/>
      <c r="S1" s="1033"/>
      <c r="T1" s="1033"/>
      <c r="U1" s="1033"/>
      <c r="V1" s="1067"/>
      <c r="W1" s="1033"/>
      <c r="X1" s="1033"/>
      <c r="Y1" s="1033"/>
      <c r="Z1" s="1033"/>
      <c r="AA1" s="1033"/>
      <c r="AB1" s="1033"/>
      <c r="AC1" s="1067"/>
      <c r="AD1" s="1067"/>
      <c r="AE1" s="1030" t="s">
        <v>1565</v>
      </c>
    </row>
    <row r="2" spans="1:69" ht="18.75">
      <c r="B2" s="2321" t="s">
        <v>1566</v>
      </c>
      <c r="C2" s="2321"/>
      <c r="D2" s="2321"/>
      <c r="E2" s="2321"/>
      <c r="F2" s="2321"/>
      <c r="G2" s="1068"/>
      <c r="H2" s="1068"/>
      <c r="I2" s="1068"/>
      <c r="J2" s="1068"/>
      <c r="K2" s="1068"/>
      <c r="L2" s="1068"/>
      <c r="M2" s="1068"/>
      <c r="N2" s="1068"/>
      <c r="O2" s="1068"/>
      <c r="P2" s="1068"/>
      <c r="Q2" s="1069"/>
      <c r="R2" s="1068"/>
      <c r="S2" s="1068"/>
      <c r="T2" s="1068"/>
      <c r="U2" s="1068"/>
      <c r="W2" s="1068"/>
      <c r="X2" s="1068"/>
      <c r="Y2" s="1068"/>
      <c r="Z2" s="1068"/>
      <c r="AA2" s="1068"/>
      <c r="AB2" s="1068"/>
    </row>
    <row r="3" spans="1:69" ht="19.5" thickBot="1">
      <c r="B3" s="2321" t="s">
        <v>1504</v>
      </c>
      <c r="C3" s="2321"/>
      <c r="D3" s="2321"/>
      <c r="E3" s="2321"/>
      <c r="F3" s="2321"/>
      <c r="G3" s="1068"/>
      <c r="H3" s="1068"/>
      <c r="I3" s="1068"/>
      <c r="J3" s="1068"/>
      <c r="K3" s="1068"/>
      <c r="L3" s="1068"/>
      <c r="M3" s="1068"/>
      <c r="N3" s="1068"/>
      <c r="O3" s="1068"/>
      <c r="P3" s="1068"/>
      <c r="Q3" s="1069"/>
      <c r="R3" s="1068"/>
      <c r="S3" s="1068"/>
      <c r="T3" s="1068"/>
      <c r="U3" s="1068"/>
      <c r="W3" s="1068"/>
      <c r="X3" s="1068"/>
      <c r="Y3" s="1068"/>
      <c r="Z3" s="1068"/>
      <c r="AA3" s="1068"/>
      <c r="AB3" s="1068"/>
    </row>
    <row r="4" spans="1:69" ht="16.5" thickBot="1">
      <c r="R4" s="1070" t="s">
        <v>1505</v>
      </c>
      <c r="S4" s="1071"/>
      <c r="T4" s="1071"/>
      <c r="U4" s="1071"/>
      <c r="V4" s="1071"/>
      <c r="W4" s="1072"/>
      <c r="X4" s="1073"/>
      <c r="Y4" s="1073" t="s">
        <v>1567</v>
      </c>
      <c r="Z4" s="1073" t="s">
        <v>1568</v>
      </c>
      <c r="AA4" s="1073" t="s">
        <v>1569</v>
      </c>
      <c r="AB4" s="1073" t="s">
        <v>1570</v>
      </c>
    </row>
    <row r="5" spans="1:69">
      <c r="B5" s="1074"/>
    </row>
    <row r="6" spans="1:69" ht="15.75" customHeight="1">
      <c r="C6" s="1038" t="s">
        <v>377</v>
      </c>
      <c r="D6" s="1039"/>
      <c r="E6" s="1039"/>
      <c r="F6" s="1039"/>
      <c r="G6" s="1039"/>
      <c r="H6" s="1039"/>
      <c r="I6" s="1039"/>
      <c r="J6" s="1039"/>
      <c r="K6" s="1039"/>
      <c r="L6" s="1039"/>
      <c r="M6" s="1039"/>
      <c r="N6" s="1039"/>
      <c r="O6" s="1039"/>
      <c r="P6" s="1039"/>
      <c r="Q6" s="1075"/>
      <c r="R6" s="1038" t="s">
        <v>1508</v>
      </c>
      <c r="S6" s="1039"/>
      <c r="T6" s="1038" t="s">
        <v>1509</v>
      </c>
      <c r="U6" s="1039"/>
      <c r="V6" s="1038"/>
      <c r="W6" s="1039"/>
      <c r="X6" s="1039"/>
      <c r="Y6" s="1039"/>
      <c r="Z6" s="1039"/>
      <c r="AA6" s="1039"/>
      <c r="AB6" s="1039"/>
      <c r="AI6" s="1076" t="s">
        <v>1510</v>
      </c>
      <c r="AJ6" s="1076" t="s">
        <v>1511</v>
      </c>
      <c r="AK6" s="1076" t="s">
        <v>1512</v>
      </c>
      <c r="AL6" s="1076" t="s">
        <v>1513</v>
      </c>
      <c r="AM6" s="1076" t="s">
        <v>1514</v>
      </c>
      <c r="AN6" s="1076" t="s">
        <v>1515</v>
      </c>
      <c r="AO6" s="1076" t="s">
        <v>1516</v>
      </c>
      <c r="AP6" s="1076" t="s">
        <v>1517</v>
      </c>
      <c r="AQ6" s="1076" t="s">
        <v>1518</v>
      </c>
      <c r="AR6" s="1076" t="s">
        <v>1519</v>
      </c>
      <c r="AS6" s="1076" t="s">
        <v>1520</v>
      </c>
      <c r="AT6" s="1076" t="s">
        <v>1521</v>
      </c>
      <c r="AU6" s="1076" t="s">
        <v>1522</v>
      </c>
      <c r="AV6" s="1076" t="s">
        <v>1523</v>
      </c>
      <c r="AW6" s="1076" t="s">
        <v>1524</v>
      </c>
      <c r="AX6" s="1076" t="s">
        <v>1525</v>
      </c>
      <c r="AY6" s="1076" t="s">
        <v>1526</v>
      </c>
      <c r="AZ6" s="1076" t="s">
        <v>1527</v>
      </c>
      <c r="BA6" s="1076" t="s">
        <v>1528</v>
      </c>
      <c r="BB6" s="1076" t="s">
        <v>1529</v>
      </c>
      <c r="BC6" s="1076" t="s">
        <v>1530</v>
      </c>
      <c r="BD6" s="1076" t="s">
        <v>1531</v>
      </c>
      <c r="BE6" s="1076" t="s">
        <v>1532</v>
      </c>
      <c r="BF6" s="1076" t="s">
        <v>1533</v>
      </c>
      <c r="BG6" s="1076" t="s">
        <v>1534</v>
      </c>
      <c r="BH6" s="1076" t="s">
        <v>1535</v>
      </c>
      <c r="BI6" s="1077">
        <v>42979</v>
      </c>
      <c r="BJ6" s="1077">
        <v>43009</v>
      </c>
      <c r="BK6" s="1077">
        <v>43040</v>
      </c>
      <c r="BL6" s="1078">
        <v>43070</v>
      </c>
      <c r="BM6" s="1078">
        <v>43101</v>
      </c>
      <c r="BN6" s="1078">
        <v>43132</v>
      </c>
      <c r="BO6" s="1078">
        <v>43160</v>
      </c>
      <c r="BP6" s="1078">
        <v>43191</v>
      </c>
      <c r="BQ6" s="1078">
        <v>43221</v>
      </c>
    </row>
    <row r="7" spans="1:69">
      <c r="B7" s="1079"/>
      <c r="C7" s="1045" t="s">
        <v>1571</v>
      </c>
      <c r="D7" s="1046"/>
      <c r="E7" s="1046"/>
      <c r="F7" s="1046"/>
      <c r="G7" s="1046"/>
      <c r="H7" s="1046">
        <v>43100</v>
      </c>
      <c r="I7" s="1046"/>
      <c r="J7" s="1046">
        <v>42735</v>
      </c>
      <c r="K7" s="1046"/>
      <c r="L7" s="1046">
        <v>42369</v>
      </c>
      <c r="M7" s="1046"/>
      <c r="N7" s="1046"/>
      <c r="O7" s="1046"/>
      <c r="P7" s="1046"/>
      <c r="Q7" s="1080"/>
      <c r="R7" s="1045" t="s">
        <v>1546</v>
      </c>
      <c r="S7" s="1046"/>
      <c r="T7" s="1045" t="s">
        <v>1546</v>
      </c>
      <c r="U7" s="1046"/>
      <c r="V7" s="1045" t="s">
        <v>1547</v>
      </c>
      <c r="W7" s="1046"/>
      <c r="X7" s="1046"/>
      <c r="Y7" s="1046"/>
      <c r="Z7" s="1046"/>
      <c r="AA7" s="1046"/>
      <c r="AB7" s="1046"/>
    </row>
    <row r="8" spans="1:69">
      <c r="C8" s="1048" t="s">
        <v>1548</v>
      </c>
      <c r="D8" s="1049"/>
      <c r="E8" s="1049"/>
      <c r="F8" s="1049"/>
      <c r="G8" s="1049"/>
      <c r="H8" s="1048" t="s">
        <v>1548</v>
      </c>
      <c r="I8" s="1049"/>
      <c r="J8" s="1048" t="s">
        <v>1548</v>
      </c>
      <c r="K8" s="1049"/>
      <c r="L8" s="1048" t="s">
        <v>1548</v>
      </c>
      <c r="M8" s="1049"/>
      <c r="N8" s="1049"/>
      <c r="O8" s="1049"/>
      <c r="P8" s="1049"/>
      <c r="Q8" s="1081"/>
      <c r="R8" s="1048" t="s">
        <v>1548</v>
      </c>
      <c r="S8" s="1049"/>
      <c r="T8" s="1048" t="s">
        <v>1548</v>
      </c>
      <c r="U8" s="1049"/>
      <c r="V8" s="1048" t="s">
        <v>1548</v>
      </c>
      <c r="W8" s="1049"/>
      <c r="X8" s="1049"/>
      <c r="Y8" s="1049"/>
      <c r="Z8" s="1049"/>
      <c r="AA8" s="1049"/>
      <c r="AB8" s="1049"/>
    </row>
    <row r="9" spans="1:69">
      <c r="C9" s="1082"/>
      <c r="D9" s="1049"/>
      <c r="E9" s="1049"/>
      <c r="F9" s="1049"/>
      <c r="G9" s="1049"/>
      <c r="H9" s="1049"/>
      <c r="I9" s="1049"/>
      <c r="J9" s="1049"/>
      <c r="K9" s="1049"/>
      <c r="L9" s="1049"/>
      <c r="M9" s="1049"/>
      <c r="N9" s="1049"/>
      <c r="O9" s="1049"/>
      <c r="P9" s="1049"/>
      <c r="Q9" s="1081"/>
      <c r="R9" s="1082"/>
      <c r="S9" s="1049"/>
      <c r="T9" s="1082"/>
      <c r="U9" s="1049"/>
      <c r="V9" s="1082"/>
      <c r="W9" s="1049"/>
      <c r="X9" s="1049"/>
      <c r="Y9" s="1049"/>
      <c r="Z9" s="1049"/>
      <c r="AA9" s="1049"/>
      <c r="AB9" s="1049"/>
    </row>
    <row r="10" spans="1:69" s="1058" customFormat="1" outlineLevel="1">
      <c r="B10" s="1083" t="s">
        <v>1572</v>
      </c>
      <c r="C10" s="1049"/>
      <c r="D10" s="1049"/>
      <c r="E10" s="1049"/>
      <c r="F10" s="1049"/>
      <c r="G10" s="1049"/>
      <c r="H10" s="1049"/>
      <c r="I10" s="1049"/>
      <c r="J10" s="1049"/>
      <c r="K10" s="1049"/>
      <c r="L10" s="1049"/>
      <c r="M10" s="1049"/>
      <c r="N10" s="1049"/>
      <c r="O10" s="1049"/>
      <c r="P10" s="1049"/>
      <c r="Q10" s="1081"/>
      <c r="R10" s="1049"/>
      <c r="S10" s="1049"/>
      <c r="T10" s="1049"/>
      <c r="U10" s="1049"/>
      <c r="V10" s="1049"/>
      <c r="W10" s="1049"/>
      <c r="X10" s="1049"/>
      <c r="Y10" s="1049"/>
      <c r="Z10" s="1049"/>
      <c r="AA10" s="1049"/>
      <c r="AB10" s="1049"/>
      <c r="AG10" s="1058" t="str">
        <f>B10</f>
        <v>Operating Expenses:</v>
      </c>
    </row>
    <row r="11" spans="1:69" outlineLevel="1">
      <c r="A11" s="1030" t="s">
        <v>1601</v>
      </c>
      <c r="B11" s="1084" t="s">
        <v>1573</v>
      </c>
      <c r="C11" s="1085">
        <f>R11+V11+T11</f>
        <v>3474.9405300000003</v>
      </c>
      <c r="D11" s="1086"/>
      <c r="E11" s="1086"/>
      <c r="F11" s="1087">
        <f>C11/$C$22</f>
        <v>0.32017058453662245</v>
      </c>
      <c r="G11" s="1086"/>
      <c r="H11" s="1238">
        <f ca="1">SUM(BA11:BL11)/1000</f>
        <v>5391.5401700000002</v>
      </c>
      <c r="I11" s="1086"/>
      <c r="J11" s="1238">
        <f ca="1">SUM(AO11:AZ11)/1000</f>
        <v>3611.9570999999996</v>
      </c>
      <c r="K11" s="1086"/>
      <c r="L11" s="1238">
        <f ca="1">SUM(AI11:AN11)/1000</f>
        <v>360.66919999999999</v>
      </c>
      <c r="M11" s="1086"/>
      <c r="N11" s="1086"/>
      <c r="O11" s="1086"/>
      <c r="P11" s="1086"/>
      <c r="Q11" s="1088"/>
      <c r="R11" s="1056"/>
      <c r="S11" s="1056"/>
      <c r="T11" s="1056"/>
      <c r="U11" s="1086"/>
      <c r="V11" s="1085">
        <f>SUMIF('QB PL det'!$A$10:$A$101,BOD.IS!B11,'QB PL det'!$C$10:$C$101)/1000</f>
        <v>3474.9405300000003</v>
      </c>
      <c r="W11" s="1086"/>
      <c r="X11" s="1086"/>
      <c r="Y11" s="1085">
        <f>SUMIF('QB PL det'!$A$10:$A$101,BOD.IS!$B11,'QB PL det'!$D$10:$D$101)/1000</f>
        <v>2273.1972599999999</v>
      </c>
      <c r="Z11" s="1085">
        <f>SUMIF('QB PL det'!$A$10:$A$101,BOD.IS!$B11,'QB PL det'!$E$10:$E$101)/1000</f>
        <v>1201.7432699999997</v>
      </c>
      <c r="AA11" s="1085">
        <f>SUMIF('QB PL det'!$A$10:$A$101,BOD.IS!$B11,'QB PL det'!$F$10:$F$101)/1000</f>
        <v>0</v>
      </c>
      <c r="AB11" s="1085">
        <f>SUMIF('QB PL det'!$A$10:$A$101,BOD.IS!$B11,'QB PL det'!$G$10:$G$101)/1000</f>
        <v>0</v>
      </c>
      <c r="AD11" s="1085"/>
      <c r="AG11" s="1084" t="s">
        <v>1573</v>
      </c>
      <c r="AI11" s="1053">
        <f ca="1">SUMIF('QB PL det'!$A$10:$A$102,BOD.IS!$AG11,'QB PL det'!J$10:J$98)</f>
        <v>0</v>
      </c>
      <c r="AJ11" s="1053">
        <f ca="1">SUMIF('QB PL det'!$A$10:$A$102,BOD.IS!$AG11,'QB PL det'!K$10:K$98)</f>
        <v>19697.46</v>
      </c>
      <c r="AK11" s="1053">
        <f ca="1">SUMIF('QB PL det'!$A$10:$A$102,BOD.IS!$AG11,'QB PL det'!L$10:L$98)</f>
        <v>77330.7</v>
      </c>
      <c r="AL11" s="1053">
        <f ca="1">SUMIF('QB PL det'!$A$10:$A$102,BOD.IS!$AG11,'QB PL det'!M$10:M$98)</f>
        <v>88165.81</v>
      </c>
      <c r="AM11" s="1053">
        <f ca="1">SUMIF('QB PL det'!$A$10:$A$102,BOD.IS!$AG11,'QB PL det'!N$10:N$98)</f>
        <v>73042.48</v>
      </c>
      <c r="AN11" s="1053">
        <f ca="1">SUMIF('QB PL det'!$A$10:$A$102,BOD.IS!$AG11,'QB PL det'!O$10:O$98)</f>
        <v>102432.75</v>
      </c>
      <c r="AO11" s="1053">
        <f ca="1">SUMIF('QB PL det'!$A$10:$A$102,BOD.IS!$AG11,'QB PL det'!P$10:P$98)</f>
        <v>88612.780000000013</v>
      </c>
      <c r="AP11" s="1053">
        <f ca="1">SUMIF('QB PL det'!$A$10:$A$102,BOD.IS!$AG11,'QB PL det'!Q$10:Q$98)</f>
        <v>368181.67</v>
      </c>
      <c r="AQ11" s="1053">
        <f ca="1">SUMIF('QB PL det'!$A$10:$A$102,BOD.IS!$AG11,'QB PL det'!R$10:R$98)</f>
        <v>195011.62999999998</v>
      </c>
      <c r="AR11" s="1053">
        <f ca="1">SUMIF('QB PL det'!$A$10:$A$102,BOD.IS!$AG11,'QB PL det'!S$10:S$98)</f>
        <v>328820.39999999997</v>
      </c>
      <c r="AS11" s="1053">
        <f ca="1">SUMIF('QB PL det'!$A$10:$A$102,BOD.IS!$AG11,'QB PL det'!T$10:T$98)</f>
        <v>249587.03</v>
      </c>
      <c r="AT11" s="1053">
        <f ca="1">SUMIF('QB PL det'!$A$10:$A$102,BOD.IS!$AG11,'QB PL det'!U$10:U$98)</f>
        <v>293395.20000000001</v>
      </c>
      <c r="AU11" s="1053">
        <f ca="1">SUMIF('QB PL det'!$A$10:$A$102,BOD.IS!$AG11,'QB PL det'!V$10:V$98)</f>
        <v>304465.21000000002</v>
      </c>
      <c r="AV11" s="1053">
        <f ca="1">SUMIF('QB PL det'!$A$10:$A$102,BOD.IS!$AG11,'QB PL det'!W$10:W$98)</f>
        <v>305379.46000000002</v>
      </c>
      <c r="AW11" s="1053">
        <f ca="1">SUMIF('QB PL det'!$A$10:$A$102,BOD.IS!$AG11,'QB PL det'!X$10:X$98)</f>
        <v>374084.22</v>
      </c>
      <c r="AX11" s="1053">
        <f ca="1">SUMIF('QB PL det'!$A$10:$A$102,BOD.IS!$AG11,'QB PL det'!Y$10:Y$98)</f>
        <v>385585.77999999997</v>
      </c>
      <c r="AY11" s="1053">
        <f ca="1">SUMIF('QB PL det'!$A$10:$A$102,BOD.IS!$AG11,'QB PL det'!Z$10:Z$98)</f>
        <v>361136.81</v>
      </c>
      <c r="AZ11" s="1053">
        <f ca="1">SUMIF('QB PL det'!$A$10:$A$102,BOD.IS!$AG11,'QB PL det'!AA$10:AA$98)</f>
        <v>357696.91000000003</v>
      </c>
      <c r="BA11" s="1053">
        <f ca="1">SUMIF('QB PL det'!$A$10:$A$102,BOD.IS!$AG11,'QB PL det'!AB$10:AB$98)</f>
        <v>367554.92999999993</v>
      </c>
      <c r="BB11" s="1053">
        <f ca="1">SUMIF('QB PL det'!$A$10:$A$102,BOD.IS!$AG11,'QB PL det'!AC$10:AC$98)</f>
        <v>388428.83</v>
      </c>
      <c r="BC11" s="1053">
        <f ca="1">SUMIF('QB PL det'!$A$10:$A$102,BOD.IS!$AG11,'QB PL det'!AD$10:AD$98)</f>
        <v>680884.56</v>
      </c>
      <c r="BD11" s="1053">
        <f ca="1">SUMIF('QB PL det'!$A$10:$A$102,BOD.IS!$AG11,'QB PL det'!AE$10:AE$98)</f>
        <v>355309.30000000005</v>
      </c>
      <c r="BE11" s="1053">
        <f ca="1">SUMIF('QB PL det'!$A$10:$A$102,BOD.IS!$AG11,'QB PL det'!AF$10:AF$98)</f>
        <v>343142.12999999995</v>
      </c>
      <c r="BF11" s="1053">
        <f ca="1">SUMIF('QB PL det'!$A$10:$A$102,BOD.IS!$AG11,'QB PL det'!AG$10:AG$98)</f>
        <v>368045.31000000006</v>
      </c>
      <c r="BG11" s="1053">
        <f ca="1">SUMIF('QB PL det'!$A$10:$A$102,BOD.IS!$AG11,'QB PL det'!AH$10:AH$98)</f>
        <v>383991.33</v>
      </c>
      <c r="BH11" s="1053">
        <f ca="1">SUMIF('QB PL det'!$A$10:$A$102,BOD.IS!$AG11,'QB PL det'!AI$10:AI$98)</f>
        <v>414930.82999999996</v>
      </c>
      <c r="BI11" s="1053">
        <f ca="1">SUMIF('QB PL det'!$A$10:$A$102,BOD.IS!$AG11,'QB PL det'!AJ$10:AJ$98)</f>
        <v>537764.24</v>
      </c>
      <c r="BJ11" s="1053">
        <f ca="1">SUMIF('QB PL det'!$A$10:$A$102,BOD.IS!$AG11,'QB PL det'!AK$10:AK$98)</f>
        <v>431795.42</v>
      </c>
      <c r="BK11" s="1053">
        <f ca="1">SUMIF('QB PL det'!$A$10:$A$102,BOD.IS!$AG11,'QB PL det'!AL$10:AL$98)</f>
        <v>436251.86000000004</v>
      </c>
      <c r="BL11" s="1053">
        <f ca="1">SUMIF('QB PL det'!$A$10:$A$102,BOD.IS!$AG11,'QB PL det'!AM$10:AM$98)</f>
        <v>683441.43</v>
      </c>
      <c r="BM11" s="1053">
        <f ca="1">SUMIF('QB PL det'!$A$10:$A$102,BOD.IS!$AG11,'QB PL det'!AN$10:AN$98)</f>
        <v>527631.46000000008</v>
      </c>
      <c r="BN11" s="1053">
        <f ca="1">SUMIF('QB PL det'!$A$10:$A$102,BOD.IS!$AG11,'QB PL det'!AO$10:AO$98)</f>
        <v>1115960.47</v>
      </c>
      <c r="BO11" s="1053">
        <f ca="1">SUMIF('QB PL det'!$A$10:$A$102,BOD.IS!$AG11,'QB PL det'!AP$10:AP$98)</f>
        <v>629605.32999999996</v>
      </c>
      <c r="BP11" s="1053">
        <f ca="1">SUMIF('QB PL det'!$A$10:$A$102,BOD.IS!$AG11,'QB PL det'!AQ$10:AQ$98)</f>
        <v>534579.47000000009</v>
      </c>
      <c r="BQ11" s="1053">
        <f ca="1">SUMIF('QB PL det'!$A$10:$A$102,BOD.IS!$AG11,'QB PL det'!AR$10:AR$98)</f>
        <v>667163.80000000005</v>
      </c>
    </row>
    <row r="12" spans="1:69" outlineLevel="1">
      <c r="A12" s="1030" t="s">
        <v>1601</v>
      </c>
      <c r="B12" s="1084" t="s">
        <v>1574</v>
      </c>
      <c r="C12" s="1056">
        <f t="shared" ref="C12:C20" si="0">R12+V12+T12</f>
        <v>142.69657000000001</v>
      </c>
      <c r="D12" s="1089"/>
      <c r="E12" s="1089"/>
      <c r="F12" s="1087">
        <f>C12/$C$22</f>
        <v>1.3147633415260509E-2</v>
      </c>
      <c r="G12" s="1089"/>
      <c r="H12" s="1238">
        <f ca="1">SUM(BA12:BL12)/1000</f>
        <v>225.93491999999995</v>
      </c>
      <c r="I12" s="1089"/>
      <c r="J12" s="1238">
        <f ca="1">SUM(AO12:AZ12)/1000</f>
        <v>155.23335999999998</v>
      </c>
      <c r="K12" s="1089"/>
      <c r="L12" s="1238">
        <f ca="1">SUM(AI12:AN12)/1000</f>
        <v>22.585089999999997</v>
      </c>
      <c r="M12" s="1089"/>
      <c r="N12" s="1089"/>
      <c r="O12" s="1089"/>
      <c r="P12" s="1089"/>
      <c r="Q12" s="1090"/>
      <c r="R12" s="1056"/>
      <c r="S12" s="1056"/>
      <c r="T12" s="1056"/>
      <c r="U12" s="1089"/>
      <c r="V12" s="1056">
        <f>SUMIF('QB PL det'!$A$10:$A$101,BOD.IS!B12,'QB PL det'!$C$10:$C$101)/1000</f>
        <v>142.69657000000001</v>
      </c>
      <c r="W12" s="1089"/>
      <c r="X12" s="1089"/>
      <c r="Y12" s="1085">
        <f>SUMIF('QB PL det'!$A$10:$A$101,BOD.IS!$B12,'QB PL det'!$D$10:$D$101)/1000</f>
        <v>68.419640000000001</v>
      </c>
      <c r="Z12" s="1085">
        <f>SUMIF('QB PL det'!$A$10:$A$101,BOD.IS!$B12,'QB PL det'!$E$10:$E$101)/1000</f>
        <v>74.276929999999993</v>
      </c>
      <c r="AA12" s="1085">
        <f>SUMIF('QB PL det'!$A$10:$A$101,BOD.IS!$B12,'QB PL det'!$F$10:$F$101)/1000</f>
        <v>0</v>
      </c>
      <c r="AB12" s="1085">
        <f>SUMIF('QB PL det'!$A$10:$A$101,BOD.IS!$B12,'QB PL det'!$G$10:$G$101)/1000</f>
        <v>0</v>
      </c>
      <c r="AD12" s="1056"/>
      <c r="AG12" s="1084" t="s">
        <v>1574</v>
      </c>
      <c r="AI12" s="1053">
        <f ca="1">SUMIF('QB PL det'!$A$10:$A$102,BOD.IS!$AG12,'QB PL det'!J$10:J$98)</f>
        <v>0</v>
      </c>
      <c r="AJ12" s="1053">
        <f ca="1">SUMIF('QB PL det'!$A$10:$A$102,BOD.IS!$AG12,'QB PL det'!K$10:K$98)</f>
        <v>0</v>
      </c>
      <c r="AK12" s="1053">
        <f ca="1">SUMIF('QB PL det'!$A$10:$A$102,BOD.IS!$AG12,'QB PL det'!L$10:L$98)</f>
        <v>0</v>
      </c>
      <c r="AL12" s="1053">
        <f ca="1">SUMIF('QB PL det'!$A$10:$A$102,BOD.IS!$AG12,'QB PL det'!M$10:M$98)</f>
        <v>0</v>
      </c>
      <c r="AM12" s="1053">
        <f ca="1">SUMIF('QB PL det'!$A$10:$A$102,BOD.IS!$AG12,'QB PL det'!N$10:N$98)</f>
        <v>4714.3999999999996</v>
      </c>
      <c r="AN12" s="1053">
        <f ca="1">SUMIF('QB PL det'!$A$10:$A$102,BOD.IS!$AG12,'QB PL det'!O$10:O$98)</f>
        <v>17870.689999999999</v>
      </c>
      <c r="AO12" s="1053">
        <f ca="1">SUMIF('QB PL det'!$A$10:$A$102,BOD.IS!$AG12,'QB PL det'!P$10:P$98)</f>
        <v>23656.860000000004</v>
      </c>
      <c r="AP12" s="1053">
        <f ca="1">SUMIF('QB PL det'!$A$10:$A$102,BOD.IS!$AG12,'QB PL det'!Q$10:Q$98)</f>
        <v>5791.02</v>
      </c>
      <c r="AQ12" s="1053">
        <f ca="1">SUMIF('QB PL det'!$A$10:$A$102,BOD.IS!$AG12,'QB PL det'!R$10:R$98)</f>
        <v>17192.93</v>
      </c>
      <c r="AR12" s="1053">
        <f ca="1">SUMIF('QB PL det'!$A$10:$A$102,BOD.IS!$AG12,'QB PL det'!S$10:S$98)</f>
        <v>16070.73</v>
      </c>
      <c r="AS12" s="1053">
        <f ca="1">SUMIF('QB PL det'!$A$10:$A$102,BOD.IS!$AG12,'QB PL det'!T$10:T$98)</f>
        <v>9929.7900000000009</v>
      </c>
      <c r="AT12" s="1053">
        <f ca="1">SUMIF('QB PL det'!$A$10:$A$102,BOD.IS!$AG12,'QB PL det'!U$10:U$98)</f>
        <v>6898.09</v>
      </c>
      <c r="AU12" s="1053">
        <f ca="1">SUMIF('QB PL det'!$A$10:$A$102,BOD.IS!$AG12,'QB PL det'!V$10:V$98)</f>
        <v>17459.419999999998</v>
      </c>
      <c r="AV12" s="1053">
        <f ca="1">SUMIF('QB PL det'!$A$10:$A$102,BOD.IS!$AG12,'QB PL det'!W$10:W$98)</f>
        <v>6430.77</v>
      </c>
      <c r="AW12" s="1053">
        <f ca="1">SUMIF('QB PL det'!$A$10:$A$102,BOD.IS!$AG12,'QB PL det'!X$10:X$98)</f>
        <v>12298.44</v>
      </c>
      <c r="AX12" s="1053">
        <f ca="1">SUMIF('QB PL det'!$A$10:$A$102,BOD.IS!$AG12,'QB PL det'!Y$10:Y$98)</f>
        <v>9033.869999999999</v>
      </c>
      <c r="AY12" s="1053">
        <f ca="1">SUMIF('QB PL det'!$A$10:$A$102,BOD.IS!$AG12,'QB PL det'!Z$10:Z$98)</f>
        <v>13316.08</v>
      </c>
      <c r="AZ12" s="1053">
        <f ca="1">SUMIF('QB PL det'!$A$10:$A$102,BOD.IS!$AG12,'QB PL det'!AA$10:AA$98)</f>
        <v>17155.36</v>
      </c>
      <c r="BA12" s="1053">
        <f ca="1">SUMIF('QB PL det'!$A$10:$A$102,BOD.IS!$AG12,'QB PL det'!AB$10:AB$98)</f>
        <v>14029.89</v>
      </c>
      <c r="BB12" s="1053">
        <f ca="1">SUMIF('QB PL det'!$A$10:$A$102,BOD.IS!$AG12,'QB PL det'!AC$10:AC$98)</f>
        <v>15317.119999999999</v>
      </c>
      <c r="BC12" s="1053">
        <f ca="1">SUMIF('QB PL det'!$A$10:$A$102,BOD.IS!$AG12,'QB PL det'!AD$10:AD$98)</f>
        <v>26563.410000000003</v>
      </c>
      <c r="BD12" s="1053">
        <f ca="1">SUMIF('QB PL det'!$A$10:$A$102,BOD.IS!$AG12,'QB PL det'!AE$10:AE$98)</f>
        <v>15694.989999999998</v>
      </c>
      <c r="BE12" s="1053">
        <f ca="1">SUMIF('QB PL det'!$A$10:$A$102,BOD.IS!$AG12,'QB PL det'!AF$10:AF$98)</f>
        <v>20790.68</v>
      </c>
      <c r="BF12" s="1053">
        <f ca="1">SUMIF('QB PL det'!$A$10:$A$102,BOD.IS!$AG12,'QB PL det'!AG$10:AG$98)</f>
        <v>24933.09</v>
      </c>
      <c r="BG12" s="1053">
        <f ca="1">SUMIF('QB PL det'!$A$10:$A$102,BOD.IS!$AG12,'QB PL det'!AH$10:AH$98)</f>
        <v>14618.210000000001</v>
      </c>
      <c r="BH12" s="1053">
        <f ca="1">SUMIF('QB PL det'!$A$10:$A$102,BOD.IS!$AG12,'QB PL det'!AI$10:AI$98)</f>
        <v>15505.77</v>
      </c>
      <c r="BI12" s="1053">
        <f ca="1">SUMIF('QB PL det'!$A$10:$A$102,BOD.IS!$AG12,'QB PL det'!AJ$10:AJ$98)</f>
        <v>11676.3</v>
      </c>
      <c r="BJ12" s="1053">
        <f ca="1">SUMIF('QB PL det'!$A$10:$A$102,BOD.IS!$AG12,'QB PL det'!AK$10:AK$98)</f>
        <v>29925.61</v>
      </c>
      <c r="BK12" s="1053">
        <f ca="1">SUMIF('QB PL det'!$A$10:$A$102,BOD.IS!$AG12,'QB PL det'!AL$10:AL$98)</f>
        <v>22405.85</v>
      </c>
      <c r="BL12" s="1053">
        <f ca="1">SUMIF('QB PL det'!$A$10:$A$102,BOD.IS!$AG12,'QB PL det'!AM$10:AM$98)</f>
        <v>14474</v>
      </c>
      <c r="BM12" s="1053">
        <f ca="1">SUMIF('QB PL det'!$A$10:$A$102,BOD.IS!$AG12,'QB PL det'!AN$10:AN$98)</f>
        <v>15690.89</v>
      </c>
      <c r="BN12" s="1053">
        <f ca="1">SUMIF('QB PL det'!$A$10:$A$102,BOD.IS!$AG12,'QB PL det'!AO$10:AO$98)</f>
        <v>32553.57</v>
      </c>
      <c r="BO12" s="1053">
        <f ca="1">SUMIF('QB PL det'!$A$10:$A$102,BOD.IS!$AG12,'QB PL det'!AP$10:AP$98)</f>
        <v>20175.18</v>
      </c>
      <c r="BP12" s="1053">
        <f ca="1">SUMIF('QB PL det'!$A$10:$A$102,BOD.IS!$AG12,'QB PL det'!AQ$10:AQ$98)</f>
        <v>34188.410000000003</v>
      </c>
      <c r="BQ12" s="1053">
        <f ca="1">SUMIF('QB PL det'!$A$10:$A$102,BOD.IS!$AG12,'QB PL det'!AR$10:AR$98)</f>
        <v>40088.51999999999</v>
      </c>
    </row>
    <row r="13" spans="1:69" outlineLevel="1">
      <c r="B13" s="1084"/>
      <c r="C13" s="1056"/>
      <c r="D13" s="1089"/>
      <c r="E13" s="1089"/>
      <c r="F13" s="1089"/>
      <c r="G13" s="1089"/>
      <c r="H13" s="1089"/>
      <c r="I13" s="1089"/>
      <c r="J13" s="1089"/>
      <c r="K13" s="1089"/>
      <c r="L13" s="1089"/>
      <c r="M13" s="1089"/>
      <c r="N13" s="1089"/>
      <c r="O13" s="1089"/>
      <c r="P13" s="1089"/>
      <c r="Q13" s="1090"/>
      <c r="R13" s="1056"/>
      <c r="S13" s="1056"/>
      <c r="T13" s="1056"/>
      <c r="U13" s="1089"/>
      <c r="V13" s="1056"/>
      <c r="W13" s="1089"/>
      <c r="X13" s="1089"/>
      <c r="Y13" s="1085"/>
      <c r="Z13" s="1085"/>
      <c r="AA13" s="1085"/>
      <c r="AB13" s="1085"/>
      <c r="AD13" s="1056"/>
    </row>
    <row r="14" spans="1:69" outlineLevel="1">
      <c r="A14" s="1030" t="s">
        <v>1600</v>
      </c>
      <c r="B14" s="1084" t="s">
        <v>1575</v>
      </c>
      <c r="C14" s="1056">
        <f t="shared" si="0"/>
        <v>3861.8775399999995</v>
      </c>
      <c r="D14" s="1086"/>
      <c r="E14" s="1086"/>
      <c r="F14" s="1087">
        <f>C14/$C$22</f>
        <v>0.35582179859367358</v>
      </c>
      <c r="G14" s="1086"/>
      <c r="H14" s="1238">
        <f t="shared" ref="H14:H15" ca="1" si="1">SUM(BA14:BL14)/1000</f>
        <v>5649.2187200000008</v>
      </c>
      <c r="I14" s="1086"/>
      <c r="J14" s="1238">
        <f ca="1">SUM(AO14:AZ14)/1000</f>
        <v>3333.9123300000001</v>
      </c>
      <c r="K14" s="1086"/>
      <c r="L14" s="1238">
        <f ca="1">SUM(AI14:AN14)/1000</f>
        <v>1317.0521899999999</v>
      </c>
      <c r="M14" s="1086"/>
      <c r="N14" s="1086"/>
      <c r="O14" s="1086"/>
      <c r="P14" s="1086"/>
      <c r="Q14" s="1088"/>
      <c r="R14" s="1056"/>
      <c r="S14" s="1056"/>
      <c r="T14" s="1056"/>
      <c r="U14" s="1086"/>
      <c r="V14" s="1056">
        <f>SUMIF('QB PL det'!$A$10:$A$101,BOD.IS!B14,'QB PL det'!$C$10:$C$101)/1000</f>
        <v>3861.8775399999995</v>
      </c>
      <c r="W14" s="1086"/>
      <c r="X14" s="1086"/>
      <c r="Y14" s="1085">
        <f>SUMIF('QB PL det'!$A$10:$A$101,BOD.IS!$B14,'QB PL det'!$D$10:$D$101)/1000</f>
        <v>2057.1139800000001</v>
      </c>
      <c r="Z14" s="1085">
        <f>SUMIF('QB PL det'!$A$10:$A$101,BOD.IS!$B14,'QB PL det'!$E$10:$E$101)/1000</f>
        <v>1804.7635599999999</v>
      </c>
      <c r="AA14" s="1085">
        <f>SUMIF('QB PL det'!$A$10:$A$101,BOD.IS!$B14,'QB PL det'!$F$10:$F$101)/1000</f>
        <v>0</v>
      </c>
      <c r="AB14" s="1085">
        <f>SUMIF('QB PL det'!$A$10:$A$101,BOD.IS!$B14,'QB PL det'!$G$10:$G$101)/1000</f>
        <v>0</v>
      </c>
      <c r="AD14" s="1091"/>
      <c r="AG14" s="1030" t="str">
        <f>B14</f>
        <v>R&amp;D Outside Services</v>
      </c>
      <c r="AI14" s="1053">
        <f ca="1">SUMIF('QB PL det'!$A$10:$A$102,BOD.IS!$AG14,'QB PL det'!J$10:J$98)</f>
        <v>151142.74</v>
      </c>
      <c r="AJ14" s="1053">
        <f ca="1">SUMIF('QB PL det'!$A$10:$A$102,BOD.IS!$AG14,'QB PL det'!K$10:K$98)</f>
        <v>295024.45999999996</v>
      </c>
      <c r="AK14" s="1053">
        <f ca="1">SUMIF('QB PL det'!$A$10:$A$102,BOD.IS!$AG14,'QB PL det'!L$10:L$98)</f>
        <v>275779.01</v>
      </c>
      <c r="AL14" s="1053">
        <f ca="1">SUMIF('QB PL det'!$A$10:$A$102,BOD.IS!$AG14,'QB PL det'!M$10:M$98)</f>
        <v>156886.14000000001</v>
      </c>
      <c r="AM14" s="1053">
        <f ca="1">SUMIF('QB PL det'!$A$10:$A$102,BOD.IS!$AG14,'QB PL det'!N$10:N$98)</f>
        <v>214022.56000000003</v>
      </c>
      <c r="AN14" s="1053">
        <f ca="1">SUMIF('QB PL det'!$A$10:$A$102,BOD.IS!$AG14,'QB PL det'!O$10:O$98)</f>
        <v>224197.28000000003</v>
      </c>
      <c r="AO14" s="1053">
        <f ca="1">SUMIF('QB PL det'!$A$10:$A$102,BOD.IS!$AG14,'QB PL det'!P$10:P$98)</f>
        <v>149147.20000000001</v>
      </c>
      <c r="AP14" s="1053">
        <f ca="1">SUMIF('QB PL det'!$A$10:$A$102,BOD.IS!$AG14,'QB PL det'!Q$10:Q$98)</f>
        <v>140395.82999999999</v>
      </c>
      <c r="AQ14" s="1053">
        <f ca="1">SUMIF('QB PL det'!$A$10:$A$102,BOD.IS!$AG14,'QB PL det'!R$10:R$98)</f>
        <v>272753.28999999998</v>
      </c>
      <c r="AR14" s="1053">
        <f ca="1">SUMIF('QB PL det'!$A$10:$A$102,BOD.IS!$AG14,'QB PL det'!S$10:S$98)</f>
        <v>169714.38</v>
      </c>
      <c r="AS14" s="1053">
        <f ca="1">SUMIF('QB PL det'!$A$10:$A$102,BOD.IS!$AG14,'QB PL det'!T$10:T$98)</f>
        <v>150287.54999999999</v>
      </c>
      <c r="AT14" s="1053">
        <f ca="1">SUMIF('QB PL det'!$A$10:$A$102,BOD.IS!$AG14,'QB PL det'!U$10:U$98)</f>
        <v>366291.35</v>
      </c>
      <c r="AU14" s="1053">
        <f ca="1">SUMIF('QB PL det'!$A$10:$A$102,BOD.IS!$AG14,'QB PL det'!V$10:V$98)</f>
        <v>929294.21</v>
      </c>
      <c r="AV14" s="1053">
        <f ca="1">SUMIF('QB PL det'!$A$10:$A$102,BOD.IS!$AG14,'QB PL det'!W$10:W$98)</f>
        <v>244378.49</v>
      </c>
      <c r="AW14" s="1053">
        <f ca="1">SUMIF('QB PL det'!$A$10:$A$102,BOD.IS!$AG14,'QB PL det'!X$10:X$98)</f>
        <v>180359.24000000002</v>
      </c>
      <c r="AX14" s="1053">
        <f ca="1">SUMIF('QB PL det'!$A$10:$A$102,BOD.IS!$AG14,'QB PL det'!Y$10:Y$98)</f>
        <v>273514.02</v>
      </c>
      <c r="AY14" s="1053">
        <f ca="1">SUMIF('QB PL det'!$A$10:$A$102,BOD.IS!$AG14,'QB PL det'!Z$10:Z$98)</f>
        <v>187723.44</v>
      </c>
      <c r="AZ14" s="1053">
        <f ca="1">SUMIF('QB PL det'!$A$10:$A$102,BOD.IS!$AG14,'QB PL det'!AA$10:AA$98)</f>
        <v>270053.33</v>
      </c>
      <c r="BA14" s="1053">
        <f ca="1">SUMIF('QB PL det'!$A$10:$A$102,BOD.IS!$AG14,'QB PL det'!AB$10:AB$98)</f>
        <v>130458.1</v>
      </c>
      <c r="BB14" s="1053">
        <f ca="1">SUMIF('QB PL det'!$A$10:$A$102,BOD.IS!$AG14,'QB PL det'!AC$10:AC$98)</f>
        <v>280772.04000000004</v>
      </c>
      <c r="BC14" s="1053">
        <f ca="1">SUMIF('QB PL det'!$A$10:$A$102,BOD.IS!$AG14,'QB PL det'!AD$10:AD$98)</f>
        <v>509201.26</v>
      </c>
      <c r="BD14" s="1053">
        <f ca="1">SUMIF('QB PL det'!$A$10:$A$102,BOD.IS!$AG14,'QB PL det'!AE$10:AE$98)</f>
        <v>243016.38</v>
      </c>
      <c r="BE14" s="1053">
        <f ca="1">SUMIF('QB PL det'!$A$10:$A$102,BOD.IS!$AG14,'QB PL det'!AF$10:AF$98)</f>
        <v>423148.33999999997</v>
      </c>
      <c r="BF14" s="1053">
        <f ca="1">SUMIF('QB PL det'!$A$10:$A$102,BOD.IS!$AG14,'QB PL det'!AG$10:AG$98)</f>
        <v>635513.03</v>
      </c>
      <c r="BG14" s="1053">
        <f ca="1">SUMIF('QB PL det'!$A$10:$A$102,BOD.IS!$AG14,'QB PL det'!AH$10:AH$98)</f>
        <v>836500.25</v>
      </c>
      <c r="BH14" s="1053">
        <f ca="1">SUMIF('QB PL det'!$A$10:$A$102,BOD.IS!$AG14,'QB PL det'!AI$10:AI$98)</f>
        <v>753889.20000000007</v>
      </c>
      <c r="BI14" s="1053">
        <f ca="1">SUMIF('QB PL det'!$A$10:$A$102,BOD.IS!$AG14,'QB PL det'!AJ$10:AJ$98)</f>
        <v>593956.55999999994</v>
      </c>
      <c r="BJ14" s="1053">
        <f ca="1">SUMIF('QB PL det'!$A$10:$A$102,BOD.IS!$AG14,'QB PL det'!AK$10:AK$98)</f>
        <v>275945.48</v>
      </c>
      <c r="BK14" s="1053">
        <f ca="1">SUMIF('QB PL det'!$A$10:$A$102,BOD.IS!$AG14,'QB PL det'!AL$10:AL$98)</f>
        <v>513424.91</v>
      </c>
      <c r="BL14" s="1053">
        <f ca="1">SUMIF('QB PL det'!$A$10:$A$102,BOD.IS!$AG14,'QB PL det'!AM$10:AM$98)</f>
        <v>453393.17</v>
      </c>
      <c r="BM14" s="1053">
        <f ca="1">SUMIF('QB PL det'!$A$10:$A$102,BOD.IS!$AG14,'QB PL det'!AN$10:AN$98)</f>
        <v>575204.70000000007</v>
      </c>
      <c r="BN14" s="1053">
        <f ca="1">SUMIF('QB PL det'!$A$10:$A$102,BOD.IS!$AG14,'QB PL det'!AO$10:AO$98)</f>
        <v>645928.6399999999</v>
      </c>
      <c r="BO14" s="1053">
        <f ca="1">SUMIF('QB PL det'!$A$10:$A$102,BOD.IS!$AG14,'QB PL det'!AP$10:AP$98)</f>
        <v>835980.64</v>
      </c>
      <c r="BP14" s="1053">
        <f ca="1">SUMIF('QB PL det'!$A$10:$A$102,BOD.IS!$AG14,'QB PL det'!AQ$10:AQ$98)</f>
        <v>887736.06</v>
      </c>
      <c r="BQ14" s="1053">
        <f ca="1">SUMIF('QB PL det'!$A$10:$A$102,BOD.IS!$AG14,'QB PL det'!AR$10:AR$98)</f>
        <v>917027.50000000012</v>
      </c>
    </row>
    <row r="15" spans="1:69" outlineLevel="1">
      <c r="A15" s="1030" t="s">
        <v>1600</v>
      </c>
      <c r="B15" s="1084" t="s">
        <v>1576</v>
      </c>
      <c r="C15" s="1056">
        <f t="shared" si="0"/>
        <v>1762.6272200000003</v>
      </c>
      <c r="D15" s="1089"/>
      <c r="E15" s="1089"/>
      <c r="F15" s="1087">
        <f>C15/$C$22</f>
        <v>0.16240317855096123</v>
      </c>
      <c r="G15" s="1089"/>
      <c r="H15" s="1238">
        <f t="shared" ca="1" si="1"/>
        <v>3162.6046499999998</v>
      </c>
      <c r="I15" s="1089"/>
      <c r="J15" s="1238">
        <f ca="1">SUM(AO15:AZ15)/1000</f>
        <v>1402.7056699999998</v>
      </c>
      <c r="K15" s="1089"/>
      <c r="L15" s="1238">
        <f ca="1">SUM(AI15:AN15)/1000</f>
        <v>365.92968000000002</v>
      </c>
      <c r="M15" s="1089"/>
      <c r="N15" s="1089"/>
      <c r="O15" s="1089"/>
      <c r="P15" s="1089"/>
      <c r="Q15" s="1090"/>
      <c r="R15" s="1056"/>
      <c r="S15" s="1056"/>
      <c r="T15" s="1056"/>
      <c r="U15" s="1089"/>
      <c r="V15" s="1056">
        <f>SUMIF('QB PL det'!$A$10:$A$101,BOD.IS!B15,'QB PL det'!$C$10:$C$101)/1000</f>
        <v>1762.6272200000003</v>
      </c>
      <c r="W15" s="1089"/>
      <c r="X15" s="1089"/>
      <c r="Y15" s="1085">
        <f>SUMIF('QB PL det'!$A$10:$A$101,BOD.IS!$B15,'QB PL det'!$D$10:$D$101)/1000</f>
        <v>1192.7228400000001</v>
      </c>
      <c r="Z15" s="1085">
        <f>SUMIF('QB PL det'!$A$10:$A$101,BOD.IS!$B15,'QB PL det'!$E$10:$E$101)/1000</f>
        <v>569.90438000000006</v>
      </c>
      <c r="AA15" s="1085">
        <f>SUMIF('QB PL det'!$A$10:$A$101,BOD.IS!$B15,'QB PL det'!$F$10:$F$101)/1000</f>
        <v>0</v>
      </c>
      <c r="AB15" s="1085">
        <f>SUMIF('QB PL det'!$A$10:$A$101,BOD.IS!$B15,'QB PL det'!$G$10:$G$101)/1000</f>
        <v>0</v>
      </c>
      <c r="AD15" s="1056"/>
      <c r="AG15" s="1030" t="str">
        <f>B15</f>
        <v>R&amp;D Equipment &amp; Supplies</v>
      </c>
      <c r="AI15" s="1053">
        <f ca="1">SUMIF('QB PL det'!$A$10:$A$102,BOD.IS!$AG15,'QB PL det'!J$10:J$98)</f>
        <v>0</v>
      </c>
      <c r="AJ15" s="1053">
        <f ca="1">SUMIF('QB PL det'!$A$10:$A$102,BOD.IS!$AG15,'QB PL det'!K$10:K$98)</f>
        <v>41071.26</v>
      </c>
      <c r="AK15" s="1053">
        <f ca="1">SUMIF('QB PL det'!$A$10:$A$102,BOD.IS!$AG15,'QB PL det'!L$10:L$98)</f>
        <v>97655</v>
      </c>
      <c r="AL15" s="1053">
        <f ca="1">SUMIF('QB PL det'!$A$10:$A$102,BOD.IS!$AG15,'QB PL det'!M$10:M$98)</f>
        <v>55124.46</v>
      </c>
      <c r="AM15" s="1053">
        <f ca="1">SUMIF('QB PL det'!$A$10:$A$102,BOD.IS!$AG15,'QB PL det'!N$10:N$98)</f>
        <v>57230.22</v>
      </c>
      <c r="AN15" s="1053">
        <f ca="1">SUMIF('QB PL det'!$A$10:$A$102,BOD.IS!$AG15,'QB PL det'!O$10:O$98)</f>
        <v>114848.74</v>
      </c>
      <c r="AO15" s="1053">
        <f ca="1">SUMIF('QB PL det'!$A$10:$A$102,BOD.IS!$AG15,'QB PL det'!P$10:P$98)</f>
        <v>62665.31</v>
      </c>
      <c r="AP15" s="1053">
        <f ca="1">SUMIF('QB PL det'!$A$10:$A$102,BOD.IS!$AG15,'QB PL det'!Q$10:Q$98)</f>
        <v>138143.75999999998</v>
      </c>
      <c r="AQ15" s="1053">
        <f ca="1">SUMIF('QB PL det'!$A$10:$A$102,BOD.IS!$AG15,'QB PL det'!R$10:R$98)</f>
        <v>48151.18</v>
      </c>
      <c r="AR15" s="1053">
        <f ca="1">SUMIF('QB PL det'!$A$10:$A$102,BOD.IS!$AG15,'QB PL det'!S$10:S$98)</f>
        <v>56135.95</v>
      </c>
      <c r="AS15" s="1053">
        <f ca="1">SUMIF('QB PL det'!$A$10:$A$102,BOD.IS!$AG15,'QB PL det'!T$10:T$98)</f>
        <v>38617.990000000005</v>
      </c>
      <c r="AT15" s="1053">
        <f ca="1">SUMIF('QB PL det'!$A$10:$A$102,BOD.IS!$AG15,'QB PL det'!U$10:U$98)</f>
        <v>122671.39</v>
      </c>
      <c r="AU15" s="1053">
        <f ca="1">SUMIF('QB PL det'!$A$10:$A$102,BOD.IS!$AG15,'QB PL det'!V$10:V$98)</f>
        <v>100997.35</v>
      </c>
      <c r="AV15" s="1053">
        <f ca="1">SUMIF('QB PL det'!$A$10:$A$102,BOD.IS!$AG15,'QB PL det'!W$10:W$98)</f>
        <v>139569.44000000003</v>
      </c>
      <c r="AW15" s="1053">
        <f ca="1">SUMIF('QB PL det'!$A$10:$A$102,BOD.IS!$AG15,'QB PL det'!X$10:X$98)</f>
        <v>193342.25</v>
      </c>
      <c r="AX15" s="1053">
        <f ca="1">SUMIF('QB PL det'!$A$10:$A$102,BOD.IS!$AG15,'QB PL det'!Y$10:Y$98)</f>
        <v>239983.23</v>
      </c>
      <c r="AY15" s="1053">
        <f ca="1">SUMIF('QB PL det'!$A$10:$A$102,BOD.IS!$AG15,'QB PL det'!Z$10:Z$98)</f>
        <v>117396.95</v>
      </c>
      <c r="AZ15" s="1053">
        <f ca="1">SUMIF('QB PL det'!$A$10:$A$102,BOD.IS!$AG15,'QB PL det'!AA$10:AA$98)</f>
        <v>145030.87</v>
      </c>
      <c r="BA15" s="1053">
        <f ca="1">SUMIF('QB PL det'!$A$10:$A$102,BOD.IS!$AG15,'QB PL det'!AB$10:AB$98)</f>
        <v>203200.61</v>
      </c>
      <c r="BB15" s="1053">
        <f ca="1">SUMIF('QB PL det'!$A$10:$A$102,BOD.IS!$AG15,'QB PL det'!AC$10:AC$98)</f>
        <v>136069.57</v>
      </c>
      <c r="BC15" s="1053">
        <f ca="1">SUMIF('QB PL det'!$A$10:$A$102,BOD.IS!$AG15,'QB PL det'!AD$10:AD$98)</f>
        <v>185659.29</v>
      </c>
      <c r="BD15" s="1053">
        <f ca="1">SUMIF('QB PL det'!$A$10:$A$102,BOD.IS!$AG15,'QB PL det'!AE$10:AE$98)</f>
        <v>139448.46</v>
      </c>
      <c r="BE15" s="1053">
        <f ca="1">SUMIF('QB PL det'!$A$10:$A$102,BOD.IS!$AG15,'QB PL det'!AF$10:AF$98)</f>
        <v>177920.81</v>
      </c>
      <c r="BF15" s="1053">
        <f ca="1">SUMIF('QB PL det'!$A$10:$A$102,BOD.IS!$AG15,'QB PL det'!AG$10:AG$98)</f>
        <v>228045.52</v>
      </c>
      <c r="BG15" s="1053">
        <f ca="1">SUMIF('QB PL det'!$A$10:$A$102,BOD.IS!$AG15,'QB PL det'!AH$10:AH$98)</f>
        <v>273133.63</v>
      </c>
      <c r="BH15" s="1053">
        <f ca="1">SUMIF('QB PL det'!$A$10:$A$102,BOD.IS!$AG15,'QB PL det'!AI$10:AI$98)</f>
        <v>198224.47999999998</v>
      </c>
      <c r="BI15" s="1053">
        <f ca="1">SUMIF('QB PL det'!$A$10:$A$102,BOD.IS!$AG15,'QB PL det'!AJ$10:AJ$98)</f>
        <v>266485.52999999997</v>
      </c>
      <c r="BJ15" s="1053">
        <f ca="1">SUMIF('QB PL det'!$A$10:$A$102,BOD.IS!$AG15,'QB PL det'!AK$10:AK$98)</f>
        <v>360266.2</v>
      </c>
      <c r="BK15" s="1053">
        <f ca="1">SUMIF('QB PL det'!$A$10:$A$102,BOD.IS!$AG15,'QB PL det'!AL$10:AL$98)</f>
        <v>506756.13000000006</v>
      </c>
      <c r="BL15" s="1053">
        <f ca="1">SUMIF('QB PL det'!$A$10:$A$102,BOD.IS!$AG15,'QB PL det'!AM$10:AM$98)</f>
        <v>487394.42</v>
      </c>
      <c r="BM15" s="1053">
        <f ca="1">SUMIF('QB PL det'!$A$10:$A$102,BOD.IS!$AG15,'QB PL det'!AN$10:AN$98)</f>
        <v>454140.94</v>
      </c>
      <c r="BN15" s="1053">
        <f ca="1">SUMIF('QB PL det'!$A$10:$A$102,BOD.IS!$AG15,'QB PL det'!AO$10:AO$98)</f>
        <v>394295.82</v>
      </c>
      <c r="BO15" s="1053">
        <f ca="1">SUMIF('QB PL det'!$A$10:$A$102,BOD.IS!$AG15,'QB PL det'!AP$10:AP$98)</f>
        <v>344286.08</v>
      </c>
      <c r="BP15" s="1053">
        <f ca="1">SUMIF('QB PL det'!$A$10:$A$102,BOD.IS!$AG15,'QB PL det'!AQ$10:AQ$98)</f>
        <v>344044.5</v>
      </c>
      <c r="BQ15" s="1053">
        <f ca="1">SUMIF('QB PL det'!$A$10:$A$102,BOD.IS!$AG15,'QB PL det'!AR$10:AR$98)</f>
        <v>225859.88</v>
      </c>
    </row>
    <row r="16" spans="1:69" outlineLevel="1">
      <c r="B16" s="1084"/>
      <c r="C16" s="1056"/>
      <c r="D16" s="1089"/>
      <c r="E16" s="1089"/>
      <c r="F16" s="1089"/>
      <c r="G16" s="1089"/>
      <c r="H16" s="1089"/>
      <c r="I16" s="1089"/>
      <c r="J16" s="1089"/>
      <c r="K16" s="1089"/>
      <c r="L16" s="1089"/>
      <c r="M16" s="1089"/>
      <c r="N16" s="1089"/>
      <c r="O16" s="1089"/>
      <c r="P16" s="1089"/>
      <c r="Q16" s="1090"/>
      <c r="R16" s="1056"/>
      <c r="S16" s="1056"/>
      <c r="T16" s="1056"/>
      <c r="U16" s="1089"/>
      <c r="V16" s="1056"/>
      <c r="W16" s="1089"/>
      <c r="X16" s="1089"/>
      <c r="Y16" s="1085"/>
      <c r="Z16" s="1085"/>
      <c r="AA16" s="1085"/>
      <c r="AB16" s="1085"/>
      <c r="AD16" s="1056"/>
    </row>
    <row r="17" spans="1:84" outlineLevel="1">
      <c r="A17" s="1030" t="s">
        <v>1601</v>
      </c>
      <c r="B17" s="1092" t="s">
        <v>1577</v>
      </c>
      <c r="C17" s="1056">
        <f t="shared" si="0"/>
        <v>581.58654000000001</v>
      </c>
      <c r="D17" s="1061"/>
      <c r="E17" s="1061"/>
      <c r="F17" s="1087">
        <f t="shared" ref="F17:F18" si="2">C17/$C$22</f>
        <v>5.3585637182237397E-2</v>
      </c>
      <c r="G17" s="1061"/>
      <c r="H17" s="1238">
        <f t="shared" ref="H17:H18" ca="1" si="3">SUM(BA17:BL17)/1000</f>
        <v>862.98886000000016</v>
      </c>
      <c r="I17" s="1061"/>
      <c r="J17" s="1238">
        <f ca="1">SUM(AO17:AZ17)/1000</f>
        <v>696.08020999999997</v>
      </c>
      <c r="K17" s="1061"/>
      <c r="L17" s="1238">
        <f ca="1">SUM(AI17:AN17)/1000</f>
        <v>689.00025000000005</v>
      </c>
      <c r="M17" s="1061"/>
      <c r="N17" s="1061"/>
      <c r="O17" s="1061"/>
      <c r="P17" s="1061"/>
      <c r="Q17" s="1093"/>
      <c r="R17" s="1056"/>
      <c r="S17" s="1056"/>
      <c r="T17" s="1056"/>
      <c r="U17" s="1061"/>
      <c r="V17" s="1056">
        <f>SUMIF('QB PL det'!$A$10:$A$101,BOD.IS!B17,'QB PL det'!$C$10:$C$101)/1000</f>
        <v>581.58654000000001</v>
      </c>
      <c r="W17" s="1061"/>
      <c r="X17" s="1061"/>
      <c r="Y17" s="1085">
        <f>SUMIF('QB PL det'!$A$10:$A$101,BOD.IS!$B17,'QB PL det'!$D$10:$D$101)/1000</f>
        <v>320.68504000000001</v>
      </c>
      <c r="Z17" s="1085">
        <f>SUMIF('QB PL det'!$A$10:$A$101,BOD.IS!$B17,'QB PL det'!$E$10:$E$101)/1000</f>
        <v>260.9015</v>
      </c>
      <c r="AA17" s="1085">
        <f>SUMIF('QB PL det'!$A$10:$A$101,BOD.IS!$B17,'QB PL det'!$F$10:$F$101)/1000</f>
        <v>0</v>
      </c>
      <c r="AB17" s="1085">
        <f>SUMIF('QB PL det'!$A$10:$A$101,BOD.IS!$B17,'QB PL det'!$G$10:$G$101)/1000</f>
        <v>0</v>
      </c>
      <c r="AD17" s="1056"/>
      <c r="AG17" s="1030" t="str">
        <f>B17</f>
        <v>G&amp;A Outside Services</v>
      </c>
      <c r="AI17" s="1053">
        <f ca="1">SUMIF('QB PL det'!$A$10:$A$102,BOD.IS!$AG17,'QB PL det'!J$10:J$98)</f>
        <v>350</v>
      </c>
      <c r="AJ17" s="1053">
        <f ca="1">SUMIF('QB PL det'!$A$10:$A$102,BOD.IS!$AG17,'QB PL det'!K$10:K$98)</f>
        <v>213424.86000000002</v>
      </c>
      <c r="AK17" s="1053">
        <f ca="1">SUMIF('QB PL det'!$A$10:$A$102,BOD.IS!$AG17,'QB PL det'!L$10:L$98)</f>
        <v>208374.39999999999</v>
      </c>
      <c r="AL17" s="1053">
        <f ca="1">SUMIF('QB PL det'!$A$10:$A$102,BOD.IS!$AG17,'QB PL det'!M$10:M$98)</f>
        <v>68178.36</v>
      </c>
      <c r="AM17" s="1053">
        <f ca="1">SUMIF('QB PL det'!$A$10:$A$102,BOD.IS!$AG17,'QB PL det'!N$10:N$98)</f>
        <v>61843.6</v>
      </c>
      <c r="AN17" s="1053">
        <f ca="1">SUMIF('QB PL det'!$A$10:$A$102,BOD.IS!$AG17,'QB PL det'!O$10:O$98)</f>
        <v>136829.03</v>
      </c>
      <c r="AO17" s="1053">
        <f ca="1">SUMIF('QB PL det'!$A$10:$A$102,BOD.IS!$AG17,'QB PL det'!P$10:P$98)</f>
        <v>89786.43</v>
      </c>
      <c r="AP17" s="1053">
        <f ca="1">SUMIF('QB PL det'!$A$10:$A$102,BOD.IS!$AG17,'QB PL det'!Q$10:Q$98)</f>
        <v>41050.049999999996</v>
      </c>
      <c r="AQ17" s="1053">
        <f ca="1">SUMIF('QB PL det'!$A$10:$A$102,BOD.IS!$AG17,'QB PL det'!R$10:R$98)</f>
        <v>88229.78</v>
      </c>
      <c r="AR17" s="1053">
        <f ca="1">SUMIF('QB PL det'!$A$10:$A$102,BOD.IS!$AG17,'QB PL det'!S$10:S$98)</f>
        <v>33478.199999999997</v>
      </c>
      <c r="AS17" s="1053">
        <f ca="1">SUMIF('QB PL det'!$A$10:$A$102,BOD.IS!$AG17,'QB PL det'!T$10:T$98)</f>
        <v>46874.95</v>
      </c>
      <c r="AT17" s="1053">
        <f ca="1">SUMIF('QB PL det'!$A$10:$A$102,BOD.IS!$AG17,'QB PL det'!U$10:U$98)</f>
        <v>59232.35</v>
      </c>
      <c r="AU17" s="1053">
        <f ca="1">SUMIF('QB PL det'!$A$10:$A$102,BOD.IS!$AG17,'QB PL det'!V$10:V$98)</f>
        <v>57045.19</v>
      </c>
      <c r="AV17" s="1053">
        <f ca="1">SUMIF('QB PL det'!$A$10:$A$102,BOD.IS!$AG17,'QB PL det'!W$10:W$98)</f>
        <v>29328.31</v>
      </c>
      <c r="AW17" s="1053">
        <f ca="1">SUMIF('QB PL det'!$A$10:$A$102,BOD.IS!$AG17,'QB PL det'!X$10:X$98)</f>
        <v>49551.62</v>
      </c>
      <c r="AX17" s="1053">
        <f ca="1">SUMIF('QB PL det'!$A$10:$A$102,BOD.IS!$AG17,'QB PL det'!Y$10:Y$98)</f>
        <v>100984.95999999999</v>
      </c>
      <c r="AY17" s="1053">
        <f ca="1">SUMIF('QB PL det'!$A$10:$A$102,BOD.IS!$AG17,'QB PL det'!Z$10:Z$98)</f>
        <v>23180.63</v>
      </c>
      <c r="AZ17" s="1053">
        <f ca="1">SUMIF('QB PL det'!$A$10:$A$102,BOD.IS!$AG17,'QB PL det'!AA$10:AA$98)</f>
        <v>77337.739999999991</v>
      </c>
      <c r="BA17" s="1053">
        <f ca="1">SUMIF('QB PL det'!$A$10:$A$102,BOD.IS!$AG17,'QB PL det'!AB$10:AB$98)</f>
        <v>13682.5</v>
      </c>
      <c r="BB17" s="1053">
        <f ca="1">SUMIF('QB PL det'!$A$10:$A$102,BOD.IS!$AG17,'QB PL det'!AC$10:AC$98)</f>
        <v>54681.58</v>
      </c>
      <c r="BC17" s="1053">
        <f ca="1">SUMIF('QB PL det'!$A$10:$A$102,BOD.IS!$AG17,'QB PL det'!AD$10:AD$98)</f>
        <v>44709.630000000005</v>
      </c>
      <c r="BD17" s="1053">
        <f ca="1">SUMIF('QB PL det'!$A$10:$A$102,BOD.IS!$AG17,'QB PL det'!AE$10:AE$98)</f>
        <v>80005.3</v>
      </c>
      <c r="BE17" s="1053">
        <f ca="1">SUMIF('QB PL det'!$A$10:$A$102,BOD.IS!$AG17,'QB PL det'!AF$10:AF$98)</f>
        <v>43850.659999999996</v>
      </c>
      <c r="BF17" s="1053">
        <f ca="1">SUMIF('QB PL det'!$A$10:$A$102,BOD.IS!$AG17,'QB PL det'!AG$10:AG$98)</f>
        <v>70041.5</v>
      </c>
      <c r="BG17" s="1053">
        <f ca="1">SUMIF('QB PL det'!$A$10:$A$102,BOD.IS!$AG17,'QB PL det'!AH$10:AH$98)</f>
        <v>41187.699999999997</v>
      </c>
      <c r="BH17" s="1053">
        <f ca="1">SUMIF('QB PL det'!$A$10:$A$102,BOD.IS!$AG17,'QB PL det'!AI$10:AI$98)</f>
        <v>89854.760000000009</v>
      </c>
      <c r="BI17" s="1053">
        <f ca="1">SUMIF('QB PL det'!$A$10:$A$102,BOD.IS!$AG17,'QB PL det'!AJ$10:AJ$98)</f>
        <v>29430.760000000002</v>
      </c>
      <c r="BJ17" s="1053">
        <f ca="1">SUMIF('QB PL det'!$A$10:$A$102,BOD.IS!$AG17,'QB PL det'!AK$10:AK$98)</f>
        <v>130098.04999999999</v>
      </c>
      <c r="BK17" s="1053">
        <f ca="1">SUMIF('QB PL det'!$A$10:$A$102,BOD.IS!$AG17,'QB PL det'!AL$10:AL$98)</f>
        <v>92951.26</v>
      </c>
      <c r="BL17" s="1053">
        <f ca="1">SUMIF('QB PL det'!$A$10:$A$102,BOD.IS!$AG17,'QB PL det'!AM$10:AM$98)</f>
        <v>172495.16</v>
      </c>
      <c r="BM17" s="1053">
        <f ca="1">SUMIF('QB PL det'!$A$10:$A$102,BOD.IS!$AG17,'QB PL det'!AN$10:AN$98)</f>
        <v>103098.13</v>
      </c>
      <c r="BN17" s="1053">
        <f ca="1">SUMIF('QB PL det'!$A$10:$A$102,BOD.IS!$AG17,'QB PL det'!AO$10:AO$98)</f>
        <v>134325.46</v>
      </c>
      <c r="BO17" s="1053">
        <f ca="1">SUMIF('QB PL det'!$A$10:$A$102,BOD.IS!$AG17,'QB PL det'!AP$10:AP$98)</f>
        <v>83261.45</v>
      </c>
      <c r="BP17" s="1053">
        <f ca="1">SUMIF('QB PL det'!$A$10:$A$102,BOD.IS!$AG17,'QB PL det'!AQ$10:AQ$98)</f>
        <v>143864.15</v>
      </c>
      <c r="BQ17" s="1053">
        <f ca="1">SUMIF('QB PL det'!$A$10:$A$102,BOD.IS!$AG17,'QB PL det'!AR$10:AR$98)</f>
        <v>117037.34999999999</v>
      </c>
    </row>
    <row r="18" spans="1:84" outlineLevel="1">
      <c r="A18" s="1030" t="s">
        <v>1600</v>
      </c>
      <c r="B18" s="1084" t="s">
        <v>1578</v>
      </c>
      <c r="C18" s="1056">
        <f t="shared" si="0"/>
        <v>100.23220999999999</v>
      </c>
      <c r="D18" s="1089"/>
      <c r="E18" s="1089"/>
      <c r="F18" s="1087">
        <f t="shared" si="2"/>
        <v>9.235094813290946E-3</v>
      </c>
      <c r="G18" s="1089"/>
      <c r="H18" s="1238">
        <f t="shared" ca="1" si="3"/>
        <v>230.33080999999996</v>
      </c>
      <c r="I18" s="1089"/>
      <c r="J18" s="1238">
        <f ca="1">SUM(AO18:AZ18)/1000</f>
        <v>694.75563</v>
      </c>
      <c r="K18" s="1089"/>
      <c r="L18" s="1238">
        <f ca="1">SUM(AI18:AN18)/1000</f>
        <v>386.06589999999994</v>
      </c>
      <c r="M18" s="1089"/>
      <c r="N18" s="1089"/>
      <c r="O18" s="1089"/>
      <c r="P18" s="1089"/>
      <c r="Q18" s="1090"/>
      <c r="R18" s="1056"/>
      <c r="S18" s="1056"/>
      <c r="T18" s="1056"/>
      <c r="U18" s="1089"/>
      <c r="V18" s="1056">
        <f>SUMIF('QB PL det'!$A$10:$A$101,BOD.IS!B18,'QB PL det'!$C$10:$C$101)/1000</f>
        <v>100.23220999999999</v>
      </c>
      <c r="W18" s="1089"/>
      <c r="X18" s="1089"/>
      <c r="Y18" s="1085">
        <f>SUMIF('QB PL det'!$A$10:$A$101,BOD.IS!$B18,'QB PL det'!$D$10:$D$101)/1000</f>
        <v>41.955759999999998</v>
      </c>
      <c r="Z18" s="1085">
        <f>SUMIF('QB PL det'!$A$10:$A$101,BOD.IS!$B18,'QB PL det'!$E$10:$E$101)/1000</f>
        <v>58.276449999999997</v>
      </c>
      <c r="AA18" s="1085">
        <f>SUMIF('QB PL det'!$A$10:$A$101,BOD.IS!$B18,'QB PL det'!$F$10:$F$101)/1000</f>
        <v>0</v>
      </c>
      <c r="AB18" s="1085">
        <f>SUMIF('QB PL det'!$A$10:$A$101,BOD.IS!$B18,'QB PL det'!$G$10:$G$101)/1000</f>
        <v>0</v>
      </c>
      <c r="AD18" s="1056"/>
      <c r="AG18" s="1030" t="str">
        <f>B18</f>
        <v>Licensing Fees</v>
      </c>
      <c r="AI18" s="1053">
        <f ca="1">SUMIF('QB PL det'!$A$10:$A$102,BOD.IS!$AG18,'QB PL det'!J$10:J$98)</f>
        <v>0</v>
      </c>
      <c r="AJ18" s="1053">
        <f ca="1">SUMIF('QB PL det'!$A$10:$A$102,BOD.IS!$AG18,'QB PL det'!K$10:K$98)</f>
        <v>385976.35</v>
      </c>
      <c r="AK18" s="1053">
        <f ca="1">SUMIF('QB PL det'!$A$10:$A$102,BOD.IS!$AG18,'QB PL det'!L$10:L$98)</f>
        <v>0</v>
      </c>
      <c r="AL18" s="1053">
        <f ca="1">SUMIF('QB PL det'!$A$10:$A$102,BOD.IS!$AG18,'QB PL det'!M$10:M$98)</f>
        <v>89.55</v>
      </c>
      <c r="AM18" s="1053">
        <f ca="1">SUMIF('QB PL det'!$A$10:$A$102,BOD.IS!$AG18,'QB PL det'!N$10:N$98)</f>
        <v>0</v>
      </c>
      <c r="AN18" s="1053">
        <f ca="1">SUMIF('QB PL det'!$A$10:$A$102,BOD.IS!$AG18,'QB PL det'!O$10:O$98)</f>
        <v>0</v>
      </c>
      <c r="AO18" s="1053">
        <f ca="1">SUMIF('QB PL det'!$A$10:$A$102,BOD.IS!$AG18,'QB PL det'!P$10:P$98)</f>
        <v>0</v>
      </c>
      <c r="AP18" s="1053">
        <f ca="1">SUMIF('QB PL det'!$A$10:$A$102,BOD.IS!$AG18,'QB PL det'!Q$10:Q$98)</f>
        <v>0</v>
      </c>
      <c r="AQ18" s="1053">
        <f ca="1">SUMIF('QB PL det'!$A$10:$A$102,BOD.IS!$AG18,'QB PL det'!R$10:R$98)</f>
        <v>0</v>
      </c>
      <c r="AR18" s="1053">
        <f ca="1">SUMIF('QB PL det'!$A$10:$A$102,BOD.IS!$AG18,'QB PL det'!S$10:S$98)</f>
        <v>0</v>
      </c>
      <c r="AS18" s="1053">
        <f ca="1">SUMIF('QB PL det'!$A$10:$A$102,BOD.IS!$AG18,'QB PL det'!T$10:T$98)</f>
        <v>9565.65</v>
      </c>
      <c r="AT18" s="1053">
        <f ca="1">SUMIF('QB PL det'!$A$10:$A$102,BOD.IS!$AG18,'QB PL det'!U$10:U$98)</f>
        <v>21307</v>
      </c>
      <c r="AU18" s="1053">
        <f ca="1">SUMIF('QB PL det'!$A$10:$A$102,BOD.IS!$AG18,'QB PL det'!V$10:V$98)</f>
        <v>0</v>
      </c>
      <c r="AV18" s="1053">
        <f ca="1">SUMIF('QB PL det'!$A$10:$A$102,BOD.IS!$AG18,'QB PL det'!W$10:W$98)</f>
        <v>637231.64</v>
      </c>
      <c r="AW18" s="1053">
        <f ca="1">SUMIF('QB PL det'!$A$10:$A$102,BOD.IS!$AG18,'QB PL det'!X$10:X$98)</f>
        <v>4247</v>
      </c>
      <c r="AX18" s="1053">
        <f ca="1">SUMIF('QB PL det'!$A$10:$A$102,BOD.IS!$AG18,'QB PL det'!Y$10:Y$98)</f>
        <v>22404.34</v>
      </c>
      <c r="AY18" s="1053">
        <f ca="1">SUMIF('QB PL det'!$A$10:$A$102,BOD.IS!$AG18,'QB PL det'!Z$10:Z$98)</f>
        <v>0</v>
      </c>
      <c r="AZ18" s="1053">
        <f ca="1">SUMIF('QB PL det'!$A$10:$A$102,BOD.IS!$AG18,'QB PL det'!AA$10:AA$98)</f>
        <v>0</v>
      </c>
      <c r="BA18" s="1053">
        <f ca="1">SUMIF('QB PL det'!$A$10:$A$102,BOD.IS!$AG18,'QB PL det'!AB$10:AB$98)</f>
        <v>159709.64000000001</v>
      </c>
      <c r="BB18" s="1053">
        <f ca="1">SUMIF('QB PL det'!$A$10:$A$102,BOD.IS!$AG18,'QB PL det'!AC$10:AC$98)</f>
        <v>4808.96</v>
      </c>
      <c r="BC18" s="1053">
        <f ca="1">SUMIF('QB PL det'!$A$10:$A$102,BOD.IS!$AG18,'QB PL det'!AD$10:AD$98)</f>
        <v>1025.71</v>
      </c>
      <c r="BD18" s="1053">
        <f ca="1">SUMIF('QB PL det'!$A$10:$A$102,BOD.IS!$AG18,'QB PL det'!AE$10:AE$98)</f>
        <v>3648.17</v>
      </c>
      <c r="BE18" s="1053">
        <f ca="1">SUMIF('QB PL det'!$A$10:$A$102,BOD.IS!$AG18,'QB PL det'!AF$10:AF$98)</f>
        <v>3550.1</v>
      </c>
      <c r="BF18" s="1053">
        <f ca="1">SUMIF('QB PL det'!$A$10:$A$102,BOD.IS!$AG18,'QB PL det'!AG$10:AG$98)</f>
        <v>12996.8</v>
      </c>
      <c r="BG18" s="1053">
        <f ca="1">SUMIF('QB PL det'!$A$10:$A$102,BOD.IS!$AG18,'QB PL det'!AH$10:AH$98)</f>
        <v>24500</v>
      </c>
      <c r="BH18" s="1053">
        <f ca="1">SUMIF('QB PL det'!$A$10:$A$102,BOD.IS!$AG18,'QB PL det'!AI$10:AI$98)</f>
        <v>0</v>
      </c>
      <c r="BI18" s="1053">
        <f ca="1">SUMIF('QB PL det'!$A$10:$A$102,BOD.IS!$AG18,'QB PL det'!AJ$10:AJ$98)</f>
        <v>3173.08</v>
      </c>
      <c r="BJ18" s="1053">
        <f ca="1">SUMIF('QB PL det'!$A$10:$A$102,BOD.IS!$AG18,'QB PL det'!AK$10:AK$98)</f>
        <v>4489.05</v>
      </c>
      <c r="BK18" s="1053">
        <f ca="1">SUMIF('QB PL det'!$A$10:$A$102,BOD.IS!$AG18,'QB PL det'!AL$10:AL$98)</f>
        <v>0</v>
      </c>
      <c r="BL18" s="1053">
        <f ca="1">SUMIF('QB PL det'!$A$10:$A$102,BOD.IS!$AG18,'QB PL det'!AM$10:AM$98)</f>
        <v>12429.3</v>
      </c>
      <c r="BM18" s="1053">
        <f ca="1">SUMIF('QB PL det'!$A$10:$A$102,BOD.IS!$AG18,'QB PL det'!AN$10:AN$98)</f>
        <v>202.5</v>
      </c>
      <c r="BN18" s="1053">
        <f ca="1">SUMIF('QB PL det'!$A$10:$A$102,BOD.IS!$AG18,'QB PL det'!AO$10:AO$98)</f>
        <v>41753.259999999995</v>
      </c>
      <c r="BO18" s="1053">
        <f ca="1">SUMIF('QB PL det'!$A$10:$A$102,BOD.IS!$AG18,'QB PL det'!AP$10:AP$98)</f>
        <v>0</v>
      </c>
      <c r="BP18" s="1053">
        <f ca="1">SUMIF('QB PL det'!$A$10:$A$102,BOD.IS!$AG18,'QB PL det'!AQ$10:AQ$98)</f>
        <v>58276.45</v>
      </c>
      <c r="BQ18" s="1053">
        <f ca="1">SUMIF('QB PL det'!$A$10:$A$102,BOD.IS!$AG18,'QB PL det'!AR$10:AR$98)</f>
        <v>0</v>
      </c>
    </row>
    <row r="19" spans="1:84" outlineLevel="1">
      <c r="B19" s="1084"/>
      <c r="C19" s="1056"/>
      <c r="D19" s="1089"/>
      <c r="E19" s="1089"/>
      <c r="F19" s="1089"/>
      <c r="G19" s="1089"/>
      <c r="H19" s="1089"/>
      <c r="I19" s="1089"/>
      <c r="J19" s="1089"/>
      <c r="K19" s="1089"/>
      <c r="L19" s="1089"/>
      <c r="M19" s="1089"/>
      <c r="N19" s="1089"/>
      <c r="O19" s="1089"/>
      <c r="P19" s="1089"/>
      <c r="Q19" s="1090"/>
      <c r="R19" s="1056"/>
      <c r="S19" s="1056"/>
      <c r="T19" s="1056"/>
      <c r="U19" s="1089"/>
      <c r="V19" s="1056"/>
      <c r="W19" s="1089"/>
      <c r="X19" s="1089"/>
      <c r="Y19" s="1085"/>
      <c r="Z19" s="1085"/>
      <c r="AA19" s="1085"/>
      <c r="AB19" s="1085"/>
      <c r="AD19" s="1056"/>
    </row>
    <row r="20" spans="1:84" outlineLevel="1">
      <c r="A20" s="1030" t="s">
        <v>1601</v>
      </c>
      <c r="B20" s="1084" t="s">
        <v>1579</v>
      </c>
      <c r="C20" s="1056">
        <f t="shared" si="0"/>
        <v>929.44285000000002</v>
      </c>
      <c r="D20" s="1089"/>
      <c r="E20" s="1089"/>
      <c r="F20" s="1087">
        <f>C20/$C$22</f>
        <v>8.5636072907953983E-2</v>
      </c>
      <c r="G20" s="1089"/>
      <c r="H20" s="1238">
        <f ca="1">SUM(BA20:BL20)/1000</f>
        <v>1801.23974</v>
      </c>
      <c r="I20" s="1089"/>
      <c r="J20" s="1238">
        <f ca="1">SUM(AO20:AZ20)/1000</f>
        <v>960.18741</v>
      </c>
      <c r="K20" s="1089"/>
      <c r="L20" s="1238">
        <f ca="1">SUM(AI20:AN20)/1000</f>
        <v>335.90875</v>
      </c>
      <c r="M20" s="1089"/>
      <c r="N20" s="1089"/>
      <c r="O20" s="1089"/>
      <c r="P20" s="1089"/>
      <c r="Q20" s="1090"/>
      <c r="R20" s="1056"/>
      <c r="S20" s="1056"/>
      <c r="T20" s="1056"/>
      <c r="U20" s="1089"/>
      <c r="V20" s="1056">
        <f>SUMIF('QB PL det'!$A$10:$A$101,BOD.IS!B20,'QB PL det'!$C$10:$C$101)/1000</f>
        <v>929.44285000000002</v>
      </c>
      <c r="W20" s="1089"/>
      <c r="X20" s="1089"/>
      <c r="Y20" s="1085">
        <f>SUMIF('QB PL det'!$A$10:$A$101,BOD.IS!$B20,'QB PL det'!$D$10:$D$101)/1000</f>
        <v>561.51533000000006</v>
      </c>
      <c r="Z20" s="1085">
        <f>SUMIF('QB PL det'!$A$10:$A$101,BOD.IS!$B20,'QB PL det'!$E$10:$E$101)/1000</f>
        <v>367.92751999999996</v>
      </c>
      <c r="AA20" s="1085">
        <f>SUMIF('QB PL det'!$A$10:$A$101,BOD.IS!$B20,'QB PL det'!$F$10:$F$101)/1000</f>
        <v>0</v>
      </c>
      <c r="AB20" s="1085">
        <f>SUMIF('QB PL det'!$A$10:$A$101,BOD.IS!$B20,'QB PL det'!$G$10:$G$101)/1000</f>
        <v>0</v>
      </c>
      <c r="AD20" s="1056"/>
      <c r="AG20" s="1030" t="str">
        <f>B20</f>
        <v>Facilities and Other Administrative</v>
      </c>
      <c r="AI20" s="1053">
        <f ca="1">SUMIF('QB PL det'!$A$10:$A$102,BOD.IS!$AG20,'QB PL det'!J$10:J$98)</f>
        <v>1336.91</v>
      </c>
      <c r="AJ20" s="1053">
        <f ca="1">SUMIF('QB PL det'!$A$10:$A$102,BOD.IS!$AG20,'QB PL det'!K$10:K$98)</f>
        <v>53811.369999999995</v>
      </c>
      <c r="AK20" s="1053">
        <f ca="1">SUMIF('QB PL det'!$A$10:$A$102,BOD.IS!$AG20,'QB PL det'!L$10:L$98)</f>
        <v>63263.260000000009</v>
      </c>
      <c r="AL20" s="1053">
        <f ca="1">SUMIF('QB PL det'!$A$10:$A$102,BOD.IS!$AG20,'QB PL det'!M$10:M$98)</f>
        <v>78434.799999999988</v>
      </c>
      <c r="AM20" s="1053">
        <f ca="1">SUMIF('QB PL det'!$A$10:$A$102,BOD.IS!$AG20,'QB PL det'!N$10:N$98)</f>
        <v>72289.58</v>
      </c>
      <c r="AN20" s="1053">
        <f ca="1">SUMIF('QB PL det'!$A$10:$A$102,BOD.IS!$AG20,'QB PL det'!O$10:O$98)</f>
        <v>66772.829999999987</v>
      </c>
      <c r="AO20" s="1053">
        <f ca="1">SUMIF('QB PL det'!$A$10:$A$102,BOD.IS!$AG20,'QB PL det'!P$10:P$98)</f>
        <v>69864.569999999992</v>
      </c>
      <c r="AP20" s="1053">
        <f ca="1">SUMIF('QB PL det'!$A$10:$A$102,BOD.IS!$AG20,'QB PL det'!Q$10:Q$98)</f>
        <v>65632.929999999993</v>
      </c>
      <c r="AQ20" s="1053">
        <f ca="1">SUMIF('QB PL det'!$A$10:$A$102,BOD.IS!$AG20,'QB PL det'!R$10:R$98)</f>
        <v>68723.94</v>
      </c>
      <c r="AR20" s="1053">
        <f ca="1">SUMIF('QB PL det'!$A$10:$A$102,BOD.IS!$AG20,'QB PL det'!S$10:S$98)</f>
        <v>57331.459999999992</v>
      </c>
      <c r="AS20" s="1053">
        <f ca="1">SUMIF('QB PL det'!$A$10:$A$102,BOD.IS!$AG20,'QB PL det'!T$10:T$98)</f>
        <v>59289.479999999996</v>
      </c>
      <c r="AT20" s="1053">
        <f ca="1">SUMIF('QB PL det'!$A$10:$A$102,BOD.IS!$AG20,'QB PL det'!U$10:U$98)</f>
        <v>81914.67</v>
      </c>
      <c r="AU20" s="1053">
        <f ca="1">SUMIF('QB PL det'!$A$10:$A$102,BOD.IS!$AG20,'QB PL det'!V$10:V$98)</f>
        <v>63076.37</v>
      </c>
      <c r="AV20" s="1053">
        <f ca="1">SUMIF('QB PL det'!$A$10:$A$102,BOD.IS!$AG20,'QB PL det'!W$10:W$98)</f>
        <v>73555.95</v>
      </c>
      <c r="AW20" s="1053">
        <f ca="1">SUMIF('QB PL det'!$A$10:$A$102,BOD.IS!$AG20,'QB PL det'!X$10:X$98)</f>
        <v>78058.58</v>
      </c>
      <c r="AX20" s="1053">
        <f ca="1">SUMIF('QB PL det'!$A$10:$A$102,BOD.IS!$AG20,'QB PL det'!Y$10:Y$98)</f>
        <v>112480.78</v>
      </c>
      <c r="AY20" s="1053">
        <f ca="1">SUMIF('QB PL det'!$A$10:$A$102,BOD.IS!$AG20,'QB PL det'!Z$10:Z$98)</f>
        <v>99013.310000000012</v>
      </c>
      <c r="AZ20" s="1053">
        <f ca="1">SUMIF('QB PL det'!$A$10:$A$102,BOD.IS!$AG20,'QB PL det'!AA$10:AA$98)</f>
        <v>131245.37</v>
      </c>
      <c r="BA20" s="1053">
        <f ca="1">SUMIF('QB PL det'!$A$10:$A$102,BOD.IS!$AG20,'QB PL det'!AB$10:AB$98)</f>
        <v>102509.68000000001</v>
      </c>
      <c r="BB20" s="1053">
        <f ca="1">SUMIF('QB PL det'!$A$10:$A$102,BOD.IS!$AG20,'QB PL det'!AC$10:AC$98)</f>
        <v>113747.70000000001</v>
      </c>
      <c r="BC20" s="1053">
        <f ca="1">SUMIF('QB PL det'!$A$10:$A$102,BOD.IS!$AG20,'QB PL det'!AD$10:AD$98)</f>
        <v>188413.52000000002</v>
      </c>
      <c r="BD20" s="1053">
        <f ca="1">SUMIF('QB PL det'!$A$10:$A$102,BOD.IS!$AG20,'QB PL det'!AE$10:AE$98)</f>
        <v>153938.86000000004</v>
      </c>
      <c r="BE20" s="1053">
        <f ca="1">SUMIF('QB PL det'!$A$10:$A$102,BOD.IS!$AG20,'QB PL det'!AF$10:AF$98)</f>
        <v>132553.91</v>
      </c>
      <c r="BF20" s="1053">
        <f ca="1">SUMIF('QB PL det'!$A$10:$A$102,BOD.IS!$AG20,'QB PL det'!AG$10:AG$98)</f>
        <v>136006.39000000001</v>
      </c>
      <c r="BG20" s="1053">
        <f ca="1">SUMIF('QB PL det'!$A$10:$A$102,BOD.IS!$AG20,'QB PL det'!AH$10:AH$98)</f>
        <v>159975.97999999998</v>
      </c>
      <c r="BH20" s="1053">
        <f ca="1">SUMIF('QB PL det'!$A$10:$A$102,BOD.IS!$AG20,'QB PL det'!AI$10:AI$98)</f>
        <v>147363.13</v>
      </c>
      <c r="BI20" s="1053">
        <f ca="1">SUMIF('QB PL det'!$A$10:$A$102,BOD.IS!$AG20,'QB PL det'!AJ$10:AJ$98)</f>
        <v>170110.16999999998</v>
      </c>
      <c r="BJ20" s="1053">
        <f ca="1">SUMIF('QB PL det'!$A$10:$A$102,BOD.IS!$AG20,'QB PL det'!AK$10:AK$98)</f>
        <v>173144.39</v>
      </c>
      <c r="BK20" s="1053">
        <f ca="1">SUMIF('QB PL det'!$A$10:$A$102,BOD.IS!$AG20,'QB PL det'!AL$10:AL$98)</f>
        <v>153351.42000000001</v>
      </c>
      <c r="BL20" s="1053">
        <f ca="1">SUMIF('QB PL det'!$A$10:$A$102,BOD.IS!$AG20,'QB PL det'!AM$10:AM$98)</f>
        <v>170124.59</v>
      </c>
      <c r="BM20" s="1053">
        <f ca="1">SUMIF('QB PL det'!$A$10:$A$102,BOD.IS!$AG20,'QB PL det'!AN$10:AN$98)</f>
        <v>202632.31</v>
      </c>
      <c r="BN20" s="1053">
        <f ca="1">SUMIF('QB PL det'!$A$10:$A$102,BOD.IS!$AG20,'QB PL det'!AO$10:AO$98)</f>
        <v>187684.74</v>
      </c>
      <c r="BO20" s="1053">
        <f ca="1">SUMIF('QB PL det'!$A$10:$A$102,BOD.IS!$AG20,'QB PL det'!AP$10:AP$98)</f>
        <v>171198.27999999997</v>
      </c>
      <c r="BP20" s="1053">
        <f ca="1">SUMIF('QB PL det'!$A$10:$A$102,BOD.IS!$AG20,'QB PL det'!AQ$10:AQ$98)</f>
        <v>209780.06999999998</v>
      </c>
      <c r="BQ20" s="1053">
        <f ca="1">SUMIF('QB PL det'!$A$10:$A$102,BOD.IS!$AG20,'QB PL det'!AR$10:AR$98)</f>
        <v>158147.45000000001</v>
      </c>
    </row>
    <row r="21" spans="1:84" outlineLevel="1">
      <c r="B21" s="1084"/>
      <c r="C21" s="1089"/>
      <c r="D21" s="1089"/>
      <c r="E21" s="1089"/>
      <c r="F21" s="1089"/>
      <c r="G21" s="1089"/>
      <c r="H21" s="1089"/>
      <c r="I21" s="1089"/>
      <c r="J21" s="1089"/>
      <c r="K21" s="1089"/>
      <c r="L21" s="1089"/>
      <c r="M21" s="1089"/>
      <c r="N21" s="1089"/>
      <c r="O21" s="1089"/>
      <c r="P21" s="1089"/>
      <c r="Q21" s="1090"/>
      <c r="R21" s="1089"/>
      <c r="S21" s="1089"/>
      <c r="T21" s="1089"/>
      <c r="U21" s="1089"/>
      <c r="V21" s="1089"/>
      <c r="W21" s="1089"/>
      <c r="X21" s="1089"/>
      <c r="Y21" s="1085"/>
      <c r="Z21" s="1085"/>
      <c r="AA21" s="1085"/>
      <c r="AB21" s="1085"/>
      <c r="AD21" s="1089"/>
    </row>
    <row r="22" spans="1:84" s="1094" customFormat="1">
      <c r="B22" s="1095" t="s">
        <v>88</v>
      </c>
      <c r="C22" s="1096">
        <f>SUM(C11:C20)</f>
        <v>10853.40346</v>
      </c>
      <c r="D22" s="1097"/>
      <c r="E22" s="1097"/>
      <c r="F22" s="1087">
        <f>C22/$C$22</f>
        <v>1</v>
      </c>
      <c r="G22" s="1097"/>
      <c r="H22" s="1096">
        <f ca="1">SUM(H11:H20)</f>
        <v>17323.85787</v>
      </c>
      <c r="I22" s="1097"/>
      <c r="J22" s="1096">
        <f ca="1">SUM(J11:J20)</f>
        <v>10854.83171</v>
      </c>
      <c r="K22" s="1097"/>
      <c r="L22" s="1096">
        <f ca="1">SUM(L11:L20)</f>
        <v>3477.2110600000001</v>
      </c>
      <c r="M22" s="1097"/>
      <c r="N22" s="1097"/>
      <c r="O22" s="1097"/>
      <c r="P22" s="1097"/>
      <c r="Q22" s="1098"/>
      <c r="S22" s="1097"/>
      <c r="T22" s="1097"/>
      <c r="U22" s="1097"/>
      <c r="V22" s="1085">
        <f>SUM(V11:V20)</f>
        <v>10853.40346</v>
      </c>
      <c r="W22" s="1097"/>
      <c r="X22" s="1097"/>
      <c r="Y22" s="1085">
        <f>SUM(Y11:Y20)</f>
        <v>6515.6098500000007</v>
      </c>
      <c r="Z22" s="1085">
        <f>SUM(Z11:Z20)</f>
        <v>4337.7936099999988</v>
      </c>
      <c r="AA22" s="1085">
        <f>SUM(AA11:AA20)</f>
        <v>0</v>
      </c>
      <c r="AB22" s="1085">
        <f>SUM(AB11:AB20)</f>
        <v>0</v>
      </c>
      <c r="AC22" s="1085"/>
      <c r="AD22" s="1085"/>
      <c r="AG22" s="1094" t="str">
        <f>B22</f>
        <v>Operating Expenses</v>
      </c>
      <c r="AI22" s="1099">
        <f t="shared" ref="AI22:BQ22" ca="1" si="4">SUM(AI11:AI21)</f>
        <v>152829.65</v>
      </c>
      <c r="AJ22" s="1099">
        <f t="shared" ca="1" si="4"/>
        <v>1009005.76</v>
      </c>
      <c r="AK22" s="1099">
        <f t="shared" ca="1" si="4"/>
        <v>722402.37</v>
      </c>
      <c r="AL22" s="1099">
        <f t="shared" ca="1" si="4"/>
        <v>446879.12</v>
      </c>
      <c r="AM22" s="1099">
        <f t="shared" ca="1" si="4"/>
        <v>483142.84</v>
      </c>
      <c r="AN22" s="1099">
        <f t="shared" ca="1" si="4"/>
        <v>662951.31999999995</v>
      </c>
      <c r="AO22" s="1099">
        <f t="shared" ca="1" si="4"/>
        <v>483733.15</v>
      </c>
      <c r="AP22" s="1099">
        <f t="shared" ca="1" si="4"/>
        <v>759195.26</v>
      </c>
      <c r="AQ22" s="1099">
        <f t="shared" ca="1" si="4"/>
        <v>690062.75</v>
      </c>
      <c r="AR22" s="1099">
        <f t="shared" ca="1" si="4"/>
        <v>661551.11999999988</v>
      </c>
      <c r="AS22" s="1099">
        <f t="shared" ca="1" si="4"/>
        <v>564152.44000000006</v>
      </c>
      <c r="AT22" s="1099">
        <f t="shared" ca="1" si="4"/>
        <v>951710.05</v>
      </c>
      <c r="AU22" s="1099">
        <f t="shared" ca="1" si="4"/>
        <v>1472337.75</v>
      </c>
      <c r="AV22" s="1099">
        <f t="shared" ca="1" si="4"/>
        <v>1435874.06</v>
      </c>
      <c r="AW22" s="1099">
        <f t="shared" ca="1" si="4"/>
        <v>891941.35</v>
      </c>
      <c r="AX22" s="1099">
        <f t="shared" ca="1" si="4"/>
        <v>1143986.9799999997</v>
      </c>
      <c r="AY22" s="1099">
        <f t="shared" ca="1" si="4"/>
        <v>801767.22000000009</v>
      </c>
      <c r="AZ22" s="1099">
        <f t="shared" ca="1" si="4"/>
        <v>998519.58000000007</v>
      </c>
      <c r="BA22" s="1099">
        <f t="shared" ca="1" si="4"/>
        <v>991145.35</v>
      </c>
      <c r="BB22" s="1099">
        <f t="shared" ca="1" si="4"/>
        <v>993825.8</v>
      </c>
      <c r="BC22" s="1099">
        <f t="shared" ca="1" si="4"/>
        <v>1636457.38</v>
      </c>
      <c r="BD22" s="1099">
        <f t="shared" ca="1" si="4"/>
        <v>991061.4600000002</v>
      </c>
      <c r="BE22" s="1099">
        <f t="shared" ca="1" si="4"/>
        <v>1144956.6299999999</v>
      </c>
      <c r="BF22" s="1099">
        <f t="shared" ca="1" si="4"/>
        <v>1475581.6400000001</v>
      </c>
      <c r="BG22" s="1099">
        <f t="shared" ca="1" si="4"/>
        <v>1733907.0999999999</v>
      </c>
      <c r="BH22" s="1099">
        <f t="shared" ca="1" si="4"/>
        <v>1619768.17</v>
      </c>
      <c r="BI22" s="1099">
        <f t="shared" ca="1" si="4"/>
        <v>1612596.6400000001</v>
      </c>
      <c r="BJ22" s="1099">
        <f t="shared" ca="1" si="4"/>
        <v>1405664.2000000002</v>
      </c>
      <c r="BK22" s="1099">
        <f t="shared" ca="1" si="4"/>
        <v>1725141.43</v>
      </c>
      <c r="BL22" s="1099">
        <f t="shared" ca="1" si="4"/>
        <v>1993752.07</v>
      </c>
      <c r="BM22" s="1099">
        <f t="shared" ca="1" si="4"/>
        <v>1878600.9300000002</v>
      </c>
      <c r="BN22" s="1099">
        <f t="shared" ca="1" si="4"/>
        <v>2552501.96</v>
      </c>
      <c r="BO22" s="1099">
        <f t="shared" ca="1" si="4"/>
        <v>2084506.96</v>
      </c>
      <c r="BP22" s="1099">
        <f t="shared" ca="1" si="4"/>
        <v>2212469.11</v>
      </c>
      <c r="BQ22" s="1099">
        <f t="shared" ca="1" si="4"/>
        <v>2125324.5000000005</v>
      </c>
      <c r="BS22" s="1146">
        <f ca="1">SUM(BM22:BQ22)</f>
        <v>10853403.460000001</v>
      </c>
    </row>
    <row r="23" spans="1:84">
      <c r="B23" s="1084"/>
      <c r="C23" s="1061"/>
      <c r="D23" s="1100"/>
      <c r="E23" s="1100"/>
      <c r="F23" s="1100"/>
      <c r="G23" s="1100"/>
      <c r="H23" s="1100"/>
      <c r="I23" s="1100"/>
      <c r="J23" s="1100"/>
      <c r="K23" s="1100"/>
      <c r="L23" s="1100"/>
      <c r="M23" s="1100"/>
      <c r="N23" s="1100"/>
      <c r="O23" s="1100"/>
      <c r="P23" s="1100"/>
      <c r="Q23" s="1101"/>
      <c r="R23" s="1061"/>
      <c r="S23" s="1100"/>
      <c r="T23" s="1100"/>
      <c r="U23" s="1100"/>
      <c r="V23" s="1061"/>
      <c r="W23" s="1100"/>
      <c r="X23" s="1100"/>
      <c r="Y23" s="1085"/>
      <c r="Z23" s="1085"/>
      <c r="AA23" s="1085"/>
      <c r="AB23" s="1085"/>
    </row>
    <row r="24" spans="1:84">
      <c r="B24" s="1030" t="s">
        <v>1581</v>
      </c>
      <c r="C24" s="1238">
        <f>SUM(BM24:BQ24)/1000</f>
        <v>49.968150000000001</v>
      </c>
      <c r="D24" s="1061"/>
      <c r="E24" s="1061"/>
      <c r="F24" s="1061"/>
      <c r="G24" s="1061"/>
      <c r="H24" s="1238">
        <f>SUM(BA24:BL24)/1000</f>
        <v>15.51315</v>
      </c>
      <c r="I24" s="1061"/>
      <c r="J24" s="1238">
        <f>SUM(AO24:AZ24)/1000</f>
        <v>0</v>
      </c>
      <c r="K24" s="1061"/>
      <c r="L24" s="1238">
        <f>SUM(AI24:AN24)/1000</f>
        <v>0</v>
      </c>
      <c r="M24" s="1061"/>
      <c r="N24" s="1061"/>
      <c r="O24" s="1061"/>
      <c r="P24" s="1061"/>
      <c r="Q24" s="1093"/>
      <c r="R24" s="1056"/>
      <c r="S24" s="1061"/>
      <c r="T24" s="1061"/>
      <c r="U24" s="1061"/>
      <c r="V24" s="1056">
        <f>SUMIF('QB PL det'!$A$10:$A$101,BOD.IS!AG27,'QB PL det'!$C$10:$C$101)/1000</f>
        <v>40.218830000000004</v>
      </c>
      <c r="W24" s="1061"/>
      <c r="X24" s="1061"/>
      <c r="Y24" s="1085">
        <f>SUMIF('QB PL det'!$A$10:$A$101,BOD.IS!$B24,'QB PL det'!$D$10:$D$101)/1000</f>
        <v>16.047639999999998</v>
      </c>
      <c r="Z24" s="1085">
        <f ca="1">SUMIF('QB PL det'!$A$10:$A$101,BOD.IS!$B24,'QB PL det'!$E$10:$E$97)/1000</f>
        <v>33.92051</v>
      </c>
      <c r="AA24" s="1085">
        <f>SUMIF('QB PL det'!$A$10:$A$101,BOD.IS!$B24,'QB PL det'!$F$10:$F$101)/1000</f>
        <v>0</v>
      </c>
      <c r="AB24" s="1085">
        <f>SUMIF('QB PL det'!$A$10:$A$101,BOD.IS!$B24,'QB PL det'!$G$10:$G$101)/1000</f>
        <v>0</v>
      </c>
      <c r="AG24" s="1030" t="s">
        <v>1581</v>
      </c>
      <c r="AI24" s="1053">
        <f>'QB PL det'!J79</f>
        <v>0</v>
      </c>
      <c r="AJ24" s="1053">
        <f>'QB PL det'!K79</f>
        <v>0</v>
      </c>
      <c r="AK24" s="1053">
        <f>'QB PL det'!L79</f>
        <v>0</v>
      </c>
      <c r="AL24" s="1053">
        <f>'QB PL det'!M79</f>
        <v>0</v>
      </c>
      <c r="AM24" s="1053">
        <f>'QB PL det'!N79</f>
        <v>0</v>
      </c>
      <c r="AN24" s="1053">
        <f>'QB PL det'!O79</f>
        <v>0</v>
      </c>
      <c r="AO24" s="1053">
        <f>'QB PL det'!P79</f>
        <v>0</v>
      </c>
      <c r="AP24" s="1053">
        <f>'QB PL det'!Q79</f>
        <v>0</v>
      </c>
      <c r="AQ24" s="1053">
        <f>'QB PL det'!R79</f>
        <v>0</v>
      </c>
      <c r="AR24" s="1053">
        <f>'QB PL det'!S79</f>
        <v>0</v>
      </c>
      <c r="AS24" s="1053">
        <f>'QB PL det'!T79</f>
        <v>0</v>
      </c>
      <c r="AT24" s="1053">
        <f>'QB PL det'!U79</f>
        <v>0</v>
      </c>
      <c r="AU24" s="1053">
        <f>'QB PL det'!V79</f>
        <v>0</v>
      </c>
      <c r="AV24" s="1053">
        <f>'QB PL det'!W79</f>
        <v>0</v>
      </c>
      <c r="AW24" s="1053">
        <f>'QB PL det'!X79</f>
        <v>0</v>
      </c>
      <c r="AX24" s="1053">
        <f>'QB PL det'!Y79</f>
        <v>0</v>
      </c>
      <c r="AY24" s="1053">
        <f>'QB PL det'!Z79</f>
        <v>0</v>
      </c>
      <c r="AZ24" s="1053">
        <f>'QB PL det'!AA79</f>
        <v>0</v>
      </c>
      <c r="BA24" s="1053">
        <f>'QB PL det'!AB79</f>
        <v>0</v>
      </c>
      <c r="BB24" s="1053">
        <f>'QB PL det'!AC79</f>
        <v>0</v>
      </c>
      <c r="BC24" s="1053">
        <f>'QB PL det'!AD79</f>
        <v>0</v>
      </c>
      <c r="BD24" s="1053">
        <f>'QB PL det'!AE79</f>
        <v>0</v>
      </c>
      <c r="BE24" s="1053">
        <f>'QB PL det'!AF79</f>
        <v>0</v>
      </c>
      <c r="BF24" s="1053">
        <f>'QB PL det'!AG79</f>
        <v>0</v>
      </c>
      <c r="BG24" s="1053">
        <f>'QB PL det'!AH79</f>
        <v>0</v>
      </c>
      <c r="BH24" s="1053">
        <f>'QB PL det'!AI79</f>
        <v>0</v>
      </c>
      <c r="BI24" s="1053">
        <f>'QB PL det'!AJ79</f>
        <v>1988.66</v>
      </c>
      <c r="BJ24" s="1053">
        <f>'QB PL det'!AK79</f>
        <v>5863.86</v>
      </c>
      <c r="BK24" s="1053">
        <f>'QB PL det'!AL79</f>
        <v>4502.53</v>
      </c>
      <c r="BL24" s="1053">
        <f>'QB PL det'!AM79</f>
        <v>3158.1</v>
      </c>
      <c r="BM24" s="1053">
        <f>'QB PL det'!AN79</f>
        <v>2987.14</v>
      </c>
      <c r="BN24" s="1053">
        <f>'QB PL det'!AO79</f>
        <v>6406.78</v>
      </c>
      <c r="BO24" s="1053">
        <f>'QB PL det'!AP79</f>
        <v>6653.7199999999993</v>
      </c>
      <c r="BP24" s="1053">
        <f>'QB PL det'!AQ79</f>
        <v>17516.93</v>
      </c>
      <c r="BQ24" s="1053">
        <f>'QB PL det'!AR79</f>
        <v>16403.580000000002</v>
      </c>
      <c r="BR24" s="1094"/>
      <c r="BS24" s="1094"/>
      <c r="BT24" s="1146"/>
      <c r="BU24" s="1146"/>
      <c r="BV24" s="1094"/>
      <c r="BW24" s="1094"/>
      <c r="BX24" s="1094"/>
      <c r="BY24" s="1094"/>
      <c r="BZ24" s="1094"/>
      <c r="CA24" s="1094"/>
      <c r="CB24" s="1094"/>
      <c r="CC24" s="1094"/>
      <c r="CD24" s="1094"/>
      <c r="CE24" s="1094"/>
      <c r="CF24" s="1094"/>
    </row>
    <row r="25" spans="1:84">
      <c r="A25" s="1094"/>
      <c r="B25" s="1102" t="s">
        <v>92</v>
      </c>
      <c r="C25" s="1238">
        <f>SUM(BM25:BQ25)/1000</f>
        <v>9.7493199999999991</v>
      </c>
      <c r="D25" s="1100"/>
      <c r="E25" s="1100"/>
      <c r="F25" s="1100"/>
      <c r="G25" s="1100"/>
      <c r="H25" s="1238">
        <f>SUM(BA25:BL25)/1000</f>
        <v>0</v>
      </c>
      <c r="I25" s="1100"/>
      <c r="J25" s="1238">
        <f>SUM(AO25:AZ25)/1000</f>
        <v>0</v>
      </c>
      <c r="K25" s="1100"/>
      <c r="L25" s="1238">
        <f>SUM(AI25:AN25)/1000</f>
        <v>1.9077200000000001</v>
      </c>
      <c r="M25" s="1100"/>
      <c r="N25" s="1100"/>
      <c r="O25" s="1100"/>
      <c r="P25" s="1100"/>
      <c r="Q25" s="1101"/>
      <c r="R25" s="1056"/>
      <c r="S25" s="1100"/>
      <c r="T25" s="1100"/>
      <c r="U25" s="1100"/>
      <c r="V25" s="1100"/>
      <c r="W25" s="1100"/>
      <c r="X25" s="1100"/>
      <c r="Y25" s="1100"/>
      <c r="Z25" s="1100"/>
      <c r="AA25" s="1100"/>
      <c r="AB25" s="1100"/>
      <c r="AG25" s="1030" t="s">
        <v>1582</v>
      </c>
      <c r="AI25" s="1053">
        <f>'QB PL det'!J100</f>
        <v>0</v>
      </c>
      <c r="AJ25" s="1053">
        <f>'QB PL det'!K100</f>
        <v>0</v>
      </c>
      <c r="AK25" s="1053">
        <f>'QB PL det'!L100</f>
        <v>0</v>
      </c>
      <c r="AL25" s="1053">
        <f>'QB PL det'!M100</f>
        <v>0</v>
      </c>
      <c r="AM25" s="1053">
        <f>'QB PL det'!N100</f>
        <v>1907.72</v>
      </c>
      <c r="AN25" s="1053">
        <f>'QB PL det'!O100</f>
        <v>0</v>
      </c>
      <c r="AO25" s="1053">
        <f>'QB PL det'!P100</f>
        <v>0</v>
      </c>
      <c r="AP25" s="1053">
        <f>'QB PL det'!Q100</f>
        <v>0</v>
      </c>
      <c r="AQ25" s="1053">
        <f>'QB PL det'!R100</f>
        <v>0</v>
      </c>
      <c r="AR25" s="1053">
        <f>'QB PL det'!S100</f>
        <v>0</v>
      </c>
      <c r="AS25" s="1053">
        <f>'QB PL det'!T100</f>
        <v>0</v>
      </c>
      <c r="AT25" s="1053">
        <f>'QB PL det'!U100</f>
        <v>0</v>
      </c>
      <c r="AU25" s="1053">
        <f>'QB PL det'!V100</f>
        <v>0</v>
      </c>
      <c r="AV25" s="1053">
        <f>'QB PL det'!W100</f>
        <v>0</v>
      </c>
      <c r="AW25" s="1053">
        <f>'QB PL det'!X100</f>
        <v>0</v>
      </c>
      <c r="AX25" s="1053">
        <f>'QB PL det'!Y100</f>
        <v>0</v>
      </c>
      <c r="AY25" s="1053">
        <f>'QB PL det'!Z100</f>
        <v>0</v>
      </c>
      <c r="AZ25" s="1053">
        <f>'QB PL det'!AA100</f>
        <v>0</v>
      </c>
      <c r="BA25" s="1053">
        <f>'QB PL det'!AB100</f>
        <v>0</v>
      </c>
      <c r="BB25" s="1053">
        <f>'QB PL det'!AC100</f>
        <v>0</v>
      </c>
      <c r="BC25" s="1053">
        <f>'QB PL det'!AD100</f>
        <v>0</v>
      </c>
      <c r="BD25" s="1053">
        <f>'QB PL det'!AE100</f>
        <v>0</v>
      </c>
      <c r="BE25" s="1053">
        <f>'QB PL det'!AF100</f>
        <v>0</v>
      </c>
      <c r="BF25" s="1053">
        <f>'QB PL det'!AG100</f>
        <v>0</v>
      </c>
      <c r="BG25" s="1053">
        <f>'QB PL det'!AH100</f>
        <v>0</v>
      </c>
      <c r="BH25" s="1053">
        <f>'QB PL det'!AI100</f>
        <v>0</v>
      </c>
      <c r="BI25" s="1053">
        <f>'QB PL det'!AJ100</f>
        <v>0</v>
      </c>
      <c r="BJ25" s="1053">
        <f>'QB PL det'!AK100</f>
        <v>0</v>
      </c>
      <c r="BK25" s="1053">
        <f>'QB PL det'!AL100</f>
        <v>0</v>
      </c>
      <c r="BL25" s="1053">
        <f>'QB PL det'!AM100</f>
        <v>0</v>
      </c>
      <c r="BM25" s="1053">
        <f>'QB PL det'!AN100</f>
        <v>0</v>
      </c>
      <c r="BN25" s="1053">
        <f>'QB PL det'!AO100</f>
        <v>0</v>
      </c>
      <c r="BO25" s="1053">
        <f>'QB PL det'!AP100</f>
        <v>9749.32</v>
      </c>
      <c r="BP25" s="1053">
        <f>'QB PL det'!AQ100</f>
        <v>0</v>
      </c>
      <c r="BQ25" s="1053">
        <f>'QB PL det'!AR100</f>
        <v>0</v>
      </c>
    </row>
    <row r="26" spans="1:84" ht="16.5" thickBot="1">
      <c r="B26" s="1095" t="s">
        <v>1832</v>
      </c>
      <c r="C26" s="1103">
        <f>-C22+C24-C25</f>
        <v>-10813.18463</v>
      </c>
      <c r="D26" s="1104"/>
      <c r="E26" s="1104"/>
      <c r="F26" s="1104"/>
      <c r="G26" s="1104"/>
      <c r="H26" s="1103">
        <f>SUM(BA28:BL28)/1000</f>
        <v>-17308.344720000001</v>
      </c>
      <c r="I26" s="1104"/>
      <c r="J26" s="1103">
        <f>SUM(AO28:AZ28)/1000</f>
        <v>-10854.83171</v>
      </c>
      <c r="K26" s="1104"/>
      <c r="L26" s="1103">
        <f>SUM(AI28:AN28)/1000</f>
        <v>-3479.1187799999998</v>
      </c>
      <c r="M26" s="1104"/>
      <c r="N26" s="1104"/>
      <c r="O26" s="1104"/>
      <c r="P26" s="1104"/>
      <c r="Q26" s="1105"/>
      <c r="R26" s="1056"/>
      <c r="S26" s="1104"/>
      <c r="T26" s="1104"/>
      <c r="U26" s="1104"/>
      <c r="V26" s="1106">
        <f>-V24+V22</f>
        <v>10813.18463</v>
      </c>
      <c r="W26" s="1104"/>
      <c r="X26" s="1104"/>
      <c r="Y26" s="1104"/>
      <c r="Z26" s="1104"/>
      <c r="AA26" s="1104"/>
      <c r="AB26" s="1104"/>
      <c r="AC26" s="1094"/>
      <c r="AI26" s="1053"/>
      <c r="AJ26" s="1053"/>
      <c r="AK26" s="1053"/>
      <c r="AL26" s="1053"/>
      <c r="AM26" s="1053"/>
      <c r="AN26" s="1053"/>
      <c r="AO26" s="1053"/>
      <c r="AP26" s="1053"/>
      <c r="AQ26" s="1053"/>
      <c r="AR26" s="1053"/>
      <c r="AS26" s="1053"/>
      <c r="AT26" s="1053"/>
      <c r="AU26" s="1053"/>
      <c r="AV26" s="1053"/>
      <c r="AW26" s="1053"/>
      <c r="AX26" s="1053"/>
      <c r="AY26" s="1053"/>
      <c r="AZ26" s="1053"/>
      <c r="BA26" s="1053"/>
      <c r="BB26" s="1053"/>
      <c r="BC26" s="1053"/>
      <c r="BD26" s="1053"/>
      <c r="BE26" s="1053"/>
      <c r="BF26" s="1053"/>
      <c r="BG26" s="1053"/>
      <c r="BH26" s="1053"/>
      <c r="BI26" s="1053"/>
      <c r="BJ26" s="1053"/>
      <c r="BK26" s="1053"/>
      <c r="BL26" s="1053"/>
      <c r="BM26" s="1053"/>
      <c r="BN26" s="1053"/>
      <c r="BO26" s="1053"/>
      <c r="BP26" s="1053"/>
      <c r="BQ26" s="1053"/>
    </row>
    <row r="27" spans="1:84" ht="16.5" outlineLevel="1" thickTop="1">
      <c r="B27" s="1064"/>
      <c r="C27" s="1239" t="b">
        <f>C26=(-V26)</f>
        <v>1</v>
      </c>
      <c r="D27" s="1107"/>
      <c r="E27" s="1107"/>
      <c r="F27" s="1107"/>
      <c r="G27" s="1107"/>
      <c r="H27" s="1239">
        <f ca="1">-H22+H24-H25</f>
        <v>-17308.344720000001</v>
      </c>
      <c r="I27" s="1107"/>
      <c r="J27" s="1239">
        <f ca="1">-J22+J24-J25</f>
        <v>-10854.83171</v>
      </c>
      <c r="K27" s="1107"/>
      <c r="L27" s="1239">
        <f ca="1">-L22+L24-L25</f>
        <v>-3479.1187800000002</v>
      </c>
      <c r="M27" s="1107"/>
      <c r="N27" s="1107"/>
      <c r="O27" s="1107"/>
      <c r="P27" s="1107"/>
      <c r="Q27" s="1105"/>
      <c r="R27" s="1056"/>
      <c r="S27" s="1107"/>
      <c r="T27" s="1107"/>
      <c r="U27" s="1107"/>
      <c r="V27" s="1107"/>
      <c r="W27" s="1107"/>
      <c r="X27" s="1107"/>
      <c r="Y27" s="1107"/>
      <c r="Z27" s="1107"/>
      <c r="AA27" s="1107"/>
      <c r="AB27" s="1107"/>
      <c r="AG27" s="1030" t="s">
        <v>1580</v>
      </c>
      <c r="AI27" s="1108">
        <f>'QB PL det'!J101</f>
        <v>0</v>
      </c>
      <c r="AJ27" s="1108">
        <f>'QB PL det'!K101</f>
        <v>0</v>
      </c>
      <c r="AK27" s="1108">
        <f>'QB PL det'!L101</f>
        <v>0</v>
      </c>
      <c r="AL27" s="1108">
        <f>'QB PL det'!M101</f>
        <v>0</v>
      </c>
      <c r="AM27" s="1108">
        <f>'QB PL det'!N101</f>
        <v>-1907.72</v>
      </c>
      <c r="AN27" s="1108">
        <f>'QB PL det'!O101</f>
        <v>0</v>
      </c>
      <c r="AO27" s="1108">
        <f>'QB PL det'!P101</f>
        <v>0</v>
      </c>
      <c r="AP27" s="1108">
        <f>'QB PL det'!Q101</f>
        <v>0</v>
      </c>
      <c r="AQ27" s="1108">
        <f>'QB PL det'!R101</f>
        <v>0</v>
      </c>
      <c r="AR27" s="1108">
        <f>'QB PL det'!S101</f>
        <v>0</v>
      </c>
      <c r="AS27" s="1108">
        <f>'QB PL det'!T101</f>
        <v>0</v>
      </c>
      <c r="AT27" s="1108">
        <f>'QB PL det'!U101</f>
        <v>0</v>
      </c>
      <c r="AU27" s="1108">
        <f>'QB PL det'!V101</f>
        <v>0</v>
      </c>
      <c r="AV27" s="1108">
        <f>'QB PL det'!W101</f>
        <v>0</v>
      </c>
      <c r="AW27" s="1108">
        <f>'QB PL det'!X101</f>
        <v>0</v>
      </c>
      <c r="AX27" s="1108">
        <f>'QB PL det'!Y101</f>
        <v>0</v>
      </c>
      <c r="AY27" s="1108">
        <f>'QB PL det'!Z101</f>
        <v>0</v>
      </c>
      <c r="AZ27" s="1108">
        <f>'QB PL det'!AA101</f>
        <v>0</v>
      </c>
      <c r="BA27" s="1108">
        <f>'QB PL det'!AB101</f>
        <v>0</v>
      </c>
      <c r="BB27" s="1108">
        <f>'QB PL det'!AC101</f>
        <v>0</v>
      </c>
      <c r="BC27" s="1108">
        <f>'QB PL det'!AD101</f>
        <v>0</v>
      </c>
      <c r="BD27" s="1108">
        <f>'QB PL det'!AE101</f>
        <v>0</v>
      </c>
      <c r="BE27" s="1108">
        <f>'QB PL det'!AF101</f>
        <v>0</v>
      </c>
      <c r="BF27" s="1108">
        <f>'QB PL det'!AG101</f>
        <v>0</v>
      </c>
      <c r="BG27" s="1108">
        <f>'QB PL det'!AH101</f>
        <v>0</v>
      </c>
      <c r="BH27" s="1108">
        <f>'QB PL det'!AI101</f>
        <v>0</v>
      </c>
      <c r="BI27" s="1108">
        <f>'QB PL det'!AJ101</f>
        <v>1988.66</v>
      </c>
      <c r="BJ27" s="1108">
        <f>'QB PL det'!AK101</f>
        <v>5863.86</v>
      </c>
      <c r="BK27" s="1108">
        <f>'QB PL det'!AL101</f>
        <v>4502.53</v>
      </c>
      <c r="BL27" s="1108">
        <f>'QB PL det'!AM101</f>
        <v>3158.1</v>
      </c>
      <c r="BM27" s="1108">
        <f>'QB PL det'!AN101</f>
        <v>2987.14</v>
      </c>
      <c r="BN27" s="1108">
        <f>'QB PL det'!AO101</f>
        <v>6406.78</v>
      </c>
      <c r="BO27" s="1108">
        <f>'QB PL det'!AP101</f>
        <v>-3095.6000000000004</v>
      </c>
      <c r="BP27" s="1108">
        <f>'QB PL det'!AQ101</f>
        <v>17516.93</v>
      </c>
      <c r="BQ27" s="1108">
        <f>'QB PL det'!AR101</f>
        <v>16403.580000000002</v>
      </c>
    </row>
    <row r="28" spans="1:84" outlineLevel="1">
      <c r="B28" s="1064"/>
      <c r="C28" s="1107"/>
      <c r="D28" s="1107"/>
      <c r="E28" s="1107"/>
      <c r="F28" s="1107"/>
      <c r="G28" s="1107"/>
      <c r="H28" s="1107" t="b">
        <f ca="1">H27=H26</f>
        <v>1</v>
      </c>
      <c r="I28" s="1107"/>
      <c r="J28" s="1107" t="b">
        <f ca="1">J27=J26</f>
        <v>1</v>
      </c>
      <c r="K28" s="1107"/>
      <c r="L28" s="1107" t="b">
        <f ca="1">L27=L26</f>
        <v>1</v>
      </c>
      <c r="M28" s="1107"/>
      <c r="N28" s="1107"/>
      <c r="O28" s="1107"/>
      <c r="P28" s="1107"/>
      <c r="Q28" s="1105"/>
      <c r="R28" s="1107"/>
      <c r="S28" s="1107"/>
      <c r="U28" s="1107"/>
      <c r="V28" s="1107"/>
      <c r="W28" s="1107"/>
      <c r="X28" s="1107"/>
      <c r="Y28" s="1107"/>
      <c r="Z28" s="1107"/>
      <c r="AA28" s="1107"/>
      <c r="AB28" s="1107"/>
      <c r="AD28" s="1094"/>
      <c r="AE28" s="1094"/>
      <c r="AF28" s="1094"/>
      <c r="AG28" s="1030" t="s">
        <v>1584</v>
      </c>
      <c r="AI28" s="1109">
        <f>'QB PL det'!J102</f>
        <v>-152829.65</v>
      </c>
      <c r="AJ28" s="1109">
        <f>'QB PL det'!K102</f>
        <v>-1009005.76</v>
      </c>
      <c r="AK28" s="1109">
        <f>'QB PL det'!L102</f>
        <v>-722402.37</v>
      </c>
      <c r="AL28" s="1109">
        <f>'QB PL det'!M102</f>
        <v>-446879.12</v>
      </c>
      <c r="AM28" s="1109">
        <f>'QB PL det'!N102</f>
        <v>-485050.56</v>
      </c>
      <c r="AN28" s="1109">
        <f>'QB PL det'!O102</f>
        <v>-662951.31999999983</v>
      </c>
      <c r="AO28" s="1109">
        <f>'QB PL det'!P102</f>
        <v>-483733.15</v>
      </c>
      <c r="AP28" s="1109">
        <f>'QB PL det'!Q102</f>
        <v>-759195.26000000013</v>
      </c>
      <c r="AQ28" s="1109">
        <f>'QB PL det'!R102</f>
        <v>-690062.75</v>
      </c>
      <c r="AR28" s="1109">
        <f>'QB PL det'!S102</f>
        <v>-661551.11999999988</v>
      </c>
      <c r="AS28" s="1109">
        <f>'QB PL det'!T102</f>
        <v>-564152.43999999994</v>
      </c>
      <c r="AT28" s="1109">
        <f>'QB PL det'!U102</f>
        <v>-951710.05000000016</v>
      </c>
      <c r="AU28" s="1109">
        <f>'QB PL det'!V102</f>
        <v>-1472337.75</v>
      </c>
      <c r="AV28" s="1109">
        <f>'QB PL det'!W102</f>
        <v>-1435874.0599999998</v>
      </c>
      <c r="AW28" s="1109">
        <f>'QB PL det'!X102</f>
        <v>-891941.35000000009</v>
      </c>
      <c r="AX28" s="1109">
        <f>'QB PL det'!Y102</f>
        <v>-1143986.9799999997</v>
      </c>
      <c r="AY28" s="1109">
        <f>'QB PL det'!Z102</f>
        <v>-801767.22000000009</v>
      </c>
      <c r="AZ28" s="1109">
        <f>'QB PL det'!AA102</f>
        <v>-998519.58</v>
      </c>
      <c r="BA28" s="1109">
        <f>'QB PL det'!AB102</f>
        <v>-991145.34999999986</v>
      </c>
      <c r="BB28" s="1109">
        <f>'QB PL det'!AC102</f>
        <v>-993825.79999999993</v>
      </c>
      <c r="BC28" s="1109">
        <f>'QB PL det'!AD102</f>
        <v>-1636457.3800000004</v>
      </c>
      <c r="BD28" s="1109">
        <f>'QB PL det'!AE102</f>
        <v>-991061.46</v>
      </c>
      <c r="BE28" s="1109">
        <f>'QB PL det'!AF102</f>
        <v>-1144956.6300000004</v>
      </c>
      <c r="BF28" s="1109">
        <f>'QB PL det'!AG102</f>
        <v>-1475581.6400000006</v>
      </c>
      <c r="BG28" s="1109">
        <f>'QB PL det'!AH102</f>
        <v>-1733907.1</v>
      </c>
      <c r="BH28" s="1109">
        <f>'QB PL det'!AI102</f>
        <v>-1619768.17</v>
      </c>
      <c r="BI28" s="1109">
        <f>'QB PL det'!AJ102</f>
        <v>-1610607.9800000007</v>
      </c>
      <c r="BJ28" s="1109">
        <f>'QB PL det'!AK102</f>
        <v>-1399800.3400000003</v>
      </c>
      <c r="BK28" s="1109">
        <f>'QB PL det'!AL102</f>
        <v>-1720638.8999999997</v>
      </c>
      <c r="BL28" s="1109">
        <f>'QB PL det'!AM102</f>
        <v>-1990593.97</v>
      </c>
      <c r="BM28" s="1109">
        <f>'QB PL det'!AN102</f>
        <v>-1875613.7899999998</v>
      </c>
      <c r="BN28" s="1109">
        <f>'QB PL det'!AO102</f>
        <v>-2546095.1800000006</v>
      </c>
      <c r="BO28" s="1109">
        <f>'QB PL det'!AP102</f>
        <v>-2087602.56</v>
      </c>
      <c r="BP28" s="1109">
        <f>'QB PL det'!AQ102</f>
        <v>-2194952.1800000006</v>
      </c>
      <c r="BQ28" s="1109">
        <f>'QB PL det'!AR102</f>
        <v>-2108920.92</v>
      </c>
    </row>
    <row r="29" spans="1:84" ht="48">
      <c r="B29" s="1110" t="s">
        <v>1564</v>
      </c>
      <c r="C29" s="1110"/>
      <c r="D29" s="1110"/>
      <c r="E29" s="1110"/>
      <c r="F29" s="1110"/>
      <c r="G29" s="1110"/>
      <c r="H29" s="1110"/>
      <c r="I29" s="1110"/>
      <c r="J29" s="1110"/>
      <c r="K29" s="1110"/>
      <c r="L29" s="1110"/>
      <c r="M29" s="1110"/>
      <c r="N29" s="1110"/>
      <c r="O29" s="1110"/>
      <c r="P29" s="1110"/>
      <c r="Q29" s="1111"/>
      <c r="R29" s="1110"/>
      <c r="S29" s="1110"/>
      <c r="T29" s="1110"/>
      <c r="U29" s="1110"/>
      <c r="V29" s="1112">
        <f>SUM(BM28:BP28)</f>
        <v>-8704263.7100000009</v>
      </c>
      <c r="W29" s="1110"/>
      <c r="X29" s="1110"/>
      <c r="Y29" s="1110"/>
      <c r="Z29" s="1110"/>
      <c r="AA29" s="1110"/>
      <c r="AB29" s="1110"/>
      <c r="AG29" s="1030" t="s">
        <v>1585</v>
      </c>
      <c r="AI29" s="1053">
        <f t="shared" ref="AI29:BQ29" ca="1" si="5">(AI22-AI27)+AI28</f>
        <v>0</v>
      </c>
      <c r="AJ29" s="1053">
        <f t="shared" ca="1" si="5"/>
        <v>0</v>
      </c>
      <c r="AK29" s="1053">
        <f t="shared" ca="1" si="5"/>
        <v>0</v>
      </c>
      <c r="AL29" s="1053">
        <f t="shared" ca="1" si="5"/>
        <v>0</v>
      </c>
      <c r="AM29" s="1053">
        <f t="shared" ca="1" si="5"/>
        <v>0</v>
      </c>
      <c r="AN29" s="1053">
        <f t="shared" ca="1" si="5"/>
        <v>0</v>
      </c>
      <c r="AO29" s="1053">
        <f t="shared" ca="1" si="5"/>
        <v>0</v>
      </c>
      <c r="AP29" s="1053">
        <f t="shared" ca="1" si="5"/>
        <v>0</v>
      </c>
      <c r="AQ29" s="1053">
        <f t="shared" ca="1" si="5"/>
        <v>0</v>
      </c>
      <c r="AR29" s="1053">
        <f t="shared" ca="1" si="5"/>
        <v>0</v>
      </c>
      <c r="AS29" s="1053">
        <f t="shared" ca="1" si="5"/>
        <v>0</v>
      </c>
      <c r="AT29" s="1053">
        <f t="shared" ca="1" si="5"/>
        <v>0</v>
      </c>
      <c r="AU29" s="1053">
        <f t="shared" ca="1" si="5"/>
        <v>0</v>
      </c>
      <c r="AV29" s="1053">
        <f t="shared" ca="1" si="5"/>
        <v>0</v>
      </c>
      <c r="AW29" s="1053">
        <f t="shared" ca="1" si="5"/>
        <v>0</v>
      </c>
      <c r="AX29" s="1053">
        <f t="shared" ca="1" si="5"/>
        <v>0</v>
      </c>
      <c r="AY29" s="1053">
        <f t="shared" ca="1" si="5"/>
        <v>0</v>
      </c>
      <c r="AZ29" s="1053">
        <f t="shared" ca="1" si="5"/>
        <v>0</v>
      </c>
      <c r="BA29" s="1053">
        <f t="shared" ca="1" si="5"/>
        <v>0</v>
      </c>
      <c r="BB29" s="1053">
        <f t="shared" ca="1" si="5"/>
        <v>0</v>
      </c>
      <c r="BC29" s="1053">
        <f t="shared" ca="1" si="5"/>
        <v>0</v>
      </c>
      <c r="BD29" s="1053">
        <f t="shared" ca="1" si="5"/>
        <v>0</v>
      </c>
      <c r="BE29" s="1053">
        <f t="shared" ca="1" si="5"/>
        <v>0</v>
      </c>
      <c r="BF29" s="1053">
        <f t="shared" ca="1" si="5"/>
        <v>0</v>
      </c>
      <c r="BG29" s="1053">
        <f t="shared" ca="1" si="5"/>
        <v>0</v>
      </c>
      <c r="BH29" s="1053">
        <f t="shared" ca="1" si="5"/>
        <v>0</v>
      </c>
      <c r="BI29" s="1053">
        <f t="shared" ca="1" si="5"/>
        <v>0</v>
      </c>
      <c r="BJ29" s="1053">
        <f t="shared" ca="1" si="5"/>
        <v>0</v>
      </c>
      <c r="BK29" s="1053">
        <f t="shared" ca="1" si="5"/>
        <v>0</v>
      </c>
      <c r="BL29" s="1053">
        <f t="shared" ca="1" si="5"/>
        <v>0</v>
      </c>
      <c r="BM29" s="1053">
        <f t="shared" ca="1" si="5"/>
        <v>0</v>
      </c>
      <c r="BN29" s="1053">
        <f t="shared" ca="1" si="5"/>
        <v>0</v>
      </c>
      <c r="BO29" s="1053">
        <f t="shared" ca="1" si="5"/>
        <v>0</v>
      </c>
      <c r="BP29" s="1053">
        <f t="shared" ca="1" si="5"/>
        <v>0</v>
      </c>
      <c r="BQ29" s="1053">
        <f t="shared" ca="1" si="5"/>
        <v>0</v>
      </c>
    </row>
    <row r="30" spans="1:84" s="1094" customFormat="1">
      <c r="A30" s="1030"/>
      <c r="B30" s="1061" t="s">
        <v>1601</v>
      </c>
      <c r="C30" s="1055">
        <f>SUMIF($A$11:$A$20,B30,$C$11:$C$20)</f>
        <v>5128.6664900000005</v>
      </c>
      <c r="D30" s="1061"/>
      <c r="E30" s="1061"/>
      <c r="F30" s="1061"/>
      <c r="G30" s="1061"/>
      <c r="H30" s="1055">
        <f ca="1">SUMIF($A$11:$A$20,B30,$H$11:$H$20)</f>
        <v>8281.7036900000003</v>
      </c>
      <c r="I30" s="1061"/>
      <c r="J30" s="1055">
        <f ca="1">SUMIF($A$11:$A$20,B30,$J$11:$J$20)</f>
        <v>5423.4580800000003</v>
      </c>
      <c r="K30" s="1055"/>
      <c r="L30" s="1055">
        <f ca="1">SUMIF($A$11:$A$20,B30,$L$11:$L$20)</f>
        <v>1408.16329</v>
      </c>
      <c r="M30" s="1061"/>
      <c r="N30" s="1061"/>
      <c r="O30" s="1061"/>
      <c r="P30" s="1061"/>
      <c r="Q30" s="1093"/>
      <c r="R30" s="1055"/>
      <c r="S30" s="1061"/>
      <c r="T30" s="1061"/>
      <c r="U30" s="1061"/>
      <c r="V30" s="1055"/>
      <c r="W30" s="1061"/>
      <c r="X30" s="1061"/>
      <c r="Y30" s="1061"/>
      <c r="Z30" s="1061"/>
      <c r="AA30" s="1061"/>
      <c r="AB30" s="1061"/>
      <c r="AC30" s="1030"/>
      <c r="AD30" s="1030"/>
      <c r="AE30" s="1030"/>
      <c r="AF30" s="1030"/>
      <c r="AG30" s="1030"/>
      <c r="AH30" s="1030"/>
      <c r="AI30" s="1030"/>
      <c r="AJ30" s="1030"/>
      <c r="AK30" s="1030"/>
      <c r="AL30" s="1030"/>
      <c r="AM30" s="1030"/>
      <c r="AN30" s="1030"/>
      <c r="AO30" s="1030"/>
      <c r="AP30" s="1030"/>
      <c r="AQ30" s="1030"/>
      <c r="AR30" s="1030"/>
      <c r="AS30" s="1030"/>
      <c r="AT30" s="1030"/>
      <c r="AU30" s="1030"/>
      <c r="AV30" s="1030"/>
      <c r="AW30" s="1030"/>
      <c r="AX30" s="1030"/>
      <c r="AY30" s="1030"/>
      <c r="AZ30" s="1030"/>
      <c r="BA30" s="1030"/>
      <c r="BB30" s="1030"/>
      <c r="BC30" s="1030"/>
      <c r="BD30" s="1030"/>
      <c r="BE30" s="1030"/>
      <c r="BF30" s="1030"/>
      <c r="BG30" s="1030"/>
      <c r="BH30" s="1030"/>
      <c r="BI30" s="1030"/>
      <c r="BJ30" s="1030"/>
      <c r="BK30" s="1030"/>
      <c r="BL30" s="1030"/>
      <c r="BM30" s="1030"/>
      <c r="BN30" s="1030"/>
      <c r="BO30" s="1030"/>
      <c r="BP30" s="1030"/>
      <c r="BQ30" s="1030"/>
      <c r="BR30" s="1030"/>
      <c r="BS30" s="1030"/>
      <c r="BT30" s="1030"/>
      <c r="BU30" s="1030"/>
      <c r="BV30" s="1030"/>
      <c r="BW30" s="1030"/>
      <c r="BX30" s="1030"/>
      <c r="BY30" s="1030"/>
      <c r="BZ30" s="1030"/>
      <c r="CA30" s="1030"/>
      <c r="CB30" s="1030"/>
      <c r="CC30" s="1030"/>
      <c r="CD30" s="1030"/>
      <c r="CE30" s="1030"/>
      <c r="CF30" s="1030"/>
    </row>
    <row r="31" spans="1:84">
      <c r="B31" s="1061" t="s">
        <v>1600</v>
      </c>
      <c r="C31" s="1055">
        <f>SUMIF($A$11:$A$20,B31,$C$11:$C$20)</f>
        <v>5724.7369699999999</v>
      </c>
      <c r="D31" s="1061"/>
      <c r="E31" s="1061"/>
      <c r="F31" s="1061"/>
      <c r="G31" s="1061"/>
      <c r="H31" s="1055">
        <f ca="1">SUMIF($A$11:$A$20,B31,$H$11:$H$20)</f>
        <v>9042.1541799999995</v>
      </c>
      <c r="I31" s="1061"/>
      <c r="J31" s="1055">
        <f ca="1">SUMIF($A$11:$A$20,B31,$J$11:$J$20)</f>
        <v>5431.37363</v>
      </c>
      <c r="K31" s="1061"/>
      <c r="L31" s="1055">
        <f ca="1">SUMIF($A$11:$A$20,B31,$L$11:$L$20)</f>
        <v>2069.0477699999997</v>
      </c>
      <c r="M31" s="1061"/>
      <c r="N31" s="1061"/>
      <c r="O31" s="1061"/>
      <c r="P31" s="1061"/>
      <c r="Q31" s="1093"/>
      <c r="R31" s="1055"/>
      <c r="S31" s="1061"/>
      <c r="T31" s="1061"/>
      <c r="U31" s="1061"/>
      <c r="V31" s="1055"/>
      <c r="W31" s="1061"/>
      <c r="X31" s="1061"/>
      <c r="Y31" s="1061"/>
      <c r="Z31" s="1061"/>
      <c r="AA31" s="1061"/>
      <c r="AB31" s="1061"/>
      <c r="AG31" s="1030" t="s">
        <v>1586</v>
      </c>
      <c r="AI31" s="1057">
        <f ca="1">'QB PL det'!J69-AI22</f>
        <v>0</v>
      </c>
      <c r="AJ31" s="1057">
        <f ca="1">'QB PL det'!K69-AJ22</f>
        <v>0</v>
      </c>
      <c r="AK31" s="1057">
        <f ca="1">'QB PL det'!L69-AK22</f>
        <v>0</v>
      </c>
      <c r="AL31" s="1057">
        <f ca="1">'QB PL det'!M69-AL22</f>
        <v>0</v>
      </c>
      <c r="AM31" s="1057">
        <f ca="1">'QB PL det'!N69-AM22</f>
        <v>0</v>
      </c>
      <c r="AN31" s="1057">
        <f ca="1">'QB PL det'!O69-AN22</f>
        <v>0</v>
      </c>
      <c r="AO31" s="1057">
        <f ca="1">'QB PL det'!P69-AO22</f>
        <v>0</v>
      </c>
      <c r="AP31" s="1057">
        <f ca="1">'QB PL det'!Q69-AP22</f>
        <v>0</v>
      </c>
      <c r="AQ31" s="1057">
        <f ca="1">'QB PL det'!R69-AQ22</f>
        <v>0</v>
      </c>
      <c r="AR31" s="1057">
        <f ca="1">'QB PL det'!S69-AR22</f>
        <v>0</v>
      </c>
      <c r="AS31" s="1057">
        <f ca="1">'QB PL det'!T69-AS22</f>
        <v>0</v>
      </c>
      <c r="AT31" s="1057">
        <f ca="1">'QB PL det'!U69-AT22</f>
        <v>0</v>
      </c>
      <c r="AU31" s="1057">
        <f ca="1">'QB PL det'!V69-AU22</f>
        <v>0</v>
      </c>
      <c r="AV31" s="1057">
        <f ca="1">'QB PL det'!W69-AV22</f>
        <v>0</v>
      </c>
      <c r="AW31" s="1057">
        <f ca="1">'QB PL det'!X69-AW22</f>
        <v>0</v>
      </c>
      <c r="AX31" s="1057">
        <f ca="1">'QB PL det'!Y69-AX22</f>
        <v>0</v>
      </c>
      <c r="AY31" s="1057">
        <f ca="1">'QB PL det'!Z69-AY22</f>
        <v>0</v>
      </c>
      <c r="AZ31" s="1057">
        <f ca="1">'QB PL det'!AA69-AZ22</f>
        <v>0</v>
      </c>
      <c r="BA31" s="1057">
        <f ca="1">'QB PL det'!AB69-BA22</f>
        <v>0</v>
      </c>
      <c r="BB31" s="1057">
        <f ca="1">'QB PL det'!AC69-BB22</f>
        <v>0</v>
      </c>
      <c r="BC31" s="1057">
        <f ca="1">'QB PL det'!AD69-BC22</f>
        <v>0</v>
      </c>
      <c r="BD31" s="1057">
        <f ca="1">'QB PL det'!AE69-BD22</f>
        <v>0</v>
      </c>
      <c r="BE31" s="1057">
        <f ca="1">'QB PL det'!AF69-BE22</f>
        <v>0</v>
      </c>
      <c r="BF31" s="1057">
        <f ca="1">'QB PL det'!AG69-BF22</f>
        <v>0</v>
      </c>
      <c r="BG31" s="1057">
        <f ca="1">'QB PL det'!AH69-BG22</f>
        <v>0</v>
      </c>
      <c r="BH31" s="1057">
        <f ca="1">'QB PL det'!AI69-BH22</f>
        <v>0</v>
      </c>
      <c r="BI31" s="1057">
        <f ca="1">'QB PL det'!AJ69-BI22</f>
        <v>0</v>
      </c>
      <c r="BJ31" s="1057">
        <f ca="1">'QB PL det'!AK69-BJ22</f>
        <v>0</v>
      </c>
      <c r="BK31" s="1057">
        <f ca="1">'QB PL det'!AL69-BK22</f>
        <v>0</v>
      </c>
      <c r="BL31" s="1057">
        <f ca="1">'QB PL det'!AM69-BL22</f>
        <v>0</v>
      </c>
      <c r="BM31" s="1057">
        <f ca="1">'QB PL det'!AN69-BM22</f>
        <v>0</v>
      </c>
      <c r="BN31" s="1057">
        <f ca="1">'QB PL det'!AO69-BN22</f>
        <v>0</v>
      </c>
      <c r="BO31" s="1057">
        <f ca="1">'QB PL det'!AP69-BO22</f>
        <v>0</v>
      </c>
      <c r="BP31" s="1057">
        <f ca="1">'QB PL det'!AQ69-BP22</f>
        <v>0</v>
      </c>
      <c r="BQ31" s="1057">
        <f ca="1">'QB PL det'!AR69-BQ22</f>
        <v>0</v>
      </c>
    </row>
    <row r="32" spans="1:84" ht="15.6" customHeight="1">
      <c r="B32" s="1114"/>
      <c r="C32" s="1115"/>
      <c r="D32" s="1115"/>
      <c r="E32" s="1115"/>
      <c r="F32" s="1115"/>
      <c r="G32" s="1115"/>
      <c r="H32" s="1115"/>
      <c r="I32" s="1115"/>
      <c r="J32" s="1115"/>
      <c r="K32" s="1115"/>
      <c r="L32" s="1115"/>
      <c r="M32" s="1115"/>
      <c r="N32" s="1115"/>
      <c r="O32" s="1115"/>
      <c r="P32" s="1115"/>
      <c r="Q32" s="1093"/>
      <c r="R32" s="1055"/>
      <c r="S32" s="1061"/>
      <c r="T32" s="1061"/>
      <c r="U32" s="1061"/>
      <c r="V32" s="1055"/>
      <c r="W32" s="1061"/>
      <c r="X32" s="1061"/>
      <c r="Y32" s="1061"/>
      <c r="Z32" s="1061"/>
      <c r="AA32" s="1061"/>
      <c r="AB32" s="1061"/>
    </row>
    <row r="33" spans="1:31" ht="20.45" customHeight="1">
      <c r="B33" s="1033" t="s">
        <v>1502</v>
      </c>
      <c r="C33" s="1033"/>
      <c r="D33" s="1116"/>
      <c r="E33" s="1116"/>
      <c r="F33" s="1116"/>
      <c r="G33" s="1116"/>
      <c r="H33" s="1116"/>
      <c r="I33" s="1116"/>
      <c r="J33" s="1116"/>
      <c r="K33" s="1116"/>
      <c r="L33" s="1116"/>
      <c r="M33" s="1116"/>
      <c r="N33" s="1116"/>
      <c r="O33" s="1116"/>
      <c r="P33" s="1116"/>
      <c r="Q33" s="1093"/>
      <c r="R33" s="1055"/>
      <c r="S33" s="1033" t="s">
        <v>1502</v>
      </c>
      <c r="T33" s="1033"/>
      <c r="U33" s="1033"/>
      <c r="V33" s="1033"/>
      <c r="W33" s="1033"/>
      <c r="X33" s="1033"/>
      <c r="Y33" s="1033"/>
      <c r="Z33" s="1033"/>
      <c r="AA33" s="1033"/>
      <c r="AB33" s="1033"/>
      <c r="AC33" s="1033"/>
    </row>
    <row r="34" spans="1:31" ht="16.5" customHeight="1">
      <c r="B34" s="1068" t="s">
        <v>1566</v>
      </c>
      <c r="C34" s="1068"/>
      <c r="D34" s="1116"/>
      <c r="E34" s="1116"/>
      <c r="F34" s="1116"/>
      <c r="G34" s="1116"/>
      <c r="H34" s="1116"/>
      <c r="I34" s="1116"/>
      <c r="J34" s="1116"/>
      <c r="K34" s="1116"/>
      <c r="L34" s="1116"/>
      <c r="M34" s="1116"/>
      <c r="N34" s="1116"/>
      <c r="O34" s="1116"/>
      <c r="P34" s="1116"/>
      <c r="Q34" s="1093"/>
      <c r="R34" s="1055"/>
      <c r="S34" s="1068" t="s">
        <v>1587</v>
      </c>
      <c r="T34" s="1068"/>
      <c r="U34" s="1068"/>
      <c r="V34" s="1068"/>
      <c r="W34" s="1068"/>
      <c r="X34" s="1068"/>
      <c r="Y34" s="1068"/>
      <c r="Z34" s="1068"/>
      <c r="AA34" s="1068"/>
      <c r="AB34" s="1068"/>
      <c r="AC34" s="1068"/>
    </row>
    <row r="35" spans="1:31" ht="19.5" customHeight="1">
      <c r="B35" s="1068" t="s">
        <v>1504</v>
      </c>
      <c r="C35" s="1068"/>
      <c r="D35" s="1116"/>
      <c r="E35" s="1116"/>
      <c r="F35" s="1116"/>
      <c r="G35" s="1116"/>
      <c r="H35" s="1116"/>
      <c r="I35" s="1116"/>
      <c r="J35" s="1116"/>
      <c r="K35" s="1116"/>
      <c r="L35" s="1116"/>
      <c r="M35" s="1116"/>
      <c r="N35" s="1116"/>
      <c r="O35" s="1116"/>
      <c r="P35" s="1116"/>
      <c r="Q35" s="1093"/>
      <c r="R35" s="1055"/>
      <c r="S35" s="1068" t="s">
        <v>1504</v>
      </c>
      <c r="T35" s="1068"/>
      <c r="U35" s="1068"/>
      <c r="V35" s="1068"/>
      <c r="W35" s="1068"/>
      <c r="X35" s="1068"/>
      <c r="Y35" s="1068"/>
      <c r="Z35" s="1068"/>
      <c r="AA35" s="1068"/>
      <c r="AB35" s="1068"/>
      <c r="AC35" s="1068"/>
    </row>
    <row r="36" spans="1:31" ht="26.25">
      <c r="B36" s="1116"/>
      <c r="C36" s="1116"/>
      <c r="D36" s="1116"/>
      <c r="E36" s="1116"/>
      <c r="F36" s="1116"/>
      <c r="G36" s="1116"/>
      <c r="H36" s="1116"/>
      <c r="I36" s="1116"/>
      <c r="J36" s="1116"/>
      <c r="K36" s="1116"/>
      <c r="L36" s="1116"/>
      <c r="M36" s="1116"/>
      <c r="N36" s="1116"/>
      <c r="O36" s="1116"/>
      <c r="P36" s="1116"/>
      <c r="Q36" s="1093"/>
      <c r="R36" s="1055"/>
      <c r="S36" s="1061"/>
      <c r="T36" s="1061"/>
      <c r="U36" s="1061"/>
      <c r="V36" s="1055"/>
      <c r="W36" s="1061"/>
      <c r="X36" s="1061"/>
      <c r="Y36" s="1061"/>
      <c r="Z36" s="1061"/>
      <c r="AA36" s="1061"/>
      <c r="AB36" s="1061"/>
    </row>
    <row r="37" spans="1:31">
      <c r="C37" s="1074"/>
      <c r="D37" s="1030"/>
      <c r="Q37" s="1093"/>
      <c r="R37" s="1055"/>
      <c r="S37" s="1061"/>
      <c r="T37" s="1061"/>
      <c r="U37" s="1061"/>
      <c r="V37" s="1055"/>
      <c r="W37" s="1061"/>
      <c r="X37" s="1061"/>
      <c r="Y37" s="1061"/>
      <c r="Z37" s="1061"/>
      <c r="AA37" s="1061"/>
      <c r="AB37" s="1061"/>
    </row>
    <row r="38" spans="1:31">
      <c r="A38" s="1058"/>
      <c r="C38" s="1038" t="s">
        <v>377</v>
      </c>
      <c r="D38" s="1039"/>
      <c r="E38" s="1039"/>
      <c r="F38" s="1039"/>
      <c r="G38" s="1039"/>
      <c r="H38" s="1039"/>
      <c r="I38" s="1039"/>
      <c r="J38" s="1039"/>
      <c r="K38" s="1039"/>
      <c r="L38" s="1039"/>
      <c r="M38" s="1039"/>
      <c r="N38" s="1039"/>
      <c r="O38" s="1039"/>
      <c r="P38" s="1039"/>
      <c r="Q38" s="1093"/>
      <c r="R38" s="1055"/>
      <c r="S38" s="1061"/>
      <c r="T38" s="1061"/>
      <c r="U38" s="1061"/>
      <c r="V38" s="1055"/>
      <c r="W38" s="1061"/>
      <c r="X38" s="1061"/>
      <c r="Y38" s="1061"/>
      <c r="Z38" s="1061"/>
      <c r="AA38" s="1061"/>
      <c r="AB38" s="1061"/>
    </row>
    <row r="39" spans="1:31">
      <c r="B39" s="1079"/>
      <c r="C39" s="1045" t="str">
        <f>C7</f>
        <v>May 31, 2018</v>
      </c>
      <c r="D39" s="1046"/>
      <c r="E39" s="1046"/>
      <c r="F39" s="1046"/>
      <c r="G39" s="1046"/>
      <c r="H39" s="1046"/>
      <c r="I39" s="1046"/>
      <c r="J39" s="1046"/>
      <c r="K39" s="1046"/>
      <c r="L39" s="1046"/>
      <c r="M39" s="1046"/>
      <c r="N39" s="1046"/>
      <c r="O39" s="1046"/>
      <c r="P39" s="1046"/>
      <c r="Q39" s="1093"/>
      <c r="R39" s="1055"/>
      <c r="S39" s="1061"/>
      <c r="T39" s="1061"/>
      <c r="U39" s="1061"/>
      <c r="V39" s="1055"/>
      <c r="W39" s="1061"/>
      <c r="X39" s="1061"/>
      <c r="Y39" s="1117" t="s">
        <v>1567</v>
      </c>
      <c r="Z39" s="1117" t="s">
        <v>1568</v>
      </c>
      <c r="AA39" s="1117" t="s">
        <v>1569</v>
      </c>
      <c r="AB39" s="1117" t="s">
        <v>1570</v>
      </c>
      <c r="AC39" s="1030">
        <v>2017</v>
      </c>
    </row>
    <row r="40" spans="1:31">
      <c r="C40" s="1048" t="s">
        <v>1548</v>
      </c>
      <c r="D40" s="1049"/>
      <c r="E40" s="1049"/>
      <c r="F40" s="1049"/>
      <c r="G40" s="1049"/>
      <c r="H40" s="1049"/>
      <c r="I40" s="1049"/>
      <c r="J40" s="1049"/>
      <c r="K40" s="1049"/>
      <c r="L40" s="1049"/>
      <c r="M40" s="1049"/>
      <c r="N40" s="1049"/>
      <c r="O40" s="1049"/>
      <c r="P40" s="1049"/>
      <c r="Q40" s="1081"/>
      <c r="R40" s="1055"/>
      <c r="S40" s="1061"/>
      <c r="T40" s="1061"/>
      <c r="U40" s="1061"/>
      <c r="V40" s="1055"/>
      <c r="W40" s="1061"/>
      <c r="X40" s="1061"/>
      <c r="Y40" s="1118" t="s">
        <v>1548</v>
      </c>
      <c r="Z40" s="1118" t="s">
        <v>1548</v>
      </c>
      <c r="AA40" s="1118" t="s">
        <v>1548</v>
      </c>
      <c r="AB40" s="1118" t="s">
        <v>1548</v>
      </c>
      <c r="AC40" s="1118" t="s">
        <v>1548</v>
      </c>
      <c r="AE40" s="1119" t="s">
        <v>1585</v>
      </c>
    </row>
    <row r="41" spans="1:31">
      <c r="B41" s="1083" t="s">
        <v>1572</v>
      </c>
      <c r="C41" s="1049"/>
      <c r="D41" s="1049"/>
      <c r="E41" s="1049"/>
      <c r="F41" s="1049"/>
      <c r="G41" s="1049"/>
      <c r="H41" s="1049"/>
      <c r="I41" s="1049"/>
      <c r="J41" s="1049"/>
      <c r="K41" s="1049"/>
      <c r="L41" s="1049"/>
      <c r="M41" s="1049"/>
      <c r="N41" s="1049"/>
      <c r="O41" s="1049"/>
      <c r="P41" s="1049"/>
      <c r="Q41" s="1081"/>
      <c r="R41" s="1055"/>
      <c r="S41" s="1083" t="s">
        <v>1572</v>
      </c>
      <c r="T41" s="1061"/>
      <c r="U41" s="1061"/>
      <c r="V41" s="1055"/>
      <c r="W41" s="1061"/>
      <c r="X41" s="1061"/>
      <c r="Y41" s="1061"/>
      <c r="Z41" s="1061"/>
      <c r="AA41" s="1061"/>
      <c r="AB41" s="1061"/>
    </row>
    <row r="42" spans="1:31">
      <c r="B42" s="1084" t="s">
        <v>1573</v>
      </c>
      <c r="C42" s="1085">
        <f>C11+C12</f>
        <v>3617.6371000000004</v>
      </c>
      <c r="D42" s="1086"/>
      <c r="E42" s="1086"/>
      <c r="F42" s="1120">
        <f>-C42/$C$52</f>
        <v>0.33485988448983461</v>
      </c>
      <c r="G42" s="1086"/>
      <c r="H42" s="1086"/>
      <c r="I42" s="1086"/>
      <c r="J42" s="1086"/>
      <c r="K42" s="1086"/>
      <c r="L42" s="1086"/>
      <c r="M42" s="1086"/>
      <c r="N42" s="1086"/>
      <c r="O42" s="1086"/>
      <c r="P42" s="1086"/>
      <c r="Q42" s="1088"/>
      <c r="R42" s="1055"/>
      <c r="S42" s="1084" t="s">
        <v>1573</v>
      </c>
      <c r="T42" s="1061"/>
      <c r="U42" s="1061"/>
      <c r="V42" s="1055"/>
      <c r="W42" s="1061"/>
      <c r="X42" s="1061"/>
      <c r="Y42" s="1085">
        <f>Y11+Y12</f>
        <v>2341.6169</v>
      </c>
      <c r="Z42" s="1085">
        <f t="shared" ref="Z42:AB42" si="6">Z11+Z12</f>
        <v>1276.0201999999997</v>
      </c>
      <c r="AA42" s="1085">
        <f t="shared" si="6"/>
        <v>0</v>
      </c>
      <c r="AB42" s="1085">
        <f t="shared" si="6"/>
        <v>0</v>
      </c>
      <c r="AC42" s="1052">
        <f>C42</f>
        <v>3617.6371000000004</v>
      </c>
      <c r="AE42" s="1052">
        <f>SUM(Y42:AB42)</f>
        <v>3617.6370999999999</v>
      </c>
    </row>
    <row r="43" spans="1:31">
      <c r="B43" s="1084" t="s">
        <v>1588</v>
      </c>
      <c r="C43" s="1056">
        <f>C14+C15</f>
        <v>5624.5047599999998</v>
      </c>
      <c r="D43" s="1086"/>
      <c r="E43" s="1086"/>
      <c r="F43" s="1120">
        <f t="shared" ref="F43:F46" si="7">-C43/$C$52</f>
        <v>0.52062187615394717</v>
      </c>
      <c r="G43" s="1086"/>
      <c r="H43" s="1086"/>
      <c r="I43" s="1086"/>
      <c r="J43" s="1086"/>
      <c r="K43" s="1086"/>
      <c r="L43" s="1086"/>
      <c r="M43" s="1086"/>
      <c r="N43" s="1086"/>
      <c r="O43" s="1086"/>
      <c r="P43" s="1086"/>
      <c r="Q43" s="1088"/>
      <c r="R43" s="1055"/>
      <c r="S43" s="1084" t="s">
        <v>1588</v>
      </c>
      <c r="T43" s="1061"/>
      <c r="U43" s="1061"/>
      <c r="V43" s="1055"/>
      <c r="W43" s="1061"/>
      <c r="X43" s="1061"/>
      <c r="Y43" s="1056">
        <f>Y14+Y15</f>
        <v>3249.8368200000004</v>
      </c>
      <c r="Z43" s="1056">
        <f>Z14+Z15</f>
        <v>2374.6679399999998</v>
      </c>
      <c r="AA43" s="1056">
        <f>AA14+AA15</f>
        <v>0</v>
      </c>
      <c r="AB43" s="1056">
        <f>AB14+AB15</f>
        <v>0</v>
      </c>
      <c r="AC43" s="1057">
        <f>C43</f>
        <v>5624.5047599999998</v>
      </c>
      <c r="AE43" s="1052">
        <f t="shared" ref="AE43:AE52" si="8">SUM(Y43:AB43)</f>
        <v>5624.5047599999998</v>
      </c>
    </row>
    <row r="44" spans="1:31">
      <c r="B44" s="1084" t="s">
        <v>1589</v>
      </c>
      <c r="C44" s="1056">
        <f>C17</f>
        <v>581.58654000000001</v>
      </c>
      <c r="D44" s="1089"/>
      <c r="E44" s="1089"/>
      <c r="F44" s="1120">
        <f t="shared" si="7"/>
        <v>5.3833481972319047E-2</v>
      </c>
      <c r="G44" s="1089"/>
      <c r="H44" s="1089"/>
      <c r="I44" s="1089"/>
      <c r="J44" s="1089"/>
      <c r="K44" s="1089"/>
      <c r="L44" s="1089"/>
      <c r="M44" s="1089"/>
      <c r="N44" s="1089"/>
      <c r="O44" s="1089"/>
      <c r="P44" s="1089"/>
      <c r="Q44" s="1090"/>
      <c r="R44" s="1055"/>
      <c r="S44" s="1084" t="s">
        <v>1589</v>
      </c>
      <c r="T44" s="1061"/>
      <c r="U44" s="1061"/>
      <c r="V44" s="1055"/>
      <c r="W44" s="1061"/>
      <c r="X44" s="1061"/>
      <c r="Y44" s="1056">
        <f t="shared" ref="Y44:AB45" si="9">Y17</f>
        <v>320.68504000000001</v>
      </c>
      <c r="Z44" s="1056">
        <f t="shared" si="9"/>
        <v>260.9015</v>
      </c>
      <c r="AA44" s="1056">
        <f t="shared" si="9"/>
        <v>0</v>
      </c>
      <c r="AB44" s="1056">
        <f t="shared" si="9"/>
        <v>0</v>
      </c>
      <c r="AC44" s="1057">
        <f t="shared" ref="AC44:AC46" si="10">C44</f>
        <v>581.58654000000001</v>
      </c>
      <c r="AE44" s="1052">
        <f t="shared" si="8"/>
        <v>581.58654000000001</v>
      </c>
    </row>
    <row r="45" spans="1:31">
      <c r="B45" s="1084" t="s">
        <v>1578</v>
      </c>
      <c r="C45" s="1056">
        <f>C18</f>
        <v>100.23220999999999</v>
      </c>
      <c r="D45" s="1089"/>
      <c r="E45" s="1089"/>
      <c r="F45" s="1120">
        <f t="shared" si="7"/>
        <v>9.2778090601627356E-3</v>
      </c>
      <c r="G45" s="1089"/>
      <c r="H45" s="1089"/>
      <c r="I45" s="1089"/>
      <c r="J45" s="1089"/>
      <c r="K45" s="1089"/>
      <c r="L45" s="1089"/>
      <c r="M45" s="1089"/>
      <c r="N45" s="1089"/>
      <c r="O45" s="1089"/>
      <c r="P45" s="1089"/>
      <c r="Q45" s="1090"/>
      <c r="R45" s="1055"/>
      <c r="S45" s="1084" t="s">
        <v>1578</v>
      </c>
      <c r="T45" s="1061"/>
      <c r="U45" s="1061"/>
      <c r="V45" s="1055"/>
      <c r="W45" s="1061"/>
      <c r="X45" s="1061"/>
      <c r="Y45" s="1056">
        <f t="shared" si="9"/>
        <v>41.955759999999998</v>
      </c>
      <c r="Z45" s="1056">
        <f t="shared" si="9"/>
        <v>58.276449999999997</v>
      </c>
      <c r="AA45" s="1056">
        <f t="shared" si="9"/>
        <v>0</v>
      </c>
      <c r="AB45" s="1056">
        <f t="shared" si="9"/>
        <v>0</v>
      </c>
      <c r="AC45" s="1057">
        <f>C45</f>
        <v>100.23220999999999</v>
      </c>
      <c r="AE45" s="1052">
        <f t="shared" si="8"/>
        <v>100.23220999999999</v>
      </c>
    </row>
    <row r="46" spans="1:31">
      <c r="B46" s="1084" t="s">
        <v>1579</v>
      </c>
      <c r="C46" s="1057">
        <f>C20</f>
        <v>929.44285000000002</v>
      </c>
      <c r="D46" s="1089"/>
      <c r="E46" s="1089"/>
      <c r="F46" s="1120">
        <f t="shared" si="7"/>
        <v>8.6032157673002263E-2</v>
      </c>
      <c r="G46" s="1089"/>
      <c r="H46" s="1089"/>
      <c r="I46" s="1089"/>
      <c r="J46" s="1089"/>
      <c r="K46" s="1089"/>
      <c r="L46" s="1089"/>
      <c r="M46" s="1089"/>
      <c r="N46" s="1089"/>
      <c r="O46" s="1089"/>
      <c r="P46" s="1089"/>
      <c r="Q46" s="1090"/>
      <c r="R46" s="1055"/>
      <c r="S46" s="1084" t="s">
        <v>1590</v>
      </c>
      <c r="T46" s="1061"/>
      <c r="U46" s="1061"/>
      <c r="V46" s="1055"/>
      <c r="W46" s="1061"/>
      <c r="X46" s="1061"/>
      <c r="Y46" s="1057">
        <f>Y20</f>
        <v>561.51533000000006</v>
      </c>
      <c r="Z46" s="1057">
        <f>Z20</f>
        <v>367.92751999999996</v>
      </c>
      <c r="AA46" s="1057">
        <f>AA20</f>
        <v>0</v>
      </c>
      <c r="AB46" s="1057">
        <f>AB20</f>
        <v>0</v>
      </c>
      <c r="AC46" s="1057">
        <f t="shared" si="10"/>
        <v>929.44285000000002</v>
      </c>
      <c r="AE46" s="1052">
        <f t="shared" si="8"/>
        <v>929.44285000000002</v>
      </c>
    </row>
    <row r="47" spans="1:31">
      <c r="B47" s="1084"/>
      <c r="C47" s="1089"/>
      <c r="D47" s="1089"/>
      <c r="E47" s="1089"/>
      <c r="F47" s="1089"/>
      <c r="G47" s="1089"/>
      <c r="H47" s="1089"/>
      <c r="I47" s="1089"/>
      <c r="J47" s="1089"/>
      <c r="K47" s="1089"/>
      <c r="L47" s="1089"/>
      <c r="M47" s="1089"/>
      <c r="N47" s="1089"/>
      <c r="O47" s="1089"/>
      <c r="P47" s="1089"/>
      <c r="Q47" s="1090"/>
      <c r="R47" s="1055"/>
      <c r="S47" s="1084"/>
      <c r="T47" s="1061"/>
      <c r="U47" s="1061"/>
      <c r="V47" s="1055"/>
      <c r="W47" s="1061"/>
      <c r="X47" s="1061"/>
      <c r="Y47" s="1089"/>
      <c r="Z47" s="1089"/>
      <c r="AA47" s="1089"/>
      <c r="AB47" s="1089"/>
    </row>
    <row r="48" spans="1:31" s="1121" customFormat="1">
      <c r="B48" s="1121" t="s">
        <v>88</v>
      </c>
      <c r="C48" s="1122">
        <f>SUM(C42:C46)</f>
        <v>10853.40346</v>
      </c>
      <c r="D48" s="1123"/>
      <c r="E48" s="1123"/>
      <c r="F48" s="1123"/>
      <c r="G48" s="1123"/>
      <c r="H48" s="1123"/>
      <c r="I48" s="1123"/>
      <c r="J48" s="1123"/>
      <c r="K48" s="1123"/>
      <c r="L48" s="1123"/>
      <c r="M48" s="1123"/>
      <c r="N48" s="1123"/>
      <c r="O48" s="1123"/>
      <c r="P48" s="1123"/>
      <c r="Q48" s="1123"/>
      <c r="R48" s="1124"/>
      <c r="S48" s="1121" t="s">
        <v>88</v>
      </c>
      <c r="T48" s="1125"/>
      <c r="U48" s="1125"/>
      <c r="V48" s="1124"/>
      <c r="W48" s="1125"/>
      <c r="X48" s="1125"/>
      <c r="Y48" s="1122">
        <f>SUM(Y42:Y46)</f>
        <v>6515.6098500000007</v>
      </c>
      <c r="Z48" s="1122">
        <f>SUM(Z42:Z46)</f>
        <v>4337.7936099999988</v>
      </c>
      <c r="AA48" s="1122">
        <f>SUM(AA42:AA46)</f>
        <v>0</v>
      </c>
      <c r="AB48" s="1122">
        <f>SUM(AB42:AB46)</f>
        <v>0</v>
      </c>
      <c r="AC48" s="1122">
        <f>SUM(AC42:AC46)</f>
        <v>10853.40346</v>
      </c>
      <c r="AE48" s="1126">
        <f t="shared" si="8"/>
        <v>10853.40346</v>
      </c>
    </row>
    <row r="49" spans="1:84">
      <c r="B49" s="1094"/>
      <c r="C49" s="1085"/>
      <c r="D49" s="1097"/>
      <c r="E49" s="1097"/>
      <c r="F49" s="1097"/>
      <c r="G49" s="1097"/>
      <c r="H49" s="1097"/>
      <c r="I49" s="1097"/>
      <c r="J49" s="1097"/>
      <c r="K49" s="1097"/>
      <c r="L49" s="1097"/>
      <c r="M49" s="1097"/>
      <c r="N49" s="1097"/>
      <c r="O49" s="1097"/>
      <c r="P49" s="1097"/>
      <c r="Q49" s="1098"/>
      <c r="R49" s="1055"/>
      <c r="S49" s="1094"/>
      <c r="T49" s="1061"/>
      <c r="U49" s="1061"/>
      <c r="V49" s="1055"/>
      <c r="W49" s="1061"/>
      <c r="X49" s="1061"/>
      <c r="Y49" s="1085"/>
      <c r="Z49" s="1085"/>
      <c r="AA49" s="1085"/>
      <c r="AB49" s="1085"/>
    </row>
    <row r="50" spans="1:84">
      <c r="A50" s="1094"/>
      <c r="B50" s="1094" t="s">
        <v>1591</v>
      </c>
      <c r="C50" s="1085">
        <f>C24</f>
        <v>49.968150000000001</v>
      </c>
      <c r="D50" s="1097"/>
      <c r="E50" s="1097"/>
      <c r="F50" s="1097"/>
      <c r="G50" s="1097"/>
      <c r="H50" s="1097"/>
      <c r="I50" s="1097"/>
      <c r="J50" s="1097"/>
      <c r="K50" s="1097"/>
      <c r="L50" s="1097"/>
      <c r="M50" s="1097"/>
      <c r="N50" s="1097"/>
      <c r="O50" s="1097"/>
      <c r="P50" s="1097"/>
      <c r="Q50" s="1098"/>
      <c r="R50" s="1055"/>
      <c r="S50" s="1094"/>
      <c r="T50" s="1094" t="s">
        <v>1591</v>
      </c>
      <c r="U50" s="1061"/>
      <c r="V50" s="1055"/>
      <c r="W50" s="1061"/>
      <c r="X50" s="1061"/>
      <c r="Y50" s="1085">
        <f>Y24</f>
        <v>16.047639999999998</v>
      </c>
      <c r="Z50" s="1085">
        <f ca="1">Z24</f>
        <v>33.92051</v>
      </c>
      <c r="AA50" s="1085">
        <f t="shared" ref="AA50:AB50" si="11">AA24</f>
        <v>0</v>
      </c>
      <c r="AB50" s="1085">
        <f t="shared" si="11"/>
        <v>0</v>
      </c>
      <c r="AC50" s="1052">
        <f>C50</f>
        <v>49.968150000000001</v>
      </c>
      <c r="AE50" s="1052">
        <f t="shared" ca="1" si="8"/>
        <v>49.968149999999994</v>
      </c>
      <c r="BR50" s="1032"/>
      <c r="BS50" s="1032"/>
      <c r="BT50" s="1032"/>
      <c r="BU50" s="1032"/>
      <c r="BV50" s="1032"/>
      <c r="BW50" s="1032"/>
      <c r="BX50" s="1032"/>
      <c r="BY50" s="1032"/>
      <c r="BZ50" s="1032"/>
      <c r="CA50" s="1032"/>
      <c r="CB50" s="1032"/>
      <c r="CC50" s="1032"/>
      <c r="CD50" s="1032"/>
      <c r="CE50" s="1032"/>
      <c r="CF50" s="1032"/>
    </row>
    <row r="51" spans="1:84" s="1121" customFormat="1">
      <c r="C51" s="1125"/>
      <c r="D51" s="1125"/>
      <c r="E51" s="1125"/>
      <c r="F51" s="1125"/>
      <c r="G51" s="1125"/>
      <c r="H51" s="1125"/>
      <c r="I51" s="1125"/>
      <c r="J51" s="1125"/>
      <c r="K51" s="1125"/>
      <c r="L51" s="1125"/>
      <c r="M51" s="1125"/>
      <c r="N51" s="1125"/>
      <c r="O51" s="1125"/>
      <c r="P51" s="1125"/>
      <c r="Q51" s="1125"/>
      <c r="R51" s="1124"/>
      <c r="T51" s="1125"/>
      <c r="U51" s="1125"/>
      <c r="V51" s="1124"/>
      <c r="W51" s="1125"/>
      <c r="X51" s="1125"/>
      <c r="Y51" s="1125"/>
      <c r="Z51" s="1125"/>
      <c r="AA51" s="1125"/>
      <c r="AB51" s="1125"/>
    </row>
    <row r="52" spans="1:84" s="1121" customFormat="1" ht="16.5" outlineLevel="1" thickBot="1">
      <c r="B52" s="1127" t="s">
        <v>1592</v>
      </c>
      <c r="C52" s="1128">
        <f>-C48+C50</f>
        <v>-10803.435309999999</v>
      </c>
      <c r="D52" s="1129"/>
      <c r="E52" s="1129"/>
      <c r="F52" s="1130">
        <f>C52/$C$52</f>
        <v>1</v>
      </c>
      <c r="G52" s="1129"/>
      <c r="H52" s="1129"/>
      <c r="I52" s="1129"/>
      <c r="J52" s="1129"/>
      <c r="K52" s="1129"/>
      <c r="L52" s="1129"/>
      <c r="M52" s="1129"/>
      <c r="N52" s="1129"/>
      <c r="O52" s="1129"/>
      <c r="P52" s="1129"/>
      <c r="Q52" s="1129"/>
      <c r="R52" s="1124"/>
      <c r="S52" s="1127" t="s">
        <v>1592</v>
      </c>
      <c r="T52" s="1125"/>
      <c r="U52" s="1125"/>
      <c r="V52" s="1124"/>
      <c r="W52" s="1125"/>
      <c r="X52" s="1125"/>
      <c r="Y52" s="1128">
        <f>-Y48+Y50</f>
        <v>-6499.562210000001</v>
      </c>
      <c r="Z52" s="1128">
        <f t="shared" ref="Z52:AC52" ca="1" si="12">-Z48+Z50</f>
        <v>-4303.8730999999989</v>
      </c>
      <c r="AA52" s="1128">
        <f t="shared" si="12"/>
        <v>0</v>
      </c>
      <c r="AB52" s="1128">
        <f t="shared" si="12"/>
        <v>0</v>
      </c>
      <c r="AC52" s="1128">
        <f t="shared" si="12"/>
        <v>-10803.435309999999</v>
      </c>
      <c r="AE52" s="1052">
        <f t="shared" ca="1" si="8"/>
        <v>-10803.435310000001</v>
      </c>
    </row>
    <row r="53" spans="1:84" ht="17.25" outlineLevel="1" thickTop="1" thickBot="1">
      <c r="B53" s="1064"/>
      <c r="C53" s="1131"/>
      <c r="D53" s="1100"/>
      <c r="E53" s="1100"/>
      <c r="F53" s="1100"/>
      <c r="G53" s="1100"/>
      <c r="H53" s="1100"/>
      <c r="I53" s="1100"/>
      <c r="J53" s="1100"/>
      <c r="K53" s="1100"/>
      <c r="L53" s="1100"/>
      <c r="M53" s="1100"/>
      <c r="N53" s="1100"/>
      <c r="O53" s="1100"/>
      <c r="P53" s="1100"/>
      <c r="Q53" s="1101"/>
      <c r="R53" s="1055"/>
      <c r="S53" s="1061"/>
      <c r="T53" s="1061"/>
      <c r="U53" s="1061"/>
      <c r="V53" s="1055"/>
      <c r="W53" s="1061"/>
      <c r="X53" s="1061"/>
      <c r="Y53" s="1061"/>
      <c r="Z53" s="1061"/>
      <c r="AA53" s="1061"/>
      <c r="AB53" s="1061"/>
      <c r="AC53" s="1121"/>
      <c r="AD53" s="1121"/>
      <c r="AE53" s="1121"/>
      <c r="AF53" s="1121"/>
      <c r="AG53" s="1121"/>
    </row>
    <row r="54" spans="1:84" outlineLevel="1">
      <c r="A54" s="1032"/>
      <c r="B54" s="1132" t="s">
        <v>1593</v>
      </c>
      <c r="C54" s="1133">
        <f>BOD.BS!F10</f>
        <v>4247.2690700000003</v>
      </c>
      <c r="R54" s="1055"/>
      <c r="S54" s="1061"/>
      <c r="T54" s="1061"/>
      <c r="U54" s="1061"/>
      <c r="V54" s="1055"/>
      <c r="W54" s="1061"/>
      <c r="X54" s="1061"/>
      <c r="Y54" s="1061"/>
      <c r="Z54" s="1061"/>
      <c r="AA54" s="1061"/>
      <c r="AB54" s="1061"/>
      <c r="AC54" s="1121"/>
      <c r="AD54" s="1121"/>
      <c r="AE54" s="1121"/>
      <c r="AF54" s="1121"/>
      <c r="AG54" s="1121"/>
    </row>
    <row r="55" spans="1:84" ht="18" customHeight="1" outlineLevel="1">
      <c r="B55" s="1134"/>
      <c r="C55" s="1135">
        <f>8500+11000</f>
        <v>19500</v>
      </c>
      <c r="R55" s="1055"/>
      <c r="S55" s="1061"/>
      <c r="T55" s="1061"/>
      <c r="U55" s="1061"/>
      <c r="V55" s="1055"/>
      <c r="W55" s="1061"/>
      <c r="X55" s="1061"/>
      <c r="Y55" s="1061"/>
      <c r="Z55" s="1061"/>
      <c r="AA55" s="1061"/>
      <c r="AB55" s="1061"/>
      <c r="AC55" s="1121"/>
      <c r="AD55" s="1121"/>
      <c r="AE55" s="1121"/>
      <c r="AF55" s="1121"/>
      <c r="AG55" s="1121"/>
    </row>
    <row r="56" spans="1:84" s="1032" customFormat="1">
      <c r="A56" s="1030"/>
      <c r="B56" s="1134"/>
      <c r="C56" s="1135">
        <f>-(C54+C55-C57)</f>
        <v>-12731.636080000002</v>
      </c>
      <c r="D56" s="1058"/>
      <c r="E56" s="1058"/>
      <c r="F56" s="1058"/>
      <c r="G56" s="1058"/>
      <c r="H56" s="1058"/>
      <c r="I56" s="1058"/>
      <c r="J56" s="1058"/>
      <c r="K56" s="1058"/>
      <c r="L56" s="1058"/>
      <c r="M56" s="1058"/>
      <c r="N56" s="1058"/>
      <c r="O56" s="1058"/>
      <c r="P56" s="1058"/>
      <c r="Q56" s="1059"/>
      <c r="R56" s="1055"/>
      <c r="S56" s="1061"/>
      <c r="T56" s="1061"/>
      <c r="U56" s="1061"/>
      <c r="V56" s="1055"/>
      <c r="W56" s="1061"/>
      <c r="X56" s="1061"/>
      <c r="Y56" s="1061"/>
      <c r="Z56" s="1061"/>
      <c r="AA56" s="1061"/>
      <c r="AB56" s="1061"/>
      <c r="AC56" s="1121"/>
      <c r="AD56" s="1121"/>
      <c r="AE56" s="1121"/>
      <c r="AF56" s="1121"/>
      <c r="AG56" s="1121"/>
      <c r="AH56" s="1030"/>
      <c r="AI56" s="1030"/>
      <c r="AJ56" s="1030"/>
      <c r="AK56" s="1030"/>
      <c r="AL56" s="1030"/>
      <c r="AM56" s="1030"/>
      <c r="AN56" s="1030"/>
      <c r="AO56" s="1030"/>
      <c r="AP56" s="1030"/>
      <c r="AQ56" s="1030"/>
      <c r="AR56" s="1030"/>
      <c r="AS56" s="1030"/>
      <c r="AT56" s="1030"/>
      <c r="AU56" s="1030"/>
      <c r="AV56" s="1030"/>
      <c r="AW56" s="1030"/>
      <c r="AX56" s="1030"/>
      <c r="AY56" s="1030"/>
      <c r="AZ56" s="1030"/>
      <c r="BA56" s="1030"/>
      <c r="BB56" s="1030"/>
      <c r="BC56" s="1030"/>
      <c r="BD56" s="1030"/>
      <c r="BE56" s="1030"/>
      <c r="BF56" s="1030"/>
      <c r="BG56" s="1030"/>
      <c r="BH56" s="1030"/>
      <c r="BI56" s="1030"/>
      <c r="BJ56" s="1030"/>
      <c r="BK56" s="1030"/>
      <c r="BL56" s="1030"/>
      <c r="BM56" s="1030"/>
      <c r="BN56" s="1030"/>
      <c r="BO56" s="1030"/>
      <c r="BP56" s="1030"/>
      <c r="BQ56" s="1030"/>
      <c r="BR56" s="1030"/>
      <c r="BS56" s="1030"/>
      <c r="BT56" s="1030"/>
      <c r="BU56" s="1030"/>
      <c r="BV56" s="1030"/>
      <c r="BW56" s="1030"/>
      <c r="BX56" s="1030"/>
      <c r="BY56" s="1030"/>
      <c r="BZ56" s="1030"/>
      <c r="CA56" s="1030"/>
      <c r="CB56" s="1030"/>
      <c r="CC56" s="1030"/>
      <c r="CD56" s="1030"/>
      <c r="CE56" s="1030"/>
      <c r="CF56" s="1030"/>
    </row>
    <row r="57" spans="1:84">
      <c r="B57" s="1134"/>
      <c r="C57" s="1135">
        <f>BOD.BS!D10</f>
        <v>11015.63299</v>
      </c>
      <c r="R57" s="1055"/>
      <c r="S57" s="1061"/>
      <c r="T57" s="1061"/>
      <c r="U57" s="1061"/>
      <c r="V57" s="1055"/>
      <c r="W57" s="1061"/>
      <c r="X57" s="1061"/>
      <c r="Y57" s="1061"/>
      <c r="Z57" s="1061"/>
      <c r="AA57" s="1061"/>
      <c r="AB57" s="1061"/>
      <c r="AC57" s="1121"/>
      <c r="AD57" s="1121"/>
      <c r="AE57" s="1121"/>
      <c r="AF57" s="1121"/>
      <c r="AG57" s="1121"/>
    </row>
    <row r="58" spans="1:84">
      <c r="B58" s="1134"/>
      <c r="C58" s="1136"/>
    </row>
    <row r="59" spans="1:84">
      <c r="A59" s="1032"/>
      <c r="B59" s="1134" t="s">
        <v>1594</v>
      </c>
      <c r="C59" s="1137">
        <f>C52-C56</f>
        <v>1928.2007700000031</v>
      </c>
    </row>
    <row r="60" spans="1:84" ht="16.5" thickBot="1">
      <c r="B60" s="1138" t="s">
        <v>1595</v>
      </c>
      <c r="C60" s="1139"/>
    </row>
    <row r="61" spans="1:84">
      <c r="B61" s="1030" t="s">
        <v>1596</v>
      </c>
      <c r="C61" s="1030">
        <v>398</v>
      </c>
    </row>
    <row r="62" spans="1:84">
      <c r="B62" s="1030" t="s">
        <v>1597</v>
      </c>
      <c r="C62" s="1030">
        <v>990</v>
      </c>
    </row>
    <row r="63" spans="1:84">
      <c r="B63" s="1030" t="s">
        <v>1598</v>
      </c>
    </row>
    <row r="67" spans="2:5">
      <c r="C67" s="1038" t="s">
        <v>377</v>
      </c>
      <c r="E67" s="1030"/>
    </row>
    <row r="68" spans="2:5">
      <c r="C68" s="1045" t="str">
        <f>C7</f>
        <v>May 31, 2018</v>
      </c>
      <c r="E68" s="1030"/>
    </row>
    <row r="69" spans="2:5">
      <c r="C69" s="1048" t="s">
        <v>1548</v>
      </c>
      <c r="E69" s="1030"/>
    </row>
    <row r="70" spans="2:5">
      <c r="E70" s="1030"/>
    </row>
    <row r="71" spans="2:5">
      <c r="B71" s="1030" t="s">
        <v>1599</v>
      </c>
      <c r="C71" s="1052">
        <f>C11</f>
        <v>3474.9405300000003</v>
      </c>
    </row>
    <row r="72" spans="2:5">
      <c r="B72" s="1030" t="s">
        <v>1600</v>
      </c>
      <c r="C72" s="1057">
        <f>C14+C15</f>
        <v>5624.5047599999998</v>
      </c>
      <c r="E72" s="1030"/>
    </row>
    <row r="73" spans="2:5">
      <c r="B73" s="1030" t="s">
        <v>1601</v>
      </c>
      <c r="C73" s="1057">
        <f>C17</f>
        <v>581.58654000000001</v>
      </c>
      <c r="E73" s="1030"/>
    </row>
    <row r="74" spans="2:5">
      <c r="B74" s="1030" t="s">
        <v>1602</v>
      </c>
      <c r="C74" s="1057">
        <f>C18</f>
        <v>100.23220999999999</v>
      </c>
      <c r="E74" s="1030"/>
    </row>
    <row r="75" spans="2:5">
      <c r="B75" s="1030" t="s">
        <v>1603</v>
      </c>
      <c r="C75" s="1057">
        <f>C20+C12</f>
        <v>1072.13942</v>
      </c>
      <c r="E75" s="1030"/>
    </row>
    <row r="76" spans="2:5">
      <c r="E76" s="1030"/>
    </row>
    <row r="77" spans="2:5" ht="16.5" thickBot="1">
      <c r="B77" s="1140" t="s">
        <v>88</v>
      </c>
      <c r="C77" s="1141">
        <f>SUM(C71:C76)</f>
        <v>10853.40346</v>
      </c>
      <c r="E77" s="1030"/>
    </row>
    <row r="78" spans="2:5" ht="16.5" thickTop="1">
      <c r="D78" s="1030"/>
      <c r="E78" s="1030"/>
    </row>
  </sheetData>
  <mergeCells count="3">
    <mergeCell ref="B1:G1"/>
    <mergeCell ref="B2:F2"/>
    <mergeCell ref="B3:F3"/>
  </mergeCells>
  <printOptions horizontalCentered="1" verticalCentered="1"/>
  <pageMargins left="0.75" right="0.75" top="1" bottom="1" header="0.5" footer="0.5"/>
  <pageSetup paperSize="5" orientation="landscape"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pageSetUpPr fitToPage="1"/>
  </sheetPr>
  <dimension ref="B1:Z48"/>
  <sheetViews>
    <sheetView showGridLines="0" workbookViewId="0"/>
  </sheetViews>
  <sheetFormatPr defaultColWidth="9.5" defaultRowHeight="15.75" outlineLevelRow="1"/>
  <cols>
    <col min="1" max="1" width="3.5" style="1030" customWidth="1"/>
    <col min="2" max="2" width="48.33203125" style="1030" customWidth="1"/>
    <col min="3" max="3" width="20.83203125" style="1030" bestFit="1" customWidth="1"/>
    <col min="4" max="4" width="3.5" style="1058" customWidth="1"/>
    <col min="5" max="5" width="20.83203125" style="1030" bestFit="1" customWidth="1"/>
    <col min="6" max="6" width="3.5" style="1058" customWidth="1"/>
    <col min="7" max="7" width="20.83203125" style="1030" bestFit="1" customWidth="1"/>
    <col min="8" max="8" width="3.5" style="1058" customWidth="1"/>
    <col min="9" max="9" width="20.83203125" style="1030" bestFit="1" customWidth="1"/>
    <col min="10" max="10" width="3.5" style="1058" customWidth="1"/>
    <col min="11" max="11" width="3.33203125" style="1058" customWidth="1"/>
    <col min="12" max="12" width="9.83203125" style="1058" customWidth="1"/>
    <col min="13" max="15" width="3.33203125" style="1058" customWidth="1"/>
    <col min="16" max="16" width="3.33203125" style="1059" customWidth="1"/>
    <col min="17" max="17" width="3.6640625" style="1030" customWidth="1"/>
    <col min="18" max="18" width="9.5" style="1030"/>
    <col min="19" max="19" width="17" style="1030" customWidth="1"/>
    <col min="20" max="20" width="9.5" style="1030"/>
    <col min="21" max="22" width="15.83203125" style="1030" bestFit="1" customWidth="1"/>
    <col min="23" max="23" width="16.1640625" style="1030" bestFit="1" customWidth="1"/>
    <col min="24" max="25" width="9.5" style="1030"/>
    <col min="26" max="26" width="12.6640625" style="1030" bestFit="1" customWidth="1"/>
    <col min="27" max="16384" width="9.5" style="1030"/>
  </cols>
  <sheetData>
    <row r="1" spans="2:25">
      <c r="E1" s="1032"/>
    </row>
    <row r="2" spans="2:25" ht="26.25">
      <c r="B2" s="2315" t="s">
        <v>1502</v>
      </c>
      <c r="C2" s="2315"/>
      <c r="D2" s="2315"/>
      <c r="E2" s="2315"/>
      <c r="F2" s="2315"/>
      <c r="G2" s="2315"/>
      <c r="H2" s="2315"/>
      <c r="I2" s="2315"/>
      <c r="J2" s="1033"/>
      <c r="K2" s="1033"/>
      <c r="L2" s="1033"/>
      <c r="M2" s="1033"/>
      <c r="N2" s="1033"/>
      <c r="O2" s="1033"/>
      <c r="P2" s="1034"/>
    </row>
    <row r="3" spans="2:25" ht="18.75">
      <c r="B3" s="2321" t="s">
        <v>1604</v>
      </c>
      <c r="C3" s="2321"/>
      <c r="D3" s="2321"/>
      <c r="E3" s="2321"/>
      <c r="F3" s="2321"/>
      <c r="G3" s="2321"/>
      <c r="H3" s="2321"/>
      <c r="I3" s="2321"/>
      <c r="J3" s="1068"/>
      <c r="K3" s="1068"/>
      <c r="L3" s="1068"/>
      <c r="M3" s="1068"/>
      <c r="N3" s="1068"/>
      <c r="O3" s="1068"/>
      <c r="P3" s="1069"/>
    </row>
    <row r="5" spans="2:25">
      <c r="B5" s="1074"/>
      <c r="C5" s="1047" t="s">
        <v>516</v>
      </c>
      <c r="D5" s="1142"/>
      <c r="E5" s="1047" t="s">
        <v>1605</v>
      </c>
    </row>
    <row r="6" spans="2:25" ht="15.75" customHeight="1">
      <c r="C6" s="1038" t="s">
        <v>377</v>
      </c>
      <c r="D6" s="1039"/>
      <c r="E6" s="1038" t="s">
        <v>377</v>
      </c>
      <c r="F6" s="1039"/>
      <c r="G6" s="1038" t="s">
        <v>1606</v>
      </c>
      <c r="H6" s="1039"/>
      <c r="I6" s="1038" t="s">
        <v>1606</v>
      </c>
      <c r="J6" s="1039"/>
      <c r="K6" s="1039"/>
      <c r="L6" s="1039"/>
      <c r="M6" s="1039"/>
      <c r="N6" s="1039"/>
      <c r="O6" s="1039"/>
      <c r="P6" s="1075"/>
    </row>
    <row r="7" spans="2:25">
      <c r="B7" s="1079"/>
      <c r="C7" s="1045" t="s">
        <v>1571</v>
      </c>
      <c r="D7" s="1046"/>
      <c r="E7" s="1045"/>
      <c r="F7" s="1046"/>
      <c r="G7" s="1045" t="s">
        <v>1607</v>
      </c>
      <c r="H7" s="1046"/>
      <c r="I7" s="1045" t="s">
        <v>1608</v>
      </c>
      <c r="J7" s="1046"/>
      <c r="K7" s="1046"/>
      <c r="L7" s="1046"/>
      <c r="M7" s="1046"/>
      <c r="N7" s="1046"/>
      <c r="O7" s="1046"/>
      <c r="P7" s="1080"/>
    </row>
    <row r="8" spans="2:25">
      <c r="C8" s="1048" t="s">
        <v>1548</v>
      </c>
      <c r="D8" s="1049"/>
      <c r="E8" s="1048" t="s">
        <v>1548</v>
      </c>
      <c r="F8" s="1049"/>
      <c r="G8" s="1048" t="s">
        <v>1548</v>
      </c>
      <c r="H8" s="1049"/>
      <c r="I8" s="1048"/>
      <c r="J8" s="1049"/>
      <c r="K8" s="1049"/>
      <c r="L8" s="1049"/>
      <c r="M8" s="1049"/>
      <c r="N8" s="1049"/>
      <c r="O8" s="1049"/>
      <c r="P8" s="1081"/>
    </row>
    <row r="9" spans="2:25" hidden="1">
      <c r="B9" s="1064" t="s">
        <v>1609</v>
      </c>
      <c r="C9" s="1082"/>
      <c r="D9" s="1049"/>
      <c r="E9" s="1082"/>
      <c r="F9" s="1049"/>
      <c r="G9" s="1082"/>
      <c r="H9" s="1049"/>
      <c r="I9" s="1082"/>
      <c r="J9" s="1049"/>
      <c r="K9" s="1049"/>
      <c r="L9" s="1049"/>
      <c r="M9" s="1049"/>
      <c r="N9" s="1049"/>
      <c r="O9" s="1049"/>
      <c r="P9" s="1081"/>
    </row>
    <row r="10" spans="2:25" hidden="1">
      <c r="B10" s="1084" t="s">
        <v>85</v>
      </c>
      <c r="C10" s="1051"/>
      <c r="D10" s="1086"/>
      <c r="E10" s="1051"/>
      <c r="F10" s="1086"/>
      <c r="G10" s="1051"/>
      <c r="H10" s="1086"/>
      <c r="I10" s="1051"/>
      <c r="J10" s="1086"/>
      <c r="K10" s="1086"/>
      <c r="L10" s="1086"/>
      <c r="M10" s="1086"/>
      <c r="N10" s="1086"/>
      <c r="O10" s="1086"/>
      <c r="P10" s="1088"/>
    </row>
    <row r="11" spans="2:25" hidden="1">
      <c r="B11" s="1084" t="s">
        <v>1610</v>
      </c>
      <c r="C11" s="1063"/>
      <c r="D11" s="1049"/>
      <c r="E11" s="1063"/>
      <c r="F11" s="1049"/>
      <c r="G11" s="1063"/>
      <c r="H11" s="1049"/>
      <c r="I11" s="1063"/>
      <c r="J11" s="1049"/>
      <c r="K11" s="1049"/>
      <c r="L11" s="1049"/>
      <c r="M11" s="1049"/>
      <c r="N11" s="1049"/>
      <c r="O11" s="1049"/>
      <c r="P11" s="1081"/>
    </row>
    <row r="12" spans="2:25" hidden="1">
      <c r="B12" s="1095" t="s">
        <v>1611</v>
      </c>
      <c r="C12" s="1143">
        <f>C10-C11</f>
        <v>0</v>
      </c>
      <c r="D12" s="1049"/>
      <c r="E12" s="1143">
        <f>E10-E11</f>
        <v>0</v>
      </c>
      <c r="F12" s="1049"/>
      <c r="G12" s="1143">
        <f>G10-G11</f>
        <v>0</v>
      </c>
      <c r="H12" s="1049"/>
      <c r="I12" s="1143">
        <f>I10-I11</f>
        <v>0</v>
      </c>
      <c r="J12" s="1049"/>
      <c r="K12" s="1049"/>
      <c r="L12" s="1049"/>
      <c r="M12" s="1049"/>
      <c r="N12" s="1049"/>
      <c r="O12" s="1049"/>
      <c r="P12" s="1081"/>
    </row>
    <row r="13" spans="2:25" hidden="1">
      <c r="C13" s="1082"/>
      <c r="D13" s="1049"/>
      <c r="E13" s="1082"/>
      <c r="F13" s="1049"/>
      <c r="G13" s="1082"/>
      <c r="H13" s="1049"/>
      <c r="I13" s="1082"/>
      <c r="J13" s="1049"/>
      <c r="K13" s="1049"/>
      <c r="L13" s="1049"/>
      <c r="M13" s="1049"/>
      <c r="N13" s="1049"/>
      <c r="O13" s="1049"/>
      <c r="P13" s="1081"/>
    </row>
    <row r="14" spans="2:25" s="1058" customFormat="1" outlineLevel="1">
      <c r="B14" s="1083" t="s">
        <v>1572</v>
      </c>
      <c r="C14" s="1049"/>
      <c r="D14" s="1049"/>
      <c r="E14" s="1049"/>
      <c r="F14" s="1049"/>
      <c r="G14" s="1049"/>
      <c r="H14" s="1049"/>
      <c r="I14" s="1049"/>
      <c r="J14" s="1049"/>
      <c r="K14" s="1049"/>
      <c r="L14" s="1049"/>
      <c r="M14" s="1049"/>
      <c r="N14" s="1049"/>
      <c r="O14" s="1049"/>
      <c r="P14" s="1081"/>
      <c r="R14" s="1030"/>
      <c r="S14" s="1030"/>
      <c r="T14" s="1030"/>
      <c r="U14" s="1030"/>
      <c r="V14" s="1030"/>
      <c r="W14" s="1030"/>
      <c r="X14" s="1030"/>
      <c r="Y14" s="1030"/>
    </row>
    <row r="15" spans="2:25" ht="14.45" customHeight="1" outlineLevel="1">
      <c r="B15" s="1084" t="s">
        <v>1573</v>
      </c>
      <c r="C15" s="1085">
        <f>BOD.IS!C11</f>
        <v>3474.9405300000003</v>
      </c>
      <c r="D15" s="1086"/>
      <c r="E15" s="1085">
        <f>SUM('Budget '!E9:I9)/1000</f>
        <v>3596.7222866666671</v>
      </c>
      <c r="F15" s="1086"/>
      <c r="G15" s="1085">
        <f>E15-C15</f>
        <v>121.78175666666675</v>
      </c>
      <c r="H15" s="1086"/>
      <c r="I15" s="1144">
        <f>IFERROR(G15/E15,"")</f>
        <v>3.3859093630364878E-2</v>
      </c>
      <c r="J15" s="1086"/>
      <c r="K15" s="1086"/>
      <c r="L15" s="1086"/>
      <c r="M15" s="1086"/>
      <c r="N15" s="1086"/>
      <c r="O15" s="1086"/>
      <c r="P15" s="1088"/>
    </row>
    <row r="16" spans="2:25" ht="18" hidden="1" customHeight="1" outlineLevel="1">
      <c r="B16" s="1092" t="s">
        <v>1612</v>
      </c>
      <c r="C16" s="1056"/>
      <c r="D16" s="1061"/>
      <c r="E16" s="1085">
        <f>SUM('Budget '!E10:G10)/1000</f>
        <v>30.2</v>
      </c>
      <c r="F16" s="1061"/>
      <c r="G16" s="1056">
        <f t="shared" ref="G16:G28" si="0">E16-C16</f>
        <v>30.2</v>
      </c>
      <c r="H16" s="1061"/>
      <c r="I16" s="1144">
        <f t="shared" ref="I16:I28" si="1">IFERROR(G16/E16,"")</f>
        <v>1</v>
      </c>
      <c r="J16" s="1061"/>
      <c r="K16" s="1061"/>
      <c r="L16" s="1061"/>
      <c r="M16" s="1061"/>
      <c r="N16" s="1061"/>
      <c r="O16" s="1061"/>
      <c r="P16" s="1093"/>
    </row>
    <row r="17" spans="2:26" outlineLevel="1">
      <c r="B17" s="1084" t="s">
        <v>1574</v>
      </c>
      <c r="C17" s="1056">
        <f>BOD.IS!C12</f>
        <v>142.69657000000001</v>
      </c>
      <c r="D17" s="1089"/>
      <c r="E17" s="1085">
        <f>SUM('Budget '!E10:I10)/1000</f>
        <v>53.8</v>
      </c>
      <c r="F17" s="1089"/>
      <c r="G17" s="1056">
        <f t="shared" si="0"/>
        <v>-88.896570000000011</v>
      </c>
      <c r="H17" s="1089"/>
      <c r="I17" s="1144">
        <f t="shared" si="1"/>
        <v>-1.6523526022304835</v>
      </c>
      <c r="J17" s="1089"/>
      <c r="K17" s="1089"/>
      <c r="L17" s="1089"/>
      <c r="M17" s="1089"/>
      <c r="N17" s="1089"/>
      <c r="O17" s="1089"/>
      <c r="P17" s="1090"/>
    </row>
    <row r="18" spans="2:26" outlineLevel="1">
      <c r="B18" s="1084"/>
      <c r="C18" s="1056"/>
      <c r="D18" s="1089"/>
      <c r="E18" s="1056"/>
      <c r="F18" s="1089"/>
      <c r="G18" s="1056"/>
      <c r="H18" s="1089"/>
      <c r="I18" s="1144" t="str">
        <f t="shared" si="1"/>
        <v/>
      </c>
      <c r="J18" s="1089"/>
      <c r="K18" s="1089"/>
      <c r="L18" s="1089"/>
      <c r="M18" s="1089"/>
      <c r="N18" s="1089"/>
      <c r="O18" s="1089"/>
      <c r="P18" s="1090"/>
    </row>
    <row r="19" spans="2:26" outlineLevel="1">
      <c r="B19" s="1084" t="s">
        <v>1575</v>
      </c>
      <c r="C19" s="1056">
        <f>BOD.IS!C14</f>
        <v>3861.8775399999995</v>
      </c>
      <c r="D19" s="1086"/>
      <c r="E19" s="1085">
        <f>SUM('Budget '!E11:I11)/1000</f>
        <v>7687.2623564165006</v>
      </c>
      <c r="F19" s="1086"/>
      <c r="G19" s="1056">
        <f t="shared" si="0"/>
        <v>3825.3848164165011</v>
      </c>
      <c r="H19" s="1086"/>
      <c r="I19" s="1144">
        <f t="shared" si="1"/>
        <v>0.49762641614845898</v>
      </c>
      <c r="J19" s="1086"/>
      <c r="K19" s="1086"/>
      <c r="L19" s="1086"/>
      <c r="M19" s="1086"/>
      <c r="N19" s="1086"/>
      <c r="O19" s="1086"/>
      <c r="P19" s="1088"/>
    </row>
    <row r="20" spans="2:26" outlineLevel="1">
      <c r="B20" s="1084" t="s">
        <v>1576</v>
      </c>
      <c r="C20" s="1056">
        <f>BOD.IS!C15</f>
        <v>1762.6272200000003</v>
      </c>
      <c r="D20" s="1089"/>
      <c r="E20" s="1085">
        <f>SUM('Budget '!E12:I12)/1000</f>
        <v>1895.4166666666665</v>
      </c>
      <c r="F20" s="1089"/>
      <c r="G20" s="1056">
        <f t="shared" si="0"/>
        <v>132.78944666666621</v>
      </c>
      <c r="H20" s="1089"/>
      <c r="I20" s="1144">
        <f t="shared" si="1"/>
        <v>7.0058182457682777E-2</v>
      </c>
      <c r="J20" s="1089"/>
      <c r="K20" s="1089"/>
      <c r="L20" s="1089"/>
      <c r="M20" s="1089"/>
      <c r="N20" s="1089"/>
      <c r="O20" s="1089"/>
      <c r="P20" s="1090"/>
    </row>
    <row r="21" spans="2:26" outlineLevel="1">
      <c r="B21" s="1084"/>
      <c r="C21" s="1056"/>
      <c r="D21" s="1089"/>
      <c r="E21" s="1056"/>
      <c r="F21" s="1089"/>
      <c r="G21" s="1056"/>
      <c r="H21" s="1089"/>
      <c r="I21" s="1144" t="str">
        <f t="shared" si="1"/>
        <v/>
      </c>
      <c r="J21" s="1089"/>
      <c r="K21" s="1089"/>
      <c r="L21" s="1089"/>
      <c r="M21" s="1089"/>
      <c r="N21" s="1089"/>
      <c r="O21" s="1089"/>
      <c r="P21" s="1090"/>
    </row>
    <row r="22" spans="2:26" hidden="1" outlineLevel="1">
      <c r="B22" s="1092" t="s">
        <v>1613</v>
      </c>
      <c r="C22" s="1056"/>
      <c r="D22" s="1061"/>
      <c r="E22" s="1056"/>
      <c r="F22" s="1061"/>
      <c r="G22" s="1056">
        <f t="shared" si="0"/>
        <v>0</v>
      </c>
      <c r="H22" s="1061"/>
      <c r="I22" s="1144" t="str">
        <f t="shared" si="1"/>
        <v/>
      </c>
      <c r="J22" s="1061"/>
      <c r="K22" s="1061"/>
      <c r="L22" s="1061"/>
      <c r="M22" s="1061"/>
      <c r="N22" s="1061"/>
      <c r="O22" s="1061"/>
      <c r="P22" s="1093"/>
    </row>
    <row r="23" spans="2:26" outlineLevel="1">
      <c r="B23" s="1092" t="s">
        <v>1577</v>
      </c>
      <c r="C23" s="1056">
        <f>BOD.IS!C17</f>
        <v>581.58654000000001</v>
      </c>
      <c r="D23" s="1061"/>
      <c r="E23" s="1085">
        <f>SUM('Budget '!E13:I13)/1000</f>
        <v>906.33166666666659</v>
      </c>
      <c r="F23" s="1061"/>
      <c r="G23" s="1056">
        <f t="shared" si="0"/>
        <v>324.74512666666658</v>
      </c>
      <c r="H23" s="1061"/>
      <c r="I23" s="1144">
        <f t="shared" si="1"/>
        <v>0.35830716128569556</v>
      </c>
      <c r="J23" s="1061"/>
      <c r="K23" s="1061"/>
      <c r="L23" s="1061"/>
      <c r="M23" s="1061"/>
      <c r="N23" s="1061"/>
      <c r="O23" s="1061"/>
      <c r="P23" s="1093"/>
    </row>
    <row r="24" spans="2:26" outlineLevel="1">
      <c r="B24" s="1084" t="s">
        <v>1578</v>
      </c>
      <c r="C24" s="1056">
        <f>BOD.IS!C18</f>
        <v>100.23220999999999</v>
      </c>
      <c r="D24" s="1089"/>
      <c r="E24" s="1085">
        <f>SUM('Budget '!E14:I14)/1000</f>
        <v>20</v>
      </c>
      <c r="F24" s="1089"/>
      <c r="G24" s="1056">
        <f t="shared" si="0"/>
        <v>-80.232209999999995</v>
      </c>
      <c r="H24" s="1089"/>
      <c r="I24" s="1144">
        <f t="shared" si="1"/>
        <v>-4.0116104999999997</v>
      </c>
      <c r="J24" s="1089"/>
      <c r="K24" s="1089"/>
      <c r="L24" s="1089"/>
      <c r="M24" s="1089"/>
      <c r="N24" s="1089"/>
      <c r="O24" s="1089"/>
      <c r="P24" s="1090"/>
      <c r="Z24" s="1030" t="s">
        <v>1614</v>
      </c>
    </row>
    <row r="25" spans="2:26" ht="8.1" customHeight="1" outlineLevel="1">
      <c r="B25" s="1084"/>
      <c r="C25" s="1056"/>
      <c r="D25" s="1089"/>
      <c r="E25" s="1056"/>
      <c r="F25" s="1089"/>
      <c r="G25" s="1056"/>
      <c r="H25" s="1089"/>
      <c r="I25" s="1144" t="str">
        <f t="shared" si="1"/>
        <v/>
      </c>
      <c r="J25" s="1089"/>
      <c r="K25" s="1089"/>
      <c r="L25" s="1089"/>
      <c r="M25" s="1089"/>
      <c r="N25" s="1089"/>
      <c r="O25" s="1089"/>
      <c r="P25" s="1090"/>
    </row>
    <row r="26" spans="2:26" outlineLevel="1">
      <c r="B26" s="1084" t="s">
        <v>1579</v>
      </c>
      <c r="C26" s="1056">
        <f>BOD.IS!C20</f>
        <v>929.44285000000002</v>
      </c>
      <c r="D26" s="1089"/>
      <c r="E26" s="1056">
        <f>SUM('Budget '!E15:I15)/1000</f>
        <v>848.62008333333324</v>
      </c>
      <c r="F26" s="1089"/>
      <c r="G26" s="1056">
        <f t="shared" si="0"/>
        <v>-80.82276666666678</v>
      </c>
      <c r="H26" s="1089"/>
      <c r="I26" s="1144">
        <f t="shared" si="1"/>
        <v>-9.5240223810399788E-2</v>
      </c>
      <c r="J26" s="1089"/>
      <c r="K26" s="1089"/>
      <c r="L26" s="1089"/>
      <c r="M26" s="1089"/>
      <c r="N26" s="1089"/>
      <c r="O26" s="1089"/>
      <c r="P26" s="1090"/>
    </row>
    <row r="27" spans="2:26" ht="4.5" customHeight="1" outlineLevel="1">
      <c r="B27" s="1084"/>
      <c r="C27" s="1056"/>
      <c r="D27" s="1089"/>
      <c r="E27" s="1056"/>
      <c r="F27" s="1089"/>
      <c r="G27" s="1056"/>
      <c r="H27" s="1089"/>
      <c r="I27" s="1144" t="str">
        <f t="shared" si="1"/>
        <v/>
      </c>
      <c r="J27" s="1089"/>
      <c r="K27" s="1089"/>
      <c r="L27" s="1089"/>
      <c r="M27" s="1089"/>
      <c r="N27" s="1089"/>
      <c r="O27" s="1089"/>
      <c r="P27" s="1090"/>
    </row>
    <row r="28" spans="2:26" s="1094" customFormat="1" ht="16.5" thickBot="1">
      <c r="B28" s="1064" t="s">
        <v>88</v>
      </c>
      <c r="C28" s="1062">
        <f>BOD.IS!C22</f>
        <v>10853.40346</v>
      </c>
      <c r="D28" s="1100"/>
      <c r="E28" s="1062">
        <f>SUM('Budget '!E16:I16)/1000</f>
        <v>15008.153059749835</v>
      </c>
      <c r="F28" s="1100"/>
      <c r="G28" s="1062">
        <f t="shared" si="0"/>
        <v>4154.7495997498354</v>
      </c>
      <c r="H28" s="1097"/>
      <c r="I28" s="1144">
        <f t="shared" si="1"/>
        <v>0.27683283767223849</v>
      </c>
      <c r="J28" s="1097"/>
      <c r="K28" s="1097"/>
      <c r="L28" s="1097"/>
      <c r="M28" s="1097"/>
      <c r="N28" s="1097"/>
      <c r="O28" s="1097"/>
      <c r="P28" s="1098"/>
      <c r="R28" s="1030"/>
      <c r="S28" s="1030" t="s">
        <v>1615</v>
      </c>
      <c r="T28" s="1030"/>
      <c r="U28" s="1145">
        <f>'Budget '!D27</f>
        <v>4245243.3900000006</v>
      </c>
      <c r="V28" s="1053">
        <f>'QB BS det'!AG15</f>
        <v>4245896.09</v>
      </c>
      <c r="W28" s="1057">
        <f>V28-U28</f>
        <v>652.69999999925494</v>
      </c>
      <c r="X28" s="1030" t="s">
        <v>1616</v>
      </c>
      <c r="Y28" s="1030"/>
      <c r="Z28" s="1146">
        <f>-W28</f>
        <v>-652.69999999925494</v>
      </c>
    </row>
    <row r="29" spans="2:26" ht="4.5" customHeight="1" thickTop="1">
      <c r="C29" s="1061"/>
      <c r="D29" s="1061"/>
      <c r="E29" s="1061"/>
      <c r="F29" s="1061"/>
      <c r="G29" s="1061"/>
      <c r="H29" s="1061"/>
      <c r="I29" s="1061"/>
      <c r="J29" s="1061"/>
      <c r="K29" s="1061"/>
      <c r="L29" s="1061"/>
      <c r="M29" s="1061"/>
      <c r="N29" s="1061"/>
      <c r="O29" s="1061"/>
      <c r="P29" s="1093"/>
    </row>
    <row r="30" spans="2:26">
      <c r="B30" s="1083"/>
      <c r="C30" s="1085"/>
      <c r="D30" s="1100"/>
      <c r="E30" s="1085"/>
      <c r="F30" s="1100"/>
      <c r="G30" s="1085"/>
      <c r="H30" s="1100"/>
      <c r="I30" s="1110"/>
      <c r="J30" s="1100"/>
      <c r="K30" s="1100"/>
      <c r="L30" s="1100"/>
      <c r="M30" s="1100"/>
      <c r="N30" s="1100"/>
      <c r="O30" s="1100"/>
      <c r="P30" s="1101"/>
    </row>
    <row r="31" spans="2:26" ht="4.5" customHeight="1">
      <c r="B31" s="1064"/>
      <c r="C31" s="1131"/>
      <c r="D31" s="1100"/>
      <c r="E31" s="1131"/>
      <c r="F31" s="1100"/>
      <c r="G31" s="1131"/>
      <c r="H31" s="1100"/>
      <c r="I31" s="1131"/>
      <c r="J31" s="1100"/>
      <c r="K31" s="1100"/>
      <c r="L31" s="1100"/>
      <c r="M31" s="1100"/>
      <c r="N31" s="1100"/>
      <c r="O31" s="1100"/>
      <c r="P31" s="1101"/>
    </row>
    <row r="32" spans="2:26" hidden="1">
      <c r="B32" s="1102" t="s">
        <v>1617</v>
      </c>
      <c r="C32" s="1061">
        <f>SUM(C33:C34)</f>
        <v>0</v>
      </c>
      <c r="D32" s="1100"/>
      <c r="E32" s="1061">
        <f>SUM(E33:E34)</f>
        <v>0</v>
      </c>
      <c r="F32" s="1100"/>
      <c r="G32" s="1061">
        <f>SUM(G33:G34)</f>
        <v>0</v>
      </c>
      <c r="H32" s="1100"/>
      <c r="I32" s="1061">
        <f>SUM(I33:I34)</f>
        <v>0</v>
      </c>
      <c r="J32" s="1100"/>
      <c r="K32" s="1100"/>
      <c r="L32" s="1100"/>
      <c r="M32" s="1100"/>
      <c r="N32" s="1100"/>
      <c r="O32" s="1100"/>
      <c r="P32" s="1101"/>
    </row>
    <row r="33" spans="2:26" hidden="1" outlineLevel="1">
      <c r="B33" s="1084" t="s">
        <v>1581</v>
      </c>
      <c r="C33" s="1056"/>
      <c r="D33" s="1061"/>
      <c r="E33" s="1056"/>
      <c r="F33" s="1061"/>
      <c r="G33" s="1056"/>
      <c r="H33" s="1061"/>
      <c r="I33" s="1056"/>
      <c r="J33" s="1061"/>
      <c r="K33" s="1061"/>
      <c r="L33" s="1061"/>
      <c r="M33" s="1061"/>
      <c r="N33" s="1061"/>
      <c r="O33" s="1061"/>
      <c r="P33" s="1093"/>
    </row>
    <row r="34" spans="2:26" hidden="1" outlineLevel="1">
      <c r="B34" s="1084" t="s">
        <v>1582</v>
      </c>
      <c r="C34" s="1056"/>
      <c r="D34" s="1061"/>
      <c r="E34" s="1056"/>
      <c r="F34" s="1061"/>
      <c r="G34" s="1056"/>
      <c r="H34" s="1061"/>
      <c r="I34" s="1056"/>
      <c r="J34" s="1061"/>
      <c r="K34" s="1061"/>
      <c r="L34" s="1061"/>
      <c r="M34" s="1061"/>
      <c r="N34" s="1061"/>
      <c r="O34" s="1061"/>
      <c r="P34" s="1093"/>
    </row>
    <row r="35" spans="2:26" ht="4.5" hidden="1" customHeight="1" collapsed="1">
      <c r="B35" s="1102"/>
      <c r="C35" s="1100"/>
      <c r="D35" s="1100"/>
      <c r="E35" s="1100"/>
      <c r="F35" s="1100"/>
      <c r="G35" s="1100"/>
      <c r="H35" s="1100"/>
      <c r="I35" s="1100"/>
      <c r="J35" s="1100"/>
      <c r="K35" s="1100"/>
      <c r="L35" s="1100"/>
      <c r="M35" s="1100"/>
      <c r="N35" s="1100"/>
      <c r="O35" s="1100"/>
      <c r="P35" s="1101"/>
    </row>
    <row r="36" spans="2:26" s="1094" customFormat="1" ht="15.75" hidden="1" customHeight="1" thickBot="1">
      <c r="B36" s="1095" t="s">
        <v>1583</v>
      </c>
      <c r="C36" s="1147"/>
      <c r="D36" s="1104"/>
      <c r="E36" s="1147"/>
      <c r="F36" s="1104"/>
      <c r="G36" s="1147"/>
      <c r="H36" s="1104"/>
      <c r="I36" s="1147"/>
      <c r="J36" s="1104"/>
      <c r="K36" s="1104"/>
      <c r="L36" s="1104"/>
      <c r="M36" s="1104"/>
      <c r="N36" s="1104"/>
      <c r="O36" s="1104"/>
      <c r="P36" s="1105"/>
      <c r="R36" s="1030"/>
      <c r="S36" s="1030"/>
      <c r="T36" s="1030"/>
      <c r="U36" s="1030"/>
      <c r="V36" s="1030"/>
      <c r="W36" s="1030"/>
      <c r="X36" s="1030"/>
      <c r="Y36" s="1030"/>
    </row>
    <row r="37" spans="2:26" ht="4.5" customHeight="1">
      <c r="B37" s="1064"/>
      <c r="C37" s="1107"/>
      <c r="D37" s="1107"/>
      <c r="E37" s="1107"/>
      <c r="F37" s="1107"/>
      <c r="G37" s="1107"/>
      <c r="H37" s="1107"/>
      <c r="I37" s="1107"/>
      <c r="J37" s="1107"/>
      <c r="K37" s="1107"/>
      <c r="L37" s="1107"/>
      <c r="M37" s="1107"/>
      <c r="N37" s="1107"/>
      <c r="O37" s="1107"/>
      <c r="P37" s="1105"/>
      <c r="U37" s="1030" t="s">
        <v>1618</v>
      </c>
    </row>
    <row r="38" spans="2:26" ht="15.75" customHeight="1">
      <c r="B38" s="1064"/>
      <c r="C38" s="1107"/>
      <c r="D38" s="1107"/>
      <c r="E38" s="1107"/>
      <c r="F38" s="1107"/>
      <c r="G38" s="1107"/>
      <c r="H38" s="1107"/>
      <c r="I38" s="1107"/>
      <c r="J38" s="1107"/>
      <c r="K38" s="1107"/>
      <c r="L38" s="1107"/>
      <c r="M38" s="1107"/>
      <c r="N38" s="1107"/>
      <c r="O38" s="1107"/>
      <c r="P38" s="1105"/>
      <c r="S38" s="1030" t="s">
        <v>1619</v>
      </c>
      <c r="U38" s="1053">
        <f>'QB BS det'!AG48</f>
        <v>1745421.98</v>
      </c>
      <c r="V38" s="1053">
        <f>'QB BS det'!AL48</f>
        <v>1558429.3700000003</v>
      </c>
      <c r="W38" s="1057">
        <f>V38-U38</f>
        <v>-186992.60999999964</v>
      </c>
      <c r="X38" s="1030" t="s">
        <v>1620</v>
      </c>
      <c r="Z38" s="1057">
        <f>W38</f>
        <v>-186992.60999999964</v>
      </c>
    </row>
    <row r="39" spans="2:26" ht="6.75" customHeight="1">
      <c r="B39" s="1113"/>
      <c r="C39" s="1055"/>
      <c r="D39" s="1061"/>
      <c r="E39" s="1055"/>
      <c r="F39" s="1061"/>
      <c r="G39" s="1055"/>
      <c r="H39" s="1061"/>
      <c r="I39" s="1055"/>
      <c r="J39" s="1061"/>
      <c r="K39" s="1061"/>
      <c r="L39" s="1061"/>
      <c r="M39" s="1061"/>
      <c r="N39" s="1061"/>
      <c r="O39" s="1061"/>
      <c r="P39" s="1093"/>
    </row>
    <row r="40" spans="2:26">
      <c r="B40" s="1114" t="s">
        <v>105</v>
      </c>
      <c r="C40" s="1085">
        <f>BOD.BS!D14-BOD.BS!F14</f>
        <v>1081.4075500000004</v>
      </c>
      <c r="D40" s="1097"/>
      <c r="E40" s="1085">
        <f>SUM('Budget '!E18:I18)/1000</f>
        <v>1690.8453333333334</v>
      </c>
      <c r="F40" s="1115"/>
      <c r="G40" s="1085">
        <f t="shared" ref="G40" si="2">E40-C40</f>
        <v>609.43778333333307</v>
      </c>
      <c r="H40" s="1115"/>
      <c r="I40" s="1144">
        <f t="shared" ref="I40" si="3">IFERROR(G40/E40,"")</f>
        <v>0.3604337849943301</v>
      </c>
      <c r="J40" s="1115"/>
      <c r="K40" s="1115"/>
      <c r="L40" s="1115"/>
      <c r="M40" s="1115"/>
      <c r="N40" s="1115"/>
      <c r="O40" s="1115"/>
      <c r="P40" s="1093"/>
      <c r="U40" s="1148" t="s">
        <v>1621</v>
      </c>
      <c r="V40" s="1148" t="s">
        <v>1622</v>
      </c>
    </row>
    <row r="41" spans="2:26">
      <c r="S41" s="1030" t="s">
        <v>1623</v>
      </c>
      <c r="U41" s="1052">
        <f>C28+C40</f>
        <v>11934.811009999999</v>
      </c>
      <c r="V41" s="1052">
        <f>E28+E40</f>
        <v>16698.99839308317</v>
      </c>
      <c r="W41" s="1057">
        <f>(V41-U41)*1000</f>
        <v>4764187.3830831703</v>
      </c>
      <c r="X41" s="1030" t="s">
        <v>1624</v>
      </c>
      <c r="Z41" s="1057">
        <f>W41</f>
        <v>4764187.3830831703</v>
      </c>
    </row>
    <row r="42" spans="2:26">
      <c r="B42" s="1030" t="s">
        <v>144</v>
      </c>
      <c r="C42" s="1056">
        <v>19500</v>
      </c>
      <c r="D42" s="1056"/>
      <c r="E42" s="1056">
        <v>18500</v>
      </c>
      <c r="F42" s="1056"/>
      <c r="G42" s="1056">
        <f>C42-E42</f>
        <v>1000</v>
      </c>
    </row>
    <row r="43" spans="2:26">
      <c r="S43" s="1030" t="s">
        <v>1625</v>
      </c>
      <c r="W43" s="1053">
        <f>'QB BS det'!AL36-'QB BS det'!AG36</f>
        <v>381014.58</v>
      </c>
      <c r="Z43" s="1057">
        <f>-W43</f>
        <v>-381014.58</v>
      </c>
    </row>
    <row r="44" spans="2:26">
      <c r="B44" s="1030" t="s">
        <v>1626</v>
      </c>
      <c r="C44" s="1085">
        <f>BOD.BS!D10</f>
        <v>11015.63299</v>
      </c>
      <c r="E44" s="1085">
        <f>'Budget '!I27/1000</f>
        <v>6051.2736515809529</v>
      </c>
      <c r="G44" s="1085">
        <f>C44-E44</f>
        <v>4964.3593384190472</v>
      </c>
      <c r="I44" s="1144">
        <f t="shared" ref="I44" si="4">IFERROR(G44/E44,"")</f>
        <v>0.8203825548563749</v>
      </c>
      <c r="S44" s="1030" t="s">
        <v>1627</v>
      </c>
      <c r="W44" s="1053">
        <f>G42*1000</f>
        <v>1000000</v>
      </c>
      <c r="Z44" s="1057">
        <f>W44</f>
        <v>1000000</v>
      </c>
    </row>
    <row r="45" spans="2:26">
      <c r="W45" s="1053"/>
    </row>
    <row r="46" spans="2:26">
      <c r="S46" s="1030" t="s">
        <v>1628</v>
      </c>
      <c r="W46" s="1057">
        <f>W44-W43+W38+W41</f>
        <v>5196180.1930831708</v>
      </c>
      <c r="Z46" s="1030">
        <f>SUM(Z28:Z44)</f>
        <v>5195527.4930831715</v>
      </c>
    </row>
    <row r="48" spans="2:26">
      <c r="S48" s="1030" t="s">
        <v>1629</v>
      </c>
      <c r="W48" s="1052">
        <f>G44*1000</f>
        <v>4964359.3384190472</v>
      </c>
    </row>
  </sheetData>
  <mergeCells count="2">
    <mergeCell ref="B2:I2"/>
    <mergeCell ref="B3:I3"/>
  </mergeCells>
  <printOptions horizontalCentered="1" verticalCentered="1"/>
  <pageMargins left="0.75" right="0.75" top="1" bottom="1" header="0.5" footer="0.5"/>
  <pageSetup paperSize="5" orientation="landscape"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B1:AZ67"/>
  <sheetViews>
    <sheetView topLeftCell="B1" workbookViewId="0">
      <selection activeCell="D9" sqref="D9"/>
    </sheetView>
  </sheetViews>
  <sheetFormatPr defaultColWidth="10.33203125" defaultRowHeight="15"/>
  <cols>
    <col min="1" max="2" width="10.33203125" style="1150"/>
    <col min="3" max="3" width="36.83203125" style="1150" customWidth="1"/>
    <col min="4" max="4" width="11.83203125" style="1150" bestFit="1" customWidth="1"/>
    <col min="5" max="5" width="10.6640625" style="1150" bestFit="1" customWidth="1"/>
    <col min="6" max="6" width="12.6640625" style="1150" customWidth="1"/>
    <col min="7" max="7" width="13.5" style="1150" customWidth="1"/>
    <col min="8" max="8" width="12.1640625" style="1150" customWidth="1"/>
    <col min="9" max="11" width="10.33203125" style="1150"/>
    <col min="12" max="12" width="12.6640625" style="1150" customWidth="1"/>
    <col min="13" max="13" width="11.83203125" style="1150" customWidth="1"/>
    <col min="14" max="14" width="15.33203125" style="1150" customWidth="1"/>
    <col min="15" max="25" width="10.33203125" style="1150"/>
    <col min="26" max="26" width="16.5" style="1150" customWidth="1"/>
    <col min="27" max="50" width="10.33203125" style="1150"/>
    <col min="51" max="51" width="12.5" style="1150" bestFit="1" customWidth="1"/>
    <col min="52" max="52" width="13.83203125" style="1150" bestFit="1" customWidth="1"/>
    <col min="53" max="16384" width="10.33203125" style="1150"/>
  </cols>
  <sheetData>
    <row r="1" spans="2:52" ht="15.75" thickBot="1">
      <c r="B1" s="1149" t="s">
        <v>1630</v>
      </c>
      <c r="C1" s="1149"/>
    </row>
    <row r="2" spans="2:52">
      <c r="B2" s="1151" t="s">
        <v>1631</v>
      </c>
      <c r="C2" s="1152"/>
      <c r="D2" s="1153"/>
      <c r="E2" s="1153"/>
      <c r="F2" s="1153"/>
      <c r="G2" s="1153"/>
      <c r="H2" s="1153"/>
      <c r="I2" s="1153"/>
      <c r="J2" s="1153"/>
      <c r="K2" s="1153"/>
      <c r="L2" s="1153"/>
      <c r="M2" s="1153"/>
      <c r="N2" s="1153"/>
      <c r="O2" s="1153"/>
      <c r="P2" s="1153"/>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4"/>
    </row>
    <row r="3" spans="2:52">
      <c r="B3" s="1155"/>
      <c r="C3" s="1156"/>
      <c r="D3" s="1237">
        <v>43100</v>
      </c>
      <c r="E3" s="1237">
        <v>43131</v>
      </c>
      <c r="F3" s="1237">
        <v>43159</v>
      </c>
      <c r="G3" s="1237">
        <v>43190</v>
      </c>
      <c r="H3" s="1237">
        <v>43220</v>
      </c>
      <c r="I3" s="1237">
        <v>43251</v>
      </c>
      <c r="J3" s="1237">
        <v>43281</v>
      </c>
      <c r="K3" s="1237">
        <v>43312</v>
      </c>
      <c r="L3" s="1237">
        <v>43343</v>
      </c>
      <c r="M3" s="1237">
        <v>43373</v>
      </c>
      <c r="N3" s="1237">
        <v>43404</v>
      </c>
      <c r="O3" s="1237">
        <v>43434</v>
      </c>
      <c r="P3" s="1237">
        <v>43465</v>
      </c>
      <c r="Q3" s="1237">
        <v>43496</v>
      </c>
      <c r="R3" s="1237">
        <v>43524</v>
      </c>
      <c r="S3" s="1237">
        <v>43555</v>
      </c>
      <c r="T3" s="1237">
        <v>43585</v>
      </c>
      <c r="U3" s="1237">
        <v>43616</v>
      </c>
      <c r="V3" s="1237">
        <v>43646</v>
      </c>
      <c r="W3" s="1237">
        <v>43677</v>
      </c>
      <c r="X3" s="1237">
        <v>43708</v>
      </c>
      <c r="Y3" s="1237">
        <v>43738</v>
      </c>
      <c r="Z3" s="1237">
        <v>43769</v>
      </c>
      <c r="AA3" s="1237">
        <v>43799</v>
      </c>
      <c r="AB3" s="1237">
        <v>43830</v>
      </c>
      <c r="AC3" s="1237">
        <v>43861</v>
      </c>
      <c r="AD3" s="1237">
        <v>43890</v>
      </c>
      <c r="AE3" s="1237">
        <v>43921</v>
      </c>
      <c r="AF3" s="1237">
        <v>43951</v>
      </c>
      <c r="AG3" s="1237">
        <v>43982</v>
      </c>
      <c r="AH3" s="1237">
        <v>44012</v>
      </c>
      <c r="AI3" s="1237">
        <v>44043</v>
      </c>
      <c r="AJ3" s="1237">
        <v>44074</v>
      </c>
      <c r="AK3" s="1237">
        <v>44104</v>
      </c>
      <c r="AL3" s="1237">
        <v>44135</v>
      </c>
      <c r="AM3" s="1237">
        <v>44165</v>
      </c>
      <c r="AN3" s="1237">
        <v>44196</v>
      </c>
      <c r="AO3" s="1237">
        <v>44227</v>
      </c>
      <c r="AP3" s="1237">
        <v>44255</v>
      </c>
      <c r="AQ3" s="1237">
        <v>44286</v>
      </c>
      <c r="AR3" s="1237">
        <v>44316</v>
      </c>
      <c r="AS3" s="1237">
        <v>44347</v>
      </c>
      <c r="AT3" s="1237">
        <v>44377</v>
      </c>
      <c r="AU3" s="1237">
        <v>44408</v>
      </c>
      <c r="AV3" s="1237">
        <v>44439</v>
      </c>
      <c r="AW3" s="1237">
        <v>44469</v>
      </c>
      <c r="AX3" s="1237">
        <v>44500</v>
      </c>
      <c r="AY3" s="1237">
        <v>44530</v>
      </c>
      <c r="AZ3" s="1237">
        <v>44561</v>
      </c>
    </row>
    <row r="4" spans="2:52">
      <c r="B4" s="1159"/>
      <c r="C4" s="1160"/>
      <c r="D4" s="1161"/>
      <c r="E4" s="1161"/>
      <c r="F4" s="1161"/>
      <c r="G4" s="1161"/>
      <c r="H4" s="1161"/>
      <c r="I4" s="1161"/>
      <c r="J4" s="1161"/>
      <c r="K4" s="1161"/>
      <c r="L4" s="1161"/>
      <c r="M4" s="1161"/>
      <c r="N4" s="1161"/>
      <c r="O4" s="1161"/>
      <c r="P4" s="1161"/>
      <c r="Q4" s="1161"/>
      <c r="R4" s="1161"/>
      <c r="S4" s="1161"/>
      <c r="T4" s="1161"/>
      <c r="U4" s="1161"/>
      <c r="V4" s="1161"/>
      <c r="W4" s="1161"/>
      <c r="X4" s="1161"/>
      <c r="Y4" s="1161"/>
      <c r="Z4" s="1161"/>
      <c r="AA4" s="1161"/>
      <c r="AB4" s="1161"/>
      <c r="AC4" s="1161"/>
      <c r="AD4" s="1161"/>
      <c r="AE4" s="1161"/>
      <c r="AF4" s="1161"/>
      <c r="AG4" s="1161"/>
      <c r="AH4" s="1161"/>
      <c r="AI4" s="1161"/>
      <c r="AJ4" s="1161"/>
      <c r="AK4" s="1161"/>
      <c r="AL4" s="1161"/>
      <c r="AM4" s="1161"/>
      <c r="AN4" s="1161"/>
      <c r="AO4" s="1161"/>
      <c r="AP4" s="1161"/>
      <c r="AQ4" s="1161"/>
      <c r="AR4" s="1161"/>
      <c r="AS4" s="1161"/>
      <c r="AT4" s="1161"/>
      <c r="AU4" s="1161"/>
      <c r="AV4" s="1161"/>
      <c r="AW4" s="1161"/>
      <c r="AX4" s="1161"/>
      <c r="AY4" s="1161"/>
      <c r="AZ4" s="1162"/>
    </row>
    <row r="5" spans="2:52">
      <c r="B5" s="1163"/>
      <c r="C5" s="1164"/>
      <c r="D5" s="1165"/>
      <c r="E5" s="1165"/>
      <c r="F5" s="1165"/>
      <c r="G5" s="1165"/>
      <c r="H5" s="1165"/>
      <c r="I5" s="1165"/>
      <c r="J5" s="1165"/>
      <c r="K5" s="1165"/>
      <c r="L5" s="1165"/>
      <c r="M5" s="1165"/>
      <c r="N5" s="1165"/>
      <c r="O5" s="1165"/>
      <c r="P5" s="1165"/>
      <c r="Q5" s="1165"/>
      <c r="R5" s="1165"/>
      <c r="S5" s="1165"/>
      <c r="T5" s="1165"/>
      <c r="U5" s="1165"/>
      <c r="V5" s="1165"/>
      <c r="W5" s="1165"/>
      <c r="X5" s="1165"/>
      <c r="Y5" s="1165"/>
      <c r="Z5" s="1165"/>
      <c r="AA5" s="1165"/>
      <c r="AB5" s="1165"/>
      <c r="AC5" s="1165"/>
      <c r="AD5" s="1165"/>
      <c r="AE5" s="1165"/>
      <c r="AF5" s="1165"/>
      <c r="AG5" s="1165"/>
      <c r="AH5" s="1165"/>
      <c r="AI5" s="1165"/>
      <c r="AJ5" s="1165"/>
      <c r="AK5" s="1165"/>
      <c r="AL5" s="1165"/>
      <c r="AM5" s="1165"/>
      <c r="AN5" s="1165"/>
      <c r="AO5" s="1165"/>
      <c r="AP5" s="1165"/>
      <c r="AQ5" s="1165"/>
      <c r="AR5" s="1165"/>
      <c r="AS5" s="1165"/>
      <c r="AT5" s="1165"/>
      <c r="AU5" s="1165"/>
      <c r="AV5" s="1165"/>
      <c r="AW5" s="1165"/>
      <c r="AX5" s="1165"/>
      <c r="AY5" s="1165"/>
      <c r="AZ5" s="1166"/>
    </row>
    <row r="6" spans="2:52">
      <c r="B6" s="1163"/>
      <c r="C6" s="1164" t="s">
        <v>1632</v>
      </c>
      <c r="D6" s="1167">
        <v>27</v>
      </c>
      <c r="E6" s="1167">
        <v>29</v>
      </c>
      <c r="F6" s="1167">
        <v>31</v>
      </c>
      <c r="G6" s="1167">
        <v>34</v>
      </c>
      <c r="H6" s="1167">
        <v>39</v>
      </c>
      <c r="I6" s="1167">
        <v>40</v>
      </c>
      <c r="J6" s="1167">
        <v>42</v>
      </c>
      <c r="K6" s="1167">
        <v>43</v>
      </c>
      <c r="L6" s="1167">
        <v>48</v>
      </c>
      <c r="M6" s="1167">
        <v>48</v>
      </c>
      <c r="N6" s="1167">
        <v>50</v>
      </c>
      <c r="O6" s="1167">
        <v>50</v>
      </c>
      <c r="P6" s="1167">
        <v>50</v>
      </c>
      <c r="Q6" s="1167">
        <v>51</v>
      </c>
      <c r="R6" s="1167">
        <v>53</v>
      </c>
      <c r="S6" s="1167">
        <v>53</v>
      </c>
      <c r="T6" s="1167">
        <v>56</v>
      </c>
      <c r="U6" s="1167">
        <v>56</v>
      </c>
      <c r="V6" s="1167">
        <v>56</v>
      </c>
      <c r="W6" s="1167">
        <v>56</v>
      </c>
      <c r="X6" s="1167">
        <v>57</v>
      </c>
      <c r="Y6" s="1167">
        <v>57</v>
      </c>
      <c r="Z6" s="1167">
        <v>57</v>
      </c>
      <c r="AA6" s="1167">
        <v>57</v>
      </c>
      <c r="AB6" s="1167">
        <v>57</v>
      </c>
      <c r="AC6" s="1167">
        <v>57</v>
      </c>
      <c r="AD6" s="1167">
        <v>58</v>
      </c>
      <c r="AE6" s="1167">
        <v>58</v>
      </c>
      <c r="AF6" s="1167">
        <v>63</v>
      </c>
      <c r="AG6" s="1167">
        <v>63</v>
      </c>
      <c r="AH6" s="1167">
        <v>63</v>
      </c>
      <c r="AI6" s="1167">
        <v>63</v>
      </c>
      <c r="AJ6" s="1167">
        <v>63</v>
      </c>
      <c r="AK6" s="1167">
        <v>63</v>
      </c>
      <c r="AL6" s="1167">
        <v>63</v>
      </c>
      <c r="AM6" s="1167">
        <v>63</v>
      </c>
      <c r="AN6" s="1167">
        <v>63</v>
      </c>
      <c r="AO6" s="1167">
        <v>63</v>
      </c>
      <c r="AP6" s="1167">
        <v>63</v>
      </c>
      <c r="AQ6" s="1167">
        <v>63</v>
      </c>
      <c r="AR6" s="1167">
        <v>73</v>
      </c>
      <c r="AS6" s="1167">
        <v>73</v>
      </c>
      <c r="AT6" s="1167">
        <v>73</v>
      </c>
      <c r="AU6" s="1167">
        <v>73</v>
      </c>
      <c r="AV6" s="1167">
        <v>73</v>
      </c>
      <c r="AW6" s="1167">
        <v>73</v>
      </c>
      <c r="AX6" s="1167">
        <v>73</v>
      </c>
      <c r="AY6" s="1167">
        <v>73</v>
      </c>
      <c r="AZ6" s="1168">
        <v>73</v>
      </c>
    </row>
    <row r="7" spans="2:52">
      <c r="B7" s="1163"/>
      <c r="C7" s="1164"/>
      <c r="D7" s="1165"/>
      <c r="E7" s="1165"/>
      <c r="F7" s="1165"/>
      <c r="G7" s="1165"/>
      <c r="H7" s="1165"/>
      <c r="I7" s="1165"/>
      <c r="J7" s="1165"/>
      <c r="K7" s="1165"/>
      <c r="L7" s="1165"/>
      <c r="M7" s="1165"/>
      <c r="N7" s="1165"/>
      <c r="O7" s="1165"/>
      <c r="P7" s="1165"/>
      <c r="Q7" s="1165"/>
      <c r="R7" s="1165"/>
      <c r="S7" s="1165"/>
      <c r="T7" s="1165"/>
      <c r="U7" s="1165"/>
      <c r="V7" s="1165"/>
      <c r="W7" s="1165"/>
      <c r="X7" s="1165"/>
      <c r="Y7" s="1165"/>
      <c r="Z7" s="1165"/>
      <c r="AA7" s="1165"/>
      <c r="AB7" s="1165"/>
      <c r="AC7" s="1165"/>
      <c r="AD7" s="1165"/>
      <c r="AE7" s="1165"/>
      <c r="AF7" s="1165"/>
      <c r="AG7" s="1165"/>
      <c r="AH7" s="1165"/>
      <c r="AI7" s="1165"/>
      <c r="AJ7" s="1165"/>
      <c r="AK7" s="1165"/>
      <c r="AL7" s="1165"/>
      <c r="AM7" s="1165"/>
      <c r="AN7" s="1165"/>
      <c r="AO7" s="1165"/>
      <c r="AP7" s="1165"/>
      <c r="AQ7" s="1165"/>
      <c r="AR7" s="1165"/>
      <c r="AS7" s="1165"/>
      <c r="AT7" s="1165"/>
      <c r="AU7" s="1165"/>
      <c r="AV7" s="1165"/>
      <c r="AW7" s="1165"/>
      <c r="AX7" s="1165"/>
      <c r="AY7" s="1165"/>
      <c r="AZ7" s="1166"/>
    </row>
    <row r="8" spans="2:52">
      <c r="B8" s="1163"/>
      <c r="C8" s="1164" t="s">
        <v>1633</v>
      </c>
      <c r="D8" s="1165"/>
      <c r="E8" s="1165"/>
      <c r="F8" s="1165"/>
      <c r="G8" s="1165"/>
      <c r="H8" s="1165"/>
      <c r="I8" s="1165"/>
      <c r="J8" s="1165"/>
      <c r="K8" s="1165"/>
      <c r="L8" s="1165"/>
      <c r="M8" s="1165"/>
      <c r="N8" s="1165"/>
      <c r="O8" s="1165"/>
      <c r="P8" s="1165"/>
      <c r="Q8" s="1165"/>
      <c r="R8" s="1165"/>
      <c r="S8" s="1165"/>
      <c r="T8" s="1165"/>
      <c r="U8" s="1165"/>
      <c r="V8" s="1165"/>
      <c r="W8" s="1165"/>
      <c r="X8" s="1165"/>
      <c r="Y8" s="1165"/>
      <c r="Z8" s="1165"/>
      <c r="AA8" s="1165"/>
      <c r="AB8" s="1165"/>
      <c r="AC8" s="1165"/>
      <c r="AD8" s="1165"/>
      <c r="AE8" s="1165"/>
      <c r="AF8" s="1165"/>
      <c r="AG8" s="1165"/>
      <c r="AH8" s="1165"/>
      <c r="AI8" s="1165"/>
      <c r="AJ8" s="1165"/>
      <c r="AK8" s="1165"/>
      <c r="AL8" s="1165"/>
      <c r="AM8" s="1165"/>
      <c r="AN8" s="1165"/>
      <c r="AO8" s="1165"/>
      <c r="AP8" s="1165"/>
      <c r="AQ8" s="1165"/>
      <c r="AR8" s="1165"/>
      <c r="AS8" s="1165"/>
      <c r="AT8" s="1165"/>
      <c r="AU8" s="1165"/>
      <c r="AV8" s="1165"/>
      <c r="AW8" s="1165"/>
      <c r="AX8" s="1165"/>
      <c r="AY8" s="1165"/>
      <c r="AZ8" s="1166"/>
    </row>
    <row r="9" spans="2:52">
      <c r="B9" s="1169"/>
      <c r="C9" s="1170" t="s">
        <v>1573</v>
      </c>
      <c r="D9" s="1171">
        <v>457960.505</v>
      </c>
      <c r="E9" s="1171">
        <v>1093346.4990000003</v>
      </c>
      <c r="F9" s="1171">
        <v>552265.03025000007</v>
      </c>
      <c r="G9" s="1171">
        <v>591733.03024999995</v>
      </c>
      <c r="H9" s="1171">
        <v>670469.69691666658</v>
      </c>
      <c r="I9" s="1171">
        <v>688908.03025000007</v>
      </c>
      <c r="J9" s="1171">
        <v>725286.36358333332</v>
      </c>
      <c r="K9" s="1171">
        <v>747412.36358333332</v>
      </c>
      <c r="L9" s="1171">
        <v>808906.69691666681</v>
      </c>
      <c r="M9" s="1171">
        <v>808906.69691666681</v>
      </c>
      <c r="N9" s="1171">
        <v>829637.36358333356</v>
      </c>
      <c r="O9" s="1171">
        <v>829637.36358333356</v>
      </c>
      <c r="P9" s="1171">
        <v>829637.36358333356</v>
      </c>
      <c r="Q9" s="1171">
        <v>1892612.4626739582</v>
      </c>
      <c r="R9" s="1171">
        <v>918316.69842916657</v>
      </c>
      <c r="S9" s="1171">
        <v>918316.69842916657</v>
      </c>
      <c r="T9" s="1171">
        <v>977394.11509583332</v>
      </c>
      <c r="U9" s="1171">
        <v>977394.11509583332</v>
      </c>
      <c r="V9" s="1171">
        <v>977394.11509583332</v>
      </c>
      <c r="W9" s="1171">
        <v>977394.11509583332</v>
      </c>
      <c r="X9" s="1171">
        <v>988656.44842916669</v>
      </c>
      <c r="Y9" s="1171">
        <v>988656.44842916669</v>
      </c>
      <c r="Z9" s="1171">
        <v>988656.44842916669</v>
      </c>
      <c r="AA9" s="1171">
        <v>988656.44842916669</v>
      </c>
      <c r="AB9" s="1171">
        <v>988656.44842916669</v>
      </c>
      <c r="AC9" s="1171">
        <v>2237760.5514326561</v>
      </c>
      <c r="AD9" s="1171">
        <v>1053333.6041839581</v>
      </c>
      <c r="AE9" s="1171">
        <v>1053333.6041839581</v>
      </c>
      <c r="AF9" s="1171">
        <v>1144428.9375172916</v>
      </c>
      <c r="AG9" s="1171">
        <v>1144428.9375172916</v>
      </c>
      <c r="AH9" s="1171">
        <v>1144428.9375172916</v>
      </c>
      <c r="AI9" s="1171">
        <v>1144428.9375172916</v>
      </c>
      <c r="AJ9" s="1171">
        <v>1144428.9375172916</v>
      </c>
      <c r="AK9" s="1171">
        <v>1144428.9375172916</v>
      </c>
      <c r="AL9" s="1171">
        <v>1144428.9375172916</v>
      </c>
      <c r="AM9" s="1171">
        <v>1144428.9375172916</v>
      </c>
      <c r="AN9" s="1171">
        <v>1144428.9375172916</v>
      </c>
      <c r="AO9" s="1171">
        <v>2496084.2915042895</v>
      </c>
      <c r="AP9" s="1171">
        <v>1200250.3843931565</v>
      </c>
      <c r="AQ9" s="1171">
        <v>1200250.3843931565</v>
      </c>
      <c r="AR9" s="1171">
        <v>1380447.7177264898</v>
      </c>
      <c r="AS9" s="1171">
        <v>1380447.7177264898</v>
      </c>
      <c r="AT9" s="1171">
        <v>1380447.7177264898</v>
      </c>
      <c r="AU9" s="1171">
        <v>1380447.7177264898</v>
      </c>
      <c r="AV9" s="1171">
        <v>1380447.7177264898</v>
      </c>
      <c r="AW9" s="1171">
        <v>1380447.7177264898</v>
      </c>
      <c r="AX9" s="1171">
        <v>1380447.7177264898</v>
      </c>
      <c r="AY9" s="1171">
        <v>1380447.7177264898</v>
      </c>
      <c r="AZ9" s="1172">
        <v>1380447.7177264898</v>
      </c>
    </row>
    <row r="10" spans="2:52">
      <c r="B10" s="1169"/>
      <c r="C10" s="1170" t="s">
        <v>1574</v>
      </c>
      <c r="D10" s="1171">
        <v>9000</v>
      </c>
      <c r="E10" s="1171">
        <v>9000</v>
      </c>
      <c r="F10" s="1171">
        <v>10600</v>
      </c>
      <c r="G10" s="1171">
        <v>10600</v>
      </c>
      <c r="H10" s="1171">
        <v>11400</v>
      </c>
      <c r="I10" s="1171">
        <v>12200</v>
      </c>
      <c r="J10" s="1171">
        <v>12200</v>
      </c>
      <c r="K10" s="1171">
        <v>13000</v>
      </c>
      <c r="L10" s="1171">
        <v>13000</v>
      </c>
      <c r="M10" s="1171">
        <v>13000</v>
      </c>
      <c r="N10" s="1171">
        <v>13000</v>
      </c>
      <c r="O10" s="1171">
        <v>13000</v>
      </c>
      <c r="P10" s="1171">
        <v>13000</v>
      </c>
      <c r="Q10" s="1171">
        <v>15500</v>
      </c>
      <c r="R10" s="1171">
        <v>15500</v>
      </c>
      <c r="S10" s="1171">
        <v>15500</v>
      </c>
      <c r="T10" s="1171">
        <v>18000</v>
      </c>
      <c r="U10" s="1171">
        <v>18000</v>
      </c>
      <c r="V10" s="1171">
        <v>18000</v>
      </c>
      <c r="W10" s="1171">
        <v>18000</v>
      </c>
      <c r="X10" s="1171">
        <v>18000</v>
      </c>
      <c r="Y10" s="1171">
        <v>18000</v>
      </c>
      <c r="Z10" s="1171">
        <v>18000</v>
      </c>
      <c r="AA10" s="1171">
        <v>18000</v>
      </c>
      <c r="AB10" s="1171">
        <v>18000</v>
      </c>
      <c r="AC10" s="1171">
        <v>18000</v>
      </c>
      <c r="AD10" s="1171">
        <v>18000</v>
      </c>
      <c r="AE10" s="1171">
        <v>18000</v>
      </c>
      <c r="AF10" s="1171">
        <v>20400</v>
      </c>
      <c r="AG10" s="1171">
        <v>20400</v>
      </c>
      <c r="AH10" s="1171">
        <v>20400</v>
      </c>
      <c r="AI10" s="1171">
        <v>20400</v>
      </c>
      <c r="AJ10" s="1171">
        <v>20400</v>
      </c>
      <c r="AK10" s="1171">
        <v>20400</v>
      </c>
      <c r="AL10" s="1171">
        <v>20400</v>
      </c>
      <c r="AM10" s="1171">
        <v>20400</v>
      </c>
      <c r="AN10" s="1171">
        <v>20400</v>
      </c>
      <c r="AO10" s="1171">
        <v>20400</v>
      </c>
      <c r="AP10" s="1171">
        <v>20400</v>
      </c>
      <c r="AQ10" s="1171">
        <v>20400</v>
      </c>
      <c r="AR10" s="1171">
        <v>27000</v>
      </c>
      <c r="AS10" s="1171">
        <v>27000</v>
      </c>
      <c r="AT10" s="1171">
        <v>27000</v>
      </c>
      <c r="AU10" s="1171">
        <v>27000</v>
      </c>
      <c r="AV10" s="1171">
        <v>27000</v>
      </c>
      <c r="AW10" s="1171">
        <v>27000</v>
      </c>
      <c r="AX10" s="1171">
        <v>27000</v>
      </c>
      <c r="AY10" s="1171">
        <v>27000</v>
      </c>
      <c r="AZ10" s="1172">
        <v>27000</v>
      </c>
    </row>
    <row r="11" spans="2:52">
      <c r="B11" s="1169"/>
      <c r="C11" s="1170" t="s">
        <v>1634</v>
      </c>
      <c r="D11" s="1171">
        <v>1346918.1077651517</v>
      </c>
      <c r="E11" s="1171">
        <v>1680938.4479499669</v>
      </c>
      <c r="F11" s="1171">
        <v>1521546.7646166333</v>
      </c>
      <c r="G11" s="1171">
        <v>1588078.2646166333</v>
      </c>
      <c r="H11" s="1171">
        <v>1608390.9479499666</v>
      </c>
      <c r="I11" s="1171">
        <v>1288307.9312832998</v>
      </c>
      <c r="J11" s="1171">
        <v>1338403.0423944111</v>
      </c>
      <c r="K11" s="1171">
        <v>1465932.0423944111</v>
      </c>
      <c r="L11" s="1171">
        <v>1099180.8519182205</v>
      </c>
      <c r="M11" s="1171">
        <v>1232530.9471563159</v>
      </c>
      <c r="N11" s="1171">
        <v>948125.35646187153</v>
      </c>
      <c r="O11" s="1171">
        <v>809546.11767399264</v>
      </c>
      <c r="P11" s="1171">
        <v>1089264.2891483516</v>
      </c>
      <c r="Q11" s="1171">
        <v>1841722.5391483516</v>
      </c>
      <c r="R11" s="1171">
        <v>1913210.0583791211</v>
      </c>
      <c r="S11" s="1171">
        <v>1764876.7250457879</v>
      </c>
      <c r="T11" s="1171">
        <v>1802805.2964743592</v>
      </c>
      <c r="U11" s="1171">
        <v>1717971.9631410257</v>
      </c>
      <c r="V11" s="1171">
        <v>1690721.9631410257</v>
      </c>
      <c r="W11" s="1171">
        <v>2109221.7409188035</v>
      </c>
      <c r="X11" s="1171">
        <v>2105887.90758547</v>
      </c>
      <c r="Y11" s="1171">
        <v>1281512.9075854702</v>
      </c>
      <c r="Z11" s="1171">
        <v>1328012.9075854702</v>
      </c>
      <c r="AA11" s="1171">
        <v>1253012.824252137</v>
      </c>
      <c r="AB11" s="1171">
        <v>1245901.7131410257</v>
      </c>
      <c r="AC11" s="1171">
        <v>2352418</v>
      </c>
      <c r="AD11" s="1171">
        <v>1277918.0000000002</v>
      </c>
      <c r="AE11" s="1171">
        <v>1268918.0000000002</v>
      </c>
      <c r="AF11" s="1171">
        <v>2155436.7969924808</v>
      </c>
      <c r="AG11" s="1171">
        <v>2151436.7969924808</v>
      </c>
      <c r="AH11" s="1171">
        <v>2155436.7969924808</v>
      </c>
      <c r="AI11" s="1171">
        <v>1462768.796992481</v>
      </c>
      <c r="AJ11" s="1171">
        <v>2692468.7969924808</v>
      </c>
      <c r="AK11" s="1171">
        <v>1688468.796992481</v>
      </c>
      <c r="AL11" s="1171">
        <v>1692468.796992481</v>
      </c>
      <c r="AM11" s="1171">
        <v>1659897.3684210523</v>
      </c>
      <c r="AN11" s="1171">
        <v>1663897.3684210523</v>
      </c>
      <c r="AO11" s="1171">
        <v>1659897.3684210523</v>
      </c>
      <c r="AP11" s="1171">
        <v>1663897.3684210523</v>
      </c>
      <c r="AQ11" s="1171">
        <v>1688468.796992481</v>
      </c>
      <c r="AR11" s="1171">
        <v>1684135.4636591477</v>
      </c>
      <c r="AS11" s="1171">
        <v>1680135.4636591477</v>
      </c>
      <c r="AT11" s="1171">
        <v>1684135.4636591477</v>
      </c>
      <c r="AU11" s="1171">
        <v>2117102.1303258147</v>
      </c>
      <c r="AV11" s="1171">
        <v>2121102.1303258147</v>
      </c>
      <c r="AW11" s="1171">
        <v>2117102.1303258147</v>
      </c>
      <c r="AX11" s="1171">
        <v>2092530.7017543861</v>
      </c>
      <c r="AY11" s="1171">
        <v>1039216.6666666667</v>
      </c>
      <c r="AZ11" s="1172">
        <v>1043216.6666666667</v>
      </c>
    </row>
    <row r="12" spans="2:52">
      <c r="B12" s="1169"/>
      <c r="C12" s="1170" t="s">
        <v>1576</v>
      </c>
      <c r="D12" s="1171">
        <v>309083.33333333331</v>
      </c>
      <c r="E12" s="1171">
        <v>346583.33333333331</v>
      </c>
      <c r="F12" s="1171">
        <v>321583.33333333331</v>
      </c>
      <c r="G12" s="1171">
        <v>396583.33333333331</v>
      </c>
      <c r="H12" s="1171">
        <v>434083.33333333331</v>
      </c>
      <c r="I12" s="1171">
        <v>396583.33333333331</v>
      </c>
      <c r="J12" s="1171">
        <v>421583.33333333331</v>
      </c>
      <c r="K12" s="1171">
        <v>409083.33333333331</v>
      </c>
      <c r="L12" s="1171">
        <v>509083.33333333331</v>
      </c>
      <c r="M12" s="1171">
        <v>459083.33333333331</v>
      </c>
      <c r="N12" s="1171">
        <v>509083.33333333331</v>
      </c>
      <c r="O12" s="1171">
        <v>484083.33333333331</v>
      </c>
      <c r="P12" s="1171">
        <v>484083.33333333331</v>
      </c>
      <c r="Q12" s="1171">
        <v>484083.33333333331</v>
      </c>
      <c r="R12" s="1171">
        <v>484083.33333333331</v>
      </c>
      <c r="S12" s="1171">
        <v>484083.33333333331</v>
      </c>
      <c r="T12" s="1171">
        <v>484083.33333333331</v>
      </c>
      <c r="U12" s="1171">
        <v>484083.33333333331</v>
      </c>
      <c r="V12" s="1171">
        <v>484083.33333333331</v>
      </c>
      <c r="W12" s="1171">
        <v>484083.33333333331</v>
      </c>
      <c r="X12" s="1171">
        <v>509083.33333333331</v>
      </c>
      <c r="Y12" s="1171">
        <v>496583.33333333331</v>
      </c>
      <c r="Z12" s="1171">
        <v>496583.33333333331</v>
      </c>
      <c r="AA12" s="1171">
        <v>496583.33333333331</v>
      </c>
      <c r="AB12" s="1171">
        <v>496583.33333333331</v>
      </c>
      <c r="AC12" s="1171">
        <v>496583.33333333331</v>
      </c>
      <c r="AD12" s="1171">
        <v>496583.33333333331</v>
      </c>
      <c r="AE12" s="1171">
        <v>496583.33333333331</v>
      </c>
      <c r="AF12" s="1171">
        <v>496583.33333333331</v>
      </c>
      <c r="AG12" s="1171">
        <v>496583.33333333331</v>
      </c>
      <c r="AH12" s="1171">
        <v>496583.33333333331</v>
      </c>
      <c r="AI12" s="1171">
        <v>496583.33333333331</v>
      </c>
      <c r="AJ12" s="1171">
        <v>496583.33333333331</v>
      </c>
      <c r="AK12" s="1171">
        <v>496583.33333333331</v>
      </c>
      <c r="AL12" s="1171">
        <v>496583.33333333331</v>
      </c>
      <c r="AM12" s="1171">
        <v>496583.33333333331</v>
      </c>
      <c r="AN12" s="1171">
        <v>496583.33333333331</v>
      </c>
      <c r="AO12" s="1171">
        <v>496583.33333333331</v>
      </c>
      <c r="AP12" s="1171">
        <v>496583.33333333331</v>
      </c>
      <c r="AQ12" s="1171">
        <v>496583.33333333331</v>
      </c>
      <c r="AR12" s="1171">
        <v>496583.33333333331</v>
      </c>
      <c r="AS12" s="1171">
        <v>496583.33333333331</v>
      </c>
      <c r="AT12" s="1171">
        <v>496583.33333333331</v>
      </c>
      <c r="AU12" s="1171">
        <v>496583.33333333331</v>
      </c>
      <c r="AV12" s="1171">
        <v>496583.33333333331</v>
      </c>
      <c r="AW12" s="1171">
        <v>496583.33333333331</v>
      </c>
      <c r="AX12" s="1171">
        <v>496583.33333333331</v>
      </c>
      <c r="AY12" s="1171">
        <v>496583.33333333331</v>
      </c>
      <c r="AZ12" s="1172">
        <v>496583.33333333331</v>
      </c>
    </row>
    <row r="13" spans="2:52">
      <c r="B13" s="1169"/>
      <c r="C13" s="1170" t="s">
        <v>1635</v>
      </c>
      <c r="D13" s="1171">
        <v>175049.66666666669</v>
      </c>
      <c r="E13" s="1171">
        <v>160466.33333333331</v>
      </c>
      <c r="F13" s="1171">
        <v>170466.33333333331</v>
      </c>
      <c r="G13" s="1171">
        <v>176716.33333333331</v>
      </c>
      <c r="H13" s="1171">
        <v>151341.33333333331</v>
      </c>
      <c r="I13" s="1171">
        <v>247341.33333333334</v>
      </c>
      <c r="J13" s="1171">
        <v>228591.33333333331</v>
      </c>
      <c r="K13" s="1171">
        <v>201341.33333333331</v>
      </c>
      <c r="L13" s="1171">
        <v>197966.33333333331</v>
      </c>
      <c r="M13" s="1171">
        <v>229216.33333333331</v>
      </c>
      <c r="N13" s="1171">
        <v>149466.33333333331</v>
      </c>
      <c r="O13" s="1171">
        <v>145466.33333333331</v>
      </c>
      <c r="P13" s="1171">
        <v>176716.33333333331</v>
      </c>
      <c r="Q13" s="1171">
        <v>161266.33333333331</v>
      </c>
      <c r="R13" s="1171">
        <v>171266.33333333331</v>
      </c>
      <c r="S13" s="1171">
        <v>282516.33333333331</v>
      </c>
      <c r="T13" s="1171">
        <v>157141.33333333331</v>
      </c>
      <c r="U13" s="1171">
        <v>244808</v>
      </c>
      <c r="V13" s="1171">
        <v>798558</v>
      </c>
      <c r="W13" s="1171">
        <v>271308</v>
      </c>
      <c r="X13" s="1171">
        <v>267933</v>
      </c>
      <c r="Y13" s="1171">
        <v>549183</v>
      </c>
      <c r="Z13" s="1171">
        <v>2460266.3333333335</v>
      </c>
      <c r="AA13" s="1171">
        <v>234599.66666666663</v>
      </c>
      <c r="AB13" s="1171">
        <v>265849.66666666663</v>
      </c>
      <c r="AC13" s="1171">
        <v>253359.66666666663</v>
      </c>
      <c r="AD13" s="1171">
        <v>263359.66666666663</v>
      </c>
      <c r="AE13" s="1171">
        <v>274609.66666666663</v>
      </c>
      <c r="AF13" s="1171">
        <v>249234.66666666663</v>
      </c>
      <c r="AG13" s="1171">
        <v>245234.66666666663</v>
      </c>
      <c r="AH13" s="1171">
        <v>298984.66666666663</v>
      </c>
      <c r="AI13" s="1171">
        <v>271734.66666666663</v>
      </c>
      <c r="AJ13" s="1171">
        <v>268359.66666666663</v>
      </c>
      <c r="AK13" s="1171">
        <v>299609.66666666663</v>
      </c>
      <c r="AL13" s="1171">
        <v>247359.66666666663</v>
      </c>
      <c r="AM13" s="1171">
        <v>243359.66666666663</v>
      </c>
      <c r="AN13" s="1171">
        <v>274609.66666666663</v>
      </c>
      <c r="AO13" s="1171">
        <v>261271.66666666663</v>
      </c>
      <c r="AP13" s="1171">
        <v>271271.66666666663</v>
      </c>
      <c r="AQ13" s="1171">
        <v>282521.66666666663</v>
      </c>
      <c r="AR13" s="1171">
        <v>257146.66666666663</v>
      </c>
      <c r="AS13" s="1171">
        <v>253146.66666666663</v>
      </c>
      <c r="AT13" s="1171">
        <v>306896.66666666663</v>
      </c>
      <c r="AU13" s="1171">
        <v>279646.66666666663</v>
      </c>
      <c r="AV13" s="1171">
        <v>276271.66666666663</v>
      </c>
      <c r="AW13" s="1171">
        <v>307521.66666666663</v>
      </c>
      <c r="AX13" s="1171">
        <v>255271.66666666663</v>
      </c>
      <c r="AY13" s="1171">
        <v>251271.66666666663</v>
      </c>
      <c r="AZ13" s="1172">
        <v>282521.66666666663</v>
      </c>
    </row>
    <row r="14" spans="2:52">
      <c r="B14" s="1169"/>
      <c r="C14" s="1170" t="s">
        <v>1636</v>
      </c>
      <c r="D14" s="1171">
        <v>4000</v>
      </c>
      <c r="E14" s="1171">
        <v>4000</v>
      </c>
      <c r="F14" s="1171">
        <v>4000</v>
      </c>
      <c r="G14" s="1171">
        <v>4000</v>
      </c>
      <c r="H14" s="1171">
        <v>4000</v>
      </c>
      <c r="I14" s="1171">
        <v>4000</v>
      </c>
      <c r="J14" s="1171">
        <v>4000</v>
      </c>
      <c r="K14" s="1171">
        <v>4000</v>
      </c>
      <c r="L14" s="1171">
        <v>4000</v>
      </c>
      <c r="M14" s="1171">
        <v>4000</v>
      </c>
      <c r="N14" s="1171">
        <v>4000</v>
      </c>
      <c r="O14" s="1171">
        <v>4000</v>
      </c>
      <c r="P14" s="1171">
        <v>4000</v>
      </c>
      <c r="Q14" s="1171">
        <v>4000</v>
      </c>
      <c r="R14" s="1171">
        <v>4000</v>
      </c>
      <c r="S14" s="1171">
        <v>4000</v>
      </c>
      <c r="T14" s="1171">
        <v>4000</v>
      </c>
      <c r="U14" s="1171">
        <v>4000</v>
      </c>
      <c r="V14" s="1171">
        <v>4000</v>
      </c>
      <c r="W14" s="1171">
        <v>4000</v>
      </c>
      <c r="X14" s="1171">
        <v>4000</v>
      </c>
      <c r="Y14" s="1171">
        <v>4000</v>
      </c>
      <c r="Z14" s="1171">
        <v>4000</v>
      </c>
      <c r="AA14" s="1171">
        <v>4000</v>
      </c>
      <c r="AB14" s="1171">
        <v>4000</v>
      </c>
      <c r="AC14" s="1171">
        <v>4000</v>
      </c>
      <c r="AD14" s="1171">
        <v>4000</v>
      </c>
      <c r="AE14" s="1171">
        <v>4000</v>
      </c>
      <c r="AF14" s="1171">
        <v>4000</v>
      </c>
      <c r="AG14" s="1171">
        <v>4000</v>
      </c>
      <c r="AH14" s="1171">
        <v>4000</v>
      </c>
      <c r="AI14" s="1171">
        <v>4000</v>
      </c>
      <c r="AJ14" s="1171">
        <v>4000</v>
      </c>
      <c r="AK14" s="1171">
        <v>4000</v>
      </c>
      <c r="AL14" s="1171">
        <v>4000</v>
      </c>
      <c r="AM14" s="1171">
        <v>4000</v>
      </c>
      <c r="AN14" s="1171">
        <v>4000</v>
      </c>
      <c r="AO14" s="1171">
        <v>4000</v>
      </c>
      <c r="AP14" s="1171">
        <v>4000</v>
      </c>
      <c r="AQ14" s="1171">
        <v>4000</v>
      </c>
      <c r="AR14" s="1171">
        <v>4000</v>
      </c>
      <c r="AS14" s="1171">
        <v>4000</v>
      </c>
      <c r="AT14" s="1171">
        <v>4000</v>
      </c>
      <c r="AU14" s="1171">
        <v>4000</v>
      </c>
      <c r="AV14" s="1171">
        <v>4000</v>
      </c>
      <c r="AW14" s="1171">
        <v>4000</v>
      </c>
      <c r="AX14" s="1171">
        <v>4000</v>
      </c>
      <c r="AY14" s="1171">
        <v>4000</v>
      </c>
      <c r="AZ14" s="1172">
        <v>4000</v>
      </c>
    </row>
    <row r="15" spans="2:52">
      <c r="B15" s="1169"/>
      <c r="C15" s="1170" t="s">
        <v>1637</v>
      </c>
      <c r="D15" s="1173">
        <v>166194.66666666666</v>
      </c>
      <c r="E15" s="1173">
        <v>169864.01666666666</v>
      </c>
      <c r="F15" s="1173">
        <v>155664.01666666666</v>
      </c>
      <c r="G15" s="1173">
        <v>163564.01666666666</v>
      </c>
      <c r="H15" s="1173">
        <v>168464.01666666666</v>
      </c>
      <c r="I15" s="1173">
        <v>191064.01666666666</v>
      </c>
      <c r="J15" s="1173">
        <v>228564.01666666666</v>
      </c>
      <c r="K15" s="1173">
        <v>288934.66666666669</v>
      </c>
      <c r="L15" s="1173">
        <v>268734.66666666663</v>
      </c>
      <c r="M15" s="1173">
        <v>301234.66666666663</v>
      </c>
      <c r="N15" s="1173">
        <v>259934.66666666666</v>
      </c>
      <c r="O15" s="1173">
        <v>253534.66666666666</v>
      </c>
      <c r="P15" s="1173">
        <v>272034.66666666663</v>
      </c>
      <c r="Q15" s="1173">
        <v>263299.21666666667</v>
      </c>
      <c r="R15" s="1173">
        <v>267299.21666666667</v>
      </c>
      <c r="S15" s="1173">
        <v>264399.21666666667</v>
      </c>
      <c r="T15" s="1173">
        <v>271699.21666666667</v>
      </c>
      <c r="U15" s="1173">
        <v>262099.21666666665</v>
      </c>
      <c r="V15" s="1173">
        <v>295599.21666666667</v>
      </c>
      <c r="W15" s="1173">
        <v>262099.21666666665</v>
      </c>
      <c r="X15" s="1173">
        <v>265699.21666666667</v>
      </c>
      <c r="Y15" s="1173">
        <v>310999.21666666667</v>
      </c>
      <c r="Z15" s="1173">
        <v>262499.21666666667</v>
      </c>
      <c r="AA15" s="1173">
        <v>262499.21666666667</v>
      </c>
      <c r="AB15" s="1173">
        <v>280999.21666666667</v>
      </c>
      <c r="AC15" s="1173">
        <v>268848.70666666667</v>
      </c>
      <c r="AD15" s="1173">
        <v>272448.70666666667</v>
      </c>
      <c r="AE15" s="1173">
        <v>272748.70666666667</v>
      </c>
      <c r="AF15" s="1173">
        <v>287248.70666666667</v>
      </c>
      <c r="AG15" s="1173">
        <v>271248.70666666667</v>
      </c>
      <c r="AH15" s="1173">
        <v>304748.70666666667</v>
      </c>
      <c r="AI15" s="1173">
        <v>271248.70666666667</v>
      </c>
      <c r="AJ15" s="1173">
        <v>271248.70666666667</v>
      </c>
      <c r="AK15" s="1173">
        <v>319748.70666666667</v>
      </c>
      <c r="AL15" s="1173">
        <v>271248.70666666667</v>
      </c>
      <c r="AM15" s="1173">
        <v>271248.70666666667</v>
      </c>
      <c r="AN15" s="1173">
        <v>289748.70666666672</v>
      </c>
      <c r="AO15" s="1173">
        <v>277788.6766666667</v>
      </c>
      <c r="AP15" s="1173">
        <v>277788.6766666667</v>
      </c>
      <c r="AQ15" s="1173">
        <v>281288.6766666667</v>
      </c>
      <c r="AR15" s="1173">
        <v>313788.6766666667</v>
      </c>
      <c r="AS15" s="1173">
        <v>281788.6766666667</v>
      </c>
      <c r="AT15" s="1173">
        <v>285288.6766666667</v>
      </c>
      <c r="AU15" s="1173">
        <v>311788.6766666667</v>
      </c>
      <c r="AV15" s="1173">
        <v>281788.6766666667</v>
      </c>
      <c r="AW15" s="1173">
        <v>285288.6766666667</v>
      </c>
      <c r="AX15" s="1173">
        <v>326788.6766666667</v>
      </c>
      <c r="AY15" s="1173">
        <v>281788.6766666667</v>
      </c>
      <c r="AZ15" s="1174">
        <v>300288.6766666667</v>
      </c>
    </row>
    <row r="16" spans="2:52">
      <c r="B16" s="1169"/>
      <c r="C16" s="1175" t="s">
        <v>1638</v>
      </c>
      <c r="D16" s="1176">
        <v>2468206.2794318181</v>
      </c>
      <c r="E16" s="1176">
        <v>3464198.6302833008</v>
      </c>
      <c r="F16" s="1176">
        <v>2736125.4781999667</v>
      </c>
      <c r="G16" s="1176">
        <v>2931274.9781999667</v>
      </c>
      <c r="H16" s="1176">
        <v>3048149.3281999668</v>
      </c>
      <c r="I16" s="1176">
        <v>2828404.6448666332</v>
      </c>
      <c r="J16" s="1176">
        <v>2958628.0893110777</v>
      </c>
      <c r="K16" s="1176">
        <v>3129703.7393110781</v>
      </c>
      <c r="L16" s="1176">
        <v>2900871.8821682208</v>
      </c>
      <c r="M16" s="1176">
        <v>3047971.977406316</v>
      </c>
      <c r="N16" s="1176">
        <v>2713247.0533785387</v>
      </c>
      <c r="O16" s="1176">
        <v>2539267.8145906595</v>
      </c>
      <c r="P16" s="1176">
        <v>2868735.9860650185</v>
      </c>
      <c r="Q16" s="1176">
        <v>4662483.8851556424</v>
      </c>
      <c r="R16" s="1176">
        <v>3773675.6401416212</v>
      </c>
      <c r="S16" s="1176">
        <v>3733692.3068082882</v>
      </c>
      <c r="T16" s="1176">
        <v>3715123.2949035261</v>
      </c>
      <c r="U16" s="1176">
        <v>3708356.6282368596</v>
      </c>
      <c r="V16" s="1176">
        <v>4268356.6282368591</v>
      </c>
      <c r="W16" s="1176">
        <v>4126106.4060146371</v>
      </c>
      <c r="X16" s="1176">
        <v>4159259.9060146371</v>
      </c>
      <c r="Y16" s="1176">
        <v>3648934.9060146371</v>
      </c>
      <c r="Z16" s="1176">
        <v>5558018.2393479701</v>
      </c>
      <c r="AA16" s="1176">
        <v>3257351.4893479706</v>
      </c>
      <c r="AB16" s="1176">
        <v>3299990.3782368591</v>
      </c>
      <c r="AC16" s="1176">
        <v>5630970.2580993231</v>
      </c>
      <c r="AD16" s="1176">
        <v>3385643.3108506249</v>
      </c>
      <c r="AE16" s="1176">
        <v>3388193.3108506249</v>
      </c>
      <c r="AF16" s="1176">
        <v>4357332.4411764396</v>
      </c>
      <c r="AG16" s="1176">
        <v>4333332.4411764396</v>
      </c>
      <c r="AH16" s="1176">
        <v>4424582.4411764396</v>
      </c>
      <c r="AI16" s="1176">
        <v>3671164.4411764392</v>
      </c>
      <c r="AJ16" s="1176">
        <v>4897489.4411764396</v>
      </c>
      <c r="AK16" s="1176">
        <v>3973239.4411764392</v>
      </c>
      <c r="AL16" s="1176">
        <v>3876489.4411764392</v>
      </c>
      <c r="AM16" s="1176">
        <v>3839918.0126050105</v>
      </c>
      <c r="AN16" s="1176">
        <v>3893668.0126050105</v>
      </c>
      <c r="AO16" s="1176">
        <v>5216025.3365920084</v>
      </c>
      <c r="AP16" s="1176">
        <v>3934191.4294808758</v>
      </c>
      <c r="AQ16" s="1176">
        <v>3973512.858052304</v>
      </c>
      <c r="AR16" s="1176">
        <v>4163101.858052304</v>
      </c>
      <c r="AS16" s="1176">
        <v>4123101.858052304</v>
      </c>
      <c r="AT16" s="1176">
        <v>4184351.858052304</v>
      </c>
      <c r="AU16" s="1176">
        <v>4616568.524718971</v>
      </c>
      <c r="AV16" s="1176">
        <v>4587193.524718971</v>
      </c>
      <c r="AW16" s="1176">
        <v>4617943.524718971</v>
      </c>
      <c r="AX16" s="1176">
        <v>4582622.0961475428</v>
      </c>
      <c r="AY16" s="1176">
        <v>3480308.0610598233</v>
      </c>
      <c r="AZ16" s="1177">
        <v>3534058.0610598233</v>
      </c>
    </row>
    <row r="17" spans="2:52">
      <c r="B17" s="1169"/>
      <c r="C17" s="1175"/>
      <c r="D17" s="1176"/>
      <c r="E17" s="1176"/>
      <c r="F17" s="1176"/>
      <c r="G17" s="1176"/>
      <c r="H17" s="1176"/>
      <c r="I17" s="1176"/>
      <c r="J17" s="1176"/>
      <c r="K17" s="1176"/>
      <c r="L17" s="1176"/>
      <c r="M17" s="1176"/>
      <c r="N17" s="1176"/>
      <c r="O17" s="1176"/>
      <c r="P17" s="1176"/>
      <c r="Q17" s="1176"/>
      <c r="R17" s="1176"/>
      <c r="S17" s="1176"/>
      <c r="T17" s="1176"/>
      <c r="U17" s="1176"/>
      <c r="V17" s="1176"/>
      <c r="W17" s="1176"/>
      <c r="X17" s="1176"/>
      <c r="Y17" s="1176"/>
      <c r="Z17" s="1176"/>
      <c r="AA17" s="1176"/>
      <c r="AB17" s="1176"/>
      <c r="AC17" s="1176"/>
      <c r="AD17" s="1176"/>
      <c r="AE17" s="1176"/>
      <c r="AF17" s="1176"/>
      <c r="AG17" s="1176"/>
      <c r="AH17" s="1176"/>
      <c r="AI17" s="1176"/>
      <c r="AJ17" s="1176"/>
      <c r="AK17" s="1176"/>
      <c r="AL17" s="1176"/>
      <c r="AM17" s="1176"/>
      <c r="AN17" s="1176"/>
      <c r="AO17" s="1176"/>
      <c r="AP17" s="1176"/>
      <c r="AQ17" s="1176"/>
      <c r="AR17" s="1176"/>
      <c r="AS17" s="1176"/>
      <c r="AT17" s="1176"/>
      <c r="AU17" s="1176"/>
      <c r="AV17" s="1176"/>
      <c r="AW17" s="1176"/>
      <c r="AX17" s="1176"/>
      <c r="AY17" s="1176"/>
      <c r="AZ17" s="1177"/>
    </row>
    <row r="18" spans="2:52">
      <c r="B18" s="1169"/>
      <c r="C18" s="1178" t="s">
        <v>105</v>
      </c>
      <c r="D18" s="1171">
        <v>36667.066666666666</v>
      </c>
      <c r="E18" s="1171">
        <v>352512</v>
      </c>
      <c r="F18" s="1171">
        <v>485000</v>
      </c>
      <c r="G18" s="1171">
        <v>485000</v>
      </c>
      <c r="H18" s="1171">
        <v>137500</v>
      </c>
      <c r="I18" s="1171">
        <v>230833.33333333337</v>
      </c>
      <c r="J18" s="1171">
        <v>105833.33333333334</v>
      </c>
      <c r="K18" s="1171">
        <v>205833.33333333337</v>
      </c>
      <c r="L18" s="1171">
        <v>582500</v>
      </c>
      <c r="M18" s="1171">
        <v>725000</v>
      </c>
      <c r="N18" s="1171">
        <v>75009.333333333343</v>
      </c>
      <c r="O18" s="1171">
        <v>75009.333333333343</v>
      </c>
      <c r="P18" s="1171">
        <v>475009.33333333337</v>
      </c>
      <c r="Q18" s="1171">
        <v>0</v>
      </c>
      <c r="R18" s="1171">
        <v>0</v>
      </c>
      <c r="S18" s="1171">
        <v>100000</v>
      </c>
      <c r="T18" s="1171">
        <v>0</v>
      </c>
      <c r="U18" s="1171">
        <v>0</v>
      </c>
      <c r="V18" s="1171">
        <v>100000</v>
      </c>
      <c r="W18" s="1171">
        <v>0</v>
      </c>
      <c r="X18" s="1171">
        <v>0</v>
      </c>
      <c r="Y18" s="1171">
        <v>100000</v>
      </c>
      <c r="Z18" s="1171">
        <v>0</v>
      </c>
      <c r="AA18" s="1171">
        <v>0</v>
      </c>
      <c r="AB18" s="1171">
        <v>100000</v>
      </c>
      <c r="AC18" s="1171">
        <v>0</v>
      </c>
      <c r="AD18" s="1171">
        <v>0</v>
      </c>
      <c r="AE18" s="1171">
        <v>100000</v>
      </c>
      <c r="AF18" s="1171">
        <v>0</v>
      </c>
      <c r="AG18" s="1171">
        <v>0</v>
      </c>
      <c r="AH18" s="1171">
        <v>100000</v>
      </c>
      <c r="AI18" s="1171">
        <v>0</v>
      </c>
      <c r="AJ18" s="1171">
        <v>0</v>
      </c>
      <c r="AK18" s="1171">
        <v>100000</v>
      </c>
      <c r="AL18" s="1171">
        <v>0</v>
      </c>
      <c r="AM18" s="1171">
        <v>0</v>
      </c>
      <c r="AN18" s="1171">
        <v>100000</v>
      </c>
      <c r="AO18" s="1171">
        <v>0</v>
      </c>
      <c r="AP18" s="1171">
        <v>0</v>
      </c>
      <c r="AQ18" s="1171">
        <v>100000</v>
      </c>
      <c r="AR18" s="1171">
        <v>0</v>
      </c>
      <c r="AS18" s="1171">
        <v>0</v>
      </c>
      <c r="AT18" s="1171">
        <v>100000</v>
      </c>
      <c r="AU18" s="1171">
        <v>0</v>
      </c>
      <c r="AV18" s="1171">
        <v>0</v>
      </c>
      <c r="AW18" s="1171">
        <v>100000</v>
      </c>
      <c r="AX18" s="1171">
        <v>0</v>
      </c>
      <c r="AY18" s="1171">
        <v>0</v>
      </c>
      <c r="AZ18" s="1172">
        <v>100000</v>
      </c>
    </row>
    <row r="19" spans="2:52">
      <c r="B19" s="1169"/>
      <c r="C19" s="1175"/>
      <c r="D19" s="1176"/>
      <c r="E19" s="1176"/>
      <c r="F19" s="1176"/>
      <c r="G19" s="1176"/>
      <c r="H19" s="1176"/>
      <c r="I19" s="1176"/>
      <c r="J19" s="1176"/>
      <c r="K19" s="1176"/>
      <c r="L19" s="1176"/>
      <c r="M19" s="1176"/>
      <c r="N19" s="1176"/>
      <c r="O19" s="1176"/>
      <c r="P19" s="1176"/>
      <c r="Q19" s="1176"/>
      <c r="R19" s="1176"/>
      <c r="S19" s="1176"/>
      <c r="T19" s="1176"/>
      <c r="U19" s="1176"/>
      <c r="V19" s="1176"/>
      <c r="W19" s="1176"/>
      <c r="X19" s="1176"/>
      <c r="Y19" s="1176"/>
      <c r="Z19" s="1176"/>
      <c r="AA19" s="1176"/>
      <c r="AB19" s="1176"/>
      <c r="AC19" s="1176"/>
      <c r="AD19" s="1176"/>
      <c r="AE19" s="1176"/>
      <c r="AF19" s="1176"/>
      <c r="AG19" s="1176"/>
      <c r="AH19" s="1176"/>
      <c r="AI19" s="1176"/>
      <c r="AJ19" s="1176"/>
      <c r="AK19" s="1176"/>
      <c r="AL19" s="1176"/>
      <c r="AM19" s="1176"/>
      <c r="AN19" s="1176"/>
      <c r="AO19" s="1176"/>
      <c r="AP19" s="1176"/>
      <c r="AQ19" s="1176"/>
      <c r="AR19" s="1176"/>
      <c r="AS19" s="1176"/>
      <c r="AT19" s="1176"/>
      <c r="AU19" s="1176"/>
      <c r="AV19" s="1176"/>
      <c r="AW19" s="1176"/>
      <c r="AX19" s="1176"/>
      <c r="AY19" s="1176"/>
      <c r="AZ19" s="1177"/>
    </row>
    <row r="20" spans="2:52">
      <c r="B20" s="1169"/>
      <c r="C20" s="1175" t="s">
        <v>1639</v>
      </c>
      <c r="D20" s="1179">
        <v>2504873.3460984849</v>
      </c>
      <c r="E20" s="1179">
        <v>3816710.6302833008</v>
      </c>
      <c r="F20" s="1179">
        <v>3221125.4781999667</v>
      </c>
      <c r="G20" s="1179">
        <v>3416274.9781999667</v>
      </c>
      <c r="H20" s="1179">
        <v>3185649.3281999668</v>
      </c>
      <c r="I20" s="1179">
        <v>3059237.9781999667</v>
      </c>
      <c r="J20" s="1179">
        <v>3064461.4226444112</v>
      </c>
      <c r="K20" s="1179">
        <v>3335537.0726444116</v>
      </c>
      <c r="L20" s="1179">
        <v>3483371.8821682208</v>
      </c>
      <c r="M20" s="1179">
        <v>3772971.977406316</v>
      </c>
      <c r="N20" s="1179">
        <v>2788256.3867118722</v>
      </c>
      <c r="O20" s="1179">
        <v>2614277.1479239929</v>
      </c>
      <c r="P20" s="1179">
        <v>3343745.3193983519</v>
      </c>
      <c r="Q20" s="1179">
        <v>4662483.8851556424</v>
      </c>
      <c r="R20" s="1179">
        <v>3773675.6401416212</v>
      </c>
      <c r="S20" s="1179">
        <v>3833692.3068082882</v>
      </c>
      <c r="T20" s="1179">
        <v>3715123.2949035261</v>
      </c>
      <c r="U20" s="1179">
        <v>3708356.6282368596</v>
      </c>
      <c r="V20" s="1179">
        <v>4368356.6282368591</v>
      </c>
      <c r="W20" s="1179">
        <v>4126106.4060146371</v>
      </c>
      <c r="X20" s="1179">
        <v>4159259.9060146371</v>
      </c>
      <c r="Y20" s="1179">
        <v>3748934.9060146371</v>
      </c>
      <c r="Z20" s="1179">
        <v>5558018.2393479701</v>
      </c>
      <c r="AA20" s="1179">
        <v>3257351.4893479706</v>
      </c>
      <c r="AB20" s="1179">
        <v>3399990.3782368591</v>
      </c>
      <c r="AC20" s="1179">
        <v>5630970.2580993231</v>
      </c>
      <c r="AD20" s="1179">
        <v>3385643.3108506249</v>
      </c>
      <c r="AE20" s="1179">
        <v>3488193.3108506249</v>
      </c>
      <c r="AF20" s="1179">
        <v>4357332.4411764396</v>
      </c>
      <c r="AG20" s="1179">
        <v>4333332.4411764396</v>
      </c>
      <c r="AH20" s="1179">
        <v>4524582.4411764396</v>
      </c>
      <c r="AI20" s="1179">
        <v>3671164.4411764392</v>
      </c>
      <c r="AJ20" s="1179">
        <v>4897489.4411764396</v>
      </c>
      <c r="AK20" s="1179">
        <v>4073239.4411764392</v>
      </c>
      <c r="AL20" s="1179">
        <v>3876489.4411764392</v>
      </c>
      <c r="AM20" s="1179">
        <v>3839918.0126050105</v>
      </c>
      <c r="AN20" s="1179">
        <v>3993668.0126050105</v>
      </c>
      <c r="AO20" s="1179">
        <v>5216025.3365920084</v>
      </c>
      <c r="AP20" s="1179">
        <v>3934191.4294808758</v>
      </c>
      <c r="AQ20" s="1179">
        <v>4073512.858052304</v>
      </c>
      <c r="AR20" s="1179">
        <v>4163101.858052304</v>
      </c>
      <c r="AS20" s="1179">
        <v>4123101.858052304</v>
      </c>
      <c r="AT20" s="1179">
        <v>4284351.858052304</v>
      </c>
      <c r="AU20" s="1179">
        <v>4616568.524718971</v>
      </c>
      <c r="AV20" s="1179">
        <v>4587193.524718971</v>
      </c>
      <c r="AW20" s="1179">
        <v>4717943.524718971</v>
      </c>
      <c r="AX20" s="1179">
        <v>4582622.0961475428</v>
      </c>
      <c r="AY20" s="1179">
        <v>3480308.0610598233</v>
      </c>
      <c r="AZ20" s="1180">
        <v>3634058.0610598233</v>
      </c>
    </row>
    <row r="21" spans="2:52">
      <c r="B21" s="1169"/>
      <c r="C21" s="1175"/>
      <c r="D21" s="1176"/>
      <c r="E21" s="1176"/>
      <c r="F21" s="1176"/>
      <c r="G21" s="1176"/>
      <c r="H21" s="1176"/>
      <c r="I21" s="1176"/>
      <c r="J21" s="1176"/>
      <c r="K21" s="1176"/>
      <c r="L21" s="1176"/>
      <c r="M21" s="1176"/>
      <c r="N21" s="1176"/>
      <c r="O21" s="1176"/>
      <c r="P21" s="1176"/>
      <c r="Q21" s="1176"/>
      <c r="R21" s="1176"/>
      <c r="S21" s="1176"/>
      <c r="T21" s="1176"/>
      <c r="U21" s="1176"/>
      <c r="V21" s="1176"/>
      <c r="W21" s="1176"/>
      <c r="X21" s="1176"/>
      <c r="Y21" s="1176"/>
      <c r="Z21" s="1176"/>
      <c r="AA21" s="1176"/>
      <c r="AB21" s="1176"/>
      <c r="AC21" s="1176"/>
      <c r="AD21" s="1176"/>
      <c r="AE21" s="1176"/>
      <c r="AF21" s="1176"/>
      <c r="AG21" s="1176"/>
      <c r="AH21" s="1176"/>
      <c r="AI21" s="1176"/>
      <c r="AJ21" s="1176"/>
      <c r="AK21" s="1176"/>
      <c r="AL21" s="1176"/>
      <c r="AM21" s="1176"/>
      <c r="AN21" s="1176"/>
      <c r="AO21" s="1176"/>
      <c r="AP21" s="1176"/>
      <c r="AQ21" s="1176"/>
      <c r="AR21" s="1176"/>
      <c r="AS21" s="1176"/>
      <c r="AT21" s="1176"/>
      <c r="AU21" s="1176"/>
      <c r="AV21" s="1176"/>
      <c r="AW21" s="1176"/>
      <c r="AX21" s="1176"/>
      <c r="AY21" s="1176"/>
      <c r="AZ21" s="1177"/>
    </row>
    <row r="22" spans="2:52">
      <c r="B22" s="1169"/>
      <c r="C22" s="1170" t="s">
        <v>1640</v>
      </c>
      <c r="D22" s="1171">
        <v>634.11575900000014</v>
      </c>
      <c r="E22" s="1171">
        <v>424.52433900000005</v>
      </c>
      <c r="F22" s="1171">
        <v>892.89572840556991</v>
      </c>
      <c r="G22" s="1171">
        <v>1570.8724701584138</v>
      </c>
      <c r="H22" s="1171">
        <v>1229.4020595854331</v>
      </c>
      <c r="I22" s="1171">
        <v>910.96006697139478</v>
      </c>
      <c r="J22" s="1171">
        <v>605.12736515809536</v>
      </c>
      <c r="K22" s="1171">
        <v>298.74173563017001</v>
      </c>
      <c r="L22" s="1171">
        <v>0</v>
      </c>
      <c r="M22" s="1171">
        <v>0</v>
      </c>
      <c r="N22" s="1171">
        <v>0</v>
      </c>
      <c r="O22" s="1171">
        <v>0</v>
      </c>
      <c r="P22" s="1171">
        <v>0</v>
      </c>
      <c r="Q22" s="1171">
        <v>0</v>
      </c>
      <c r="R22" s="1171">
        <v>0</v>
      </c>
      <c r="S22" s="1171">
        <v>0</v>
      </c>
      <c r="T22" s="1171">
        <v>0</v>
      </c>
      <c r="U22" s="1171">
        <v>0</v>
      </c>
      <c r="V22" s="1171">
        <v>0</v>
      </c>
      <c r="W22" s="1171">
        <v>0</v>
      </c>
      <c r="X22" s="1171">
        <v>0</v>
      </c>
      <c r="Y22" s="1171">
        <v>0</v>
      </c>
      <c r="Z22" s="1171">
        <v>0</v>
      </c>
      <c r="AA22" s="1171">
        <v>699.55484709094844</v>
      </c>
      <c r="AB22" s="1171">
        <v>373.88965364086044</v>
      </c>
      <c r="AC22" s="1171">
        <v>33.928004782538586</v>
      </c>
      <c r="AD22" s="1171">
        <v>0</v>
      </c>
      <c r="AE22" s="1171">
        <v>0</v>
      </c>
      <c r="AF22" s="1171">
        <v>0</v>
      </c>
      <c r="AG22" s="1171">
        <v>0</v>
      </c>
      <c r="AH22" s="1171">
        <v>0</v>
      </c>
      <c r="AI22" s="1171">
        <v>0</v>
      </c>
      <c r="AJ22" s="1171">
        <v>0</v>
      </c>
      <c r="AK22" s="1171">
        <v>0</v>
      </c>
      <c r="AL22" s="1171">
        <v>0</v>
      </c>
      <c r="AM22" s="1171">
        <v>0</v>
      </c>
      <c r="AN22" s="1171">
        <v>0</v>
      </c>
      <c r="AO22" s="1171">
        <v>0</v>
      </c>
      <c r="AP22" s="1171">
        <v>0</v>
      </c>
      <c r="AQ22" s="1171">
        <v>0</v>
      </c>
      <c r="AR22" s="1171">
        <v>0</v>
      </c>
      <c r="AS22" s="1171">
        <v>0</v>
      </c>
      <c r="AT22" s="1171">
        <v>0</v>
      </c>
      <c r="AU22" s="1171">
        <v>0</v>
      </c>
      <c r="AV22" s="1171">
        <v>0</v>
      </c>
      <c r="AW22" s="1171">
        <v>0</v>
      </c>
      <c r="AX22" s="1171">
        <v>0</v>
      </c>
      <c r="AY22" s="1171">
        <v>0</v>
      </c>
      <c r="AZ22" s="1172">
        <v>0</v>
      </c>
    </row>
    <row r="23" spans="2:52">
      <c r="B23" s="1169"/>
      <c r="C23" s="1170" t="s">
        <v>1641</v>
      </c>
      <c r="D23" s="1171">
        <v>0</v>
      </c>
      <c r="E23" s="1171">
        <v>0</v>
      </c>
      <c r="F23" s="1171">
        <v>0</v>
      </c>
      <c r="G23" s="1171">
        <v>0</v>
      </c>
      <c r="H23" s="1171">
        <v>0</v>
      </c>
      <c r="I23" s="1171">
        <v>0</v>
      </c>
      <c r="J23" s="1171">
        <v>0</v>
      </c>
      <c r="K23" s="1171">
        <v>0</v>
      </c>
      <c r="L23" s="1171">
        <v>0</v>
      </c>
      <c r="M23" s="1171">
        <v>0</v>
      </c>
      <c r="N23" s="1171">
        <v>0</v>
      </c>
      <c r="O23" s="1171">
        <v>0</v>
      </c>
      <c r="P23" s="1171">
        <v>0</v>
      </c>
      <c r="Q23" s="1171">
        <v>0</v>
      </c>
      <c r="R23" s="1171">
        <v>0</v>
      </c>
      <c r="S23" s="1171">
        <v>0</v>
      </c>
      <c r="T23" s="1171">
        <v>0</v>
      </c>
      <c r="U23" s="1171">
        <v>0</v>
      </c>
      <c r="V23" s="1171">
        <v>0</v>
      </c>
      <c r="W23" s="1171">
        <v>0</v>
      </c>
      <c r="X23" s="1171">
        <v>0</v>
      </c>
      <c r="Y23" s="1171">
        <v>0</v>
      </c>
      <c r="Z23" s="1171">
        <v>0</v>
      </c>
      <c r="AA23" s="1171">
        <v>0</v>
      </c>
      <c r="AB23" s="1171">
        <v>0</v>
      </c>
      <c r="AC23" s="1171">
        <v>0</v>
      </c>
      <c r="AD23" s="1171">
        <v>0</v>
      </c>
      <c r="AE23" s="1171">
        <v>0</v>
      </c>
      <c r="AF23" s="1171">
        <v>0</v>
      </c>
      <c r="AG23" s="1171">
        <v>0</v>
      </c>
      <c r="AH23" s="1171">
        <v>0</v>
      </c>
      <c r="AI23" s="1171">
        <v>0</v>
      </c>
      <c r="AJ23" s="1171">
        <v>0</v>
      </c>
      <c r="AK23" s="1171">
        <v>0</v>
      </c>
      <c r="AL23" s="1171">
        <v>0</v>
      </c>
      <c r="AM23" s="1171">
        <v>0</v>
      </c>
      <c r="AN23" s="1171">
        <v>0</v>
      </c>
      <c r="AO23" s="1171">
        <v>0</v>
      </c>
      <c r="AP23" s="1171">
        <v>0</v>
      </c>
      <c r="AQ23" s="1171">
        <v>0</v>
      </c>
      <c r="AR23" s="1171">
        <v>0</v>
      </c>
      <c r="AS23" s="1171">
        <v>0</v>
      </c>
      <c r="AT23" s="1171">
        <v>0</v>
      </c>
      <c r="AU23" s="1171">
        <v>0</v>
      </c>
      <c r="AV23" s="1171">
        <v>0</v>
      </c>
      <c r="AW23" s="1171">
        <v>0</v>
      </c>
      <c r="AX23" s="1171">
        <v>0</v>
      </c>
      <c r="AY23" s="1171">
        <v>0</v>
      </c>
      <c r="AZ23" s="1172">
        <v>0</v>
      </c>
    </row>
    <row r="24" spans="2:52">
      <c r="B24" s="1169"/>
      <c r="C24" s="1170" t="s">
        <v>1642</v>
      </c>
      <c r="D24" s="1171">
        <v>0</v>
      </c>
      <c r="E24" s="1171">
        <v>8500000</v>
      </c>
      <c r="F24" s="1171">
        <v>10000000</v>
      </c>
      <c r="G24" s="1171">
        <v>0</v>
      </c>
      <c r="H24" s="1171">
        <v>0</v>
      </c>
      <c r="I24" s="1171">
        <v>0</v>
      </c>
      <c r="J24" s="1171">
        <v>0</v>
      </c>
      <c r="K24" s="1171">
        <v>0</v>
      </c>
      <c r="L24" s="1171">
        <v>0</v>
      </c>
      <c r="M24" s="1171">
        <v>0</v>
      </c>
      <c r="N24" s="1171">
        <v>0</v>
      </c>
      <c r="O24" s="1171">
        <v>0</v>
      </c>
      <c r="P24" s="1171">
        <v>0</v>
      </c>
      <c r="Q24" s="1171">
        <v>0</v>
      </c>
      <c r="R24" s="1171">
        <v>0</v>
      </c>
      <c r="S24" s="1171">
        <v>0</v>
      </c>
      <c r="T24" s="1171">
        <v>0</v>
      </c>
      <c r="U24" s="1171">
        <v>0</v>
      </c>
      <c r="V24" s="1171">
        <v>0</v>
      </c>
      <c r="W24" s="1171">
        <v>0</v>
      </c>
      <c r="X24" s="1171">
        <v>0</v>
      </c>
      <c r="Y24" s="1171">
        <v>0</v>
      </c>
      <c r="Z24" s="1171">
        <v>65000000</v>
      </c>
      <c r="AA24" s="1171">
        <v>0</v>
      </c>
      <c r="AB24" s="1171">
        <v>0</v>
      </c>
      <c r="AC24" s="1171">
        <v>0</v>
      </c>
      <c r="AD24" s="1171">
        <v>0</v>
      </c>
      <c r="AE24" s="1171">
        <v>0</v>
      </c>
      <c r="AF24" s="1171">
        <v>0</v>
      </c>
      <c r="AG24" s="1171">
        <v>0</v>
      </c>
      <c r="AH24" s="1171">
        <v>0</v>
      </c>
      <c r="AI24" s="1171">
        <v>0</v>
      </c>
      <c r="AJ24" s="1171">
        <v>0</v>
      </c>
      <c r="AK24" s="1171">
        <v>0</v>
      </c>
      <c r="AL24" s="1171">
        <v>0</v>
      </c>
      <c r="AM24" s="1171">
        <v>0</v>
      </c>
      <c r="AN24" s="1171">
        <v>0</v>
      </c>
      <c r="AO24" s="1171">
        <v>0</v>
      </c>
      <c r="AP24" s="1171">
        <v>0</v>
      </c>
      <c r="AQ24" s="1171">
        <v>0</v>
      </c>
      <c r="AR24" s="1171">
        <v>0</v>
      </c>
      <c r="AS24" s="1171">
        <v>0</v>
      </c>
      <c r="AT24" s="1171">
        <v>0</v>
      </c>
      <c r="AU24" s="1171">
        <v>0</v>
      </c>
      <c r="AV24" s="1171">
        <v>0</v>
      </c>
      <c r="AW24" s="1171">
        <v>0</v>
      </c>
      <c r="AX24" s="1171">
        <v>0</v>
      </c>
      <c r="AY24" s="1171">
        <v>0</v>
      </c>
      <c r="AZ24" s="1172">
        <v>0</v>
      </c>
    </row>
    <row r="25" spans="2:52">
      <c r="B25" s="1169"/>
      <c r="C25" s="1170" t="s">
        <v>1643</v>
      </c>
      <c r="D25" s="1171">
        <v>0</v>
      </c>
      <c r="E25" s="1171">
        <v>0</v>
      </c>
      <c r="F25" s="1171">
        <v>0</v>
      </c>
      <c r="G25" s="1171">
        <v>0</v>
      </c>
      <c r="H25" s="1171">
        <v>0</v>
      </c>
      <c r="I25" s="1171">
        <v>0</v>
      </c>
      <c r="J25" s="1171">
        <v>0</v>
      </c>
      <c r="K25" s="1171">
        <v>0</v>
      </c>
      <c r="L25" s="1171">
        <v>0</v>
      </c>
      <c r="M25" s="1171">
        <v>0</v>
      </c>
      <c r="N25" s="1171">
        <v>0</v>
      </c>
      <c r="O25" s="1171">
        <v>0</v>
      </c>
      <c r="P25" s="1171">
        <v>0</v>
      </c>
      <c r="Q25" s="1171">
        <v>0</v>
      </c>
      <c r="R25" s="1171">
        <v>0</v>
      </c>
      <c r="S25" s="1171">
        <v>0</v>
      </c>
      <c r="T25" s="1171">
        <v>0</v>
      </c>
      <c r="U25" s="1171">
        <v>0</v>
      </c>
      <c r="V25" s="1171">
        <v>0</v>
      </c>
      <c r="W25" s="1171">
        <v>0</v>
      </c>
      <c r="X25" s="1171">
        <v>0</v>
      </c>
      <c r="Y25" s="1171">
        <v>0</v>
      </c>
      <c r="Z25" s="1171">
        <v>0</v>
      </c>
      <c r="AA25" s="1171">
        <v>0</v>
      </c>
      <c r="AB25" s="1171">
        <v>0</v>
      </c>
      <c r="AC25" s="1171">
        <v>0</v>
      </c>
      <c r="AD25" s="1171">
        <v>0</v>
      </c>
      <c r="AE25" s="1171">
        <v>0</v>
      </c>
      <c r="AF25" s="1171">
        <v>0</v>
      </c>
      <c r="AG25" s="1171">
        <v>0</v>
      </c>
      <c r="AH25" s="1171">
        <v>0</v>
      </c>
      <c r="AI25" s="1171">
        <v>0</v>
      </c>
      <c r="AJ25" s="1171">
        <v>0</v>
      </c>
      <c r="AK25" s="1171">
        <v>0</v>
      </c>
      <c r="AL25" s="1171">
        <v>0</v>
      </c>
      <c r="AM25" s="1171">
        <v>0</v>
      </c>
      <c r="AN25" s="1171">
        <v>0</v>
      </c>
      <c r="AO25" s="1171">
        <v>0</v>
      </c>
      <c r="AP25" s="1171">
        <v>0</v>
      </c>
      <c r="AQ25" s="1171">
        <v>0</v>
      </c>
      <c r="AR25" s="1171">
        <v>0</v>
      </c>
      <c r="AS25" s="1171">
        <v>0</v>
      </c>
      <c r="AT25" s="1171">
        <v>0</v>
      </c>
      <c r="AU25" s="1171">
        <v>0</v>
      </c>
      <c r="AV25" s="1171">
        <v>0</v>
      </c>
      <c r="AW25" s="1171">
        <v>0</v>
      </c>
      <c r="AX25" s="1171">
        <v>0</v>
      </c>
      <c r="AY25" s="1171">
        <v>0</v>
      </c>
      <c r="AZ25" s="1172">
        <v>0</v>
      </c>
    </row>
    <row r="26" spans="2:52">
      <c r="B26" s="1169"/>
      <c r="C26" s="1175"/>
      <c r="D26" s="1176"/>
      <c r="E26" s="1176"/>
      <c r="F26" s="1176"/>
      <c r="G26" s="1176"/>
      <c r="H26" s="1176"/>
      <c r="I26" s="1176"/>
      <c r="J26" s="1176"/>
      <c r="K26" s="1176"/>
      <c r="L26" s="1176"/>
      <c r="M26" s="1176"/>
      <c r="N26" s="1176"/>
      <c r="O26" s="1176"/>
      <c r="P26" s="1176"/>
      <c r="Q26" s="1176"/>
      <c r="R26" s="1176"/>
      <c r="S26" s="1176"/>
      <c r="T26" s="1176"/>
      <c r="U26" s="1176"/>
      <c r="V26" s="1176"/>
      <c r="W26" s="1176"/>
      <c r="X26" s="1176"/>
      <c r="Y26" s="1176"/>
      <c r="Z26" s="1176"/>
      <c r="AA26" s="1176"/>
      <c r="AB26" s="1176"/>
      <c r="AC26" s="1176"/>
      <c r="AD26" s="1176"/>
      <c r="AE26" s="1176"/>
      <c r="AF26" s="1176"/>
      <c r="AG26" s="1176"/>
      <c r="AH26" s="1176"/>
      <c r="AI26" s="1176"/>
      <c r="AJ26" s="1176"/>
      <c r="AK26" s="1176"/>
      <c r="AL26" s="1176"/>
      <c r="AM26" s="1176"/>
      <c r="AN26" s="1176"/>
      <c r="AO26" s="1176"/>
      <c r="AP26" s="1176"/>
      <c r="AQ26" s="1176"/>
      <c r="AR26" s="1176"/>
      <c r="AS26" s="1176"/>
      <c r="AT26" s="1176"/>
      <c r="AU26" s="1176"/>
      <c r="AV26" s="1176"/>
      <c r="AW26" s="1176"/>
      <c r="AX26" s="1176"/>
      <c r="AY26" s="1176"/>
      <c r="AZ26" s="1177"/>
    </row>
    <row r="27" spans="2:52" ht="15.75" thickBot="1">
      <c r="B27" s="1169"/>
      <c r="C27" s="1175" t="s">
        <v>1626</v>
      </c>
      <c r="D27" s="1181">
        <v>4245243.3900000006</v>
      </c>
      <c r="E27" s="1181">
        <v>8928957.2840556987</v>
      </c>
      <c r="F27" s="1181">
        <v>15708724.701584138</v>
      </c>
      <c r="G27" s="1181">
        <v>12294020.595854331</v>
      </c>
      <c r="H27" s="1181">
        <v>9109600.6697139479</v>
      </c>
      <c r="I27" s="1181">
        <v>6051273.651580953</v>
      </c>
      <c r="J27" s="1181">
        <v>2987417.3563016998</v>
      </c>
      <c r="K27" s="1181">
        <v>-347820.97460708168</v>
      </c>
      <c r="L27" s="1181">
        <v>-3831192.8567753024</v>
      </c>
      <c r="M27" s="1181">
        <v>-7604164.8341816179</v>
      </c>
      <c r="N27" s="1181">
        <v>-10392421.220893491</v>
      </c>
      <c r="O27" s="1181">
        <v>-13006698.368817484</v>
      </c>
      <c r="P27" s="1181">
        <v>-16350443.688215837</v>
      </c>
      <c r="Q27" s="1181">
        <v>-21012927.573371477</v>
      </c>
      <c r="R27" s="1181">
        <v>-24786603.213513099</v>
      </c>
      <c r="S27" s="1181">
        <v>-28620295.520321388</v>
      </c>
      <c r="T27" s="1181">
        <v>-32335418.815224916</v>
      </c>
      <c r="U27" s="1181">
        <v>-36043775.443461776</v>
      </c>
      <c r="V27" s="1181">
        <v>-40412132.071698636</v>
      </c>
      <c r="W27" s="1181">
        <v>-44538238.477713272</v>
      </c>
      <c r="X27" s="1181">
        <v>-48697498.383727908</v>
      </c>
      <c r="Y27" s="1181">
        <v>-52446433.289742544</v>
      </c>
      <c r="Z27" s="1181">
        <v>6995548.4709094837</v>
      </c>
      <c r="AA27" s="1181">
        <v>3738896.5364086041</v>
      </c>
      <c r="AB27" s="1181">
        <v>339280.04782538587</v>
      </c>
      <c r="AC27" s="1181">
        <v>-5291656.2822691547</v>
      </c>
      <c r="AD27" s="1181">
        <v>-8677299.5931197796</v>
      </c>
      <c r="AE27" s="1181">
        <v>-12165492.903970405</v>
      </c>
      <c r="AF27" s="1181">
        <v>-16522825.345146846</v>
      </c>
      <c r="AG27" s="1181">
        <v>-20856157.786323287</v>
      </c>
      <c r="AH27" s="1181">
        <v>-25380740.227499727</v>
      </c>
      <c r="AI27" s="1181">
        <v>-29051904.668676168</v>
      </c>
      <c r="AJ27" s="1181">
        <v>-33949394.109852605</v>
      </c>
      <c r="AK27" s="1181">
        <v>-38022633.551029041</v>
      </c>
      <c r="AL27" s="1181">
        <v>-41899122.992205478</v>
      </c>
      <c r="AM27" s="1181">
        <v>-45739041.00481049</v>
      </c>
      <c r="AN27" s="1181">
        <v>-49732709.017415501</v>
      </c>
      <c r="AO27" s="1181">
        <v>-54948734.354007512</v>
      </c>
      <c r="AP27" s="1181">
        <v>-58882925.783488385</v>
      </c>
      <c r="AQ27" s="1181">
        <v>-62956438.641540691</v>
      </c>
      <c r="AR27" s="1181">
        <v>-67119540.49959299</v>
      </c>
      <c r="AS27" s="1181">
        <v>-71242642.357645288</v>
      </c>
      <c r="AT27" s="1181">
        <v>-75526994.215697587</v>
      </c>
      <c r="AU27" s="1181">
        <v>-80143562.740416557</v>
      </c>
      <c r="AV27" s="1181">
        <v>-84730756.265135527</v>
      </c>
      <c r="AW27" s="1181">
        <v>-89448699.789854497</v>
      </c>
      <c r="AX27" s="1181">
        <v>-94031321.886002034</v>
      </c>
      <c r="AY27" s="1181">
        <v>-97511629.947061852</v>
      </c>
      <c r="AZ27" s="1182">
        <v>-101145688.00812167</v>
      </c>
    </row>
    <row r="28" spans="2:52" ht="15.75" thickTop="1">
      <c r="B28" s="1169"/>
      <c r="C28" s="1175"/>
      <c r="D28" s="1171"/>
      <c r="E28" s="1171"/>
      <c r="F28" s="1171"/>
      <c r="G28" s="1171"/>
      <c r="H28" s="1171"/>
      <c r="I28" s="1171"/>
      <c r="J28" s="1171"/>
      <c r="K28" s="1171"/>
      <c r="L28" s="1171"/>
      <c r="M28" s="1171"/>
      <c r="N28" s="1171"/>
      <c r="O28" s="1171"/>
      <c r="P28" s="1171"/>
      <c r="Q28" s="1171"/>
      <c r="R28" s="1171"/>
      <c r="S28" s="1171"/>
      <c r="T28" s="1171"/>
      <c r="U28" s="1171"/>
      <c r="V28" s="1171"/>
      <c r="W28" s="1171"/>
      <c r="X28" s="1171"/>
      <c r="Y28" s="1171"/>
      <c r="Z28" s="1171"/>
      <c r="AA28" s="1171"/>
      <c r="AB28" s="1171"/>
      <c r="AC28" s="1171"/>
      <c r="AD28" s="1171"/>
      <c r="AE28" s="1171"/>
      <c r="AF28" s="1171"/>
      <c r="AG28" s="1171"/>
      <c r="AH28" s="1171"/>
      <c r="AI28" s="1171"/>
      <c r="AJ28" s="1171"/>
      <c r="AK28" s="1171"/>
      <c r="AL28" s="1171"/>
      <c r="AM28" s="1171"/>
      <c r="AN28" s="1171"/>
      <c r="AO28" s="1171"/>
      <c r="AP28" s="1171"/>
      <c r="AQ28" s="1171"/>
      <c r="AR28" s="1171"/>
      <c r="AS28" s="1171"/>
      <c r="AT28" s="1171"/>
      <c r="AU28" s="1171"/>
      <c r="AV28" s="1171"/>
      <c r="AW28" s="1171"/>
      <c r="AX28" s="1171"/>
      <c r="AY28" s="1171"/>
      <c r="AZ28" s="1172"/>
    </row>
    <row r="29" spans="2:52" ht="15.75" thickBot="1">
      <c r="B29" s="1183"/>
      <c r="C29" s="1184"/>
      <c r="D29" s="1184"/>
      <c r="E29" s="1184"/>
      <c r="F29" s="1184"/>
      <c r="G29" s="1184"/>
      <c r="H29" s="1184"/>
      <c r="I29" s="1184"/>
      <c r="J29" s="1184"/>
      <c r="K29" s="1184"/>
      <c r="L29" s="1184"/>
      <c r="M29" s="1184"/>
      <c r="N29" s="1184"/>
      <c r="O29" s="1184"/>
      <c r="P29" s="1184"/>
      <c r="Q29" s="1184"/>
      <c r="R29" s="1184"/>
      <c r="S29" s="1184"/>
      <c r="T29" s="1184"/>
      <c r="U29" s="1184"/>
      <c r="V29" s="1184"/>
      <c r="W29" s="1184"/>
      <c r="X29" s="1184"/>
      <c r="Y29" s="1184"/>
      <c r="Z29" s="1184"/>
      <c r="AA29" s="1184"/>
      <c r="AB29" s="1184"/>
      <c r="AC29" s="1184"/>
      <c r="AD29" s="1184"/>
      <c r="AE29" s="1184"/>
      <c r="AF29" s="1184"/>
      <c r="AG29" s="1184"/>
      <c r="AH29" s="1184"/>
      <c r="AI29" s="1184"/>
      <c r="AJ29" s="1184"/>
      <c r="AK29" s="1184"/>
      <c r="AL29" s="1184"/>
      <c r="AM29" s="1184"/>
      <c r="AN29" s="1184"/>
      <c r="AO29" s="1184"/>
      <c r="AP29" s="1184"/>
      <c r="AQ29" s="1184"/>
      <c r="AR29" s="1184"/>
      <c r="AS29" s="1184"/>
      <c r="AT29" s="1184"/>
      <c r="AU29" s="1184"/>
      <c r="AV29" s="1184"/>
      <c r="AW29" s="1184"/>
      <c r="AX29" s="1184"/>
      <c r="AY29" s="1184"/>
      <c r="AZ29" s="1185"/>
    </row>
    <row r="30" spans="2:52" ht="15.75" thickBot="1">
      <c r="B30" s="1186"/>
      <c r="C30" s="1186"/>
      <c r="D30" s="1186"/>
      <c r="E30" s="1186"/>
      <c r="F30" s="1186"/>
      <c r="G30" s="1186"/>
      <c r="H30" s="1186"/>
      <c r="I30" s="1186"/>
      <c r="J30" s="1186"/>
      <c r="K30" s="1186"/>
      <c r="L30" s="1186"/>
      <c r="M30" s="1186"/>
      <c r="N30" s="1186"/>
      <c r="O30" s="1186"/>
      <c r="P30" s="1186"/>
      <c r="Q30" s="1186"/>
      <c r="R30" s="1186"/>
      <c r="S30" s="1186"/>
      <c r="T30" s="1186"/>
      <c r="U30" s="1186"/>
      <c r="V30" s="1186"/>
      <c r="W30" s="1186"/>
      <c r="X30" s="1186"/>
      <c r="Y30" s="1186"/>
      <c r="Z30" s="1186"/>
      <c r="AA30" s="1186"/>
      <c r="AB30" s="1186"/>
      <c r="AC30" s="1186"/>
      <c r="AD30" s="1186"/>
      <c r="AE30" s="1186"/>
      <c r="AF30" s="1186"/>
      <c r="AG30" s="1186"/>
      <c r="AH30" s="1186"/>
      <c r="AI30" s="1186"/>
      <c r="AJ30" s="1186"/>
      <c r="AK30" s="1186"/>
      <c r="AL30" s="1186"/>
      <c r="AM30" s="1186"/>
      <c r="AN30" s="1186"/>
      <c r="AO30" s="1186"/>
      <c r="AP30" s="1186"/>
      <c r="AQ30" s="1186"/>
      <c r="AR30" s="1186"/>
      <c r="AS30" s="1186"/>
      <c r="AT30" s="1186"/>
      <c r="AU30" s="1186"/>
      <c r="AV30" s="1186"/>
      <c r="AW30" s="1186"/>
      <c r="AX30" s="1186"/>
      <c r="AY30" s="1186"/>
      <c r="AZ30" s="1186"/>
    </row>
    <row r="31" spans="2:52">
      <c r="B31" s="1151" t="s">
        <v>1644</v>
      </c>
      <c r="C31" s="1152"/>
      <c r="D31" s="1153"/>
      <c r="E31" s="1153"/>
      <c r="F31" s="1153"/>
      <c r="G31" s="1153"/>
      <c r="H31" s="1153"/>
      <c r="I31" s="1153"/>
      <c r="J31" s="1153"/>
      <c r="K31" s="1153"/>
      <c r="L31" s="1153"/>
      <c r="M31" s="1153"/>
      <c r="N31" s="1153"/>
      <c r="O31" s="1153"/>
      <c r="P31" s="1153"/>
      <c r="Q31" s="1153"/>
      <c r="R31" s="1153"/>
      <c r="S31" s="1153"/>
      <c r="T31" s="1153"/>
      <c r="U31" s="1153"/>
      <c r="V31" s="1153"/>
      <c r="W31" s="1153"/>
      <c r="X31" s="1153"/>
      <c r="Y31" s="1153"/>
      <c r="Z31" s="1153"/>
      <c r="AA31" s="1153"/>
      <c r="AB31" s="1153"/>
      <c r="AC31" s="1153"/>
      <c r="AD31" s="1153"/>
      <c r="AE31" s="1153"/>
      <c r="AF31" s="1153"/>
      <c r="AG31" s="1153"/>
      <c r="AH31" s="1153"/>
      <c r="AI31" s="1153"/>
      <c r="AJ31" s="1153"/>
      <c r="AK31" s="1153"/>
      <c r="AL31" s="1153"/>
      <c r="AM31" s="1153"/>
      <c r="AN31" s="1153"/>
      <c r="AO31" s="1153"/>
      <c r="AP31" s="1153"/>
      <c r="AQ31" s="1153"/>
      <c r="AR31" s="1153"/>
      <c r="AS31" s="1153"/>
      <c r="AT31" s="1153"/>
      <c r="AU31" s="1153"/>
      <c r="AV31" s="1153"/>
      <c r="AW31" s="1153"/>
      <c r="AX31" s="1153"/>
      <c r="AY31" s="1153"/>
      <c r="AZ31" s="1154"/>
    </row>
    <row r="32" spans="2:52">
      <c r="B32" s="1155"/>
      <c r="C32" s="1156"/>
      <c r="D32" s="1157">
        <v>43100</v>
      </c>
      <c r="E32" s="1157">
        <v>43131</v>
      </c>
      <c r="F32" s="1157">
        <v>43159</v>
      </c>
      <c r="G32" s="1157">
        <v>43190</v>
      </c>
      <c r="H32" s="1157">
        <v>43220</v>
      </c>
      <c r="I32" s="1157">
        <v>43251</v>
      </c>
      <c r="J32" s="1157">
        <v>43281</v>
      </c>
      <c r="K32" s="1157">
        <v>43312</v>
      </c>
      <c r="L32" s="1157">
        <v>43343</v>
      </c>
      <c r="M32" s="1157">
        <v>43373</v>
      </c>
      <c r="N32" s="1157">
        <v>43404</v>
      </c>
      <c r="O32" s="1157">
        <v>43434</v>
      </c>
      <c r="P32" s="1157">
        <v>43465</v>
      </c>
      <c r="Q32" s="1157">
        <v>43496</v>
      </c>
      <c r="R32" s="1157">
        <v>43524</v>
      </c>
      <c r="S32" s="1157">
        <v>43555</v>
      </c>
      <c r="T32" s="1157">
        <v>43585</v>
      </c>
      <c r="U32" s="1157">
        <v>43616</v>
      </c>
      <c r="V32" s="1157">
        <v>43646</v>
      </c>
      <c r="W32" s="1157">
        <v>43677</v>
      </c>
      <c r="X32" s="1157">
        <v>43708</v>
      </c>
      <c r="Y32" s="1157">
        <v>43738</v>
      </c>
      <c r="Z32" s="1157">
        <v>43769</v>
      </c>
      <c r="AA32" s="1157">
        <v>43799</v>
      </c>
      <c r="AB32" s="1157">
        <v>43830</v>
      </c>
      <c r="AC32" s="1157">
        <v>43861</v>
      </c>
      <c r="AD32" s="1157">
        <v>43890</v>
      </c>
      <c r="AE32" s="1157">
        <v>43921</v>
      </c>
      <c r="AF32" s="1157">
        <v>43951</v>
      </c>
      <c r="AG32" s="1157">
        <v>43982</v>
      </c>
      <c r="AH32" s="1157">
        <v>44012</v>
      </c>
      <c r="AI32" s="1157">
        <v>44043</v>
      </c>
      <c r="AJ32" s="1157">
        <v>44074</v>
      </c>
      <c r="AK32" s="1157">
        <v>44104</v>
      </c>
      <c r="AL32" s="1157">
        <v>44135</v>
      </c>
      <c r="AM32" s="1157">
        <v>44165</v>
      </c>
      <c r="AN32" s="1157">
        <v>44196</v>
      </c>
      <c r="AO32" s="1157">
        <v>44227</v>
      </c>
      <c r="AP32" s="1157">
        <v>44255</v>
      </c>
      <c r="AQ32" s="1157">
        <v>44286</v>
      </c>
      <c r="AR32" s="1157">
        <v>44316</v>
      </c>
      <c r="AS32" s="1157">
        <v>44347</v>
      </c>
      <c r="AT32" s="1157">
        <v>44377</v>
      </c>
      <c r="AU32" s="1157">
        <v>44408</v>
      </c>
      <c r="AV32" s="1157">
        <v>44439</v>
      </c>
      <c r="AW32" s="1157">
        <v>44469</v>
      </c>
      <c r="AX32" s="1157">
        <v>44500</v>
      </c>
      <c r="AY32" s="1157">
        <v>44530</v>
      </c>
      <c r="AZ32" s="1158">
        <v>44561</v>
      </c>
    </row>
    <row r="33" spans="2:52">
      <c r="B33" s="1159"/>
      <c r="C33" s="1160"/>
      <c r="D33" s="1161"/>
      <c r="E33" s="1161"/>
      <c r="F33" s="1161"/>
      <c r="G33" s="1161"/>
      <c r="H33" s="1161"/>
      <c r="I33" s="1161"/>
      <c r="J33" s="1161"/>
      <c r="K33" s="1161"/>
      <c r="L33" s="1161"/>
      <c r="M33" s="1161"/>
      <c r="N33" s="1161"/>
      <c r="O33" s="1161"/>
      <c r="P33" s="1161"/>
      <c r="Q33" s="1161"/>
      <c r="R33" s="1161"/>
      <c r="S33" s="1161"/>
      <c r="T33" s="1161"/>
      <c r="U33" s="1161"/>
      <c r="V33" s="1161"/>
      <c r="W33" s="1161"/>
      <c r="X33" s="1161"/>
      <c r="Y33" s="1161"/>
      <c r="Z33" s="1161"/>
      <c r="AA33" s="1161"/>
      <c r="AB33" s="1161"/>
      <c r="AC33" s="1161"/>
      <c r="AD33" s="1161"/>
      <c r="AE33" s="1161"/>
      <c r="AF33" s="1161"/>
      <c r="AG33" s="1161"/>
      <c r="AH33" s="1161"/>
      <c r="AI33" s="1161"/>
      <c r="AJ33" s="1161"/>
      <c r="AK33" s="1161"/>
      <c r="AL33" s="1161"/>
      <c r="AM33" s="1161"/>
      <c r="AN33" s="1161"/>
      <c r="AO33" s="1161"/>
      <c r="AP33" s="1161"/>
      <c r="AQ33" s="1161"/>
      <c r="AR33" s="1161"/>
      <c r="AS33" s="1161"/>
      <c r="AT33" s="1161"/>
      <c r="AU33" s="1161"/>
      <c r="AV33" s="1161"/>
      <c r="AW33" s="1161"/>
      <c r="AX33" s="1161"/>
      <c r="AY33" s="1161"/>
      <c r="AZ33" s="1162"/>
    </row>
    <row r="34" spans="2:52">
      <c r="B34" s="1163"/>
      <c r="C34" s="1164"/>
      <c r="D34" s="1165"/>
      <c r="E34" s="1165"/>
      <c r="F34" s="1165"/>
      <c r="G34" s="1165"/>
      <c r="H34" s="1165"/>
      <c r="I34" s="1165"/>
      <c r="J34" s="1165"/>
      <c r="K34" s="1165"/>
      <c r="L34" s="1165"/>
      <c r="M34" s="1165"/>
      <c r="N34" s="1165"/>
      <c r="O34" s="1165"/>
      <c r="P34" s="1165"/>
      <c r="Q34" s="1165"/>
      <c r="R34" s="1165"/>
      <c r="S34" s="1165"/>
      <c r="T34" s="1165"/>
      <c r="U34" s="1165"/>
      <c r="V34" s="1165"/>
      <c r="W34" s="1165"/>
      <c r="X34" s="1165"/>
      <c r="Y34" s="1165"/>
      <c r="Z34" s="1165"/>
      <c r="AA34" s="1165"/>
      <c r="AB34" s="1165"/>
      <c r="AC34" s="1165"/>
      <c r="AD34" s="1165"/>
      <c r="AE34" s="1165"/>
      <c r="AF34" s="1165"/>
      <c r="AG34" s="1165"/>
      <c r="AH34" s="1165"/>
      <c r="AI34" s="1165"/>
      <c r="AJ34" s="1165"/>
      <c r="AK34" s="1165"/>
      <c r="AL34" s="1165"/>
      <c r="AM34" s="1165"/>
      <c r="AN34" s="1165"/>
      <c r="AO34" s="1165"/>
      <c r="AP34" s="1165"/>
      <c r="AQ34" s="1165"/>
      <c r="AR34" s="1165"/>
      <c r="AS34" s="1165"/>
      <c r="AT34" s="1165"/>
      <c r="AU34" s="1165"/>
      <c r="AV34" s="1165"/>
      <c r="AW34" s="1165"/>
      <c r="AX34" s="1165"/>
      <c r="AY34" s="1165"/>
      <c r="AZ34" s="1166"/>
    </row>
    <row r="35" spans="2:52">
      <c r="B35" s="1163"/>
      <c r="C35" s="1164" t="s">
        <v>1645</v>
      </c>
      <c r="D35" s="1165"/>
      <c r="E35" s="1165"/>
      <c r="F35" s="1165"/>
      <c r="G35" s="1165"/>
      <c r="H35" s="1165"/>
      <c r="I35" s="1165"/>
      <c r="J35" s="1165"/>
      <c r="K35" s="1165"/>
      <c r="L35" s="1165"/>
      <c r="M35" s="1165"/>
      <c r="N35" s="1165"/>
      <c r="O35" s="1165"/>
      <c r="P35" s="1165"/>
      <c r="Q35" s="1165"/>
      <c r="R35" s="1165"/>
      <c r="S35" s="1165"/>
      <c r="T35" s="1165"/>
      <c r="U35" s="1165"/>
      <c r="V35" s="1165"/>
      <c r="W35" s="1165"/>
      <c r="X35" s="1165"/>
      <c r="Y35" s="1165"/>
      <c r="Z35" s="1165"/>
      <c r="AA35" s="1165"/>
      <c r="AB35" s="1165"/>
      <c r="AC35" s="1165"/>
      <c r="AD35" s="1165"/>
      <c r="AE35" s="1165"/>
      <c r="AF35" s="1165"/>
      <c r="AG35" s="1165"/>
      <c r="AH35" s="1165"/>
      <c r="AI35" s="1165"/>
      <c r="AJ35" s="1165"/>
      <c r="AK35" s="1165"/>
      <c r="AL35" s="1165"/>
      <c r="AM35" s="1165"/>
      <c r="AN35" s="1165"/>
      <c r="AO35" s="1165"/>
      <c r="AP35" s="1165"/>
      <c r="AQ35" s="1165"/>
      <c r="AR35" s="1165"/>
      <c r="AS35" s="1165"/>
      <c r="AT35" s="1165"/>
      <c r="AU35" s="1165"/>
      <c r="AV35" s="1165"/>
      <c r="AW35" s="1165"/>
      <c r="AX35" s="1165"/>
      <c r="AY35" s="1165"/>
      <c r="AZ35" s="1166"/>
    </row>
    <row r="36" spans="2:52">
      <c r="B36" s="1169"/>
      <c r="C36" s="1187" t="s">
        <v>1646</v>
      </c>
      <c r="D36" s="1171">
        <v>401278.77777777781</v>
      </c>
      <c r="E36" s="1171">
        <v>267111.11111111107</v>
      </c>
      <c r="F36" s="1171">
        <v>267111.11111111107</v>
      </c>
      <c r="G36" s="1171">
        <v>267111.11111111107</v>
      </c>
      <c r="H36" s="1171">
        <v>267111.11111111107</v>
      </c>
      <c r="I36" s="1171">
        <v>267111.11111111107</v>
      </c>
      <c r="J36" s="1171">
        <v>278222.22222222219</v>
      </c>
      <c r="K36" s="1171">
        <v>278222.22222222219</v>
      </c>
      <c r="L36" s="1171">
        <v>278222.22222222219</v>
      </c>
      <c r="M36" s="1171">
        <v>306793.65079365077</v>
      </c>
      <c r="N36" s="1171">
        <v>306793.65079365077</v>
      </c>
      <c r="O36" s="1171">
        <v>306793.65079365077</v>
      </c>
      <c r="P36" s="1171">
        <v>306793.65079365077</v>
      </c>
      <c r="Q36" s="1171">
        <v>873668.65079365089</v>
      </c>
      <c r="R36" s="1171">
        <v>873668.65079365089</v>
      </c>
      <c r="S36" s="1171">
        <v>873668.65079365089</v>
      </c>
      <c r="T36" s="1171">
        <v>845097.22222222225</v>
      </c>
      <c r="U36" s="1171">
        <v>833986.11111111112</v>
      </c>
      <c r="V36" s="1171">
        <v>833986.11111111112</v>
      </c>
      <c r="W36" s="1171">
        <v>1242319.4444444443</v>
      </c>
      <c r="X36" s="1171">
        <v>1242319.4444444443</v>
      </c>
      <c r="Y36" s="1171">
        <v>421944.44444444444</v>
      </c>
      <c r="Z36" s="1171">
        <v>421944.44444444444</v>
      </c>
      <c r="AA36" s="1171">
        <v>421944.44444444444</v>
      </c>
      <c r="AB36" s="1171">
        <v>410833.33333333331</v>
      </c>
      <c r="AC36" s="1171">
        <v>410833.33333333331</v>
      </c>
      <c r="AD36" s="1171">
        <v>410833.33333333331</v>
      </c>
      <c r="AE36" s="1171">
        <v>410833.33333333331</v>
      </c>
      <c r="AF36" s="1171">
        <v>931447.36842105258</v>
      </c>
      <c r="AG36" s="1171">
        <v>931447.36842105258</v>
      </c>
      <c r="AH36" s="1171">
        <v>931447.36842105258</v>
      </c>
      <c r="AI36" s="1171">
        <v>931447.36842105258</v>
      </c>
      <c r="AJ36" s="1171">
        <v>931447.36842105258</v>
      </c>
      <c r="AK36" s="1171">
        <v>931447.36842105258</v>
      </c>
      <c r="AL36" s="1171">
        <v>931447.36842105258</v>
      </c>
      <c r="AM36" s="1171">
        <v>931447.36842105258</v>
      </c>
      <c r="AN36" s="1171">
        <v>931447.36842105258</v>
      </c>
      <c r="AO36" s="1171">
        <v>931447.36842105258</v>
      </c>
      <c r="AP36" s="1171">
        <v>931447.36842105258</v>
      </c>
      <c r="AQ36" s="1171">
        <v>931447.36842105258</v>
      </c>
      <c r="AR36" s="1171">
        <v>931447.36842105258</v>
      </c>
      <c r="AS36" s="1171">
        <v>931447.36842105258</v>
      </c>
      <c r="AT36" s="1171">
        <v>931447.36842105258</v>
      </c>
      <c r="AU36" s="1171">
        <v>931447.36842105258</v>
      </c>
      <c r="AV36" s="1171">
        <v>931447.36842105258</v>
      </c>
      <c r="AW36" s="1171">
        <v>931447.36842105258</v>
      </c>
      <c r="AX36" s="1171">
        <v>931447.36842105258</v>
      </c>
      <c r="AY36" s="1171">
        <v>0</v>
      </c>
      <c r="AZ36" s="1172">
        <v>0</v>
      </c>
    </row>
    <row r="37" spans="2:52">
      <c r="B37" s="1169"/>
      <c r="C37" s="1187" t="s">
        <v>1647</v>
      </c>
      <c r="D37" s="1171">
        <v>308280.50624999998</v>
      </c>
      <c r="E37" s="1171">
        <v>308280.50624999998</v>
      </c>
      <c r="F37" s="1171">
        <v>308280.50624999998</v>
      </c>
      <c r="G37" s="1171">
        <v>308280.50624999998</v>
      </c>
      <c r="H37" s="1171">
        <v>308280.50624999998</v>
      </c>
      <c r="I37" s="1171">
        <v>308280.50624999998</v>
      </c>
      <c r="J37" s="1171">
        <v>308280.50624999998</v>
      </c>
      <c r="K37" s="1171">
        <v>308280.50624999998</v>
      </c>
      <c r="L37" s="1171">
        <v>308280.50624999998</v>
      </c>
      <c r="M37" s="1171">
        <v>308280.50624999998</v>
      </c>
      <c r="N37" s="1171">
        <v>0</v>
      </c>
      <c r="O37" s="1171">
        <v>0</v>
      </c>
      <c r="P37" s="1171">
        <v>0</v>
      </c>
      <c r="Q37" s="1171">
        <v>0</v>
      </c>
      <c r="R37" s="1171">
        <v>0</v>
      </c>
      <c r="S37" s="1171">
        <v>0</v>
      </c>
      <c r="T37" s="1171">
        <v>0</v>
      </c>
      <c r="U37" s="1171">
        <v>0</v>
      </c>
      <c r="V37" s="1171">
        <v>0</v>
      </c>
      <c r="W37" s="1171">
        <v>0</v>
      </c>
      <c r="X37" s="1171">
        <v>0</v>
      </c>
      <c r="Y37" s="1171">
        <v>0</v>
      </c>
      <c r="Z37" s="1171">
        <v>0</v>
      </c>
      <c r="AA37" s="1171">
        <v>0</v>
      </c>
      <c r="AB37" s="1171">
        <v>0</v>
      </c>
      <c r="AC37" s="1171">
        <v>0</v>
      </c>
      <c r="AD37" s="1171">
        <v>0</v>
      </c>
      <c r="AE37" s="1171">
        <v>0</v>
      </c>
      <c r="AF37" s="1171">
        <v>0</v>
      </c>
      <c r="AG37" s="1171">
        <v>0</v>
      </c>
      <c r="AH37" s="1171">
        <v>0</v>
      </c>
      <c r="AI37" s="1171">
        <v>0</v>
      </c>
      <c r="AJ37" s="1171">
        <v>0</v>
      </c>
      <c r="AK37" s="1171">
        <v>0</v>
      </c>
      <c r="AL37" s="1171">
        <v>0</v>
      </c>
      <c r="AM37" s="1171">
        <v>0</v>
      </c>
      <c r="AN37" s="1171">
        <v>0</v>
      </c>
      <c r="AO37" s="1171">
        <v>0</v>
      </c>
      <c r="AP37" s="1171">
        <v>0</v>
      </c>
      <c r="AQ37" s="1171">
        <v>0</v>
      </c>
      <c r="AR37" s="1171">
        <v>0</v>
      </c>
      <c r="AS37" s="1171">
        <v>0</v>
      </c>
      <c r="AT37" s="1171">
        <v>0</v>
      </c>
      <c r="AU37" s="1171">
        <v>0</v>
      </c>
      <c r="AV37" s="1171">
        <v>0</v>
      </c>
      <c r="AW37" s="1171">
        <v>0</v>
      </c>
      <c r="AX37" s="1171">
        <v>0</v>
      </c>
      <c r="AY37" s="1171">
        <v>0</v>
      </c>
      <c r="AZ37" s="1172">
        <v>0</v>
      </c>
    </row>
    <row r="38" spans="2:52">
      <c r="B38" s="1169"/>
      <c r="C38" s="1187" t="s">
        <v>1648</v>
      </c>
      <c r="D38" s="1171">
        <v>0</v>
      </c>
      <c r="E38" s="1171">
        <v>255000</v>
      </c>
      <c r="F38" s="1171">
        <v>75000</v>
      </c>
      <c r="G38" s="1171">
        <v>137500</v>
      </c>
      <c r="H38" s="1171">
        <v>87500</v>
      </c>
      <c r="I38" s="1171">
        <v>12500</v>
      </c>
      <c r="J38" s="1171">
        <v>12500</v>
      </c>
      <c r="K38" s="1171">
        <v>62600</v>
      </c>
      <c r="L38" s="1171">
        <v>62600</v>
      </c>
      <c r="M38" s="1171">
        <v>62600</v>
      </c>
      <c r="N38" s="1171">
        <v>62600</v>
      </c>
      <c r="O38" s="1171">
        <v>62600</v>
      </c>
      <c r="P38" s="1171">
        <v>229985.00480769234</v>
      </c>
      <c r="Q38" s="1171">
        <v>229985.00480769234</v>
      </c>
      <c r="R38" s="1171">
        <v>229985.00480769234</v>
      </c>
      <c r="S38" s="1171">
        <v>229985.00480769234</v>
      </c>
      <c r="T38" s="1171">
        <v>229985.00480769234</v>
      </c>
      <c r="U38" s="1171">
        <v>229985.00480769234</v>
      </c>
      <c r="V38" s="1171">
        <v>229985.00480769234</v>
      </c>
      <c r="W38" s="1171">
        <v>229985.00480769234</v>
      </c>
      <c r="X38" s="1171">
        <v>229985.00480769234</v>
      </c>
      <c r="Y38" s="1171">
        <v>229985.00480769234</v>
      </c>
      <c r="Z38" s="1171">
        <v>229985.00480769234</v>
      </c>
      <c r="AA38" s="1171">
        <v>229985.00480769234</v>
      </c>
      <c r="AB38" s="1171">
        <v>229985.00480769234</v>
      </c>
      <c r="AC38" s="1171">
        <v>303001.33333333337</v>
      </c>
      <c r="AD38" s="1171">
        <v>303001.33333333337</v>
      </c>
      <c r="AE38" s="1171">
        <v>303001.33333333337</v>
      </c>
      <c r="AF38" s="1171">
        <v>303001.33333333337</v>
      </c>
      <c r="AG38" s="1171">
        <v>303001.33333333337</v>
      </c>
      <c r="AH38" s="1171">
        <v>303001.33333333337</v>
      </c>
      <c r="AI38" s="1171">
        <v>214333.33333333334</v>
      </c>
      <c r="AJ38" s="1171">
        <v>214333.33333333334</v>
      </c>
      <c r="AK38" s="1171">
        <v>214333.33333333334</v>
      </c>
      <c r="AL38" s="1171">
        <v>214333.33333333334</v>
      </c>
      <c r="AM38" s="1171">
        <v>214333.33333333334</v>
      </c>
      <c r="AN38" s="1171">
        <v>214333.33333333334</v>
      </c>
      <c r="AO38" s="1171">
        <v>214333.33333333334</v>
      </c>
      <c r="AP38" s="1171">
        <v>214333.33333333334</v>
      </c>
      <c r="AQ38" s="1171">
        <v>242904.76190476189</v>
      </c>
      <c r="AR38" s="1171">
        <v>242904.76190476189</v>
      </c>
      <c r="AS38" s="1171">
        <v>242904.76190476189</v>
      </c>
      <c r="AT38" s="1171">
        <v>242904.76190476189</v>
      </c>
      <c r="AU38" s="1171">
        <v>687371.42857142864</v>
      </c>
      <c r="AV38" s="1171">
        <v>687371.42857142864</v>
      </c>
      <c r="AW38" s="1171">
        <v>687371.42857142864</v>
      </c>
      <c r="AX38" s="1171">
        <v>658800</v>
      </c>
      <c r="AY38" s="1171">
        <v>658800</v>
      </c>
      <c r="AZ38" s="1172">
        <v>658800</v>
      </c>
    </row>
    <row r="39" spans="2:52">
      <c r="B39" s="1169"/>
      <c r="C39" s="1187" t="s">
        <v>1649</v>
      </c>
      <c r="D39" s="1171">
        <v>0</v>
      </c>
      <c r="E39" s="1171">
        <v>0</v>
      </c>
      <c r="F39" s="1171">
        <v>0</v>
      </c>
      <c r="G39" s="1171">
        <v>0</v>
      </c>
      <c r="H39" s="1171">
        <v>0</v>
      </c>
      <c r="I39" s="1171">
        <v>0</v>
      </c>
      <c r="J39" s="1171">
        <v>0</v>
      </c>
      <c r="K39" s="1171">
        <v>0</v>
      </c>
      <c r="L39" s="1171">
        <v>0</v>
      </c>
      <c r="M39" s="1171">
        <v>0</v>
      </c>
      <c r="N39" s="1171">
        <v>0</v>
      </c>
      <c r="O39" s="1171">
        <v>0</v>
      </c>
      <c r="P39" s="1171">
        <v>0</v>
      </c>
      <c r="Q39" s="1171">
        <v>0</v>
      </c>
      <c r="R39" s="1171">
        <v>0</v>
      </c>
      <c r="S39" s="1171">
        <v>0</v>
      </c>
      <c r="T39" s="1171">
        <v>0</v>
      </c>
      <c r="U39" s="1171">
        <v>0</v>
      </c>
      <c r="V39" s="1171">
        <v>0</v>
      </c>
      <c r="W39" s="1171">
        <v>0</v>
      </c>
      <c r="X39" s="1171">
        <v>0</v>
      </c>
      <c r="Y39" s="1171">
        <v>0</v>
      </c>
      <c r="Z39" s="1171">
        <v>0</v>
      </c>
      <c r="AA39" s="1171">
        <v>0</v>
      </c>
      <c r="AB39" s="1171">
        <v>0</v>
      </c>
      <c r="AC39" s="1171">
        <v>0</v>
      </c>
      <c r="AD39" s="1171">
        <v>0</v>
      </c>
      <c r="AE39" s="1171">
        <v>0</v>
      </c>
      <c r="AF39" s="1171">
        <v>0</v>
      </c>
      <c r="AG39" s="1171">
        <v>0</v>
      </c>
      <c r="AH39" s="1171">
        <v>0</v>
      </c>
      <c r="AI39" s="1171">
        <v>0</v>
      </c>
      <c r="AJ39" s="1171">
        <v>0</v>
      </c>
      <c r="AK39" s="1171">
        <v>0</v>
      </c>
      <c r="AL39" s="1171">
        <v>0</v>
      </c>
      <c r="AM39" s="1171">
        <v>0</v>
      </c>
      <c r="AN39" s="1171">
        <v>0</v>
      </c>
      <c r="AO39" s="1171">
        <v>0</v>
      </c>
      <c r="AP39" s="1171">
        <v>0</v>
      </c>
      <c r="AQ39" s="1171">
        <v>0</v>
      </c>
      <c r="AR39" s="1171">
        <v>0</v>
      </c>
      <c r="AS39" s="1171">
        <v>0</v>
      </c>
      <c r="AT39" s="1171">
        <v>0</v>
      </c>
      <c r="AU39" s="1171">
        <v>0</v>
      </c>
      <c r="AV39" s="1171">
        <v>0</v>
      </c>
      <c r="AW39" s="1171">
        <v>0</v>
      </c>
      <c r="AX39" s="1171">
        <v>0</v>
      </c>
      <c r="AY39" s="1171">
        <v>0</v>
      </c>
      <c r="AZ39" s="1172">
        <v>0</v>
      </c>
    </row>
    <row r="40" spans="2:52">
      <c r="B40" s="1169"/>
      <c r="C40" s="1187" t="s">
        <v>1650</v>
      </c>
      <c r="D40" s="1171">
        <v>0</v>
      </c>
      <c r="E40" s="1171">
        <v>0</v>
      </c>
      <c r="F40" s="1171">
        <v>0</v>
      </c>
      <c r="G40" s="1171">
        <v>0</v>
      </c>
      <c r="H40" s="1171">
        <v>0</v>
      </c>
      <c r="I40" s="1171">
        <v>0</v>
      </c>
      <c r="J40" s="1171">
        <v>0</v>
      </c>
      <c r="K40" s="1171">
        <v>0</v>
      </c>
      <c r="L40" s="1171">
        <v>0</v>
      </c>
      <c r="M40" s="1171">
        <v>0</v>
      </c>
      <c r="N40" s="1171">
        <v>0</v>
      </c>
      <c r="O40" s="1171">
        <v>0</v>
      </c>
      <c r="P40" s="1171">
        <v>0</v>
      </c>
      <c r="Q40" s="1171">
        <v>0</v>
      </c>
      <c r="R40" s="1171">
        <v>0</v>
      </c>
      <c r="S40" s="1171">
        <v>0</v>
      </c>
      <c r="T40" s="1171">
        <v>0</v>
      </c>
      <c r="U40" s="1171">
        <v>0</v>
      </c>
      <c r="V40" s="1171">
        <v>0</v>
      </c>
      <c r="W40" s="1171">
        <v>0</v>
      </c>
      <c r="X40" s="1171">
        <v>0</v>
      </c>
      <c r="Y40" s="1171">
        <v>0</v>
      </c>
      <c r="Z40" s="1171">
        <v>0</v>
      </c>
      <c r="AA40" s="1171">
        <v>0</v>
      </c>
      <c r="AB40" s="1171">
        <v>0</v>
      </c>
      <c r="AC40" s="1171">
        <v>0</v>
      </c>
      <c r="AD40" s="1171">
        <v>0</v>
      </c>
      <c r="AE40" s="1171">
        <v>0</v>
      </c>
      <c r="AF40" s="1171">
        <v>0</v>
      </c>
      <c r="AG40" s="1171">
        <v>0</v>
      </c>
      <c r="AH40" s="1171">
        <v>0</v>
      </c>
      <c r="AI40" s="1171">
        <v>0</v>
      </c>
      <c r="AJ40" s="1171">
        <v>0</v>
      </c>
      <c r="AK40" s="1171">
        <v>0</v>
      </c>
      <c r="AL40" s="1171">
        <v>0</v>
      </c>
      <c r="AM40" s="1171">
        <v>0</v>
      </c>
      <c r="AN40" s="1171">
        <v>0</v>
      </c>
      <c r="AO40" s="1171">
        <v>0</v>
      </c>
      <c r="AP40" s="1171">
        <v>0</v>
      </c>
      <c r="AQ40" s="1171">
        <v>0</v>
      </c>
      <c r="AR40" s="1171">
        <v>0</v>
      </c>
      <c r="AS40" s="1171">
        <v>0</v>
      </c>
      <c r="AT40" s="1171">
        <v>0</v>
      </c>
      <c r="AU40" s="1171">
        <v>0</v>
      </c>
      <c r="AV40" s="1171">
        <v>0</v>
      </c>
      <c r="AW40" s="1171">
        <v>0</v>
      </c>
      <c r="AX40" s="1171">
        <v>0</v>
      </c>
      <c r="AY40" s="1171">
        <v>0</v>
      </c>
      <c r="AZ40" s="1172">
        <v>0</v>
      </c>
    </row>
    <row r="41" spans="2:52">
      <c r="B41" s="1169"/>
      <c r="C41" s="1187" t="s">
        <v>1651</v>
      </c>
      <c r="D41" s="1171">
        <v>51666.666666666672</v>
      </c>
      <c r="E41" s="1171">
        <v>42513.897435897437</v>
      </c>
      <c r="F41" s="1171">
        <v>42512.897435897437</v>
      </c>
      <c r="G41" s="1171">
        <v>141012.89743589744</v>
      </c>
      <c r="H41" s="1171">
        <v>141012.89743589744</v>
      </c>
      <c r="I41" s="1171">
        <v>141012.89743589744</v>
      </c>
      <c r="J41" s="1171">
        <v>141012.89743589744</v>
      </c>
      <c r="K41" s="1171">
        <v>61846.230769230766</v>
      </c>
      <c r="L41" s="1171">
        <v>61846.230769230766</v>
      </c>
      <c r="M41" s="1171">
        <v>111846.23076923077</v>
      </c>
      <c r="N41" s="1171">
        <v>111846.23076923077</v>
      </c>
      <c r="O41" s="1171">
        <v>111846.23076923077</v>
      </c>
      <c r="P41" s="1171">
        <v>145179.56410256409</v>
      </c>
      <c r="Q41" s="1171">
        <v>411846.23076923075</v>
      </c>
      <c r="R41" s="1171">
        <v>541833.83333333337</v>
      </c>
      <c r="S41" s="1171">
        <v>422500.50000000006</v>
      </c>
      <c r="T41" s="1171">
        <v>422500.50000000006</v>
      </c>
      <c r="U41" s="1171">
        <v>422500.50000000006</v>
      </c>
      <c r="V41" s="1171">
        <v>422500.50000000006</v>
      </c>
      <c r="W41" s="1171">
        <v>422500.50000000006</v>
      </c>
      <c r="X41" s="1171">
        <v>481000</v>
      </c>
      <c r="Y41" s="1171">
        <v>481000</v>
      </c>
      <c r="Z41" s="1171">
        <v>481000</v>
      </c>
      <c r="AA41" s="1171">
        <v>481000</v>
      </c>
      <c r="AB41" s="1171">
        <v>481000</v>
      </c>
      <c r="AC41" s="1171">
        <v>1481000</v>
      </c>
      <c r="AD41" s="1171">
        <v>481000</v>
      </c>
      <c r="AE41" s="1171">
        <v>481000</v>
      </c>
      <c r="AF41" s="1171">
        <v>842904.76190476189</v>
      </c>
      <c r="AG41" s="1171">
        <v>842904.76190476189</v>
      </c>
      <c r="AH41" s="1171">
        <v>842904.76190476189</v>
      </c>
      <c r="AI41" s="1171">
        <v>242904.76190476189</v>
      </c>
      <c r="AJ41" s="1171">
        <v>1468604.7619047619</v>
      </c>
      <c r="AK41" s="1171">
        <v>468604.76190476195</v>
      </c>
      <c r="AL41" s="1171">
        <v>468604.76190476195</v>
      </c>
      <c r="AM41" s="1171">
        <v>440033.33333333337</v>
      </c>
      <c r="AN41" s="1171">
        <v>440033.33333333337</v>
      </c>
      <c r="AO41" s="1171">
        <v>440033.33333333337</v>
      </c>
      <c r="AP41" s="1171">
        <v>440033.33333333337</v>
      </c>
      <c r="AQ41" s="1171">
        <v>440033.33333333337</v>
      </c>
      <c r="AR41" s="1171">
        <v>440033.33333333337</v>
      </c>
      <c r="AS41" s="1171">
        <v>440033.33333333337</v>
      </c>
      <c r="AT41" s="1171">
        <v>440033.33333333337</v>
      </c>
      <c r="AU41" s="1171">
        <v>440033.33333333337</v>
      </c>
      <c r="AV41" s="1171">
        <v>440033.33333333337</v>
      </c>
      <c r="AW41" s="1171">
        <v>440033.33333333337</v>
      </c>
      <c r="AX41" s="1171">
        <v>440033.33333333337</v>
      </c>
      <c r="AY41" s="1171">
        <v>322166.66666666669</v>
      </c>
      <c r="AZ41" s="1172">
        <v>322166.66666666669</v>
      </c>
    </row>
    <row r="42" spans="2:52">
      <c r="B42" s="1169"/>
      <c r="C42" s="1187" t="s">
        <v>1652</v>
      </c>
      <c r="D42" s="1171">
        <v>0</v>
      </c>
      <c r="E42" s="1171">
        <v>0</v>
      </c>
      <c r="F42" s="1171">
        <v>0</v>
      </c>
      <c r="G42" s="1171">
        <v>0</v>
      </c>
      <c r="H42" s="1171">
        <v>0</v>
      </c>
      <c r="I42" s="1171">
        <v>0</v>
      </c>
      <c r="J42" s="1171">
        <v>0</v>
      </c>
      <c r="K42" s="1171">
        <v>0</v>
      </c>
      <c r="L42" s="1171">
        <v>0</v>
      </c>
      <c r="M42" s="1171">
        <v>0</v>
      </c>
      <c r="N42" s="1171">
        <v>0</v>
      </c>
      <c r="O42" s="1171">
        <v>0</v>
      </c>
      <c r="P42" s="1171">
        <v>0</v>
      </c>
      <c r="Q42" s="1171">
        <v>0</v>
      </c>
      <c r="R42" s="1171">
        <v>0</v>
      </c>
      <c r="S42" s="1171">
        <v>0</v>
      </c>
      <c r="T42" s="1171">
        <v>0</v>
      </c>
      <c r="U42" s="1171">
        <v>0</v>
      </c>
      <c r="V42" s="1171">
        <v>0</v>
      </c>
      <c r="W42" s="1171">
        <v>0</v>
      </c>
      <c r="X42" s="1171">
        <v>0</v>
      </c>
      <c r="Y42" s="1171">
        <v>0</v>
      </c>
      <c r="Z42" s="1171">
        <v>0</v>
      </c>
      <c r="AA42" s="1171">
        <v>0</v>
      </c>
      <c r="AB42" s="1171">
        <v>0</v>
      </c>
      <c r="AC42" s="1171">
        <v>0</v>
      </c>
      <c r="AD42" s="1171">
        <v>0</v>
      </c>
      <c r="AE42" s="1171">
        <v>0</v>
      </c>
      <c r="AF42" s="1171">
        <v>0</v>
      </c>
      <c r="AG42" s="1171">
        <v>0</v>
      </c>
      <c r="AH42" s="1171">
        <v>0</v>
      </c>
      <c r="AI42" s="1171">
        <v>0</v>
      </c>
      <c r="AJ42" s="1171">
        <v>0</v>
      </c>
      <c r="AK42" s="1171">
        <v>0</v>
      </c>
      <c r="AL42" s="1171">
        <v>0</v>
      </c>
      <c r="AM42" s="1171">
        <v>0</v>
      </c>
      <c r="AN42" s="1171">
        <v>0</v>
      </c>
      <c r="AO42" s="1171">
        <v>0</v>
      </c>
      <c r="AP42" s="1171">
        <v>0</v>
      </c>
      <c r="AQ42" s="1171">
        <v>0</v>
      </c>
      <c r="AR42" s="1171">
        <v>0</v>
      </c>
      <c r="AS42" s="1171">
        <v>0</v>
      </c>
      <c r="AT42" s="1171">
        <v>0</v>
      </c>
      <c r="AU42" s="1171">
        <v>0</v>
      </c>
      <c r="AV42" s="1171">
        <v>0</v>
      </c>
      <c r="AW42" s="1171">
        <v>0</v>
      </c>
      <c r="AX42" s="1171">
        <v>0</v>
      </c>
      <c r="AY42" s="1171">
        <v>0</v>
      </c>
      <c r="AZ42" s="1172">
        <v>0</v>
      </c>
    </row>
    <row r="43" spans="2:52">
      <c r="B43" s="1169"/>
      <c r="C43" s="1187" t="s">
        <v>1653</v>
      </c>
      <c r="D43" s="1171">
        <v>0</v>
      </c>
      <c r="E43" s="1171">
        <v>0</v>
      </c>
      <c r="F43" s="1171">
        <v>0</v>
      </c>
      <c r="G43" s="1171">
        <v>0</v>
      </c>
      <c r="H43" s="1171">
        <v>0</v>
      </c>
      <c r="I43" s="1171">
        <v>0</v>
      </c>
      <c r="J43" s="1171">
        <v>0</v>
      </c>
      <c r="K43" s="1171">
        <v>0</v>
      </c>
      <c r="L43" s="1171">
        <v>0</v>
      </c>
      <c r="M43" s="1171">
        <v>0</v>
      </c>
      <c r="N43" s="1171">
        <v>0</v>
      </c>
      <c r="O43" s="1171">
        <v>0</v>
      </c>
      <c r="P43" s="1171">
        <v>0</v>
      </c>
      <c r="Q43" s="1171">
        <v>0</v>
      </c>
      <c r="R43" s="1171">
        <v>0</v>
      </c>
      <c r="S43" s="1171">
        <v>0</v>
      </c>
      <c r="T43" s="1171">
        <v>0</v>
      </c>
      <c r="U43" s="1171">
        <v>0</v>
      </c>
      <c r="V43" s="1171">
        <v>0</v>
      </c>
      <c r="W43" s="1171">
        <v>0</v>
      </c>
      <c r="X43" s="1171">
        <v>0</v>
      </c>
      <c r="Y43" s="1171">
        <v>0</v>
      </c>
      <c r="Z43" s="1171">
        <v>0</v>
      </c>
      <c r="AA43" s="1171">
        <v>0</v>
      </c>
      <c r="AB43" s="1171">
        <v>0</v>
      </c>
      <c r="AC43" s="1171">
        <v>0</v>
      </c>
      <c r="AD43" s="1171">
        <v>0</v>
      </c>
      <c r="AE43" s="1171">
        <v>0</v>
      </c>
      <c r="AF43" s="1171">
        <v>0</v>
      </c>
      <c r="AG43" s="1171">
        <v>0</v>
      </c>
      <c r="AH43" s="1171">
        <v>0</v>
      </c>
      <c r="AI43" s="1171">
        <v>0</v>
      </c>
      <c r="AJ43" s="1171">
        <v>0</v>
      </c>
      <c r="AK43" s="1171">
        <v>0</v>
      </c>
      <c r="AL43" s="1171">
        <v>0</v>
      </c>
      <c r="AM43" s="1171">
        <v>0</v>
      </c>
      <c r="AN43" s="1171">
        <v>0</v>
      </c>
      <c r="AO43" s="1171">
        <v>0</v>
      </c>
      <c r="AP43" s="1171">
        <v>0</v>
      </c>
      <c r="AQ43" s="1171">
        <v>0</v>
      </c>
      <c r="AR43" s="1171">
        <v>0</v>
      </c>
      <c r="AS43" s="1171">
        <v>0</v>
      </c>
      <c r="AT43" s="1171">
        <v>0</v>
      </c>
      <c r="AU43" s="1171">
        <v>0</v>
      </c>
      <c r="AV43" s="1171">
        <v>0</v>
      </c>
      <c r="AW43" s="1171">
        <v>0</v>
      </c>
      <c r="AX43" s="1171">
        <v>0</v>
      </c>
      <c r="AY43" s="1171">
        <v>0</v>
      </c>
      <c r="AZ43" s="1172">
        <v>0</v>
      </c>
    </row>
    <row r="44" spans="2:52">
      <c r="B44" s="1169"/>
      <c r="C44" s="1187" t="s">
        <v>1654</v>
      </c>
      <c r="D44" s="1171">
        <v>0</v>
      </c>
      <c r="E44" s="1171">
        <v>0</v>
      </c>
      <c r="F44" s="1171">
        <v>0</v>
      </c>
      <c r="G44" s="1171">
        <v>0</v>
      </c>
      <c r="H44" s="1171">
        <v>0</v>
      </c>
      <c r="I44" s="1171">
        <v>0</v>
      </c>
      <c r="J44" s="1171">
        <v>0</v>
      </c>
      <c r="K44" s="1171">
        <v>0</v>
      </c>
      <c r="L44" s="1171">
        <v>0</v>
      </c>
      <c r="M44" s="1171">
        <v>0</v>
      </c>
      <c r="N44" s="1171">
        <v>0</v>
      </c>
      <c r="O44" s="1171">
        <v>0</v>
      </c>
      <c r="P44" s="1171">
        <v>0</v>
      </c>
      <c r="Q44" s="1171">
        <v>0</v>
      </c>
      <c r="R44" s="1171">
        <v>0</v>
      </c>
      <c r="S44" s="1171">
        <v>0</v>
      </c>
      <c r="T44" s="1171">
        <v>0</v>
      </c>
      <c r="U44" s="1171">
        <v>0</v>
      </c>
      <c r="V44" s="1171">
        <v>0</v>
      </c>
      <c r="W44" s="1171">
        <v>0</v>
      </c>
      <c r="X44" s="1171">
        <v>0</v>
      </c>
      <c r="Y44" s="1171">
        <v>0</v>
      </c>
      <c r="Z44" s="1171">
        <v>0</v>
      </c>
      <c r="AA44" s="1171">
        <v>0</v>
      </c>
      <c r="AB44" s="1171">
        <v>0</v>
      </c>
      <c r="AC44" s="1171">
        <v>0</v>
      </c>
      <c r="AD44" s="1171">
        <v>0</v>
      </c>
      <c r="AE44" s="1171">
        <v>0</v>
      </c>
      <c r="AF44" s="1171">
        <v>0</v>
      </c>
      <c r="AG44" s="1171">
        <v>0</v>
      </c>
      <c r="AH44" s="1171">
        <v>0</v>
      </c>
      <c r="AI44" s="1171">
        <v>0</v>
      </c>
      <c r="AJ44" s="1171">
        <v>0</v>
      </c>
      <c r="AK44" s="1171">
        <v>0</v>
      </c>
      <c r="AL44" s="1171">
        <v>0</v>
      </c>
      <c r="AM44" s="1171">
        <v>0</v>
      </c>
      <c r="AN44" s="1171">
        <v>0</v>
      </c>
      <c r="AO44" s="1171">
        <v>0</v>
      </c>
      <c r="AP44" s="1171">
        <v>0</v>
      </c>
      <c r="AQ44" s="1171">
        <v>0</v>
      </c>
      <c r="AR44" s="1171">
        <v>0</v>
      </c>
      <c r="AS44" s="1171">
        <v>0</v>
      </c>
      <c r="AT44" s="1171">
        <v>0</v>
      </c>
      <c r="AU44" s="1171">
        <v>0</v>
      </c>
      <c r="AV44" s="1171">
        <v>0</v>
      </c>
      <c r="AW44" s="1171">
        <v>0</v>
      </c>
      <c r="AX44" s="1171">
        <v>0</v>
      </c>
      <c r="AY44" s="1171">
        <v>0</v>
      </c>
      <c r="AZ44" s="1172">
        <v>0</v>
      </c>
    </row>
    <row r="45" spans="2:52">
      <c r="B45" s="1169"/>
      <c r="C45" s="1187" t="s">
        <v>1655</v>
      </c>
      <c r="D45" s="1171">
        <v>4000</v>
      </c>
      <c r="E45" s="1171">
        <v>4000</v>
      </c>
      <c r="F45" s="1171">
        <v>4000</v>
      </c>
      <c r="G45" s="1171">
        <v>4000</v>
      </c>
      <c r="H45" s="1171">
        <v>4000</v>
      </c>
      <c r="I45" s="1171">
        <v>4000</v>
      </c>
      <c r="J45" s="1171">
        <v>4000</v>
      </c>
      <c r="K45" s="1171">
        <v>4000</v>
      </c>
      <c r="L45" s="1171">
        <v>4000</v>
      </c>
      <c r="M45" s="1171">
        <v>4000</v>
      </c>
      <c r="N45" s="1171">
        <v>4000</v>
      </c>
      <c r="O45" s="1171">
        <v>4000</v>
      </c>
      <c r="P45" s="1171">
        <v>4000</v>
      </c>
      <c r="Q45" s="1171">
        <v>4000</v>
      </c>
      <c r="R45" s="1171">
        <v>4000</v>
      </c>
      <c r="S45" s="1171">
        <v>4000</v>
      </c>
      <c r="T45" s="1171">
        <v>4000</v>
      </c>
      <c r="U45" s="1171">
        <v>4000</v>
      </c>
      <c r="V45" s="1171">
        <v>4000</v>
      </c>
      <c r="W45" s="1171">
        <v>4000</v>
      </c>
      <c r="X45" s="1171">
        <v>4000</v>
      </c>
      <c r="Y45" s="1171">
        <v>4000</v>
      </c>
      <c r="Z45" s="1171">
        <v>4000</v>
      </c>
      <c r="AA45" s="1171">
        <v>4000</v>
      </c>
      <c r="AB45" s="1171">
        <v>4000</v>
      </c>
      <c r="AC45" s="1171">
        <v>4000</v>
      </c>
      <c r="AD45" s="1171">
        <v>4000</v>
      </c>
      <c r="AE45" s="1171">
        <v>4000</v>
      </c>
      <c r="AF45" s="1171">
        <v>4000</v>
      </c>
      <c r="AG45" s="1171">
        <v>4000</v>
      </c>
      <c r="AH45" s="1171">
        <v>4000</v>
      </c>
      <c r="AI45" s="1171">
        <v>4000</v>
      </c>
      <c r="AJ45" s="1171">
        <v>4000</v>
      </c>
      <c r="AK45" s="1171">
        <v>4000</v>
      </c>
      <c r="AL45" s="1171">
        <v>4000</v>
      </c>
      <c r="AM45" s="1171">
        <v>4000</v>
      </c>
      <c r="AN45" s="1171">
        <v>4000</v>
      </c>
      <c r="AO45" s="1171">
        <v>4000</v>
      </c>
      <c r="AP45" s="1171">
        <v>4000</v>
      </c>
      <c r="AQ45" s="1171">
        <v>4000</v>
      </c>
      <c r="AR45" s="1171">
        <v>4000</v>
      </c>
      <c r="AS45" s="1171">
        <v>4000</v>
      </c>
      <c r="AT45" s="1171">
        <v>4000</v>
      </c>
      <c r="AU45" s="1171">
        <v>4000</v>
      </c>
      <c r="AV45" s="1171">
        <v>4000</v>
      </c>
      <c r="AW45" s="1171">
        <v>4000</v>
      </c>
      <c r="AX45" s="1171">
        <v>4000</v>
      </c>
      <c r="AY45" s="1171">
        <v>4000</v>
      </c>
      <c r="AZ45" s="1172">
        <v>4000</v>
      </c>
    </row>
    <row r="46" spans="2:52">
      <c r="B46" s="1169"/>
      <c r="C46" s="1187" t="s">
        <v>1656</v>
      </c>
      <c r="D46" s="1173">
        <v>232533.26161616165</v>
      </c>
      <c r="E46" s="1173">
        <v>406945.08315295819</v>
      </c>
      <c r="F46" s="1173">
        <v>281111.74981962488</v>
      </c>
      <c r="G46" s="1173">
        <v>306111.74981962482</v>
      </c>
      <c r="H46" s="1173">
        <v>354445.08315295808</v>
      </c>
      <c r="I46" s="1173">
        <v>311153.41648629145</v>
      </c>
      <c r="J46" s="1173">
        <v>339903.41648629145</v>
      </c>
      <c r="K46" s="1173">
        <v>286570.08315295819</v>
      </c>
      <c r="L46" s="1173">
        <v>276093.89267676772</v>
      </c>
      <c r="M46" s="1173">
        <v>272760.5593434344</v>
      </c>
      <c r="N46" s="1173">
        <v>269844.11489898997</v>
      </c>
      <c r="O46" s="1173">
        <v>233056.23611111112</v>
      </c>
      <c r="P46" s="1173">
        <v>233056.06944444447</v>
      </c>
      <c r="Q46" s="1173">
        <v>168472.65277777778</v>
      </c>
      <c r="R46" s="1173">
        <v>168472.56944444444</v>
      </c>
      <c r="S46" s="1173">
        <v>143472.56944444444</v>
      </c>
      <c r="T46" s="1173">
        <v>143472.56944444444</v>
      </c>
      <c r="U46" s="1173">
        <v>136250.34722222222</v>
      </c>
      <c r="V46" s="1173">
        <v>105000.34722222222</v>
      </c>
      <c r="W46" s="1173">
        <v>56666.791666666664</v>
      </c>
      <c r="X46" s="1173">
        <v>53333.458333333328</v>
      </c>
      <c r="Y46" s="1173">
        <v>53333.458333333328</v>
      </c>
      <c r="Z46" s="1173">
        <v>53333.458333333328</v>
      </c>
      <c r="AA46" s="1173">
        <v>53333.375</v>
      </c>
      <c r="AB46" s="1173">
        <v>53333.375</v>
      </c>
      <c r="AC46" s="1173">
        <v>28333.333333333336</v>
      </c>
      <c r="AD46" s="1173">
        <v>28333.333333333336</v>
      </c>
      <c r="AE46" s="1173">
        <v>28333.333333333336</v>
      </c>
      <c r="AF46" s="1173">
        <v>28333.333333333336</v>
      </c>
      <c r="AG46" s="1173">
        <v>28333.333333333336</v>
      </c>
      <c r="AH46" s="1173">
        <v>28333.333333333336</v>
      </c>
      <c r="AI46" s="1173">
        <v>28333.333333333336</v>
      </c>
      <c r="AJ46" s="1173">
        <v>28333.333333333336</v>
      </c>
      <c r="AK46" s="1173">
        <v>28333.333333333336</v>
      </c>
      <c r="AL46" s="1173">
        <v>28333.333333333336</v>
      </c>
      <c r="AM46" s="1173">
        <v>28333.333333333336</v>
      </c>
      <c r="AN46" s="1173">
        <v>28333.333333333336</v>
      </c>
      <c r="AO46" s="1173">
        <v>28333.333333333336</v>
      </c>
      <c r="AP46" s="1173">
        <v>28333.333333333336</v>
      </c>
      <c r="AQ46" s="1173">
        <v>28333.333333333336</v>
      </c>
      <c r="AR46" s="1173">
        <v>20000</v>
      </c>
      <c r="AS46" s="1173">
        <v>20000</v>
      </c>
      <c r="AT46" s="1173">
        <v>20000</v>
      </c>
      <c r="AU46" s="1173">
        <v>20000</v>
      </c>
      <c r="AV46" s="1173">
        <v>20000</v>
      </c>
      <c r="AW46" s="1173">
        <v>20000</v>
      </c>
      <c r="AX46" s="1173">
        <v>20000</v>
      </c>
      <c r="AY46" s="1173">
        <v>20000</v>
      </c>
      <c r="AZ46" s="1174">
        <v>20000</v>
      </c>
    </row>
    <row r="47" spans="2:52">
      <c r="B47" s="1169"/>
      <c r="C47" s="1175" t="s">
        <v>1657</v>
      </c>
      <c r="D47" s="1176">
        <v>997759.21231060615</v>
      </c>
      <c r="E47" s="1176">
        <v>1283850.5979499668</v>
      </c>
      <c r="F47" s="1176">
        <v>978016.26461663353</v>
      </c>
      <c r="G47" s="1176">
        <v>1164016.2646166333</v>
      </c>
      <c r="H47" s="1176">
        <v>1162349.5979499668</v>
      </c>
      <c r="I47" s="1176">
        <v>1044057.9312833</v>
      </c>
      <c r="J47" s="1176">
        <v>1083919.0423944111</v>
      </c>
      <c r="K47" s="1176">
        <v>1001519.0423944111</v>
      </c>
      <c r="L47" s="1176">
        <v>991042.85191822052</v>
      </c>
      <c r="M47" s="1176">
        <v>1066280.9471563159</v>
      </c>
      <c r="N47" s="1176">
        <v>755083.99646187155</v>
      </c>
      <c r="O47" s="1176">
        <v>718296.11767399264</v>
      </c>
      <c r="P47" s="1176">
        <v>919014.28914835176</v>
      </c>
      <c r="Q47" s="1176">
        <v>1687972.5391483516</v>
      </c>
      <c r="R47" s="1176">
        <v>1817960.0583791211</v>
      </c>
      <c r="S47" s="1176">
        <v>1673626.7250457876</v>
      </c>
      <c r="T47" s="1176">
        <v>1645055.296474359</v>
      </c>
      <c r="U47" s="1176">
        <v>1626721.9631410257</v>
      </c>
      <c r="V47" s="1176">
        <v>1595471.9631410257</v>
      </c>
      <c r="W47" s="1176">
        <v>1955471.7409188033</v>
      </c>
      <c r="X47" s="1176">
        <v>2010637.9075854698</v>
      </c>
      <c r="Y47" s="1176">
        <v>1190262.90758547</v>
      </c>
      <c r="Z47" s="1176">
        <v>1190262.90758547</v>
      </c>
      <c r="AA47" s="1176">
        <v>1190262.8242521368</v>
      </c>
      <c r="AB47" s="1176">
        <v>1179151.7131410255</v>
      </c>
      <c r="AC47" s="1176">
        <v>2227168.0000000005</v>
      </c>
      <c r="AD47" s="1176">
        <v>1227168</v>
      </c>
      <c r="AE47" s="1176">
        <v>1227168</v>
      </c>
      <c r="AF47" s="1176">
        <v>2109686.7969924812</v>
      </c>
      <c r="AG47" s="1176">
        <v>2109686.7969924812</v>
      </c>
      <c r="AH47" s="1176">
        <v>2109686.7969924812</v>
      </c>
      <c r="AI47" s="1176">
        <v>1421018.796992481</v>
      </c>
      <c r="AJ47" s="1176">
        <v>2646718.7969924812</v>
      </c>
      <c r="AK47" s="1176">
        <v>1646718.796992481</v>
      </c>
      <c r="AL47" s="1176">
        <v>1646718.796992481</v>
      </c>
      <c r="AM47" s="1176">
        <v>1618147.3684210523</v>
      </c>
      <c r="AN47" s="1176">
        <v>1618147.3684210523</v>
      </c>
      <c r="AO47" s="1176">
        <v>1618147.3684210523</v>
      </c>
      <c r="AP47" s="1176">
        <v>1618147.3684210523</v>
      </c>
      <c r="AQ47" s="1176">
        <v>1646718.796992481</v>
      </c>
      <c r="AR47" s="1176">
        <v>1638385.4636591477</v>
      </c>
      <c r="AS47" s="1176">
        <v>1638385.4636591477</v>
      </c>
      <c r="AT47" s="1176">
        <v>1638385.4636591477</v>
      </c>
      <c r="AU47" s="1176">
        <v>2082852.1303258147</v>
      </c>
      <c r="AV47" s="1176">
        <v>2082852.1303258147</v>
      </c>
      <c r="AW47" s="1176">
        <v>2082852.1303258147</v>
      </c>
      <c r="AX47" s="1176">
        <v>2054280.7017543861</v>
      </c>
      <c r="AY47" s="1176">
        <v>1004966.6666666667</v>
      </c>
      <c r="AZ47" s="1177">
        <v>1004966.6666666667</v>
      </c>
    </row>
    <row r="48" spans="2:52">
      <c r="B48" s="1169"/>
      <c r="C48" s="1175"/>
      <c r="D48" s="1176"/>
      <c r="E48" s="1176"/>
      <c r="F48" s="1176"/>
      <c r="G48" s="1176"/>
      <c r="H48" s="1176"/>
      <c r="I48" s="1176"/>
      <c r="J48" s="1176"/>
      <c r="K48" s="1176"/>
      <c r="L48" s="1176"/>
      <c r="M48" s="1176"/>
      <c r="N48" s="1176"/>
      <c r="O48" s="1176"/>
      <c r="P48" s="1176"/>
      <c r="Q48" s="1176"/>
      <c r="R48" s="1176"/>
      <c r="S48" s="1176"/>
      <c r="T48" s="1176"/>
      <c r="U48" s="1176"/>
      <c r="V48" s="1176"/>
      <c r="W48" s="1176"/>
      <c r="X48" s="1176"/>
      <c r="Y48" s="1176"/>
      <c r="Z48" s="1176"/>
      <c r="AA48" s="1176"/>
      <c r="AB48" s="1176"/>
      <c r="AC48" s="1176"/>
      <c r="AD48" s="1176"/>
      <c r="AE48" s="1176"/>
      <c r="AF48" s="1176"/>
      <c r="AG48" s="1176"/>
      <c r="AH48" s="1176"/>
      <c r="AI48" s="1176"/>
      <c r="AJ48" s="1176"/>
      <c r="AK48" s="1176"/>
      <c r="AL48" s="1176"/>
      <c r="AM48" s="1176"/>
      <c r="AN48" s="1176"/>
      <c r="AO48" s="1176"/>
      <c r="AP48" s="1176"/>
      <c r="AQ48" s="1176"/>
      <c r="AR48" s="1176"/>
      <c r="AS48" s="1176"/>
      <c r="AT48" s="1176"/>
      <c r="AU48" s="1176"/>
      <c r="AV48" s="1176"/>
      <c r="AW48" s="1176"/>
      <c r="AX48" s="1176"/>
      <c r="AY48" s="1176"/>
      <c r="AZ48" s="1177"/>
    </row>
    <row r="49" spans="2:52">
      <c r="B49" s="1169"/>
      <c r="C49" s="1164" t="s">
        <v>1658</v>
      </c>
      <c r="D49" s="1176"/>
      <c r="E49" s="1176"/>
      <c r="F49" s="1176"/>
      <c r="G49" s="1176"/>
      <c r="H49" s="1176"/>
      <c r="I49" s="1176"/>
      <c r="J49" s="1176"/>
      <c r="K49" s="1176"/>
      <c r="L49" s="1176"/>
      <c r="M49" s="1176"/>
      <c r="N49" s="1176"/>
      <c r="O49" s="1176"/>
      <c r="P49" s="1176"/>
      <c r="Q49" s="1176"/>
      <c r="R49" s="1176"/>
      <c r="S49" s="1176"/>
      <c r="T49" s="1176"/>
      <c r="U49" s="1176"/>
      <c r="V49" s="1176"/>
      <c r="W49" s="1176"/>
      <c r="X49" s="1176"/>
      <c r="Y49" s="1176"/>
      <c r="Z49" s="1176"/>
      <c r="AA49" s="1176"/>
      <c r="AB49" s="1176"/>
      <c r="AC49" s="1176"/>
      <c r="AD49" s="1176"/>
      <c r="AE49" s="1176"/>
      <c r="AF49" s="1176"/>
      <c r="AG49" s="1176"/>
      <c r="AH49" s="1176"/>
      <c r="AI49" s="1176"/>
      <c r="AJ49" s="1176"/>
      <c r="AK49" s="1176"/>
      <c r="AL49" s="1176"/>
      <c r="AM49" s="1176"/>
      <c r="AN49" s="1176"/>
      <c r="AO49" s="1176"/>
      <c r="AP49" s="1176"/>
      <c r="AQ49" s="1176"/>
      <c r="AR49" s="1176"/>
      <c r="AS49" s="1176"/>
      <c r="AT49" s="1176"/>
      <c r="AU49" s="1176"/>
      <c r="AV49" s="1176"/>
      <c r="AW49" s="1176"/>
      <c r="AX49" s="1176"/>
      <c r="AY49" s="1176"/>
      <c r="AZ49" s="1177"/>
    </row>
    <row r="50" spans="2:52">
      <c r="B50" s="1169"/>
      <c r="C50" s="1178" t="s">
        <v>1659</v>
      </c>
      <c r="D50" s="1171">
        <v>339622.63833333337</v>
      </c>
      <c r="E50" s="1171">
        <v>725235.86400000018</v>
      </c>
      <c r="F50" s="1171">
        <v>429410.27025</v>
      </c>
      <c r="G50" s="1171">
        <v>468878.27024999994</v>
      </c>
      <c r="H50" s="1171">
        <v>530173.27024999994</v>
      </c>
      <c r="I50" s="1171">
        <v>548611.60358333332</v>
      </c>
      <c r="J50" s="1171">
        <v>563063.27024999994</v>
      </c>
      <c r="K50" s="1171">
        <v>585189.27024999994</v>
      </c>
      <c r="L50" s="1171">
        <v>646683.60358333355</v>
      </c>
      <c r="M50" s="1171">
        <v>646683.60358333355</v>
      </c>
      <c r="N50" s="1171">
        <v>667414.27025000029</v>
      </c>
      <c r="O50" s="1171">
        <v>667414.27025000029</v>
      </c>
      <c r="P50" s="1171">
        <v>667414.27025000029</v>
      </c>
      <c r="Q50" s="1171">
        <v>1403534.4458197916</v>
      </c>
      <c r="R50" s="1171">
        <v>710512.45042916655</v>
      </c>
      <c r="S50" s="1171">
        <v>710512.45042916655</v>
      </c>
      <c r="T50" s="1171">
        <v>721276.45042916655</v>
      </c>
      <c r="U50" s="1171">
        <v>721276.45042916655</v>
      </c>
      <c r="V50" s="1171">
        <v>721276.45042916655</v>
      </c>
      <c r="W50" s="1171">
        <v>721276.45042916655</v>
      </c>
      <c r="X50" s="1171">
        <v>732538.78376250004</v>
      </c>
      <c r="Y50" s="1171">
        <v>732538.78376250004</v>
      </c>
      <c r="Z50" s="1171">
        <v>732538.78376250004</v>
      </c>
      <c r="AA50" s="1171">
        <v>732538.78376250004</v>
      </c>
      <c r="AB50" s="1171">
        <v>732538.78376250004</v>
      </c>
      <c r="AC50" s="1171">
        <v>1553144.2806107814</v>
      </c>
      <c r="AD50" s="1171">
        <v>785810.05628395826</v>
      </c>
      <c r="AE50" s="1171">
        <v>785810.05628395826</v>
      </c>
      <c r="AF50" s="1171">
        <v>845809.38961729151</v>
      </c>
      <c r="AG50" s="1171">
        <v>845809.38961729151</v>
      </c>
      <c r="AH50" s="1171">
        <v>845809.38961729151</v>
      </c>
      <c r="AI50" s="1171">
        <v>845809.38961729151</v>
      </c>
      <c r="AJ50" s="1171">
        <v>845809.38961729151</v>
      </c>
      <c r="AK50" s="1171">
        <v>845809.38961729151</v>
      </c>
      <c r="AL50" s="1171">
        <v>845809.38961729151</v>
      </c>
      <c r="AM50" s="1171">
        <v>845809.38961729151</v>
      </c>
      <c r="AN50" s="1171">
        <v>845809.38961729151</v>
      </c>
      <c r="AO50" s="1171">
        <v>1745986.4071413204</v>
      </c>
      <c r="AP50" s="1171">
        <v>888099.85909815622</v>
      </c>
      <c r="AQ50" s="1171">
        <v>888099.85909815622</v>
      </c>
      <c r="AR50" s="1171">
        <v>888099.85909815622</v>
      </c>
      <c r="AS50" s="1171">
        <v>888099.85909815622</v>
      </c>
      <c r="AT50" s="1171">
        <v>888099.85909815622</v>
      </c>
      <c r="AU50" s="1171">
        <v>888099.85909815622</v>
      </c>
      <c r="AV50" s="1171">
        <v>888099.85909815622</v>
      </c>
      <c r="AW50" s="1171">
        <v>888099.85909815622</v>
      </c>
      <c r="AX50" s="1171">
        <v>888099.85909815622</v>
      </c>
      <c r="AY50" s="1171">
        <v>888099.85909815622</v>
      </c>
      <c r="AZ50" s="1172">
        <v>888099.85909815622</v>
      </c>
    </row>
    <row r="51" spans="2:52">
      <c r="B51" s="1169"/>
      <c r="C51" s="1178" t="s">
        <v>1660</v>
      </c>
      <c r="D51" s="1171">
        <v>118337.86666666667</v>
      </c>
      <c r="E51" s="1171">
        <v>368110.63500000001</v>
      </c>
      <c r="F51" s="1171">
        <v>122854.76</v>
      </c>
      <c r="G51" s="1171">
        <v>122854.76</v>
      </c>
      <c r="H51" s="1171">
        <v>140296.42666666664</v>
      </c>
      <c r="I51" s="1171">
        <v>140296.42666666664</v>
      </c>
      <c r="J51" s="1171">
        <v>162223.09333333329</v>
      </c>
      <c r="K51" s="1171">
        <v>162223.09333333329</v>
      </c>
      <c r="L51" s="1171">
        <v>162223.09333333329</v>
      </c>
      <c r="M51" s="1171">
        <v>162223.09333333329</v>
      </c>
      <c r="N51" s="1171">
        <v>162223.09333333329</v>
      </c>
      <c r="O51" s="1171">
        <v>162223.09333333329</v>
      </c>
      <c r="P51" s="1171">
        <v>162223.09333333329</v>
      </c>
      <c r="Q51" s="1171">
        <v>489078.01685416664</v>
      </c>
      <c r="R51" s="1171">
        <v>207804.24800000002</v>
      </c>
      <c r="S51" s="1171">
        <v>207804.24800000002</v>
      </c>
      <c r="T51" s="1171">
        <v>256117.66466666671</v>
      </c>
      <c r="U51" s="1171">
        <v>256117.66466666671</v>
      </c>
      <c r="V51" s="1171">
        <v>256117.66466666671</v>
      </c>
      <c r="W51" s="1171">
        <v>256117.66466666671</v>
      </c>
      <c r="X51" s="1171">
        <v>256117.66466666671</v>
      </c>
      <c r="Y51" s="1171">
        <v>256117.66466666671</v>
      </c>
      <c r="Z51" s="1171">
        <v>256117.66466666671</v>
      </c>
      <c r="AA51" s="1171">
        <v>256117.66466666671</v>
      </c>
      <c r="AB51" s="1171">
        <v>256117.66466666671</v>
      </c>
      <c r="AC51" s="1171">
        <v>684616.27082187508</v>
      </c>
      <c r="AD51" s="1171">
        <v>267523.54790000001</v>
      </c>
      <c r="AE51" s="1171">
        <v>267523.54790000001</v>
      </c>
      <c r="AF51" s="1171">
        <v>298619.54790000001</v>
      </c>
      <c r="AG51" s="1171">
        <v>298619.54790000001</v>
      </c>
      <c r="AH51" s="1171">
        <v>298619.54790000001</v>
      </c>
      <c r="AI51" s="1171">
        <v>298619.54790000001</v>
      </c>
      <c r="AJ51" s="1171">
        <v>298619.54790000001</v>
      </c>
      <c r="AK51" s="1171">
        <v>298619.54790000001</v>
      </c>
      <c r="AL51" s="1171">
        <v>298619.54790000001</v>
      </c>
      <c r="AM51" s="1171">
        <v>298619.54790000001</v>
      </c>
      <c r="AN51" s="1171">
        <v>298619.54790000001</v>
      </c>
      <c r="AO51" s="1171">
        <v>750097.88436296885</v>
      </c>
      <c r="AP51" s="1171">
        <v>312150.52529500006</v>
      </c>
      <c r="AQ51" s="1171">
        <v>312150.52529500006</v>
      </c>
      <c r="AR51" s="1171">
        <v>492347.85862833343</v>
      </c>
      <c r="AS51" s="1171">
        <v>492347.85862833343</v>
      </c>
      <c r="AT51" s="1171">
        <v>492347.85862833343</v>
      </c>
      <c r="AU51" s="1171">
        <v>492347.85862833343</v>
      </c>
      <c r="AV51" s="1171">
        <v>492347.85862833343</v>
      </c>
      <c r="AW51" s="1171">
        <v>492347.85862833343</v>
      </c>
      <c r="AX51" s="1171">
        <v>492347.85862833343</v>
      </c>
      <c r="AY51" s="1171">
        <v>492347.85862833343</v>
      </c>
      <c r="AZ51" s="1172">
        <v>492347.85862833343</v>
      </c>
    </row>
    <row r="52" spans="2:52">
      <c r="B52" s="1169"/>
      <c r="C52" s="1170" t="s">
        <v>1661</v>
      </c>
      <c r="D52" s="1171">
        <v>175049.66666666669</v>
      </c>
      <c r="E52" s="1171">
        <v>160466.33333333331</v>
      </c>
      <c r="F52" s="1171">
        <v>170466.33333333331</v>
      </c>
      <c r="G52" s="1171">
        <v>176716.33333333331</v>
      </c>
      <c r="H52" s="1171">
        <v>151341.33333333331</v>
      </c>
      <c r="I52" s="1171">
        <v>247341.33333333334</v>
      </c>
      <c r="J52" s="1171">
        <v>228591.33333333331</v>
      </c>
      <c r="K52" s="1171">
        <v>201341.33333333331</v>
      </c>
      <c r="L52" s="1171">
        <v>197966.33333333331</v>
      </c>
      <c r="M52" s="1171">
        <v>229216.33333333331</v>
      </c>
      <c r="N52" s="1171">
        <v>149466.33333333331</v>
      </c>
      <c r="O52" s="1171">
        <v>145466.33333333331</v>
      </c>
      <c r="P52" s="1171">
        <v>176716.33333333331</v>
      </c>
      <c r="Q52" s="1171">
        <v>161266.33333333331</v>
      </c>
      <c r="R52" s="1171">
        <v>171266.33333333331</v>
      </c>
      <c r="S52" s="1171">
        <v>282516.33333333331</v>
      </c>
      <c r="T52" s="1171">
        <v>157141.33333333331</v>
      </c>
      <c r="U52" s="1171">
        <v>244808</v>
      </c>
      <c r="V52" s="1171">
        <v>798558</v>
      </c>
      <c r="W52" s="1171">
        <v>271308</v>
      </c>
      <c r="X52" s="1171">
        <v>267933</v>
      </c>
      <c r="Y52" s="1171">
        <v>549183</v>
      </c>
      <c r="Z52" s="1171">
        <v>2460266.3333333335</v>
      </c>
      <c r="AA52" s="1171">
        <v>234599.66666666663</v>
      </c>
      <c r="AB52" s="1171">
        <v>265849.66666666663</v>
      </c>
      <c r="AC52" s="1171">
        <v>253359.66666666663</v>
      </c>
      <c r="AD52" s="1171">
        <v>263359.66666666663</v>
      </c>
      <c r="AE52" s="1171">
        <v>274609.66666666663</v>
      </c>
      <c r="AF52" s="1171">
        <v>249234.66666666663</v>
      </c>
      <c r="AG52" s="1171">
        <v>245234.66666666663</v>
      </c>
      <c r="AH52" s="1171">
        <v>298984.66666666663</v>
      </c>
      <c r="AI52" s="1171">
        <v>271734.66666666663</v>
      </c>
      <c r="AJ52" s="1171">
        <v>268359.66666666663</v>
      </c>
      <c r="AK52" s="1171">
        <v>299609.66666666663</v>
      </c>
      <c r="AL52" s="1171">
        <v>247359.66666666663</v>
      </c>
      <c r="AM52" s="1171">
        <v>243359.66666666663</v>
      </c>
      <c r="AN52" s="1171">
        <v>274609.66666666663</v>
      </c>
      <c r="AO52" s="1171">
        <v>261271.66666666663</v>
      </c>
      <c r="AP52" s="1171">
        <v>271271.66666666663</v>
      </c>
      <c r="AQ52" s="1171">
        <v>282521.66666666663</v>
      </c>
      <c r="AR52" s="1171">
        <v>257146.66666666663</v>
      </c>
      <c r="AS52" s="1171">
        <v>253146.66666666663</v>
      </c>
      <c r="AT52" s="1171">
        <v>306896.66666666663</v>
      </c>
      <c r="AU52" s="1171">
        <v>279646.66666666663</v>
      </c>
      <c r="AV52" s="1171">
        <v>276271.66666666663</v>
      </c>
      <c r="AW52" s="1171">
        <v>307521.66666666663</v>
      </c>
      <c r="AX52" s="1171">
        <v>255271.66666666663</v>
      </c>
      <c r="AY52" s="1171">
        <v>251271.66666666663</v>
      </c>
      <c r="AZ52" s="1172">
        <v>282521.66666666663</v>
      </c>
    </row>
    <row r="53" spans="2:52">
      <c r="B53" s="1169"/>
      <c r="C53" s="1178" t="s">
        <v>1612</v>
      </c>
      <c r="D53" s="1171">
        <v>32450</v>
      </c>
      <c r="E53" s="1171">
        <v>33150</v>
      </c>
      <c r="F53" s="1171">
        <v>20250</v>
      </c>
      <c r="G53" s="1171">
        <v>21200</v>
      </c>
      <c r="H53" s="1171">
        <v>23650</v>
      </c>
      <c r="I53" s="1171">
        <v>23900</v>
      </c>
      <c r="J53" s="1171">
        <v>24600</v>
      </c>
      <c r="K53" s="1171">
        <v>25450</v>
      </c>
      <c r="L53" s="1171">
        <v>27500</v>
      </c>
      <c r="M53" s="1171">
        <v>26500</v>
      </c>
      <c r="N53" s="1171">
        <v>27400</v>
      </c>
      <c r="O53" s="1171">
        <v>27000</v>
      </c>
      <c r="P53" s="1171">
        <v>42000</v>
      </c>
      <c r="Q53" s="1171">
        <v>29950</v>
      </c>
      <c r="R53" s="1171">
        <v>30650</v>
      </c>
      <c r="S53" s="1171">
        <v>30250</v>
      </c>
      <c r="T53" s="1171">
        <v>34100</v>
      </c>
      <c r="U53" s="1171">
        <v>33500</v>
      </c>
      <c r="V53" s="1171">
        <v>33500</v>
      </c>
      <c r="W53" s="1171">
        <v>33500</v>
      </c>
      <c r="X53" s="1171">
        <v>33950</v>
      </c>
      <c r="Y53" s="1171">
        <v>33750</v>
      </c>
      <c r="Z53" s="1171">
        <v>33750</v>
      </c>
      <c r="AA53" s="1171">
        <v>33750</v>
      </c>
      <c r="AB53" s="1171">
        <v>48750</v>
      </c>
      <c r="AC53" s="1171">
        <v>33750</v>
      </c>
      <c r="AD53" s="1171">
        <v>34200</v>
      </c>
      <c r="AE53" s="1171">
        <v>34000</v>
      </c>
      <c r="AF53" s="1171">
        <v>38650</v>
      </c>
      <c r="AG53" s="1171">
        <v>37650</v>
      </c>
      <c r="AH53" s="1171">
        <v>37650</v>
      </c>
      <c r="AI53" s="1171">
        <v>37650</v>
      </c>
      <c r="AJ53" s="1171">
        <v>37650</v>
      </c>
      <c r="AK53" s="1171">
        <v>37650</v>
      </c>
      <c r="AL53" s="1171">
        <v>37650</v>
      </c>
      <c r="AM53" s="1171">
        <v>37650</v>
      </c>
      <c r="AN53" s="1171">
        <v>52650</v>
      </c>
      <c r="AO53" s="1171">
        <v>37650</v>
      </c>
      <c r="AP53" s="1171">
        <v>37650</v>
      </c>
      <c r="AQ53" s="1171">
        <v>37650</v>
      </c>
      <c r="AR53" s="1171">
        <v>48750</v>
      </c>
      <c r="AS53" s="1171">
        <v>46750</v>
      </c>
      <c r="AT53" s="1171">
        <v>46750</v>
      </c>
      <c r="AU53" s="1171">
        <v>46750</v>
      </c>
      <c r="AV53" s="1171">
        <v>46750</v>
      </c>
      <c r="AW53" s="1171">
        <v>46750</v>
      </c>
      <c r="AX53" s="1171">
        <v>46750</v>
      </c>
      <c r="AY53" s="1171">
        <v>46750</v>
      </c>
      <c r="AZ53" s="1172">
        <v>61750</v>
      </c>
    </row>
    <row r="54" spans="2:52">
      <c r="B54" s="1169"/>
      <c r="C54" s="1187" t="s">
        <v>1662</v>
      </c>
      <c r="D54" s="1171">
        <v>353158.89545454545</v>
      </c>
      <c r="E54" s="1171">
        <v>401087.85</v>
      </c>
      <c r="F54" s="1171">
        <v>547530.5</v>
      </c>
      <c r="G54" s="1171">
        <v>428062</v>
      </c>
      <c r="H54" s="1171">
        <v>450041.35</v>
      </c>
      <c r="I54" s="1171">
        <v>248250</v>
      </c>
      <c r="J54" s="1171">
        <v>258484</v>
      </c>
      <c r="K54" s="1171">
        <v>468413</v>
      </c>
      <c r="L54" s="1171">
        <v>112138</v>
      </c>
      <c r="M54" s="1171">
        <v>170250</v>
      </c>
      <c r="N54" s="1171">
        <v>197041.36</v>
      </c>
      <c r="O54" s="1171">
        <v>95250</v>
      </c>
      <c r="P54" s="1171">
        <v>174250</v>
      </c>
      <c r="Q54" s="1171">
        <v>157750</v>
      </c>
      <c r="R54" s="1171">
        <v>99250</v>
      </c>
      <c r="S54" s="1171">
        <v>95250</v>
      </c>
      <c r="T54" s="1171">
        <v>161750</v>
      </c>
      <c r="U54" s="1171">
        <v>95250</v>
      </c>
      <c r="V54" s="1171">
        <v>99250</v>
      </c>
      <c r="W54" s="1171">
        <v>157750</v>
      </c>
      <c r="X54" s="1171">
        <v>99250</v>
      </c>
      <c r="Y54" s="1171">
        <v>95250</v>
      </c>
      <c r="Z54" s="1171">
        <v>141750</v>
      </c>
      <c r="AA54" s="1171">
        <v>66750</v>
      </c>
      <c r="AB54" s="1171">
        <v>70750</v>
      </c>
      <c r="AC54" s="1171">
        <v>129250</v>
      </c>
      <c r="AD54" s="1171">
        <v>54750</v>
      </c>
      <c r="AE54" s="1171">
        <v>45750</v>
      </c>
      <c r="AF54" s="1171">
        <v>49750</v>
      </c>
      <c r="AG54" s="1171">
        <v>45750</v>
      </c>
      <c r="AH54" s="1171">
        <v>49750</v>
      </c>
      <c r="AI54" s="1171">
        <v>45750</v>
      </c>
      <c r="AJ54" s="1171">
        <v>49750</v>
      </c>
      <c r="AK54" s="1171">
        <v>45750</v>
      </c>
      <c r="AL54" s="1171">
        <v>49750</v>
      </c>
      <c r="AM54" s="1171">
        <v>45750</v>
      </c>
      <c r="AN54" s="1171">
        <v>49750</v>
      </c>
      <c r="AO54" s="1171">
        <v>45750</v>
      </c>
      <c r="AP54" s="1171">
        <v>49750</v>
      </c>
      <c r="AQ54" s="1171">
        <v>45750</v>
      </c>
      <c r="AR54" s="1171">
        <v>49750</v>
      </c>
      <c r="AS54" s="1171">
        <v>45750</v>
      </c>
      <c r="AT54" s="1171">
        <v>49750</v>
      </c>
      <c r="AU54" s="1171">
        <v>38250</v>
      </c>
      <c r="AV54" s="1171">
        <v>42250</v>
      </c>
      <c r="AW54" s="1171">
        <v>38250</v>
      </c>
      <c r="AX54" s="1171">
        <v>42250</v>
      </c>
      <c r="AY54" s="1171">
        <v>38250</v>
      </c>
      <c r="AZ54" s="1172">
        <v>42250</v>
      </c>
    </row>
    <row r="55" spans="2:52">
      <c r="B55" s="1169"/>
      <c r="C55" s="1187" t="s">
        <v>1663</v>
      </c>
      <c r="D55" s="1171">
        <v>309083.33333333331</v>
      </c>
      <c r="E55" s="1171">
        <v>346583.33333333331</v>
      </c>
      <c r="F55" s="1171">
        <v>321583.33333333331</v>
      </c>
      <c r="G55" s="1171">
        <v>396583.33333333331</v>
      </c>
      <c r="H55" s="1171">
        <v>434083.33333333331</v>
      </c>
      <c r="I55" s="1171">
        <v>396583.33333333331</v>
      </c>
      <c r="J55" s="1171">
        <v>421583.33333333331</v>
      </c>
      <c r="K55" s="1171">
        <v>409083.33333333331</v>
      </c>
      <c r="L55" s="1171">
        <v>509083.33333333331</v>
      </c>
      <c r="M55" s="1171">
        <v>459083.33333333331</v>
      </c>
      <c r="N55" s="1171">
        <v>509083.33333333331</v>
      </c>
      <c r="O55" s="1171">
        <v>484083.33333333331</v>
      </c>
      <c r="P55" s="1171">
        <v>484083.33333333331</v>
      </c>
      <c r="Q55" s="1171">
        <v>484083.33333333331</v>
      </c>
      <c r="R55" s="1171">
        <v>484083.33333333331</v>
      </c>
      <c r="S55" s="1171">
        <v>484083.33333333331</v>
      </c>
      <c r="T55" s="1171">
        <v>484083.33333333331</v>
      </c>
      <c r="U55" s="1171">
        <v>484083.33333333331</v>
      </c>
      <c r="V55" s="1171">
        <v>484083.33333333331</v>
      </c>
      <c r="W55" s="1171">
        <v>484083.33333333331</v>
      </c>
      <c r="X55" s="1171">
        <v>509083.33333333331</v>
      </c>
      <c r="Y55" s="1171">
        <v>496583.33333333331</v>
      </c>
      <c r="Z55" s="1171">
        <v>496583.33333333331</v>
      </c>
      <c r="AA55" s="1171">
        <v>496583.33333333331</v>
      </c>
      <c r="AB55" s="1171">
        <v>496583.33333333331</v>
      </c>
      <c r="AC55" s="1171">
        <v>496583.33333333331</v>
      </c>
      <c r="AD55" s="1171">
        <v>496583.33333333331</v>
      </c>
      <c r="AE55" s="1171">
        <v>496583.33333333331</v>
      </c>
      <c r="AF55" s="1171">
        <v>496583.33333333331</v>
      </c>
      <c r="AG55" s="1171">
        <v>496583.33333333331</v>
      </c>
      <c r="AH55" s="1171">
        <v>496583.33333333331</v>
      </c>
      <c r="AI55" s="1171">
        <v>496583.33333333331</v>
      </c>
      <c r="AJ55" s="1171">
        <v>496583.33333333331</v>
      </c>
      <c r="AK55" s="1171">
        <v>496583.33333333331</v>
      </c>
      <c r="AL55" s="1171">
        <v>496583.33333333331</v>
      </c>
      <c r="AM55" s="1171">
        <v>496583.33333333331</v>
      </c>
      <c r="AN55" s="1171">
        <v>496583.33333333331</v>
      </c>
      <c r="AO55" s="1171">
        <v>496583.33333333331</v>
      </c>
      <c r="AP55" s="1171">
        <v>496583.33333333331</v>
      </c>
      <c r="AQ55" s="1171">
        <v>496583.33333333331</v>
      </c>
      <c r="AR55" s="1171">
        <v>496583.33333333331</v>
      </c>
      <c r="AS55" s="1171">
        <v>496583.33333333331</v>
      </c>
      <c r="AT55" s="1171">
        <v>496583.33333333331</v>
      </c>
      <c r="AU55" s="1171">
        <v>496583.33333333331</v>
      </c>
      <c r="AV55" s="1171">
        <v>496583.33333333331</v>
      </c>
      <c r="AW55" s="1171">
        <v>496583.33333333331</v>
      </c>
      <c r="AX55" s="1171">
        <v>496583.33333333331</v>
      </c>
      <c r="AY55" s="1171">
        <v>496583.33333333331</v>
      </c>
      <c r="AZ55" s="1172">
        <v>496583.33333333331</v>
      </c>
    </row>
    <row r="56" spans="2:52">
      <c r="B56" s="1169"/>
      <c r="C56" s="1170" t="s">
        <v>1664</v>
      </c>
      <c r="D56" s="1171">
        <v>117778</v>
      </c>
      <c r="E56" s="1171">
        <v>120947.35</v>
      </c>
      <c r="F56" s="1171">
        <v>120947.35</v>
      </c>
      <c r="G56" s="1171">
        <v>120947.35</v>
      </c>
      <c r="H56" s="1171">
        <v>120947.35</v>
      </c>
      <c r="I56" s="1171">
        <v>155947.35</v>
      </c>
      <c r="J56" s="1171">
        <v>155947.35</v>
      </c>
      <c r="K56" s="1171">
        <v>252618</v>
      </c>
      <c r="L56" s="1171">
        <v>217618</v>
      </c>
      <c r="M56" s="1171">
        <v>217618</v>
      </c>
      <c r="N56" s="1171">
        <v>217618</v>
      </c>
      <c r="O56" s="1171">
        <v>217618</v>
      </c>
      <c r="P56" s="1171">
        <v>217618</v>
      </c>
      <c r="Q56" s="1171">
        <v>223782.55</v>
      </c>
      <c r="R56" s="1171">
        <v>223782.55</v>
      </c>
      <c r="S56" s="1171">
        <v>223782.55</v>
      </c>
      <c r="T56" s="1171">
        <v>223782.55</v>
      </c>
      <c r="U56" s="1171">
        <v>223782.55</v>
      </c>
      <c r="V56" s="1171">
        <v>223782.55</v>
      </c>
      <c r="W56" s="1171">
        <v>223782.55</v>
      </c>
      <c r="X56" s="1171">
        <v>223782.55</v>
      </c>
      <c r="Y56" s="1171">
        <v>223782.55</v>
      </c>
      <c r="Z56" s="1171">
        <v>223782.55</v>
      </c>
      <c r="AA56" s="1171">
        <v>223782.55</v>
      </c>
      <c r="AB56" s="1171">
        <v>223782.55</v>
      </c>
      <c r="AC56" s="1171">
        <v>230132.04</v>
      </c>
      <c r="AD56" s="1171">
        <v>230132.04</v>
      </c>
      <c r="AE56" s="1171">
        <v>230132.04</v>
      </c>
      <c r="AF56" s="1171">
        <v>230132.04</v>
      </c>
      <c r="AG56" s="1171">
        <v>230132.04</v>
      </c>
      <c r="AH56" s="1171">
        <v>230132.04</v>
      </c>
      <c r="AI56" s="1171">
        <v>230132.04</v>
      </c>
      <c r="AJ56" s="1171">
        <v>230132.04</v>
      </c>
      <c r="AK56" s="1171">
        <v>230132.04</v>
      </c>
      <c r="AL56" s="1171">
        <v>230132.04</v>
      </c>
      <c r="AM56" s="1171">
        <v>230132.04</v>
      </c>
      <c r="AN56" s="1171">
        <v>230132.04</v>
      </c>
      <c r="AO56" s="1171">
        <v>236672.01</v>
      </c>
      <c r="AP56" s="1171">
        <v>236672.01</v>
      </c>
      <c r="AQ56" s="1171">
        <v>236672.01</v>
      </c>
      <c r="AR56" s="1171">
        <v>236672.01</v>
      </c>
      <c r="AS56" s="1171">
        <v>236672.01</v>
      </c>
      <c r="AT56" s="1171">
        <v>236672.01</v>
      </c>
      <c r="AU56" s="1171">
        <v>236672.01</v>
      </c>
      <c r="AV56" s="1171">
        <v>236672.01</v>
      </c>
      <c r="AW56" s="1171">
        <v>236672.01</v>
      </c>
      <c r="AX56" s="1171">
        <v>236672.01</v>
      </c>
      <c r="AY56" s="1171">
        <v>236672.01</v>
      </c>
      <c r="AZ56" s="1172">
        <v>236672.01</v>
      </c>
    </row>
    <row r="57" spans="2:52">
      <c r="B57" s="1169"/>
      <c r="C57" s="1170" t="s">
        <v>1665</v>
      </c>
      <c r="D57" s="1173">
        <v>24966.666666666664</v>
      </c>
      <c r="E57" s="1173">
        <v>24766.666666666664</v>
      </c>
      <c r="F57" s="1173">
        <v>25066.666666666664</v>
      </c>
      <c r="G57" s="1173">
        <v>32016.666666666664</v>
      </c>
      <c r="H57" s="1173">
        <v>35266.666666666664</v>
      </c>
      <c r="I57" s="1173">
        <v>23416.666666666664</v>
      </c>
      <c r="J57" s="1173">
        <v>60216.666666666664</v>
      </c>
      <c r="K57" s="1173">
        <v>23866.666666666664</v>
      </c>
      <c r="L57" s="1173">
        <v>36616.666666666664</v>
      </c>
      <c r="M57" s="1173">
        <v>70116.666666666657</v>
      </c>
      <c r="N57" s="1173">
        <v>27916.666666666664</v>
      </c>
      <c r="O57" s="1173">
        <v>21916.666666666664</v>
      </c>
      <c r="P57" s="1173">
        <v>25416.666666666664</v>
      </c>
      <c r="Q57" s="1173">
        <v>25066.666666666664</v>
      </c>
      <c r="R57" s="1173">
        <v>28366.666666666664</v>
      </c>
      <c r="S57" s="1173">
        <v>25866.666666666664</v>
      </c>
      <c r="T57" s="1173">
        <v>31816.666666666664</v>
      </c>
      <c r="U57" s="1173">
        <v>22816.666666666664</v>
      </c>
      <c r="V57" s="1173">
        <v>56316.666666666664</v>
      </c>
      <c r="W57" s="1173">
        <v>22816.666666666664</v>
      </c>
      <c r="X57" s="1173">
        <v>25966.666666666664</v>
      </c>
      <c r="Y57" s="1173">
        <v>71466.666666666657</v>
      </c>
      <c r="Z57" s="1173">
        <v>22966.666666666664</v>
      </c>
      <c r="AA57" s="1173">
        <v>22966.666666666664</v>
      </c>
      <c r="AB57" s="1173">
        <v>26466.666666666664</v>
      </c>
      <c r="AC57" s="1173">
        <v>22966.666666666664</v>
      </c>
      <c r="AD57" s="1173">
        <v>26116.666666666664</v>
      </c>
      <c r="AE57" s="1173">
        <v>26616.666666666664</v>
      </c>
      <c r="AF57" s="1173">
        <v>38866.666666666664</v>
      </c>
      <c r="AG57" s="1173">
        <v>23866.666666666664</v>
      </c>
      <c r="AH57" s="1173">
        <v>57366.666666666664</v>
      </c>
      <c r="AI57" s="1173">
        <v>23866.666666666664</v>
      </c>
      <c r="AJ57" s="1173">
        <v>23866.666666666664</v>
      </c>
      <c r="AK57" s="1173">
        <v>72366.666666666657</v>
      </c>
      <c r="AL57" s="1173">
        <v>23866.666666666664</v>
      </c>
      <c r="AM57" s="1173">
        <v>23866.666666666664</v>
      </c>
      <c r="AN57" s="1173">
        <v>27366.666666666664</v>
      </c>
      <c r="AO57" s="1173">
        <v>23866.666666666664</v>
      </c>
      <c r="AP57" s="1173">
        <v>23866.666666666664</v>
      </c>
      <c r="AQ57" s="1173">
        <v>27366.666666666664</v>
      </c>
      <c r="AR57" s="1173">
        <v>55366.666666666664</v>
      </c>
      <c r="AS57" s="1173">
        <v>25366.666666666664</v>
      </c>
      <c r="AT57" s="1173">
        <v>28866.666666666664</v>
      </c>
      <c r="AU57" s="1173">
        <v>55366.666666666664</v>
      </c>
      <c r="AV57" s="1173">
        <v>25366.666666666664</v>
      </c>
      <c r="AW57" s="1173">
        <v>28866.666666666664</v>
      </c>
      <c r="AX57" s="1173">
        <v>70366.666666666657</v>
      </c>
      <c r="AY57" s="1173">
        <v>25366.666666666664</v>
      </c>
      <c r="AZ57" s="1174">
        <v>28866.666666666664</v>
      </c>
    </row>
    <row r="58" spans="2:52">
      <c r="B58" s="1169"/>
      <c r="C58" s="1164" t="s">
        <v>1666</v>
      </c>
      <c r="D58" s="1176">
        <v>1470447.0671212121</v>
      </c>
      <c r="E58" s="1176">
        <v>2180348.032333333</v>
      </c>
      <c r="F58" s="1176">
        <v>1758109.2135833334</v>
      </c>
      <c r="G58" s="1176">
        <v>1767258.7135833334</v>
      </c>
      <c r="H58" s="1176">
        <v>1885799.73025</v>
      </c>
      <c r="I58" s="1176">
        <v>1784346.7135833334</v>
      </c>
      <c r="J58" s="1176">
        <v>1874709.0469166667</v>
      </c>
      <c r="K58" s="1176">
        <v>2128184.6969166663</v>
      </c>
      <c r="L58" s="1176">
        <v>1909829.0302500001</v>
      </c>
      <c r="M58" s="1176">
        <v>1981691.0302500001</v>
      </c>
      <c r="N58" s="1176">
        <v>1958163.0569166667</v>
      </c>
      <c r="O58" s="1176">
        <v>1820971.6969166668</v>
      </c>
      <c r="P58" s="1176">
        <v>1949721.6969166668</v>
      </c>
      <c r="Q58" s="1176">
        <v>2974511.3460072912</v>
      </c>
      <c r="R58" s="1176">
        <v>1955715.5817624999</v>
      </c>
      <c r="S58" s="1176">
        <v>2060065.5817624999</v>
      </c>
      <c r="T58" s="1176">
        <v>2070067.9984291666</v>
      </c>
      <c r="U58" s="1176">
        <v>2081634.6650958334</v>
      </c>
      <c r="V58" s="1176">
        <v>2672884.6650958331</v>
      </c>
      <c r="W58" s="1176">
        <v>2170634.6650958331</v>
      </c>
      <c r="X58" s="1176">
        <v>2148621.9984291666</v>
      </c>
      <c r="Y58" s="1176">
        <v>2458671.9984291666</v>
      </c>
      <c r="Z58" s="1176">
        <v>4367755.331762501</v>
      </c>
      <c r="AA58" s="1176">
        <v>2067088.6650958334</v>
      </c>
      <c r="AB58" s="1176">
        <v>2120838.6650958331</v>
      </c>
      <c r="AC58" s="1176">
        <v>3403802.2580993231</v>
      </c>
      <c r="AD58" s="1176">
        <v>2158475.3108506245</v>
      </c>
      <c r="AE58" s="1176">
        <v>2161025.3108506245</v>
      </c>
      <c r="AF58" s="1176">
        <v>2247645.6441839575</v>
      </c>
      <c r="AG58" s="1176">
        <v>2223645.6441839575</v>
      </c>
      <c r="AH58" s="1176">
        <v>2314895.6441839575</v>
      </c>
      <c r="AI58" s="1176">
        <v>2250145.6441839575</v>
      </c>
      <c r="AJ58" s="1176">
        <v>2250770.6441839575</v>
      </c>
      <c r="AK58" s="1176">
        <v>2326520.6441839575</v>
      </c>
      <c r="AL58" s="1176">
        <v>2229770.6441839575</v>
      </c>
      <c r="AM58" s="1176">
        <v>2221770.6441839575</v>
      </c>
      <c r="AN58" s="1176">
        <v>2275520.6441839575</v>
      </c>
      <c r="AO58" s="1176">
        <v>3597877.9681709553</v>
      </c>
      <c r="AP58" s="1176">
        <v>2316044.0610598228</v>
      </c>
      <c r="AQ58" s="1176">
        <v>2326794.0610598228</v>
      </c>
      <c r="AR58" s="1176">
        <v>2524716.3943931558</v>
      </c>
      <c r="AS58" s="1176">
        <v>2484716.3943931558</v>
      </c>
      <c r="AT58" s="1176">
        <v>2545966.3943931558</v>
      </c>
      <c r="AU58" s="1176">
        <v>2533716.3943931558</v>
      </c>
      <c r="AV58" s="1176">
        <v>2504341.3943931558</v>
      </c>
      <c r="AW58" s="1176">
        <v>2535091.3943931558</v>
      </c>
      <c r="AX58" s="1176">
        <v>2528341.3943931558</v>
      </c>
      <c r="AY58" s="1176">
        <v>2475341.3943931558</v>
      </c>
      <c r="AZ58" s="1177">
        <v>2529091.3943931558</v>
      </c>
    </row>
    <row r="59" spans="2:52">
      <c r="B59" s="1169"/>
      <c r="C59" s="1175"/>
      <c r="D59" s="1176"/>
      <c r="E59" s="1176"/>
      <c r="F59" s="1176"/>
      <c r="G59" s="1176"/>
      <c r="H59" s="1176"/>
      <c r="I59" s="1176"/>
      <c r="J59" s="1176"/>
      <c r="K59" s="1176"/>
      <c r="L59" s="1176"/>
      <c r="M59" s="1176"/>
      <c r="N59" s="1176"/>
      <c r="O59" s="1176"/>
      <c r="P59" s="1176"/>
      <c r="Q59" s="1176"/>
      <c r="R59" s="1176"/>
      <c r="S59" s="1176"/>
      <c r="T59" s="1176"/>
      <c r="U59" s="1176"/>
      <c r="V59" s="1176"/>
      <c r="W59" s="1176"/>
      <c r="X59" s="1176"/>
      <c r="Y59" s="1176"/>
      <c r="Z59" s="1176"/>
      <c r="AA59" s="1176"/>
      <c r="AB59" s="1176"/>
      <c r="AC59" s="1176"/>
      <c r="AD59" s="1176"/>
      <c r="AE59" s="1176"/>
      <c r="AF59" s="1176"/>
      <c r="AG59" s="1176"/>
      <c r="AH59" s="1176"/>
      <c r="AI59" s="1176"/>
      <c r="AJ59" s="1176"/>
      <c r="AK59" s="1176"/>
      <c r="AL59" s="1176"/>
      <c r="AM59" s="1176"/>
      <c r="AN59" s="1176"/>
      <c r="AO59" s="1176"/>
      <c r="AP59" s="1176"/>
      <c r="AQ59" s="1176"/>
      <c r="AR59" s="1176"/>
      <c r="AS59" s="1176"/>
      <c r="AT59" s="1176"/>
      <c r="AU59" s="1176"/>
      <c r="AV59" s="1176"/>
      <c r="AW59" s="1176"/>
      <c r="AX59" s="1176"/>
      <c r="AY59" s="1176"/>
      <c r="AZ59" s="1177"/>
    </row>
    <row r="60" spans="2:52">
      <c r="B60" s="1169"/>
      <c r="C60" s="1170" t="s">
        <v>105</v>
      </c>
      <c r="D60" s="1171">
        <v>36667.066666666666</v>
      </c>
      <c r="E60" s="1171">
        <v>352512</v>
      </c>
      <c r="F60" s="1171">
        <v>485000</v>
      </c>
      <c r="G60" s="1171">
        <v>485000</v>
      </c>
      <c r="H60" s="1171">
        <v>137500</v>
      </c>
      <c r="I60" s="1171">
        <v>230833.33333333337</v>
      </c>
      <c r="J60" s="1171">
        <v>105833.33333333334</v>
      </c>
      <c r="K60" s="1171">
        <v>205833.33333333337</v>
      </c>
      <c r="L60" s="1171">
        <v>582500</v>
      </c>
      <c r="M60" s="1171">
        <v>725000</v>
      </c>
      <c r="N60" s="1171">
        <v>75009.333333333343</v>
      </c>
      <c r="O60" s="1171">
        <v>75009.333333333343</v>
      </c>
      <c r="P60" s="1171">
        <v>475009.33333333337</v>
      </c>
      <c r="Q60" s="1171">
        <v>0</v>
      </c>
      <c r="R60" s="1171">
        <v>0</v>
      </c>
      <c r="S60" s="1171">
        <v>100000</v>
      </c>
      <c r="T60" s="1171">
        <v>0</v>
      </c>
      <c r="U60" s="1171">
        <v>0</v>
      </c>
      <c r="V60" s="1171">
        <v>100000</v>
      </c>
      <c r="W60" s="1171">
        <v>0</v>
      </c>
      <c r="X60" s="1171">
        <v>0</v>
      </c>
      <c r="Y60" s="1171">
        <v>100000</v>
      </c>
      <c r="Z60" s="1171">
        <v>0</v>
      </c>
      <c r="AA60" s="1171">
        <v>0</v>
      </c>
      <c r="AB60" s="1171">
        <v>100000</v>
      </c>
      <c r="AC60" s="1171">
        <v>0</v>
      </c>
      <c r="AD60" s="1171">
        <v>0</v>
      </c>
      <c r="AE60" s="1171">
        <v>100000</v>
      </c>
      <c r="AF60" s="1171">
        <v>0</v>
      </c>
      <c r="AG60" s="1171">
        <v>0</v>
      </c>
      <c r="AH60" s="1171">
        <v>100000</v>
      </c>
      <c r="AI60" s="1171">
        <v>0</v>
      </c>
      <c r="AJ60" s="1171">
        <v>0</v>
      </c>
      <c r="AK60" s="1171">
        <v>100000</v>
      </c>
      <c r="AL60" s="1171">
        <v>0</v>
      </c>
      <c r="AM60" s="1171">
        <v>0</v>
      </c>
      <c r="AN60" s="1171">
        <v>100000</v>
      </c>
      <c r="AO60" s="1171">
        <v>0</v>
      </c>
      <c r="AP60" s="1171">
        <v>0</v>
      </c>
      <c r="AQ60" s="1171">
        <v>100000</v>
      </c>
      <c r="AR60" s="1171">
        <v>0</v>
      </c>
      <c r="AS60" s="1171">
        <v>0</v>
      </c>
      <c r="AT60" s="1171">
        <v>100000</v>
      </c>
      <c r="AU60" s="1171">
        <v>0</v>
      </c>
      <c r="AV60" s="1171">
        <v>0</v>
      </c>
      <c r="AW60" s="1171">
        <v>100000</v>
      </c>
      <c r="AX60" s="1171">
        <v>0</v>
      </c>
      <c r="AY60" s="1171">
        <v>0</v>
      </c>
      <c r="AZ60" s="1172">
        <v>100000</v>
      </c>
    </row>
    <row r="61" spans="2:52">
      <c r="B61" s="1169"/>
      <c r="C61" s="1175"/>
      <c r="D61" s="1176"/>
      <c r="E61" s="1176"/>
      <c r="F61" s="1176"/>
      <c r="G61" s="1176"/>
      <c r="H61" s="1176"/>
      <c r="I61" s="1176"/>
      <c r="J61" s="1176"/>
      <c r="K61" s="1176"/>
      <c r="L61" s="1176"/>
      <c r="M61" s="1176"/>
      <c r="N61" s="1176"/>
      <c r="O61" s="1176"/>
      <c r="P61" s="1176"/>
      <c r="Q61" s="1176"/>
      <c r="R61" s="1176"/>
      <c r="S61" s="1176"/>
      <c r="T61" s="1176"/>
      <c r="U61" s="1176"/>
      <c r="V61" s="1176"/>
      <c r="W61" s="1176"/>
      <c r="X61" s="1176"/>
      <c r="Y61" s="1176"/>
      <c r="Z61" s="1176"/>
      <c r="AA61" s="1176"/>
      <c r="AB61" s="1176"/>
      <c r="AC61" s="1176"/>
      <c r="AD61" s="1176"/>
      <c r="AE61" s="1176"/>
      <c r="AF61" s="1176"/>
      <c r="AG61" s="1176"/>
      <c r="AH61" s="1176"/>
      <c r="AI61" s="1176"/>
      <c r="AJ61" s="1176"/>
      <c r="AK61" s="1176"/>
      <c r="AL61" s="1176"/>
      <c r="AM61" s="1176"/>
      <c r="AN61" s="1176"/>
      <c r="AO61" s="1176"/>
      <c r="AP61" s="1176"/>
      <c r="AQ61" s="1176"/>
      <c r="AR61" s="1176"/>
      <c r="AS61" s="1176"/>
      <c r="AT61" s="1176"/>
      <c r="AU61" s="1176"/>
      <c r="AV61" s="1176"/>
      <c r="AW61" s="1176"/>
      <c r="AX61" s="1176"/>
      <c r="AY61" s="1176"/>
      <c r="AZ61" s="1177"/>
    </row>
    <row r="62" spans="2:52" ht="15.75" thickBot="1">
      <c r="B62" s="1169"/>
      <c r="C62" s="1175" t="s">
        <v>1667</v>
      </c>
      <c r="D62" s="1181">
        <v>2504873.3460984849</v>
      </c>
      <c r="E62" s="1181">
        <v>3816710.6302832998</v>
      </c>
      <c r="F62" s="1181">
        <v>3221125.4781999672</v>
      </c>
      <c r="G62" s="1181">
        <v>3416274.9781999667</v>
      </c>
      <c r="H62" s="1181">
        <v>3185649.3281999668</v>
      </c>
      <c r="I62" s="1181">
        <v>3059237.9781999672</v>
      </c>
      <c r="J62" s="1181">
        <v>3064461.4226444112</v>
      </c>
      <c r="K62" s="1181">
        <v>3335537.0726444107</v>
      </c>
      <c r="L62" s="1181">
        <v>3483371.8821682204</v>
      </c>
      <c r="M62" s="1181">
        <v>3772971.9774063155</v>
      </c>
      <c r="N62" s="1181">
        <v>2788256.3867118713</v>
      </c>
      <c r="O62" s="1181">
        <v>2614277.1479239929</v>
      </c>
      <c r="P62" s="1181">
        <v>3343745.3193983519</v>
      </c>
      <c r="Q62" s="1181">
        <v>4662483.8851556424</v>
      </c>
      <c r="R62" s="1181">
        <v>3773675.6401416212</v>
      </c>
      <c r="S62" s="1181">
        <v>3833692.3068082877</v>
      </c>
      <c r="T62" s="1181">
        <v>3715123.2949035256</v>
      </c>
      <c r="U62" s="1181">
        <v>3708356.6282368591</v>
      </c>
      <c r="V62" s="1181">
        <v>4368356.6282368591</v>
      </c>
      <c r="W62" s="1181">
        <v>4126106.4060146362</v>
      </c>
      <c r="X62" s="1181">
        <v>4159259.9060146362</v>
      </c>
      <c r="Y62" s="1181">
        <v>3748934.9060146366</v>
      </c>
      <c r="Z62" s="1181">
        <v>5558018.239347971</v>
      </c>
      <c r="AA62" s="1181">
        <v>3257351.4893479701</v>
      </c>
      <c r="AB62" s="1181">
        <v>3399990.3782368586</v>
      </c>
      <c r="AC62" s="1181">
        <v>5630970.2580993231</v>
      </c>
      <c r="AD62" s="1181">
        <v>3385643.3108506245</v>
      </c>
      <c r="AE62" s="1181">
        <v>3488193.3108506245</v>
      </c>
      <c r="AF62" s="1181">
        <v>4357332.4411764387</v>
      </c>
      <c r="AG62" s="1181">
        <v>4333332.4411764387</v>
      </c>
      <c r="AH62" s="1181">
        <v>4524582.4411764387</v>
      </c>
      <c r="AI62" s="1181">
        <v>3671164.4411764387</v>
      </c>
      <c r="AJ62" s="1181">
        <v>4897489.4411764387</v>
      </c>
      <c r="AK62" s="1181">
        <v>4073239.4411764387</v>
      </c>
      <c r="AL62" s="1181">
        <v>3876489.4411764387</v>
      </c>
      <c r="AM62" s="1181">
        <v>3839918.0126050096</v>
      </c>
      <c r="AN62" s="1181">
        <v>3993668.0126050096</v>
      </c>
      <c r="AO62" s="1181">
        <v>5216025.3365920074</v>
      </c>
      <c r="AP62" s="1181">
        <v>3934191.4294808749</v>
      </c>
      <c r="AQ62" s="1181">
        <v>4073512.858052304</v>
      </c>
      <c r="AR62" s="1181">
        <v>4163101.8580523035</v>
      </c>
      <c r="AS62" s="1181">
        <v>4123101.8580523035</v>
      </c>
      <c r="AT62" s="1181">
        <v>4284351.858052304</v>
      </c>
      <c r="AU62" s="1181">
        <v>4616568.5247189701</v>
      </c>
      <c r="AV62" s="1181">
        <v>4587193.5247189701</v>
      </c>
      <c r="AW62" s="1181">
        <v>4717943.5247189701</v>
      </c>
      <c r="AX62" s="1181">
        <v>4582622.0961475419</v>
      </c>
      <c r="AY62" s="1181">
        <v>3480308.0610598223</v>
      </c>
      <c r="AZ62" s="1182">
        <v>3634058.0610598223</v>
      </c>
    </row>
    <row r="63" spans="2:52" ht="15.75" thickTop="1">
      <c r="B63" s="1169"/>
      <c r="C63" s="1175"/>
      <c r="D63" s="1171"/>
      <c r="E63" s="1171"/>
      <c r="F63" s="1171"/>
      <c r="G63" s="1171"/>
      <c r="H63" s="1171"/>
      <c r="I63" s="1171"/>
      <c r="J63" s="1171"/>
      <c r="K63" s="1171"/>
      <c r="L63" s="1171"/>
      <c r="M63" s="1171"/>
      <c r="N63" s="1171"/>
      <c r="O63" s="1171"/>
      <c r="P63" s="1171"/>
      <c r="Q63" s="1171"/>
      <c r="R63" s="1171"/>
      <c r="S63" s="1171"/>
      <c r="T63" s="1171"/>
      <c r="U63" s="1171"/>
      <c r="V63" s="1171"/>
      <c r="W63" s="1171"/>
      <c r="X63" s="1171"/>
      <c r="Y63" s="1171"/>
      <c r="Z63" s="1171"/>
      <c r="AA63" s="1171"/>
      <c r="AB63" s="1171"/>
      <c r="AC63" s="1171"/>
      <c r="AD63" s="1171"/>
      <c r="AE63" s="1171"/>
      <c r="AF63" s="1171"/>
      <c r="AG63" s="1171"/>
      <c r="AH63" s="1171"/>
      <c r="AI63" s="1171"/>
      <c r="AJ63" s="1171"/>
      <c r="AK63" s="1171"/>
      <c r="AL63" s="1171"/>
      <c r="AM63" s="1171"/>
      <c r="AN63" s="1171"/>
      <c r="AO63" s="1171"/>
      <c r="AP63" s="1171"/>
      <c r="AQ63" s="1171"/>
      <c r="AR63" s="1171"/>
      <c r="AS63" s="1171"/>
      <c r="AT63" s="1171"/>
      <c r="AU63" s="1171"/>
      <c r="AV63" s="1171"/>
      <c r="AW63" s="1171"/>
      <c r="AX63" s="1171"/>
      <c r="AY63" s="1171"/>
      <c r="AZ63" s="1172"/>
    </row>
    <row r="64" spans="2:52" ht="15.75" thickBot="1">
      <c r="B64" s="1188"/>
      <c r="C64" s="1189" t="s">
        <v>1668</v>
      </c>
      <c r="D64" s="1189">
        <v>0</v>
      </c>
      <c r="E64" s="1189">
        <v>0</v>
      </c>
      <c r="F64" s="1189">
        <v>0</v>
      </c>
      <c r="G64" s="1189">
        <v>0</v>
      </c>
      <c r="H64" s="1189">
        <v>0</v>
      </c>
      <c r="I64" s="1189">
        <v>0</v>
      </c>
      <c r="J64" s="1189">
        <v>0</v>
      </c>
      <c r="K64" s="1189">
        <v>0</v>
      </c>
      <c r="L64" s="1189">
        <v>0</v>
      </c>
      <c r="M64" s="1189">
        <v>0</v>
      </c>
      <c r="N64" s="1189">
        <v>0</v>
      </c>
      <c r="O64" s="1189">
        <v>0</v>
      </c>
      <c r="P64" s="1189">
        <v>0</v>
      </c>
      <c r="Q64" s="1189">
        <v>0</v>
      </c>
      <c r="R64" s="1189">
        <v>0</v>
      </c>
      <c r="S64" s="1189">
        <v>0</v>
      </c>
      <c r="T64" s="1189">
        <v>0</v>
      </c>
      <c r="U64" s="1189">
        <v>0</v>
      </c>
      <c r="V64" s="1189">
        <v>0</v>
      </c>
      <c r="W64" s="1189">
        <v>0</v>
      </c>
      <c r="X64" s="1189">
        <v>0</v>
      </c>
      <c r="Y64" s="1189">
        <v>0</v>
      </c>
      <c r="Z64" s="1189">
        <v>0</v>
      </c>
      <c r="AA64" s="1189">
        <v>0</v>
      </c>
      <c r="AB64" s="1189">
        <v>0</v>
      </c>
      <c r="AC64" s="1189">
        <v>0</v>
      </c>
      <c r="AD64" s="1189">
        <v>0</v>
      </c>
      <c r="AE64" s="1189">
        <v>0</v>
      </c>
      <c r="AF64" s="1189">
        <v>0</v>
      </c>
      <c r="AG64" s="1189">
        <v>0</v>
      </c>
      <c r="AH64" s="1189">
        <v>0</v>
      </c>
      <c r="AI64" s="1189">
        <v>0</v>
      </c>
      <c r="AJ64" s="1189">
        <v>0</v>
      </c>
      <c r="AK64" s="1189">
        <v>0</v>
      </c>
      <c r="AL64" s="1189">
        <v>0</v>
      </c>
      <c r="AM64" s="1189">
        <v>0</v>
      </c>
      <c r="AN64" s="1189">
        <v>0</v>
      </c>
      <c r="AO64" s="1189">
        <v>0</v>
      </c>
      <c r="AP64" s="1189">
        <v>0</v>
      </c>
      <c r="AQ64" s="1189">
        <v>0</v>
      </c>
      <c r="AR64" s="1189">
        <v>0</v>
      </c>
      <c r="AS64" s="1189">
        <v>0</v>
      </c>
      <c r="AT64" s="1189">
        <v>0</v>
      </c>
      <c r="AU64" s="1189">
        <v>0</v>
      </c>
      <c r="AV64" s="1189">
        <v>0</v>
      </c>
      <c r="AW64" s="1189">
        <v>0</v>
      </c>
      <c r="AX64" s="1189">
        <v>0</v>
      </c>
      <c r="AY64" s="1189">
        <v>0</v>
      </c>
      <c r="AZ64" s="1190">
        <v>0</v>
      </c>
    </row>
    <row r="65" spans="2:52">
      <c r="B65" s="1191"/>
      <c r="C65" s="1191"/>
      <c r="D65" s="1191"/>
      <c r="E65" s="1191"/>
      <c r="F65" s="1191"/>
      <c r="G65" s="1191"/>
      <c r="H65" s="1191"/>
      <c r="I65" s="1191"/>
      <c r="J65" s="1191"/>
      <c r="K65" s="1191"/>
      <c r="L65" s="1191"/>
      <c r="M65" s="1191"/>
      <c r="N65" s="1191"/>
      <c r="O65" s="1191"/>
      <c r="P65" s="1191"/>
      <c r="Q65" s="1191"/>
      <c r="R65" s="1191"/>
      <c r="S65" s="1191"/>
      <c r="T65" s="1191"/>
      <c r="U65" s="1191"/>
      <c r="V65" s="1191"/>
      <c r="W65" s="1191"/>
      <c r="X65" s="1191"/>
      <c r="Y65" s="1191"/>
      <c r="Z65" s="1191"/>
      <c r="AA65" s="1191"/>
      <c r="AB65" s="1191"/>
      <c r="AC65" s="1191"/>
      <c r="AD65" s="1191"/>
      <c r="AE65" s="1191"/>
      <c r="AF65" s="1191"/>
      <c r="AG65" s="1191"/>
      <c r="AH65" s="1191"/>
      <c r="AI65" s="1191"/>
      <c r="AJ65" s="1191"/>
      <c r="AK65" s="1191"/>
      <c r="AL65" s="1191"/>
      <c r="AM65" s="1191"/>
      <c r="AN65" s="1191"/>
      <c r="AO65" s="1191"/>
      <c r="AP65" s="1191"/>
      <c r="AQ65" s="1191"/>
      <c r="AR65" s="1191"/>
      <c r="AS65" s="1191"/>
      <c r="AT65" s="1191"/>
      <c r="AU65" s="1191"/>
      <c r="AV65" s="1191"/>
      <c r="AW65" s="1191"/>
      <c r="AX65" s="1191"/>
      <c r="AY65" s="1191"/>
      <c r="AZ65" s="1191"/>
    </row>
    <row r="66" spans="2:52">
      <c r="B66" s="1191"/>
      <c r="C66" s="1191" t="s">
        <v>1639</v>
      </c>
      <c r="D66" s="1191">
        <v>2504873.3460984849</v>
      </c>
      <c r="E66" s="1191">
        <v>3816710.6302832998</v>
      </c>
      <c r="F66" s="1191">
        <v>3221125.4781999672</v>
      </c>
      <c r="G66" s="1191">
        <v>3416274.9781999667</v>
      </c>
      <c r="H66" s="1191">
        <v>3185649.3281999668</v>
      </c>
      <c r="I66" s="1191">
        <v>3059237.9781999672</v>
      </c>
      <c r="J66" s="1191">
        <v>3064461.4226444112</v>
      </c>
      <c r="K66" s="1191">
        <v>3335537.0726444107</v>
      </c>
      <c r="L66" s="1191">
        <v>3483371.8821682204</v>
      </c>
      <c r="M66" s="1191">
        <v>3772971.9774063155</v>
      </c>
      <c r="N66" s="1191">
        <v>2788256.3867118713</v>
      </c>
      <c r="O66" s="1191">
        <v>2614277.1479239929</v>
      </c>
      <c r="P66" s="1191">
        <v>3343745.3193983519</v>
      </c>
      <c r="Q66" s="1191">
        <v>4662483.8851556424</v>
      </c>
      <c r="R66" s="1191">
        <v>3773675.6401416212</v>
      </c>
      <c r="S66" s="1191">
        <v>3833692.3068082877</v>
      </c>
      <c r="T66" s="1191">
        <v>3715123.2949035256</v>
      </c>
      <c r="U66" s="1191">
        <v>3708356.6282368591</v>
      </c>
      <c r="V66" s="1191">
        <v>4368356.6282368591</v>
      </c>
      <c r="W66" s="1191">
        <v>4126106.4060146362</v>
      </c>
      <c r="X66" s="1191">
        <v>4159259.9060146362</v>
      </c>
      <c r="Y66" s="1191">
        <v>3748934.9060146366</v>
      </c>
      <c r="Z66" s="1191">
        <v>5558018.239347971</v>
      </c>
      <c r="AA66" s="1191">
        <v>3257351.4893479701</v>
      </c>
      <c r="AB66" s="1191">
        <v>3399990.3782368586</v>
      </c>
      <c r="AC66" s="1191">
        <v>5630970.2580993231</v>
      </c>
      <c r="AD66" s="1191">
        <v>3385643.3108506245</v>
      </c>
      <c r="AE66" s="1191">
        <v>3488193.3108506245</v>
      </c>
      <c r="AF66" s="1191">
        <v>4357332.4411764387</v>
      </c>
      <c r="AG66" s="1191">
        <v>4333332.4411764387</v>
      </c>
      <c r="AH66" s="1191">
        <v>4524582.4411764387</v>
      </c>
      <c r="AI66" s="1191">
        <v>3671164.4411764387</v>
      </c>
      <c r="AJ66" s="1191">
        <v>4897489.4411764387</v>
      </c>
      <c r="AK66" s="1191">
        <v>4073239.4411764387</v>
      </c>
      <c r="AL66" s="1191">
        <v>3876489.4411764387</v>
      </c>
      <c r="AM66" s="1191">
        <v>3839918.0126050096</v>
      </c>
      <c r="AN66" s="1191">
        <v>3993668.0126050096</v>
      </c>
      <c r="AO66" s="1191">
        <v>5216025.3365920074</v>
      </c>
      <c r="AP66" s="1191">
        <v>3934191.4294808749</v>
      </c>
      <c r="AQ66" s="1191">
        <v>4073512.858052304</v>
      </c>
      <c r="AR66" s="1191">
        <v>4163101.8580523035</v>
      </c>
      <c r="AS66" s="1191">
        <v>4123101.8580523035</v>
      </c>
      <c r="AT66" s="1191">
        <v>4284351.858052304</v>
      </c>
      <c r="AU66" s="1191">
        <v>4616568.5247189701</v>
      </c>
      <c r="AV66" s="1191">
        <v>4587193.5247189701</v>
      </c>
      <c r="AW66" s="1191">
        <v>4717943.5247189701</v>
      </c>
      <c r="AX66" s="1191">
        <v>4582622.0961475419</v>
      </c>
      <c r="AY66" s="1191">
        <v>3480308.0610598223</v>
      </c>
      <c r="AZ66" s="1191">
        <v>3634058.0610598223</v>
      </c>
    </row>
    <row r="67" spans="2:52">
      <c r="B67" s="1191"/>
      <c r="C67" s="1191"/>
      <c r="D67" s="1191"/>
      <c r="E67" s="1191"/>
      <c r="F67" s="1191"/>
      <c r="G67" s="1191"/>
      <c r="H67" s="1191"/>
      <c r="I67" s="1191"/>
      <c r="J67" s="1191"/>
      <c r="K67" s="1191"/>
      <c r="L67" s="1191"/>
      <c r="M67" s="1191"/>
      <c r="N67" s="1191"/>
      <c r="O67" s="1191"/>
      <c r="P67" s="1191"/>
      <c r="Q67" s="1191"/>
      <c r="R67" s="1191"/>
      <c r="S67" s="1191"/>
      <c r="T67" s="1191"/>
      <c r="U67" s="1191"/>
      <c r="V67" s="1191"/>
      <c r="W67" s="1191"/>
      <c r="X67" s="1191"/>
      <c r="Y67" s="1191"/>
      <c r="Z67" s="1191"/>
      <c r="AA67" s="1191"/>
      <c r="AB67" s="1191"/>
      <c r="AC67" s="1191"/>
      <c r="AD67" s="1191"/>
      <c r="AE67" s="1191"/>
      <c r="AF67" s="1191"/>
      <c r="AG67" s="1191"/>
      <c r="AH67" s="1191"/>
      <c r="AI67" s="1191"/>
      <c r="AJ67" s="1191"/>
      <c r="AK67" s="1191"/>
      <c r="AL67" s="1191"/>
      <c r="AM67" s="1191"/>
      <c r="AN67" s="1191"/>
      <c r="AO67" s="1191"/>
      <c r="AP67" s="1191"/>
      <c r="AQ67" s="1191"/>
      <c r="AR67" s="1191"/>
      <c r="AS67" s="1191"/>
      <c r="AT67" s="1191"/>
      <c r="AU67" s="1191"/>
      <c r="AV67" s="1191"/>
      <c r="AW67" s="1191"/>
      <c r="AX67" s="1191"/>
      <c r="AY67" s="1191"/>
      <c r="AZ67" s="1191"/>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S62"/>
  <sheetViews>
    <sheetView workbookViewId="0">
      <pane xSplit="3" ySplit="5" topLeftCell="G6" activePane="bottomRight" state="frozen"/>
      <selection activeCell="AP57" sqref="AP57"/>
      <selection pane="topRight" activeCell="AP57" sqref="AP57"/>
      <selection pane="bottomLeft" activeCell="AP57" sqref="AP57"/>
      <selection pane="bottomRight" activeCell="AP57" sqref="AP57"/>
    </sheetView>
  </sheetViews>
  <sheetFormatPr defaultColWidth="18" defaultRowHeight="15.75"/>
  <cols>
    <col min="1" max="1" width="18" style="1192"/>
    <col min="2" max="2" width="15.6640625" style="1193" customWidth="1"/>
    <col min="3" max="3" width="46.5" style="1212" customWidth="1"/>
    <col min="4" max="9" width="18" style="1193"/>
    <col min="10" max="10" width="18" style="1213"/>
    <col min="11" max="21" width="18" style="1193"/>
    <col min="22" max="22" width="18" style="1213"/>
    <col min="23" max="33" width="18" style="1193"/>
    <col min="34" max="38" width="18.83203125" style="1193" bestFit="1" customWidth="1"/>
    <col min="39" max="16384" width="18" style="1193"/>
  </cols>
  <sheetData>
    <row r="1" spans="1:45">
      <c r="C1" s="1194" t="s">
        <v>1669</v>
      </c>
      <c r="D1" s="1195"/>
      <c r="E1" s="1195"/>
      <c r="F1" s="1195"/>
      <c r="G1" s="1195"/>
      <c r="H1" s="1195"/>
      <c r="I1" s="1195"/>
      <c r="J1" s="1195"/>
      <c r="K1" s="1195"/>
      <c r="L1" s="1195"/>
      <c r="M1" s="1195"/>
      <c r="N1" s="1195"/>
      <c r="O1" s="1195"/>
      <c r="P1" s="1195"/>
      <c r="Q1" s="1195"/>
      <c r="R1" s="1195"/>
      <c r="S1" s="1195"/>
      <c r="T1" s="1195"/>
      <c r="U1" s="1195"/>
      <c r="V1" s="1195"/>
      <c r="W1" s="1195"/>
      <c r="X1" s="1195"/>
      <c r="Y1" s="1195"/>
      <c r="Z1" s="1195"/>
      <c r="AA1" s="1195"/>
      <c r="AB1" s="1195"/>
      <c r="AC1" s="1195"/>
    </row>
    <row r="2" spans="1:45">
      <c r="C2" s="1194" t="s">
        <v>1670</v>
      </c>
      <c r="D2" s="1195"/>
      <c r="E2" s="1195"/>
      <c r="F2" s="1195"/>
      <c r="G2" s="1195"/>
      <c r="H2" s="1195"/>
      <c r="I2" s="1195"/>
      <c r="J2" s="1195"/>
      <c r="K2" s="1195"/>
      <c r="L2" s="1195"/>
      <c r="M2" s="1195"/>
      <c r="N2" s="1195"/>
      <c r="O2" s="1195"/>
      <c r="P2" s="1195"/>
      <c r="Q2" s="1195"/>
      <c r="R2" s="1195"/>
      <c r="S2" s="1195"/>
      <c r="T2" s="1195"/>
      <c r="U2" s="1195"/>
      <c r="V2" s="1195"/>
      <c r="W2" s="1195"/>
      <c r="X2" s="1195"/>
      <c r="Y2" s="1195"/>
      <c r="Z2" s="1195"/>
      <c r="AA2" s="1195"/>
      <c r="AB2" s="1195"/>
      <c r="AC2" s="1195"/>
    </row>
    <row r="3" spans="1:45">
      <c r="A3" s="1192" t="s">
        <v>1671</v>
      </c>
      <c r="C3" s="1194" t="s">
        <v>1672</v>
      </c>
      <c r="D3" s="1195"/>
      <c r="E3" s="1195"/>
      <c r="F3" s="1195"/>
      <c r="G3" s="1195"/>
      <c r="H3" s="1195"/>
      <c r="I3" s="1195"/>
      <c r="J3" s="1195"/>
      <c r="K3" s="1195"/>
      <c r="L3" s="1195"/>
      <c r="M3" s="1195"/>
      <c r="N3" s="1195"/>
      <c r="O3" s="1195"/>
      <c r="P3" s="1195"/>
      <c r="Q3" s="1195"/>
      <c r="R3" s="1195"/>
      <c r="S3" s="1195"/>
      <c r="T3" s="1195"/>
      <c r="U3" s="1195"/>
      <c r="V3" s="1195"/>
      <c r="W3" s="1195"/>
      <c r="X3" s="1195"/>
      <c r="Y3" s="1195"/>
      <c r="Z3" s="1195"/>
      <c r="AA3" s="1195"/>
      <c r="AB3" s="1195"/>
      <c r="AC3" s="1195"/>
    </row>
    <row r="4" spans="1:45">
      <c r="C4" s="1195"/>
      <c r="D4" s="1195"/>
      <c r="E4" s="1195"/>
      <c r="F4" s="1195"/>
      <c r="G4" s="1195"/>
      <c r="H4" s="1195"/>
      <c r="I4" s="1195"/>
      <c r="J4" s="1195"/>
      <c r="K4" s="1195"/>
      <c r="L4" s="1195"/>
      <c r="M4" s="1195"/>
      <c r="N4" s="1195"/>
      <c r="O4" s="1195"/>
      <c r="P4" s="1195"/>
      <c r="Q4" s="1195"/>
      <c r="R4" s="1195"/>
      <c r="S4" s="1195"/>
      <c r="T4" s="1195"/>
      <c r="U4" s="1195"/>
      <c r="V4" s="1195"/>
      <c r="W4" s="1195"/>
      <c r="X4" s="1195"/>
      <c r="Y4" s="1195"/>
      <c r="Z4" s="1195"/>
      <c r="AA4" s="1195"/>
      <c r="AB4" s="1195"/>
      <c r="AC4" s="1195"/>
    </row>
    <row r="5" spans="1:45">
      <c r="C5" s="1195"/>
      <c r="D5" s="1040" t="s">
        <v>1510</v>
      </c>
      <c r="E5" s="1040" t="s">
        <v>1511</v>
      </c>
      <c r="F5" s="1040" t="s">
        <v>1512</v>
      </c>
      <c r="G5" s="1040" t="s">
        <v>1513</v>
      </c>
      <c r="H5" s="1040" t="s">
        <v>1514</v>
      </c>
      <c r="I5" s="1040" t="s">
        <v>1515</v>
      </c>
      <c r="J5" s="1040" t="s">
        <v>1516</v>
      </c>
      <c r="K5" s="1040" t="s">
        <v>1517</v>
      </c>
      <c r="L5" s="1040" t="s">
        <v>1518</v>
      </c>
      <c r="M5" s="1040" t="s">
        <v>1519</v>
      </c>
      <c r="N5" s="1040" t="s">
        <v>1520</v>
      </c>
      <c r="O5" s="1040" t="s">
        <v>1521</v>
      </c>
      <c r="P5" s="1040" t="s">
        <v>1522</v>
      </c>
      <c r="Q5" s="1040" t="s">
        <v>1523</v>
      </c>
      <c r="R5" s="1040" t="s">
        <v>1524</v>
      </c>
      <c r="S5" s="1040" t="s">
        <v>1525</v>
      </c>
      <c r="T5" s="1040" t="s">
        <v>1526</v>
      </c>
      <c r="U5" s="1040" t="s">
        <v>1527</v>
      </c>
      <c r="V5" s="1040" t="s">
        <v>1528</v>
      </c>
      <c r="W5" s="1040" t="s">
        <v>1529</v>
      </c>
      <c r="X5" s="1040" t="s">
        <v>1530</v>
      </c>
      <c r="Y5" s="1040" t="s">
        <v>1531</v>
      </c>
      <c r="Z5" s="1040" t="s">
        <v>1532</v>
      </c>
      <c r="AA5" s="1040" t="s">
        <v>1533</v>
      </c>
      <c r="AB5" s="1040" t="s">
        <v>1534</v>
      </c>
      <c r="AC5" s="1040" t="s">
        <v>1535</v>
      </c>
      <c r="AD5" s="1041" t="s">
        <v>1536</v>
      </c>
      <c r="AE5" s="1041" t="s">
        <v>1537</v>
      </c>
      <c r="AF5" s="1041" t="s">
        <v>1538</v>
      </c>
      <c r="AG5" s="1041" t="s">
        <v>1539</v>
      </c>
      <c r="AH5" s="1196" t="s">
        <v>1540</v>
      </c>
      <c r="AI5" s="1196" t="s">
        <v>1541</v>
      </c>
      <c r="AJ5" s="1042" t="s">
        <v>1542</v>
      </c>
      <c r="AK5" s="1197" t="s">
        <v>1543</v>
      </c>
      <c r="AL5" s="1197" t="s">
        <v>1544</v>
      </c>
      <c r="AM5" s="1197" t="s">
        <v>1673</v>
      </c>
      <c r="AN5" s="1197" t="s">
        <v>1674</v>
      </c>
      <c r="AO5" s="1197" t="s">
        <v>1675</v>
      </c>
      <c r="AP5" s="1197" t="s">
        <v>1676</v>
      </c>
      <c r="AQ5" s="1197" t="s">
        <v>1677</v>
      </c>
      <c r="AR5" s="1197" t="s">
        <v>1678</v>
      </c>
      <c r="AS5" s="1197" t="s">
        <v>1679</v>
      </c>
    </row>
    <row r="6" spans="1:45">
      <c r="C6" s="1198" t="s">
        <v>1545</v>
      </c>
      <c r="D6" s="1199"/>
      <c r="E6" s="1199"/>
      <c r="F6" s="1199"/>
      <c r="G6" s="1199"/>
      <c r="H6" s="1199"/>
      <c r="I6" s="1199"/>
      <c r="J6" s="1199"/>
      <c r="K6" s="1199"/>
      <c r="L6" s="1199"/>
      <c r="M6" s="1199"/>
      <c r="N6" s="1199"/>
      <c r="O6" s="1199"/>
      <c r="P6" s="1199"/>
      <c r="Q6" s="1199"/>
      <c r="R6" s="1199"/>
      <c r="S6" s="1199"/>
      <c r="T6" s="1199"/>
      <c r="U6" s="1199"/>
      <c r="V6" s="1199"/>
      <c r="W6" s="1199"/>
      <c r="X6" s="1199"/>
      <c r="Y6" s="1199"/>
      <c r="Z6" s="1199"/>
      <c r="AA6" s="1199"/>
      <c r="AB6" s="1199"/>
      <c r="AC6" s="1199"/>
      <c r="AH6" s="1200"/>
      <c r="AI6" s="1201"/>
      <c r="AO6" s="1202"/>
      <c r="AP6" s="1202"/>
      <c r="AQ6" s="1202"/>
      <c r="AR6" s="1202"/>
      <c r="AS6" s="1202"/>
    </row>
    <row r="7" spans="1:45">
      <c r="C7" s="1198" t="s">
        <v>1680</v>
      </c>
      <c r="D7" s="1199"/>
      <c r="E7" s="1199"/>
      <c r="F7" s="1199"/>
      <c r="G7" s="1199"/>
      <c r="H7" s="1199"/>
      <c r="I7" s="1199"/>
      <c r="J7" s="1199"/>
      <c r="K7" s="1199"/>
      <c r="L7" s="1199"/>
      <c r="M7" s="1199"/>
      <c r="N7" s="1199"/>
      <c r="O7" s="1199"/>
      <c r="P7" s="1199"/>
      <c r="Q7" s="1199"/>
      <c r="R7" s="1199"/>
      <c r="S7" s="1199"/>
      <c r="T7" s="1199"/>
      <c r="U7" s="1199"/>
      <c r="V7" s="1199"/>
      <c r="W7" s="1199"/>
      <c r="X7" s="1199"/>
      <c r="Y7" s="1199"/>
      <c r="Z7" s="1199"/>
      <c r="AA7" s="1199"/>
      <c r="AB7" s="1199"/>
      <c r="AC7" s="1199"/>
      <c r="AH7" s="1200"/>
      <c r="AI7" s="1201"/>
    </row>
    <row r="8" spans="1:45">
      <c r="C8" s="1198" t="s">
        <v>1681</v>
      </c>
      <c r="D8" s="1199"/>
      <c r="E8" s="1199"/>
      <c r="F8" s="1199"/>
      <c r="G8" s="1199"/>
      <c r="H8" s="1199"/>
      <c r="I8" s="1199"/>
      <c r="J8" s="1199"/>
      <c r="K8" s="1199"/>
      <c r="L8" s="1199"/>
      <c r="M8" s="1199"/>
      <c r="N8" s="1199"/>
      <c r="O8" s="1199"/>
      <c r="P8" s="1199"/>
      <c r="Q8" s="1199"/>
      <c r="R8" s="1199"/>
      <c r="S8" s="1199"/>
      <c r="T8" s="1199"/>
      <c r="U8" s="1199"/>
      <c r="V8" s="1199"/>
      <c r="W8" s="1199"/>
      <c r="X8" s="1199"/>
      <c r="Y8" s="1199"/>
      <c r="Z8" s="1199"/>
      <c r="AA8" s="1199"/>
      <c r="AB8" s="1199"/>
      <c r="AC8" s="1199"/>
      <c r="AD8" s="1203"/>
      <c r="AE8" s="1203"/>
      <c r="AF8" s="1203"/>
      <c r="AG8" s="1203"/>
      <c r="AH8" s="1200"/>
      <c r="AI8" s="1201"/>
    </row>
    <row r="9" spans="1:45">
      <c r="A9" s="1204" t="s">
        <v>1549</v>
      </c>
      <c r="C9" s="1198" t="s">
        <v>1682</v>
      </c>
      <c r="D9" s="1199"/>
      <c r="E9" s="1205"/>
      <c r="F9" s="1205"/>
      <c r="G9" s="1205"/>
      <c r="H9" s="1205"/>
      <c r="I9" s="1205"/>
      <c r="J9" s="1205"/>
      <c r="K9" s="1205"/>
      <c r="L9" s="1205"/>
      <c r="M9" s="1205"/>
      <c r="N9" s="1205"/>
      <c r="O9" s="1205"/>
      <c r="P9" s="1205"/>
      <c r="Q9" s="1205"/>
      <c r="R9" s="1205"/>
      <c r="S9" s="1205"/>
      <c r="T9" s="1205"/>
      <c r="U9" s="1205"/>
      <c r="V9" s="1205"/>
      <c r="W9" s="1205"/>
      <c r="X9" s="1205"/>
      <c r="Y9" s="1205"/>
      <c r="Z9" s="1205"/>
      <c r="AA9" s="1205"/>
      <c r="AB9" s="1205"/>
      <c r="AC9" s="1205"/>
      <c r="AD9" s="1203"/>
      <c r="AE9" s="1203"/>
      <c r="AF9" s="1203"/>
      <c r="AG9" s="1203"/>
      <c r="AH9" s="1203"/>
      <c r="AI9" s="1201"/>
    </row>
    <row r="10" spans="1:45">
      <c r="A10" s="1204" t="s">
        <v>1549</v>
      </c>
      <c r="C10" s="1198" t="s">
        <v>1683</v>
      </c>
      <c r="D10" s="1205">
        <v>21958</v>
      </c>
      <c r="E10" s="1205">
        <v>6188657.2000000002</v>
      </c>
      <c r="F10" s="1205">
        <v>5189321.0599999996</v>
      </c>
      <c r="G10" s="1205">
        <v>4458206.8600000003</v>
      </c>
      <c r="H10" s="1205">
        <v>3874121.18</v>
      </c>
      <c r="I10" s="1205">
        <v>3357207.31</v>
      </c>
      <c r="J10" s="1205">
        <v>2672383.83</v>
      </c>
      <c r="K10" s="1205">
        <v>1952837.28</v>
      </c>
      <c r="L10" s="1205">
        <v>683784.96</v>
      </c>
      <c r="M10" s="1205">
        <v>4932934.57</v>
      </c>
      <c r="N10" s="1205">
        <v>4380703.95</v>
      </c>
      <c r="O10" s="1205">
        <v>3718998.37</v>
      </c>
      <c r="P10" s="1205">
        <v>2961510.34</v>
      </c>
      <c r="Q10" s="1205">
        <v>1613054.67</v>
      </c>
      <c r="R10" s="1205">
        <v>5593893.3899999997</v>
      </c>
      <c r="S10" s="1205">
        <v>4614336.74</v>
      </c>
      <c r="T10" s="1205">
        <v>3552834.98</v>
      </c>
      <c r="U10" s="1205">
        <v>2573789.0499999998</v>
      </c>
      <c r="V10" s="1205">
        <v>1701025.27</v>
      </c>
      <c r="W10" s="1205">
        <v>8628460.3399999999</v>
      </c>
      <c r="X10" s="1205">
        <v>6983237.4400000004</v>
      </c>
      <c r="Y10" s="1205">
        <v>5434999.6699999999</v>
      </c>
      <c r="Z10" s="1205">
        <v>4334413.54</v>
      </c>
      <c r="AA10" s="1205">
        <v>3201573.64</v>
      </c>
      <c r="AB10" s="1205">
        <v>13417919.09</v>
      </c>
      <c r="AC10" s="1205">
        <v>11298667.199999999</v>
      </c>
      <c r="AD10" s="1203">
        <v>2222683.2999999998</v>
      </c>
      <c r="AE10" s="1203">
        <v>923658.55</v>
      </c>
      <c r="AF10" s="1203">
        <v>1330331.1200000001</v>
      </c>
      <c r="AG10" s="1203">
        <v>982879.55</v>
      </c>
      <c r="AH10" s="1203">
        <v>2973162.2</v>
      </c>
      <c r="AI10" s="1203">
        <v>1685720.1600000001</v>
      </c>
      <c r="AJ10" s="1203">
        <v>2989465.78</v>
      </c>
      <c r="AK10" s="1203">
        <v>840484.61</v>
      </c>
      <c r="AL10" s="1203">
        <v>2202958.4300000002</v>
      </c>
    </row>
    <row r="11" spans="1:45">
      <c r="A11" s="1204" t="s">
        <v>1549</v>
      </c>
      <c r="C11" s="1206" t="s">
        <v>1684</v>
      </c>
      <c r="D11" s="1205"/>
      <c r="E11" s="1205"/>
      <c r="F11" s="1205"/>
      <c r="G11" s="1205"/>
      <c r="H11" s="1205"/>
      <c r="I11" s="1205"/>
      <c r="J11" s="1205"/>
      <c r="K11" s="1205"/>
      <c r="L11" s="1205"/>
      <c r="M11" s="1205"/>
      <c r="N11" s="1205"/>
      <c r="O11" s="1205"/>
      <c r="P11" s="1205"/>
      <c r="Q11" s="1205"/>
      <c r="R11" s="1205"/>
      <c r="S11" s="1205"/>
      <c r="T11" s="1205"/>
      <c r="U11" s="1205"/>
      <c r="V11" s="1205"/>
      <c r="W11" s="1205">
        <v>0</v>
      </c>
      <c r="X11" s="1205">
        <v>0</v>
      </c>
      <c r="Y11" s="1205">
        <v>0</v>
      </c>
      <c r="Z11" s="1205">
        <v>0</v>
      </c>
      <c r="AA11" s="1205">
        <v>0</v>
      </c>
      <c r="AB11" s="1205">
        <v>0</v>
      </c>
      <c r="AC11" s="1205">
        <v>0</v>
      </c>
      <c r="AD11" s="1207">
        <v>0</v>
      </c>
      <c r="AE11" s="1207">
        <v>0</v>
      </c>
      <c r="AF11" s="1207">
        <v>0</v>
      </c>
      <c r="AG11" s="1207"/>
      <c r="AH11" s="1207"/>
      <c r="AI11" s="1207">
        <v>0</v>
      </c>
      <c r="AJ11" s="1207">
        <v>0</v>
      </c>
      <c r="AK11" s="1207">
        <v>0</v>
      </c>
      <c r="AL11" s="1207"/>
    </row>
    <row r="12" spans="1:45">
      <c r="A12" s="1204" t="s">
        <v>1549</v>
      </c>
      <c r="C12" s="1206" t="s">
        <v>1685</v>
      </c>
      <c r="D12" s="1205"/>
      <c r="E12" s="1205"/>
      <c r="F12" s="1205"/>
      <c r="G12" s="1205"/>
      <c r="H12" s="1205"/>
      <c r="I12" s="1205"/>
      <c r="J12" s="1205"/>
      <c r="K12" s="1205"/>
      <c r="L12" s="1205"/>
      <c r="M12" s="1205"/>
      <c r="N12" s="1205"/>
      <c r="O12" s="1205"/>
      <c r="P12" s="1205"/>
      <c r="Q12" s="1205"/>
      <c r="R12" s="1205"/>
      <c r="S12" s="1205"/>
      <c r="T12" s="1205"/>
      <c r="U12" s="1205"/>
      <c r="V12" s="1205"/>
      <c r="W12" s="1205">
        <v>0</v>
      </c>
      <c r="X12" s="1205">
        <v>0</v>
      </c>
      <c r="Y12" s="1205">
        <v>0</v>
      </c>
      <c r="Z12" s="1205">
        <v>0</v>
      </c>
      <c r="AA12" s="1205">
        <v>0</v>
      </c>
      <c r="AB12" s="1205">
        <v>0</v>
      </c>
      <c r="AC12" s="1205">
        <v>0</v>
      </c>
      <c r="AD12" s="1203">
        <v>6981124.6200000001</v>
      </c>
      <c r="AE12" s="1203">
        <v>6988598.7599999998</v>
      </c>
      <c r="AF12" s="1203">
        <v>5006281.1900000004</v>
      </c>
      <c r="AG12" s="1203">
        <v>3263016.54</v>
      </c>
      <c r="AH12" s="1203">
        <v>7264144.79</v>
      </c>
      <c r="AI12" s="1203">
        <v>5267312.4000000004</v>
      </c>
      <c r="AJ12" s="1203">
        <v>12274337.210000001</v>
      </c>
      <c r="AK12" s="1203">
        <v>9091537.2899999991</v>
      </c>
      <c r="AL12" s="1203">
        <v>5632381.5999999996</v>
      </c>
    </row>
    <row r="13" spans="1:45">
      <c r="A13" s="1204" t="s">
        <v>1549</v>
      </c>
      <c r="C13" s="1206" t="s">
        <v>1686</v>
      </c>
      <c r="D13" s="1205"/>
      <c r="E13" s="1205"/>
      <c r="F13" s="1205"/>
      <c r="G13" s="1205"/>
      <c r="H13" s="1205"/>
      <c r="I13" s="1205"/>
      <c r="J13" s="1205"/>
      <c r="K13" s="1205"/>
      <c r="L13" s="1205"/>
      <c r="M13" s="1205"/>
      <c r="N13" s="1205"/>
      <c r="O13" s="1205"/>
      <c r="P13" s="1205"/>
      <c r="Q13" s="1205"/>
      <c r="R13" s="1205"/>
      <c r="S13" s="1205"/>
      <c r="T13" s="1205"/>
      <c r="U13" s="1205"/>
      <c r="V13" s="1205"/>
      <c r="W13" s="1205"/>
      <c r="X13" s="1205"/>
      <c r="Y13" s="1205"/>
      <c r="Z13" s="1205"/>
      <c r="AA13" s="1205"/>
      <c r="AB13" s="1205"/>
      <c r="AC13" s="1205"/>
      <c r="AD13" s="1203"/>
      <c r="AE13" s="1203"/>
      <c r="AF13" s="1203"/>
      <c r="AG13" s="1203"/>
      <c r="AH13" s="1203"/>
      <c r="AI13" s="1203">
        <v>0</v>
      </c>
      <c r="AJ13" s="1203">
        <v>0</v>
      </c>
      <c r="AK13" s="1203">
        <v>3143943</v>
      </c>
      <c r="AL13" s="1203">
        <v>3146155.5</v>
      </c>
    </row>
    <row r="14" spans="1:45">
      <c r="A14" s="1204"/>
      <c r="C14" s="1206" t="s">
        <v>1687</v>
      </c>
      <c r="D14" s="1205"/>
      <c r="E14" s="1205"/>
      <c r="F14" s="1205"/>
      <c r="G14" s="1205"/>
      <c r="H14" s="1205"/>
      <c r="I14" s="1205"/>
      <c r="J14" s="1205"/>
      <c r="K14" s="1205"/>
      <c r="L14" s="1205"/>
      <c r="M14" s="1205"/>
      <c r="N14" s="1205"/>
      <c r="O14" s="1205"/>
      <c r="P14" s="1205"/>
      <c r="Q14" s="1205"/>
      <c r="R14" s="1205"/>
      <c r="S14" s="1205"/>
      <c r="T14" s="1205"/>
      <c r="U14" s="1205"/>
      <c r="V14" s="1205">
        <v>0</v>
      </c>
      <c r="W14" s="1205">
        <v>0</v>
      </c>
      <c r="X14" s="1205">
        <v>0</v>
      </c>
      <c r="Y14" s="1205">
        <v>0</v>
      </c>
      <c r="Z14" s="1205">
        <v>0</v>
      </c>
      <c r="AA14" s="1205">
        <v>0</v>
      </c>
      <c r="AB14" s="1205">
        <v>0</v>
      </c>
      <c r="AC14" s="1205">
        <v>0</v>
      </c>
      <c r="AD14" s="1208">
        <v>6981124.6200000001</v>
      </c>
      <c r="AE14" s="1208">
        <v>6988598.7599999998</v>
      </c>
      <c r="AF14" s="1208">
        <v>5006281.1900000004</v>
      </c>
      <c r="AG14" s="1208">
        <v>3263016.54</v>
      </c>
      <c r="AH14" s="1208">
        <f>SUM(AH12:AH13)</f>
        <v>7264144.79</v>
      </c>
      <c r="AI14" s="1208">
        <f>SUM(AI12:AI13)</f>
        <v>5267312.4000000004</v>
      </c>
      <c r="AJ14" s="1208">
        <f>SUM(AJ12:AJ13)</f>
        <v>12274337.210000001</v>
      </c>
      <c r="AK14" s="1208">
        <f>SUM(AK12:AK13)</f>
        <v>12235480.289999999</v>
      </c>
      <c r="AL14" s="1208">
        <f>SUM(AL12:AL13)</f>
        <v>8778537.0999999996</v>
      </c>
    </row>
    <row r="15" spans="1:45">
      <c r="A15" s="1204"/>
      <c r="C15" s="1198" t="s">
        <v>1688</v>
      </c>
      <c r="D15" s="1209">
        <f>SUM(D10:D14)</f>
        <v>21958</v>
      </c>
      <c r="E15" s="1209">
        <f t="shared" ref="E15:AC15" si="0">SUM(E10:E14)</f>
        <v>6188657.2000000002</v>
      </c>
      <c r="F15" s="1209">
        <f t="shared" si="0"/>
        <v>5189321.0599999996</v>
      </c>
      <c r="G15" s="1209">
        <f t="shared" si="0"/>
        <v>4458206.8600000003</v>
      </c>
      <c r="H15" s="1209">
        <f t="shared" si="0"/>
        <v>3874121.18</v>
      </c>
      <c r="I15" s="1209">
        <f t="shared" si="0"/>
        <v>3357207.31</v>
      </c>
      <c r="J15" s="1209">
        <f t="shared" si="0"/>
        <v>2672383.83</v>
      </c>
      <c r="K15" s="1209">
        <f t="shared" si="0"/>
        <v>1952837.28</v>
      </c>
      <c r="L15" s="1209">
        <f t="shared" si="0"/>
        <v>683784.96</v>
      </c>
      <c r="M15" s="1209">
        <f t="shared" si="0"/>
        <v>4932934.57</v>
      </c>
      <c r="N15" s="1209">
        <f t="shared" si="0"/>
        <v>4380703.95</v>
      </c>
      <c r="O15" s="1209">
        <f t="shared" si="0"/>
        <v>3718998.37</v>
      </c>
      <c r="P15" s="1209">
        <f t="shared" si="0"/>
        <v>2961510.34</v>
      </c>
      <c r="Q15" s="1209">
        <f t="shared" si="0"/>
        <v>1613054.67</v>
      </c>
      <c r="R15" s="1209">
        <f t="shared" si="0"/>
        <v>5593893.3899999997</v>
      </c>
      <c r="S15" s="1209">
        <f t="shared" si="0"/>
        <v>4614336.74</v>
      </c>
      <c r="T15" s="1209">
        <f t="shared" si="0"/>
        <v>3552834.98</v>
      </c>
      <c r="U15" s="1209">
        <f t="shared" si="0"/>
        <v>2573789.0499999998</v>
      </c>
      <c r="V15" s="1209">
        <f t="shared" si="0"/>
        <v>1701025.27</v>
      </c>
      <c r="W15" s="1209">
        <f t="shared" si="0"/>
        <v>8628460.3399999999</v>
      </c>
      <c r="X15" s="1209">
        <f t="shared" si="0"/>
        <v>6983237.4400000004</v>
      </c>
      <c r="Y15" s="1209">
        <f t="shared" si="0"/>
        <v>5434999.6699999999</v>
      </c>
      <c r="Z15" s="1209">
        <f t="shared" si="0"/>
        <v>4334413.54</v>
      </c>
      <c r="AA15" s="1209">
        <f t="shared" si="0"/>
        <v>3201573.64</v>
      </c>
      <c r="AB15" s="1209">
        <f t="shared" si="0"/>
        <v>13417919.09</v>
      </c>
      <c r="AC15" s="1209">
        <f t="shared" si="0"/>
        <v>11298667.199999999</v>
      </c>
      <c r="AD15" s="1209">
        <f>SUM(AD10:AD11)+AD14</f>
        <v>9203807.9199999999</v>
      </c>
      <c r="AE15" s="1209">
        <f t="shared" ref="AE15:AG15" si="1">SUM(AE10:AE11)+AE14</f>
        <v>7912257.3099999996</v>
      </c>
      <c r="AF15" s="1209">
        <f t="shared" si="1"/>
        <v>6336612.3100000005</v>
      </c>
      <c r="AG15" s="1209">
        <f t="shared" si="1"/>
        <v>4245896.09</v>
      </c>
      <c r="AH15" s="1209">
        <f>SUM(AH10:AH11)+AH14</f>
        <v>10237306.99</v>
      </c>
      <c r="AI15" s="1209">
        <f>SUM(AI10:AI11)+AI14</f>
        <v>6953032.5600000005</v>
      </c>
      <c r="AJ15" s="1209">
        <f>SUM(AJ10:AJ11)+AJ14</f>
        <v>15263802.99</v>
      </c>
      <c r="AK15" s="1209">
        <f>SUM(AK10:AK11)+AK14</f>
        <v>13075964.899999999</v>
      </c>
      <c r="AL15" s="1209">
        <f>SUM(AL10:AL11)+AL14</f>
        <v>10981495.529999999</v>
      </c>
    </row>
    <row r="16" spans="1:45">
      <c r="C16" s="1198" t="s">
        <v>1689</v>
      </c>
      <c r="D16" s="1209">
        <f>+D15</f>
        <v>21958</v>
      </c>
      <c r="E16" s="1209">
        <f t="shared" ref="E16:AG16" si="2">+E15</f>
        <v>6188657.2000000002</v>
      </c>
      <c r="F16" s="1209">
        <f t="shared" si="2"/>
        <v>5189321.0599999996</v>
      </c>
      <c r="G16" s="1209">
        <f t="shared" si="2"/>
        <v>4458206.8600000003</v>
      </c>
      <c r="H16" s="1209">
        <f t="shared" si="2"/>
        <v>3874121.18</v>
      </c>
      <c r="I16" s="1209">
        <f t="shared" si="2"/>
        <v>3357207.31</v>
      </c>
      <c r="J16" s="1209">
        <f t="shared" si="2"/>
        <v>2672383.83</v>
      </c>
      <c r="K16" s="1209">
        <f t="shared" si="2"/>
        <v>1952837.28</v>
      </c>
      <c r="L16" s="1209">
        <f t="shared" si="2"/>
        <v>683784.96</v>
      </c>
      <c r="M16" s="1209">
        <f t="shared" si="2"/>
        <v>4932934.57</v>
      </c>
      <c r="N16" s="1209">
        <f t="shared" si="2"/>
        <v>4380703.95</v>
      </c>
      <c r="O16" s="1209">
        <f t="shared" si="2"/>
        <v>3718998.37</v>
      </c>
      <c r="P16" s="1209">
        <f t="shared" si="2"/>
        <v>2961510.34</v>
      </c>
      <c r="Q16" s="1209">
        <f t="shared" si="2"/>
        <v>1613054.67</v>
      </c>
      <c r="R16" s="1209">
        <f t="shared" si="2"/>
        <v>5593893.3899999997</v>
      </c>
      <c r="S16" s="1209">
        <f t="shared" si="2"/>
        <v>4614336.74</v>
      </c>
      <c r="T16" s="1209">
        <f t="shared" si="2"/>
        <v>3552834.98</v>
      </c>
      <c r="U16" s="1209">
        <f t="shared" si="2"/>
        <v>2573789.0499999998</v>
      </c>
      <c r="V16" s="1209">
        <f t="shared" si="2"/>
        <v>1701025.27</v>
      </c>
      <c r="W16" s="1209">
        <f t="shared" si="2"/>
        <v>8628460.3399999999</v>
      </c>
      <c r="X16" s="1209">
        <f t="shared" si="2"/>
        <v>6983237.4400000004</v>
      </c>
      <c r="Y16" s="1209">
        <f t="shared" si="2"/>
        <v>5434999.6699999999</v>
      </c>
      <c r="Z16" s="1209">
        <f t="shared" si="2"/>
        <v>4334413.54</v>
      </c>
      <c r="AA16" s="1209">
        <f t="shared" si="2"/>
        <v>3201573.64</v>
      </c>
      <c r="AB16" s="1209">
        <f t="shared" si="2"/>
        <v>13417919.09</v>
      </c>
      <c r="AC16" s="1209">
        <f t="shared" si="2"/>
        <v>11298667.199999999</v>
      </c>
      <c r="AD16" s="1209">
        <f t="shared" si="2"/>
        <v>9203807.9199999999</v>
      </c>
      <c r="AE16" s="1209">
        <f t="shared" si="2"/>
        <v>7912257.3099999996</v>
      </c>
      <c r="AF16" s="1209">
        <f t="shared" si="2"/>
        <v>6336612.3100000005</v>
      </c>
      <c r="AG16" s="1209">
        <f t="shared" si="2"/>
        <v>4245896.09</v>
      </c>
      <c r="AH16" s="1209">
        <f>+AH15</f>
        <v>10237306.99</v>
      </c>
      <c r="AI16" s="1209">
        <f>+AI15</f>
        <v>6953032.5600000005</v>
      </c>
      <c r="AJ16" s="1209">
        <f>+AJ15</f>
        <v>15263802.99</v>
      </c>
      <c r="AK16" s="1209">
        <f>+AK15</f>
        <v>13075964.899999999</v>
      </c>
      <c r="AL16" s="1209">
        <f>+AL15</f>
        <v>10981495.529999999</v>
      </c>
    </row>
    <row r="17" spans="1:38">
      <c r="C17" s="1198" t="s">
        <v>1690</v>
      </c>
      <c r="D17" s="1199"/>
      <c r="E17" s="1199"/>
      <c r="F17" s="1199"/>
      <c r="G17" s="1199"/>
      <c r="H17" s="1199"/>
      <c r="I17" s="1199"/>
      <c r="J17" s="1199"/>
      <c r="K17" s="1199"/>
      <c r="L17" s="1199"/>
      <c r="M17" s="1199"/>
      <c r="N17" s="1199"/>
      <c r="O17" s="1199"/>
      <c r="P17" s="1199"/>
      <c r="Q17" s="1199"/>
      <c r="R17" s="1199"/>
      <c r="S17" s="1199"/>
      <c r="T17" s="1199"/>
      <c r="U17" s="1199"/>
      <c r="V17" s="1199"/>
      <c r="W17" s="1199"/>
      <c r="X17" s="1199"/>
      <c r="Y17" s="1199"/>
      <c r="Z17" s="1199"/>
      <c r="AA17" s="1199"/>
      <c r="AB17" s="1199"/>
      <c r="AC17" s="1199"/>
      <c r="AD17" s="1207"/>
      <c r="AE17" s="1207"/>
      <c r="AF17" s="1207"/>
      <c r="AG17" s="1207"/>
      <c r="AH17" s="1207"/>
      <c r="AI17" s="1207"/>
      <c r="AJ17" s="1207"/>
      <c r="AK17" s="1207"/>
      <c r="AL17" s="1207"/>
    </row>
    <row r="18" spans="1:38">
      <c r="A18" s="1204" t="s">
        <v>1549</v>
      </c>
      <c r="C18" s="1198" t="s">
        <v>1691</v>
      </c>
      <c r="D18" s="1199"/>
      <c r="E18" s="1199"/>
      <c r="F18" s="1199"/>
      <c r="G18" s="1199"/>
      <c r="H18" s="1199"/>
      <c r="I18" s="1199"/>
      <c r="J18" s="1199"/>
      <c r="K18" s="1199"/>
      <c r="L18" s="1199"/>
      <c r="M18" s="1199"/>
      <c r="N18" s="1199"/>
      <c r="O18" s="1199"/>
      <c r="P18" s="1199"/>
      <c r="Q18" s="1199"/>
      <c r="R18" s="1199"/>
      <c r="S18" s="1199"/>
      <c r="T18" s="1199"/>
      <c r="U18" s="1199"/>
      <c r="V18" s="1199"/>
      <c r="W18" s="1199"/>
      <c r="X18" s="1199"/>
      <c r="Y18" s="1199"/>
      <c r="Z18" s="1199"/>
      <c r="AA18" s="1199"/>
      <c r="AB18" s="1199"/>
      <c r="AC18" s="1199"/>
      <c r="AD18" s="1203"/>
      <c r="AE18" s="1203"/>
      <c r="AF18" s="1203"/>
      <c r="AG18" s="1203"/>
      <c r="AH18" s="1203"/>
      <c r="AI18" s="1203"/>
      <c r="AJ18" s="1203"/>
      <c r="AK18" s="1203"/>
      <c r="AL18" s="1203"/>
    </row>
    <row r="19" spans="1:38">
      <c r="A19" s="1204" t="s">
        <v>1549</v>
      </c>
      <c r="C19" s="1206" t="s">
        <v>1692</v>
      </c>
      <c r="D19" s="1199"/>
      <c r="E19" s="1199"/>
      <c r="F19" s="1199"/>
      <c r="G19" s="1199"/>
      <c r="H19" s="1199"/>
      <c r="I19" s="1199"/>
      <c r="J19" s="1199"/>
      <c r="K19" s="1199"/>
      <c r="L19" s="1199"/>
      <c r="M19" s="1199"/>
      <c r="N19" s="1199"/>
      <c r="O19" s="1199"/>
      <c r="P19" s="1199"/>
      <c r="Q19" s="1199"/>
      <c r="R19" s="1199"/>
      <c r="S19" s="1199"/>
      <c r="T19" s="1199"/>
      <c r="U19" s="1199"/>
      <c r="V19" s="1199"/>
      <c r="W19" s="1199">
        <v>0</v>
      </c>
      <c r="X19" s="1199">
        <v>0</v>
      </c>
      <c r="Y19" s="1199">
        <v>0</v>
      </c>
      <c r="Z19" s="1199">
        <v>0</v>
      </c>
      <c r="AA19" s="1199">
        <v>0</v>
      </c>
      <c r="AB19" s="1199">
        <v>0</v>
      </c>
      <c r="AC19" s="1199">
        <v>0</v>
      </c>
      <c r="AD19" s="1203">
        <v>20864.04</v>
      </c>
      <c r="AE19" s="1203">
        <v>19061.23</v>
      </c>
      <c r="AF19" s="1203">
        <v>5355.96</v>
      </c>
      <c r="AG19" s="1203">
        <v>1372.98</v>
      </c>
      <c r="AH19" s="1203">
        <v>3465.75</v>
      </c>
      <c r="AI19" s="1203">
        <v>6440.34</v>
      </c>
      <c r="AJ19" s="1203">
        <v>5597.79</v>
      </c>
      <c r="AK19" s="1203">
        <v>61495.49</v>
      </c>
      <c r="AL19" s="1203">
        <v>34137.46</v>
      </c>
    </row>
    <row r="20" spans="1:38">
      <c r="A20" s="1204" t="s">
        <v>1550</v>
      </c>
      <c r="C20" s="1198" t="s">
        <v>1693</v>
      </c>
      <c r="D20" s="1199">
        <v>0</v>
      </c>
      <c r="E20" s="1205">
        <v>0</v>
      </c>
      <c r="F20" s="1205">
        <v>0</v>
      </c>
      <c r="G20" s="1205">
        <v>40208.949999999997</v>
      </c>
      <c r="H20" s="1205">
        <v>62734.17</v>
      </c>
      <c r="I20" s="1205">
        <v>62734.17</v>
      </c>
      <c r="J20" s="1205">
        <v>62734.17</v>
      </c>
      <c r="K20" s="1205">
        <v>62734.17</v>
      </c>
      <c r="L20" s="1205">
        <v>62734.17</v>
      </c>
      <c r="M20" s="1205">
        <v>62734.17</v>
      </c>
      <c r="N20" s="1205">
        <v>62734.17</v>
      </c>
      <c r="O20" s="1205">
        <v>0</v>
      </c>
      <c r="P20" s="1205">
        <v>0</v>
      </c>
      <c r="Q20" s="1205">
        <v>0</v>
      </c>
      <c r="R20" s="1205">
        <v>0</v>
      </c>
      <c r="S20" s="1205">
        <v>0</v>
      </c>
      <c r="T20" s="1205">
        <v>0</v>
      </c>
      <c r="U20" s="1205">
        <v>0</v>
      </c>
      <c r="V20" s="1205">
        <v>0</v>
      </c>
      <c r="W20" s="1205">
        <v>0</v>
      </c>
      <c r="X20" s="1205">
        <v>0</v>
      </c>
      <c r="Y20" s="1205">
        <v>0</v>
      </c>
      <c r="Z20" s="1205">
        <v>0</v>
      </c>
      <c r="AA20" s="1205">
        <v>0</v>
      </c>
      <c r="AB20" s="1205">
        <v>0</v>
      </c>
      <c r="AC20" s="1205">
        <v>0</v>
      </c>
      <c r="AD20" s="1203">
        <v>0</v>
      </c>
      <c r="AE20" s="1203">
        <v>0</v>
      </c>
      <c r="AF20" s="1203">
        <v>0</v>
      </c>
      <c r="AG20" s="1203">
        <v>0</v>
      </c>
      <c r="AH20" s="1203"/>
      <c r="AI20" s="1203"/>
      <c r="AJ20" s="1203"/>
      <c r="AK20" s="1203"/>
      <c r="AL20" s="1203"/>
    </row>
    <row r="21" spans="1:38">
      <c r="A21" s="1204" t="s">
        <v>1550</v>
      </c>
      <c r="C21" s="1198" t="s">
        <v>1694</v>
      </c>
      <c r="D21" s="1199">
        <v>0</v>
      </c>
      <c r="E21" s="1205">
        <v>0</v>
      </c>
      <c r="F21" s="1205">
        <v>0</v>
      </c>
      <c r="G21" s="1205">
        <v>35194.199999999997</v>
      </c>
      <c r="H21" s="1205">
        <v>37157.08</v>
      </c>
      <c r="I21" s="1205">
        <v>37157.08</v>
      </c>
      <c r="J21" s="1205">
        <v>37157.08</v>
      </c>
      <c r="K21" s="1205">
        <v>11071.38</v>
      </c>
      <c r="L21" s="1205">
        <v>11071.38</v>
      </c>
      <c r="M21" s="1205">
        <v>10671.38</v>
      </c>
      <c r="N21" s="1205">
        <v>7908.5</v>
      </c>
      <c r="O21" s="1205">
        <v>7108.5</v>
      </c>
      <c r="P21" s="1205">
        <v>6308.5</v>
      </c>
      <c r="Q21" s="1205">
        <v>5508.5</v>
      </c>
      <c r="R21" s="1205">
        <v>4708.5</v>
      </c>
      <c r="S21" s="1205">
        <v>3908.5</v>
      </c>
      <c r="T21" s="1205">
        <v>3108.5</v>
      </c>
      <c r="U21" s="1205">
        <v>2308.5</v>
      </c>
      <c r="V21" s="1205">
        <v>1508.5</v>
      </c>
      <c r="W21" s="1205">
        <v>708.5</v>
      </c>
      <c r="X21" s="1205">
        <v>-91.5</v>
      </c>
      <c r="Y21" s="1205">
        <v>-891.5</v>
      </c>
      <c r="Z21" s="1205">
        <v>-1691.5</v>
      </c>
      <c r="AA21" s="1205">
        <v>-2491.5</v>
      </c>
      <c r="AB21" s="1205">
        <v>-3291.5</v>
      </c>
      <c r="AC21" s="1205">
        <v>-4091.5</v>
      </c>
      <c r="AD21" s="1203">
        <v>-4891.5</v>
      </c>
      <c r="AE21" s="1203">
        <v>-11808.55</v>
      </c>
      <c r="AF21" s="1203">
        <v>-15600</v>
      </c>
      <c r="AG21" s="1203">
        <v>0</v>
      </c>
      <c r="AH21" s="1203"/>
      <c r="AI21" s="1203"/>
      <c r="AJ21" s="1203"/>
      <c r="AK21" s="1203"/>
      <c r="AL21" s="1203"/>
    </row>
    <row r="22" spans="1:38">
      <c r="A22" s="1204" t="s">
        <v>1550</v>
      </c>
      <c r="C22" s="1198" t="s">
        <v>1695</v>
      </c>
      <c r="D22" s="1199">
        <v>0</v>
      </c>
      <c r="E22" s="1205">
        <v>0</v>
      </c>
      <c r="F22" s="1205">
        <v>0</v>
      </c>
      <c r="G22" s="1205">
        <v>0</v>
      </c>
      <c r="H22" s="1205">
        <v>0</v>
      </c>
      <c r="I22" s="1205">
        <v>0</v>
      </c>
      <c r="J22" s="1205">
        <v>0</v>
      </c>
      <c r="K22" s="1205">
        <v>0</v>
      </c>
      <c r="L22" s="1205">
        <v>0</v>
      </c>
      <c r="M22" s="1205">
        <v>0</v>
      </c>
      <c r="N22" s="1205">
        <v>0</v>
      </c>
      <c r="O22" s="1205">
        <v>0</v>
      </c>
      <c r="P22" s="1205">
        <v>0</v>
      </c>
      <c r="Q22" s="1205">
        <v>0</v>
      </c>
      <c r="R22" s="1205">
        <v>0</v>
      </c>
      <c r="S22" s="1205">
        <v>0</v>
      </c>
      <c r="T22" s="1205">
        <v>0</v>
      </c>
      <c r="U22" s="1205">
        <v>0</v>
      </c>
      <c r="V22" s="1205"/>
      <c r="W22" s="1205">
        <v>0</v>
      </c>
      <c r="X22" s="1205">
        <v>0</v>
      </c>
      <c r="Y22" s="1205">
        <v>0</v>
      </c>
      <c r="Z22" s="1205">
        <v>0</v>
      </c>
      <c r="AA22" s="1205">
        <v>0</v>
      </c>
      <c r="AB22" s="1205">
        <v>0</v>
      </c>
      <c r="AC22" s="1205">
        <v>0</v>
      </c>
      <c r="AD22" s="1203">
        <v>0</v>
      </c>
      <c r="AE22" s="1203">
        <v>0</v>
      </c>
      <c r="AF22" s="1203">
        <v>0</v>
      </c>
      <c r="AG22" s="1203">
        <v>0</v>
      </c>
      <c r="AH22" s="1203"/>
      <c r="AI22" s="1203"/>
      <c r="AJ22" s="1203"/>
      <c r="AK22" s="1203">
        <v>244326</v>
      </c>
      <c r="AL22" s="1203">
        <v>297607.08</v>
      </c>
    </row>
    <row r="23" spans="1:38">
      <c r="A23" s="1204" t="s">
        <v>1550</v>
      </c>
      <c r="C23" s="1198" t="s">
        <v>1696</v>
      </c>
      <c r="D23" s="1199">
        <v>0</v>
      </c>
      <c r="E23" s="1205">
        <v>0</v>
      </c>
      <c r="F23" s="1205">
        <v>0</v>
      </c>
      <c r="G23" s="1205">
        <v>0</v>
      </c>
      <c r="H23" s="1205">
        <v>0</v>
      </c>
      <c r="I23" s="1205">
        <v>0</v>
      </c>
      <c r="J23" s="1205">
        <v>0</v>
      </c>
      <c r="K23" s="1205">
        <v>0</v>
      </c>
      <c r="L23" s="1205">
        <v>0</v>
      </c>
      <c r="M23" s="1205">
        <v>0</v>
      </c>
      <c r="N23" s="1205">
        <v>0</v>
      </c>
      <c r="O23" s="1205">
        <v>0</v>
      </c>
      <c r="P23" s="1205">
        <v>0</v>
      </c>
      <c r="Q23" s="1205">
        <v>0</v>
      </c>
      <c r="R23" s="1205">
        <v>0</v>
      </c>
      <c r="S23" s="1205">
        <v>0</v>
      </c>
      <c r="T23" s="1205">
        <v>0</v>
      </c>
      <c r="U23" s="1205">
        <v>0</v>
      </c>
      <c r="V23" s="1205"/>
      <c r="W23" s="1205">
        <v>0</v>
      </c>
      <c r="X23" s="1205">
        <v>0</v>
      </c>
      <c r="Y23" s="1205">
        <v>0</v>
      </c>
      <c r="Z23" s="1205">
        <v>0</v>
      </c>
      <c r="AA23" s="1205">
        <v>0</v>
      </c>
      <c r="AB23" s="1205">
        <v>0</v>
      </c>
      <c r="AC23" s="1205">
        <v>0</v>
      </c>
      <c r="AD23" s="1203">
        <v>0</v>
      </c>
      <c r="AE23" s="1203">
        <v>0</v>
      </c>
      <c r="AF23" s="1203">
        <v>0</v>
      </c>
      <c r="AG23" s="1203">
        <v>0</v>
      </c>
      <c r="AH23" s="1203"/>
      <c r="AI23" s="1203"/>
      <c r="AJ23" s="1203"/>
      <c r="AK23" s="1203"/>
      <c r="AL23" s="1203"/>
    </row>
    <row r="24" spans="1:38" ht="14.1" customHeight="1">
      <c r="C24" s="1198" t="s">
        <v>1697</v>
      </c>
      <c r="D24" s="1209">
        <f>SUM(D18:D23)</f>
        <v>0</v>
      </c>
      <c r="E24" s="1209">
        <f t="shared" ref="E24:AL24" si="3">SUM(E18:E23)</f>
        <v>0</v>
      </c>
      <c r="F24" s="1209">
        <f t="shared" si="3"/>
        <v>0</v>
      </c>
      <c r="G24" s="1209">
        <f t="shared" si="3"/>
        <v>75403.149999999994</v>
      </c>
      <c r="H24" s="1209">
        <f t="shared" si="3"/>
        <v>99891.25</v>
      </c>
      <c r="I24" s="1209">
        <f t="shared" si="3"/>
        <v>99891.25</v>
      </c>
      <c r="J24" s="1209">
        <f t="shared" si="3"/>
        <v>99891.25</v>
      </c>
      <c r="K24" s="1209">
        <f t="shared" si="3"/>
        <v>73805.55</v>
      </c>
      <c r="L24" s="1209">
        <f t="shared" si="3"/>
        <v>73805.55</v>
      </c>
      <c r="M24" s="1209">
        <f t="shared" si="3"/>
        <v>73405.55</v>
      </c>
      <c r="N24" s="1209">
        <f t="shared" si="3"/>
        <v>70642.67</v>
      </c>
      <c r="O24" s="1209">
        <f t="shared" si="3"/>
        <v>7108.5</v>
      </c>
      <c r="P24" s="1209">
        <f t="shared" si="3"/>
        <v>6308.5</v>
      </c>
      <c r="Q24" s="1209">
        <f t="shared" si="3"/>
        <v>5508.5</v>
      </c>
      <c r="R24" s="1209">
        <f t="shared" si="3"/>
        <v>4708.5</v>
      </c>
      <c r="S24" s="1209">
        <f t="shared" si="3"/>
        <v>3908.5</v>
      </c>
      <c r="T24" s="1209">
        <f t="shared" si="3"/>
        <v>3108.5</v>
      </c>
      <c r="U24" s="1209">
        <f t="shared" si="3"/>
        <v>2308.5</v>
      </c>
      <c r="V24" s="1209">
        <f t="shared" si="3"/>
        <v>1508.5</v>
      </c>
      <c r="W24" s="1209">
        <f t="shared" si="3"/>
        <v>708.5</v>
      </c>
      <c r="X24" s="1209">
        <f t="shared" si="3"/>
        <v>-91.5</v>
      </c>
      <c r="Y24" s="1209">
        <f t="shared" si="3"/>
        <v>-891.5</v>
      </c>
      <c r="Z24" s="1209">
        <f t="shared" si="3"/>
        <v>-1691.5</v>
      </c>
      <c r="AA24" s="1209">
        <f t="shared" si="3"/>
        <v>-2491.5</v>
      </c>
      <c r="AB24" s="1209">
        <f t="shared" si="3"/>
        <v>-3291.5</v>
      </c>
      <c r="AC24" s="1209">
        <f t="shared" si="3"/>
        <v>-4091.5</v>
      </c>
      <c r="AD24" s="1209">
        <f t="shared" si="3"/>
        <v>15972.54</v>
      </c>
      <c r="AE24" s="1209">
        <f t="shared" si="3"/>
        <v>7252.68</v>
      </c>
      <c r="AF24" s="1209">
        <f t="shared" si="3"/>
        <v>-10244.040000000001</v>
      </c>
      <c r="AG24" s="1209">
        <f t="shared" si="3"/>
        <v>1372.98</v>
      </c>
      <c r="AH24" s="1209">
        <f t="shared" si="3"/>
        <v>3465.75</v>
      </c>
      <c r="AI24" s="1209">
        <f t="shared" si="3"/>
        <v>6440.34</v>
      </c>
      <c r="AJ24" s="1209">
        <f t="shared" si="3"/>
        <v>5597.79</v>
      </c>
      <c r="AK24" s="1209">
        <f t="shared" si="3"/>
        <v>305821.49</v>
      </c>
      <c r="AL24" s="1209">
        <f t="shared" si="3"/>
        <v>331744.54000000004</v>
      </c>
    </row>
    <row r="25" spans="1:38">
      <c r="C25" s="1198" t="s">
        <v>1698</v>
      </c>
      <c r="D25" s="1209">
        <f>+D16+D24</f>
        <v>21958</v>
      </c>
      <c r="E25" s="1209">
        <f t="shared" ref="E25:AL25" si="4">+E16+E24</f>
        <v>6188657.2000000002</v>
      </c>
      <c r="F25" s="1209">
        <f t="shared" si="4"/>
        <v>5189321.0599999996</v>
      </c>
      <c r="G25" s="1209">
        <f t="shared" si="4"/>
        <v>4533610.0100000007</v>
      </c>
      <c r="H25" s="1209">
        <f t="shared" si="4"/>
        <v>3974012.43</v>
      </c>
      <c r="I25" s="1209">
        <f t="shared" si="4"/>
        <v>3457098.56</v>
      </c>
      <c r="J25" s="1209">
        <f t="shared" si="4"/>
        <v>2772275.08</v>
      </c>
      <c r="K25" s="1209">
        <f t="shared" si="4"/>
        <v>2026642.83</v>
      </c>
      <c r="L25" s="1209">
        <f t="shared" si="4"/>
        <v>757590.51</v>
      </c>
      <c r="M25" s="1209">
        <f t="shared" si="4"/>
        <v>5006340.12</v>
      </c>
      <c r="N25" s="1209">
        <f t="shared" si="4"/>
        <v>4451346.62</v>
      </c>
      <c r="O25" s="1209">
        <f t="shared" si="4"/>
        <v>3726106.87</v>
      </c>
      <c r="P25" s="1209">
        <f t="shared" si="4"/>
        <v>2967818.84</v>
      </c>
      <c r="Q25" s="1209">
        <f t="shared" si="4"/>
        <v>1618563.17</v>
      </c>
      <c r="R25" s="1209">
        <f t="shared" si="4"/>
        <v>5598601.8899999997</v>
      </c>
      <c r="S25" s="1209">
        <f t="shared" si="4"/>
        <v>4618245.24</v>
      </c>
      <c r="T25" s="1209">
        <f t="shared" si="4"/>
        <v>3555943.48</v>
      </c>
      <c r="U25" s="1209">
        <f t="shared" si="4"/>
        <v>2576097.5499999998</v>
      </c>
      <c r="V25" s="1209">
        <f t="shared" si="4"/>
        <v>1702533.77</v>
      </c>
      <c r="W25" s="1209">
        <f t="shared" si="4"/>
        <v>8629168.8399999999</v>
      </c>
      <c r="X25" s="1209">
        <f t="shared" si="4"/>
        <v>6983145.9400000004</v>
      </c>
      <c r="Y25" s="1209">
        <f t="shared" si="4"/>
        <v>5434108.1699999999</v>
      </c>
      <c r="Z25" s="1209">
        <f t="shared" si="4"/>
        <v>4332722.04</v>
      </c>
      <c r="AA25" s="1209">
        <f t="shared" si="4"/>
        <v>3199082.14</v>
      </c>
      <c r="AB25" s="1209">
        <f t="shared" si="4"/>
        <v>13414627.59</v>
      </c>
      <c r="AC25" s="1209">
        <f t="shared" si="4"/>
        <v>11294575.699999999</v>
      </c>
      <c r="AD25" s="1209">
        <f t="shared" si="4"/>
        <v>9219780.459999999</v>
      </c>
      <c r="AE25" s="1209">
        <f t="shared" si="4"/>
        <v>7919509.9899999993</v>
      </c>
      <c r="AF25" s="1209">
        <f t="shared" si="4"/>
        <v>6326368.2700000005</v>
      </c>
      <c r="AG25" s="1209">
        <f t="shared" si="4"/>
        <v>4247269.07</v>
      </c>
      <c r="AH25" s="1209">
        <f t="shared" si="4"/>
        <v>10240772.74</v>
      </c>
      <c r="AI25" s="1209">
        <f t="shared" si="4"/>
        <v>6959472.9000000004</v>
      </c>
      <c r="AJ25" s="1209">
        <f t="shared" si="4"/>
        <v>15269400.779999999</v>
      </c>
      <c r="AK25" s="1209">
        <f t="shared" si="4"/>
        <v>13381786.389999999</v>
      </c>
      <c r="AL25" s="1209">
        <f t="shared" si="4"/>
        <v>11313240.07</v>
      </c>
    </row>
    <row r="26" spans="1:38">
      <c r="C26" s="1198" t="s">
        <v>1699</v>
      </c>
      <c r="D26" s="1199"/>
      <c r="E26" s="1199"/>
      <c r="F26" s="1199"/>
      <c r="G26" s="1199"/>
      <c r="H26" s="1199"/>
      <c r="I26" s="1199"/>
      <c r="J26" s="1199"/>
      <c r="K26" s="1199"/>
      <c r="L26" s="1199"/>
      <c r="M26" s="1199"/>
      <c r="N26" s="1199"/>
      <c r="O26" s="1199"/>
      <c r="P26" s="1199"/>
      <c r="Q26" s="1199"/>
      <c r="R26" s="1199"/>
      <c r="S26" s="1199"/>
      <c r="T26" s="1199"/>
      <c r="U26" s="1199"/>
      <c r="V26" s="1199"/>
      <c r="W26" s="1199"/>
      <c r="X26" s="1199"/>
      <c r="Y26" s="1199"/>
      <c r="Z26" s="1199"/>
      <c r="AA26" s="1199"/>
      <c r="AB26" s="1199"/>
      <c r="AC26" s="1199"/>
      <c r="AD26" s="1207"/>
      <c r="AE26" s="1207"/>
      <c r="AF26" s="1207"/>
      <c r="AG26" s="1207"/>
      <c r="AH26" s="1207"/>
      <c r="AI26" s="1207"/>
      <c r="AJ26" s="1207"/>
      <c r="AK26" s="1207"/>
      <c r="AL26" s="1207"/>
    </row>
    <row r="27" spans="1:38">
      <c r="C27" s="1198" t="s">
        <v>1700</v>
      </c>
      <c r="D27" s="1199"/>
      <c r="E27" s="1205"/>
      <c r="F27" s="1205"/>
      <c r="G27" s="1205"/>
      <c r="H27" s="1205"/>
      <c r="I27" s="1205"/>
      <c r="J27" s="1205"/>
      <c r="K27" s="1205"/>
      <c r="L27" s="1205"/>
      <c r="M27" s="1205"/>
      <c r="N27" s="1205"/>
      <c r="O27" s="1205"/>
      <c r="P27" s="1205"/>
      <c r="Q27" s="1205"/>
      <c r="R27" s="1205"/>
      <c r="S27" s="1205"/>
      <c r="T27" s="1205"/>
      <c r="U27" s="1205"/>
      <c r="V27" s="1205"/>
      <c r="W27" s="1205">
        <v>0</v>
      </c>
      <c r="X27" s="1205">
        <v>0</v>
      </c>
      <c r="Y27" s="1205">
        <v>0</v>
      </c>
      <c r="Z27" s="1205">
        <v>0</v>
      </c>
      <c r="AA27" s="1205">
        <v>0</v>
      </c>
      <c r="AB27" s="1205">
        <v>0</v>
      </c>
      <c r="AC27" s="1205">
        <v>0</v>
      </c>
      <c r="AD27" s="1207">
        <v>0</v>
      </c>
      <c r="AE27" s="1207">
        <v>0</v>
      </c>
      <c r="AF27" s="1207">
        <v>0</v>
      </c>
      <c r="AG27" s="1207"/>
      <c r="AH27" s="1207"/>
      <c r="AI27" s="1207"/>
      <c r="AJ27" s="1207"/>
      <c r="AK27" s="1207"/>
      <c r="AL27" s="1207"/>
    </row>
    <row r="28" spans="1:38">
      <c r="A28" s="1204" t="s">
        <v>1551</v>
      </c>
      <c r="C28" s="1198" t="s">
        <v>1701</v>
      </c>
      <c r="D28" s="1199">
        <v>0</v>
      </c>
      <c r="E28" s="1205">
        <v>0</v>
      </c>
      <c r="F28" s="1205">
        <v>0</v>
      </c>
      <c r="G28" s="1205">
        <v>0</v>
      </c>
      <c r="H28" s="1205">
        <v>0</v>
      </c>
      <c r="I28" s="1205">
        <v>0</v>
      </c>
      <c r="J28" s="1205"/>
      <c r="K28" s="1205">
        <v>0</v>
      </c>
      <c r="L28" s="1205">
        <v>0</v>
      </c>
      <c r="M28" s="1205">
        <v>0</v>
      </c>
      <c r="N28" s="1205">
        <v>0</v>
      </c>
      <c r="O28" s="1205">
        <v>5575</v>
      </c>
      <c r="P28" s="1205">
        <v>20642</v>
      </c>
      <c r="Q28" s="1205">
        <v>20642</v>
      </c>
      <c r="R28" s="1205">
        <v>20642</v>
      </c>
      <c r="S28" s="1205">
        <v>20642</v>
      </c>
      <c r="T28" s="1205">
        <v>22622</v>
      </c>
      <c r="U28" s="1205">
        <v>22622</v>
      </c>
      <c r="V28" s="1205">
        <v>22622</v>
      </c>
      <c r="W28" s="1205">
        <v>22622</v>
      </c>
      <c r="X28" s="1205">
        <v>22622</v>
      </c>
      <c r="Y28" s="1205">
        <v>22622</v>
      </c>
      <c r="Z28" s="1205">
        <v>22622</v>
      </c>
      <c r="AA28" s="1205">
        <v>22622</v>
      </c>
      <c r="AB28" s="1205">
        <v>22622</v>
      </c>
      <c r="AC28" s="1205">
        <v>22622</v>
      </c>
      <c r="AD28" s="1203">
        <v>22622</v>
      </c>
      <c r="AE28" s="1203">
        <v>22622</v>
      </c>
      <c r="AF28" s="1203">
        <v>22622</v>
      </c>
      <c r="AG28" s="1203">
        <v>22622</v>
      </c>
      <c r="AH28" s="1203">
        <v>22622</v>
      </c>
      <c r="AI28" s="1203">
        <v>22622</v>
      </c>
      <c r="AJ28" s="1203">
        <v>22622</v>
      </c>
      <c r="AK28" s="1203">
        <v>22622</v>
      </c>
      <c r="AL28" s="1203">
        <v>22622</v>
      </c>
    </row>
    <row r="29" spans="1:38">
      <c r="A29" s="1204" t="s">
        <v>1551</v>
      </c>
      <c r="C29" s="1198" t="s">
        <v>1702</v>
      </c>
      <c r="D29" s="1199">
        <v>0</v>
      </c>
      <c r="E29" s="1205">
        <v>8068</v>
      </c>
      <c r="F29" s="1205">
        <v>34825.26</v>
      </c>
      <c r="G29" s="1205">
        <v>34825.26</v>
      </c>
      <c r="H29" s="1205">
        <v>69664.539999999994</v>
      </c>
      <c r="I29" s="1205">
        <v>148578.04</v>
      </c>
      <c r="J29" s="1205">
        <v>148578.04</v>
      </c>
      <c r="K29" s="1205">
        <v>239128.17</v>
      </c>
      <c r="L29" s="1205">
        <v>522257.84</v>
      </c>
      <c r="M29" s="1205">
        <v>522257.84</v>
      </c>
      <c r="N29" s="1205">
        <v>522257.84</v>
      </c>
      <c r="O29" s="1205">
        <v>522257.84</v>
      </c>
      <c r="P29" s="1205">
        <v>522257.84</v>
      </c>
      <c r="Q29" s="1205">
        <v>541319.76</v>
      </c>
      <c r="R29" s="1205">
        <v>652241.79</v>
      </c>
      <c r="S29" s="1205">
        <v>705944.75</v>
      </c>
      <c r="T29" s="1205">
        <v>722631.01</v>
      </c>
      <c r="U29" s="1205">
        <v>722631.01</v>
      </c>
      <c r="V29" s="1205">
        <v>740147.41</v>
      </c>
      <c r="W29" s="1205">
        <v>740147.41</v>
      </c>
      <c r="X29" s="1205">
        <v>1036929.91</v>
      </c>
      <c r="Y29" s="1205">
        <v>1045092.42</v>
      </c>
      <c r="Z29" s="1205">
        <v>1045092.42</v>
      </c>
      <c r="AA29" s="1205">
        <v>1642692.37</v>
      </c>
      <c r="AB29" s="1205">
        <v>1642692.37</v>
      </c>
      <c r="AC29" s="1205">
        <v>1642692.37</v>
      </c>
      <c r="AD29" s="1203">
        <v>2003755.9</v>
      </c>
      <c r="AE29" s="1203">
        <v>2038015.9</v>
      </c>
      <c r="AF29" s="1203">
        <v>2210240.48</v>
      </c>
      <c r="AG29" s="1203">
        <v>2234805.3199999998</v>
      </c>
      <c r="AH29" s="1203">
        <v>2924461.86</v>
      </c>
      <c r="AI29" s="1203">
        <v>2964815.89</v>
      </c>
      <c r="AJ29" s="1203">
        <v>3181277.66</v>
      </c>
      <c r="AK29" s="1203">
        <v>3186404.31</v>
      </c>
      <c r="AL29" s="1203">
        <v>3186482.99</v>
      </c>
    </row>
    <row r="30" spans="1:38">
      <c r="A30" s="1204" t="s">
        <v>1551</v>
      </c>
      <c r="C30" s="1198" t="s">
        <v>1703</v>
      </c>
      <c r="D30" s="1199"/>
      <c r="E30" s="1205"/>
      <c r="F30" s="1205"/>
      <c r="G30" s="1205"/>
      <c r="H30" s="1205"/>
      <c r="I30" s="1205"/>
      <c r="J30" s="1205"/>
      <c r="K30" s="1205"/>
      <c r="L30" s="1205"/>
      <c r="M30" s="1205"/>
      <c r="N30" s="1205"/>
      <c r="O30" s="1205"/>
      <c r="P30" s="1205"/>
      <c r="Q30" s="1205"/>
      <c r="R30" s="1205"/>
      <c r="S30" s="1205"/>
      <c r="T30" s="1205"/>
      <c r="U30" s="1205"/>
      <c r="V30" s="1205"/>
      <c r="W30" s="1205"/>
      <c r="X30" s="1205"/>
      <c r="Y30" s="1205"/>
      <c r="Z30" s="1205"/>
      <c r="AA30" s="1205"/>
      <c r="AB30" s="1205"/>
      <c r="AC30" s="1205"/>
      <c r="AD30" s="1203"/>
      <c r="AE30" s="1203"/>
      <c r="AF30" s="1203"/>
      <c r="AG30" s="1203"/>
      <c r="AH30" s="1203"/>
      <c r="AI30" s="1203">
        <v>15090</v>
      </c>
      <c r="AJ30" s="1203">
        <v>15090</v>
      </c>
      <c r="AK30" s="1203">
        <v>106148.6</v>
      </c>
      <c r="AL30" s="1203">
        <v>106148.6</v>
      </c>
    </row>
    <row r="31" spans="1:38">
      <c r="A31" s="1204" t="s">
        <v>1551</v>
      </c>
      <c r="C31" s="1198" t="s">
        <v>1704</v>
      </c>
      <c r="D31" s="1199"/>
      <c r="E31" s="1205"/>
      <c r="F31" s="1205"/>
      <c r="G31" s="1205"/>
      <c r="H31" s="1205"/>
      <c r="I31" s="1205"/>
      <c r="J31" s="1205"/>
      <c r="K31" s="1205"/>
      <c r="L31" s="1205"/>
      <c r="M31" s="1205"/>
      <c r="N31" s="1205"/>
      <c r="O31" s="1205"/>
      <c r="P31" s="1205"/>
      <c r="Q31" s="1205"/>
      <c r="R31" s="1205"/>
      <c r="S31" s="1205"/>
      <c r="T31" s="1205"/>
      <c r="U31" s="1205"/>
      <c r="V31" s="1205"/>
      <c r="W31" s="1205"/>
      <c r="X31" s="1205"/>
      <c r="Y31" s="1205"/>
      <c r="Z31" s="1205"/>
      <c r="AA31" s="1205"/>
      <c r="AB31" s="1205"/>
      <c r="AC31" s="1205"/>
      <c r="AD31" s="1203"/>
      <c r="AE31" s="1203"/>
      <c r="AF31" s="1203"/>
      <c r="AG31" s="1203"/>
      <c r="AH31" s="1203"/>
      <c r="AI31" s="1203">
        <v>0</v>
      </c>
      <c r="AJ31" s="1203"/>
      <c r="AK31" s="1203">
        <v>23581.279999999999</v>
      </c>
      <c r="AL31" s="1203">
        <v>23581.279999999999</v>
      </c>
    </row>
    <row r="32" spans="1:38">
      <c r="A32" s="1204" t="s">
        <v>1551</v>
      </c>
      <c r="C32" s="1198" t="s">
        <v>1705</v>
      </c>
      <c r="D32" s="1199">
        <v>0</v>
      </c>
      <c r="E32" s="1205">
        <v>0</v>
      </c>
      <c r="F32" s="1205">
        <v>0</v>
      </c>
      <c r="G32" s="1205">
        <v>0</v>
      </c>
      <c r="H32" s="1205">
        <v>0</v>
      </c>
      <c r="I32" s="1205">
        <v>0</v>
      </c>
      <c r="J32" s="1205"/>
      <c r="K32" s="1205">
        <v>0</v>
      </c>
      <c r="L32" s="1205">
        <v>0</v>
      </c>
      <c r="M32" s="1205">
        <v>3050</v>
      </c>
      <c r="N32" s="1205">
        <v>3050</v>
      </c>
      <c r="O32" s="1205">
        <v>3050</v>
      </c>
      <c r="P32" s="1205">
        <v>3050</v>
      </c>
      <c r="Q32" s="1205">
        <v>8600</v>
      </c>
      <c r="R32" s="1205">
        <v>8600</v>
      </c>
      <c r="S32" s="1205">
        <v>8600</v>
      </c>
      <c r="T32" s="1205">
        <v>8600</v>
      </c>
      <c r="U32" s="1205">
        <v>8600</v>
      </c>
      <c r="V32" s="1205">
        <v>8600</v>
      </c>
      <c r="W32" s="1205">
        <v>11450</v>
      </c>
      <c r="X32" s="1205">
        <v>18081</v>
      </c>
      <c r="Y32" s="1205">
        <v>18081</v>
      </c>
      <c r="Z32" s="1205">
        <v>19031</v>
      </c>
      <c r="AA32" s="1205">
        <v>19031</v>
      </c>
      <c r="AB32" s="1205">
        <v>19031</v>
      </c>
      <c r="AC32" s="1205">
        <v>19031</v>
      </c>
      <c r="AD32" s="1203">
        <v>19031</v>
      </c>
      <c r="AE32" s="1203">
        <v>19031</v>
      </c>
      <c r="AF32" s="1203">
        <v>19031</v>
      </c>
      <c r="AG32" s="1203">
        <v>19031</v>
      </c>
      <c r="AH32" s="1203">
        <v>19031</v>
      </c>
      <c r="AI32" s="1203">
        <v>19031</v>
      </c>
      <c r="AJ32" s="1203">
        <v>19031</v>
      </c>
      <c r="AK32" s="1203">
        <v>19031</v>
      </c>
      <c r="AL32" s="1203">
        <v>19031</v>
      </c>
    </row>
    <row r="33" spans="1:38">
      <c r="C33" s="1198" t="s">
        <v>1706</v>
      </c>
      <c r="D33" s="1209">
        <f>SUM(D28:D32)</f>
        <v>0</v>
      </c>
      <c r="E33" s="1209">
        <f t="shared" ref="E33:AL33" si="5">SUM(E28:E32)</f>
        <v>8068</v>
      </c>
      <c r="F33" s="1209">
        <f t="shared" si="5"/>
        <v>34825.26</v>
      </c>
      <c r="G33" s="1209">
        <f t="shared" si="5"/>
        <v>34825.26</v>
      </c>
      <c r="H33" s="1209">
        <f t="shared" si="5"/>
        <v>69664.539999999994</v>
      </c>
      <c r="I33" s="1209">
        <f t="shared" si="5"/>
        <v>148578.04</v>
      </c>
      <c r="J33" s="1209">
        <f t="shared" si="5"/>
        <v>148578.04</v>
      </c>
      <c r="K33" s="1209">
        <f t="shared" si="5"/>
        <v>239128.17</v>
      </c>
      <c r="L33" s="1209">
        <f t="shared" si="5"/>
        <v>522257.84</v>
      </c>
      <c r="M33" s="1209">
        <f t="shared" si="5"/>
        <v>525307.84000000008</v>
      </c>
      <c r="N33" s="1209">
        <f t="shared" si="5"/>
        <v>525307.84000000008</v>
      </c>
      <c r="O33" s="1209">
        <f t="shared" si="5"/>
        <v>530882.84000000008</v>
      </c>
      <c r="P33" s="1209">
        <f t="shared" si="5"/>
        <v>545949.84000000008</v>
      </c>
      <c r="Q33" s="1209">
        <f t="shared" si="5"/>
        <v>570561.76</v>
      </c>
      <c r="R33" s="1209">
        <f t="shared" si="5"/>
        <v>681483.79</v>
      </c>
      <c r="S33" s="1209">
        <f t="shared" si="5"/>
        <v>735186.75</v>
      </c>
      <c r="T33" s="1209">
        <f t="shared" si="5"/>
        <v>753853.01</v>
      </c>
      <c r="U33" s="1209">
        <f t="shared" si="5"/>
        <v>753853.01</v>
      </c>
      <c r="V33" s="1209">
        <f t="shared" si="5"/>
        <v>771369.41</v>
      </c>
      <c r="W33" s="1209">
        <f t="shared" si="5"/>
        <v>774219.41</v>
      </c>
      <c r="X33" s="1209">
        <f t="shared" si="5"/>
        <v>1077632.9100000001</v>
      </c>
      <c r="Y33" s="1209">
        <f t="shared" si="5"/>
        <v>1085795.42</v>
      </c>
      <c r="Z33" s="1209">
        <f t="shared" si="5"/>
        <v>1086745.42</v>
      </c>
      <c r="AA33" s="1209">
        <f t="shared" si="5"/>
        <v>1684345.37</v>
      </c>
      <c r="AB33" s="1209">
        <f t="shared" si="5"/>
        <v>1684345.37</v>
      </c>
      <c r="AC33" s="1209">
        <f t="shared" si="5"/>
        <v>1684345.37</v>
      </c>
      <c r="AD33" s="1209">
        <f t="shared" si="5"/>
        <v>2045408.9</v>
      </c>
      <c r="AE33" s="1209">
        <f t="shared" si="5"/>
        <v>2079668.9</v>
      </c>
      <c r="AF33" s="1209">
        <f t="shared" si="5"/>
        <v>2251893.48</v>
      </c>
      <c r="AG33" s="1209">
        <f t="shared" si="5"/>
        <v>2276458.3199999998</v>
      </c>
      <c r="AH33" s="1209">
        <f t="shared" si="5"/>
        <v>2966114.86</v>
      </c>
      <c r="AI33" s="1209">
        <f t="shared" si="5"/>
        <v>3021558.89</v>
      </c>
      <c r="AJ33" s="1209">
        <f t="shared" si="5"/>
        <v>3238020.66</v>
      </c>
      <c r="AK33" s="1209">
        <f t="shared" si="5"/>
        <v>3357787.19</v>
      </c>
      <c r="AL33" s="1209">
        <f t="shared" si="5"/>
        <v>3357865.87</v>
      </c>
    </row>
    <row r="34" spans="1:38">
      <c r="C34" s="1198" t="s">
        <v>1707</v>
      </c>
      <c r="D34" s="1209">
        <f>+D33</f>
        <v>0</v>
      </c>
      <c r="E34" s="1209">
        <f t="shared" ref="E34:AL34" si="6">+E33</f>
        <v>8068</v>
      </c>
      <c r="F34" s="1209">
        <f t="shared" si="6"/>
        <v>34825.26</v>
      </c>
      <c r="G34" s="1209">
        <f t="shared" si="6"/>
        <v>34825.26</v>
      </c>
      <c r="H34" s="1209">
        <f t="shared" si="6"/>
        <v>69664.539999999994</v>
      </c>
      <c r="I34" s="1209">
        <f t="shared" si="6"/>
        <v>148578.04</v>
      </c>
      <c r="J34" s="1209">
        <f t="shared" si="6"/>
        <v>148578.04</v>
      </c>
      <c r="K34" s="1209">
        <f t="shared" si="6"/>
        <v>239128.17</v>
      </c>
      <c r="L34" s="1209">
        <f t="shared" si="6"/>
        <v>522257.84</v>
      </c>
      <c r="M34" s="1209">
        <f t="shared" si="6"/>
        <v>525307.84000000008</v>
      </c>
      <c r="N34" s="1209">
        <f t="shared" si="6"/>
        <v>525307.84000000008</v>
      </c>
      <c r="O34" s="1209">
        <f t="shared" si="6"/>
        <v>530882.84000000008</v>
      </c>
      <c r="P34" s="1209">
        <f t="shared" si="6"/>
        <v>545949.84000000008</v>
      </c>
      <c r="Q34" s="1209">
        <f t="shared" si="6"/>
        <v>570561.76</v>
      </c>
      <c r="R34" s="1209">
        <f t="shared" si="6"/>
        <v>681483.79</v>
      </c>
      <c r="S34" s="1209">
        <f t="shared" si="6"/>
        <v>735186.75</v>
      </c>
      <c r="T34" s="1209">
        <f t="shared" si="6"/>
        <v>753853.01</v>
      </c>
      <c r="U34" s="1209">
        <f t="shared" si="6"/>
        <v>753853.01</v>
      </c>
      <c r="V34" s="1209">
        <f t="shared" si="6"/>
        <v>771369.41</v>
      </c>
      <c r="W34" s="1209">
        <f t="shared" si="6"/>
        <v>774219.41</v>
      </c>
      <c r="X34" s="1209">
        <f t="shared" si="6"/>
        <v>1077632.9100000001</v>
      </c>
      <c r="Y34" s="1209">
        <f t="shared" si="6"/>
        <v>1085795.42</v>
      </c>
      <c r="Z34" s="1209">
        <f t="shared" si="6"/>
        <v>1086745.42</v>
      </c>
      <c r="AA34" s="1209">
        <f t="shared" si="6"/>
        <v>1684345.37</v>
      </c>
      <c r="AB34" s="1209">
        <f t="shared" si="6"/>
        <v>1684345.37</v>
      </c>
      <c r="AC34" s="1209">
        <f t="shared" si="6"/>
        <v>1684345.37</v>
      </c>
      <c r="AD34" s="1209">
        <f t="shared" si="6"/>
        <v>2045408.9</v>
      </c>
      <c r="AE34" s="1209">
        <f t="shared" si="6"/>
        <v>2079668.9</v>
      </c>
      <c r="AF34" s="1209">
        <f t="shared" si="6"/>
        <v>2251893.48</v>
      </c>
      <c r="AG34" s="1209">
        <f t="shared" si="6"/>
        <v>2276458.3199999998</v>
      </c>
      <c r="AH34" s="1209">
        <f t="shared" si="6"/>
        <v>2966114.86</v>
      </c>
      <c r="AI34" s="1209">
        <f t="shared" si="6"/>
        <v>3021558.89</v>
      </c>
      <c r="AJ34" s="1209">
        <f t="shared" si="6"/>
        <v>3238020.66</v>
      </c>
      <c r="AK34" s="1209">
        <f t="shared" si="6"/>
        <v>3357787.19</v>
      </c>
      <c r="AL34" s="1209">
        <f t="shared" si="6"/>
        <v>3357865.87</v>
      </c>
    </row>
    <row r="35" spans="1:38">
      <c r="C35" s="1198" t="s">
        <v>1708</v>
      </c>
      <c r="D35" s="1199"/>
      <c r="E35" s="1199"/>
      <c r="F35" s="1199"/>
      <c r="G35" s="1199"/>
      <c r="H35" s="1199"/>
      <c r="I35" s="1199"/>
      <c r="J35" s="1199"/>
      <c r="K35" s="1199"/>
      <c r="L35" s="1199"/>
      <c r="M35" s="1199"/>
      <c r="N35" s="1199"/>
      <c r="O35" s="1199"/>
      <c r="P35" s="1199"/>
      <c r="Q35" s="1199"/>
      <c r="R35" s="1199"/>
      <c r="S35" s="1199"/>
      <c r="T35" s="1199"/>
      <c r="U35" s="1199"/>
      <c r="V35" s="1199"/>
      <c r="W35" s="1199"/>
      <c r="X35" s="1199"/>
      <c r="Y35" s="1199"/>
      <c r="Z35" s="1199"/>
      <c r="AA35" s="1199"/>
      <c r="AB35" s="1199"/>
      <c r="AC35" s="1199"/>
      <c r="AD35" s="1207"/>
      <c r="AE35" s="1207"/>
      <c r="AF35" s="1207"/>
      <c r="AG35" s="1207"/>
      <c r="AH35" s="1207"/>
      <c r="AI35" s="1207"/>
      <c r="AJ35" s="1207"/>
      <c r="AK35" s="1207"/>
      <c r="AL35" s="1207"/>
    </row>
    <row r="36" spans="1:38">
      <c r="A36" s="1210" t="s">
        <v>1552</v>
      </c>
      <c r="C36" s="1198" t="s">
        <v>1709</v>
      </c>
      <c r="D36" s="1199"/>
      <c r="E36" s="1205">
        <v>61212</v>
      </c>
      <c r="F36" s="1205">
        <v>61212</v>
      </c>
      <c r="G36" s="1205">
        <v>61212</v>
      </c>
      <c r="H36" s="1205">
        <v>61212</v>
      </c>
      <c r="I36" s="1205">
        <v>61212</v>
      </c>
      <c r="J36" s="1205">
        <v>61212</v>
      </c>
      <c r="K36" s="1205">
        <v>61212</v>
      </c>
      <c r="L36" s="1205">
        <v>61212</v>
      </c>
      <c r="M36" s="1205">
        <v>61212</v>
      </c>
      <c r="N36" s="1205">
        <v>61212</v>
      </c>
      <c r="O36" s="1205">
        <v>61212</v>
      </c>
      <c r="P36" s="1205">
        <v>61212</v>
      </c>
      <c r="Q36" s="1205">
        <v>61212</v>
      </c>
      <c r="R36" s="1205">
        <v>61212</v>
      </c>
      <c r="S36" s="1205">
        <v>142063</v>
      </c>
      <c r="T36" s="1205">
        <v>142063</v>
      </c>
      <c r="U36" s="1205">
        <v>142063</v>
      </c>
      <c r="V36" s="1205">
        <v>142063</v>
      </c>
      <c r="W36" s="1205">
        <v>142063</v>
      </c>
      <c r="X36" s="1205">
        <v>142063</v>
      </c>
      <c r="Y36" s="1205">
        <v>142063</v>
      </c>
      <c r="Z36" s="1205">
        <v>142063</v>
      </c>
      <c r="AA36" s="1205">
        <v>142063</v>
      </c>
      <c r="AB36" s="1205">
        <v>142063</v>
      </c>
      <c r="AC36" s="1205">
        <v>142063</v>
      </c>
      <c r="AD36" s="1203">
        <v>142063</v>
      </c>
      <c r="AE36" s="1203">
        <v>142063</v>
      </c>
      <c r="AF36" s="1203">
        <v>142063</v>
      </c>
      <c r="AG36" s="1203">
        <v>142063</v>
      </c>
      <c r="AH36" s="1203">
        <v>142063</v>
      </c>
      <c r="AI36" s="1203">
        <v>523077.58</v>
      </c>
      <c r="AJ36" s="1203">
        <v>523077.58</v>
      </c>
      <c r="AK36" s="1203">
        <v>523077.58</v>
      </c>
      <c r="AL36" s="1203">
        <v>523077.58</v>
      </c>
    </row>
    <row r="37" spans="1:38">
      <c r="C37" s="1198" t="s">
        <v>1710</v>
      </c>
      <c r="D37" s="1209">
        <f>+D36</f>
        <v>0</v>
      </c>
      <c r="E37" s="1209">
        <v>61212</v>
      </c>
      <c r="F37" s="1209">
        <v>61212</v>
      </c>
      <c r="G37" s="1209">
        <v>61212</v>
      </c>
      <c r="H37" s="1209">
        <v>61212</v>
      </c>
      <c r="I37" s="1209">
        <v>61212</v>
      </c>
      <c r="J37" s="1209">
        <v>61212</v>
      </c>
      <c r="K37" s="1209">
        <v>61212</v>
      </c>
      <c r="L37" s="1209">
        <v>61212</v>
      </c>
      <c r="M37" s="1209">
        <v>61212</v>
      </c>
      <c r="N37" s="1209">
        <v>61212</v>
      </c>
      <c r="O37" s="1209">
        <v>61212</v>
      </c>
      <c r="P37" s="1209">
        <v>61212</v>
      </c>
      <c r="Q37" s="1209">
        <v>61212</v>
      </c>
      <c r="R37" s="1209">
        <v>61212</v>
      </c>
      <c r="S37" s="1209">
        <v>142063</v>
      </c>
      <c r="T37" s="1209">
        <v>142063</v>
      </c>
      <c r="U37" s="1209">
        <v>142063</v>
      </c>
      <c r="V37" s="1209">
        <v>142063</v>
      </c>
      <c r="W37" s="1209">
        <v>142063</v>
      </c>
      <c r="X37" s="1209">
        <v>142063</v>
      </c>
      <c r="Y37" s="1209">
        <v>142063</v>
      </c>
      <c r="Z37" s="1209">
        <v>142063</v>
      </c>
      <c r="AA37" s="1209">
        <v>142063</v>
      </c>
      <c r="AB37" s="1209">
        <v>142063</v>
      </c>
      <c r="AC37" s="1209">
        <v>142063</v>
      </c>
      <c r="AD37" s="1208">
        <v>142063</v>
      </c>
      <c r="AE37" s="1208">
        <v>142063</v>
      </c>
      <c r="AF37" s="1208">
        <v>142063</v>
      </c>
      <c r="AG37" s="1208">
        <v>142063</v>
      </c>
      <c r="AH37" s="1208">
        <f>SUM(AH36)</f>
        <v>142063</v>
      </c>
      <c r="AI37" s="1208">
        <f>SUM(AI36)</f>
        <v>523077.58</v>
      </c>
      <c r="AJ37" s="1208">
        <f>SUM(AJ36)</f>
        <v>523077.58</v>
      </c>
      <c r="AK37" s="1208">
        <f>SUM(AK36)</f>
        <v>523077.58</v>
      </c>
      <c r="AL37" s="1208">
        <f>SUM(AL36)</f>
        <v>523077.58</v>
      </c>
    </row>
    <row r="38" spans="1:38">
      <c r="C38" s="1198" t="s">
        <v>1553</v>
      </c>
      <c r="D38" s="1209">
        <f>+D25+D34+D37</f>
        <v>21958</v>
      </c>
      <c r="E38" s="1209">
        <f t="shared" ref="E38:AL38" si="7">+E25+E34+E37</f>
        <v>6257937.2000000002</v>
      </c>
      <c r="F38" s="1209">
        <f t="shared" si="7"/>
        <v>5285358.3199999994</v>
      </c>
      <c r="G38" s="1209">
        <f t="shared" si="7"/>
        <v>4629647.2700000005</v>
      </c>
      <c r="H38" s="1209">
        <f t="shared" si="7"/>
        <v>4104888.97</v>
      </c>
      <c r="I38" s="1209">
        <f t="shared" si="7"/>
        <v>3666888.6</v>
      </c>
      <c r="J38" s="1209">
        <f t="shared" si="7"/>
        <v>2982065.12</v>
      </c>
      <c r="K38" s="1209">
        <f t="shared" si="7"/>
        <v>2326983</v>
      </c>
      <c r="L38" s="1209">
        <f t="shared" si="7"/>
        <v>1341060.3500000001</v>
      </c>
      <c r="M38" s="1209">
        <f t="shared" si="7"/>
        <v>5592859.96</v>
      </c>
      <c r="N38" s="1209">
        <f t="shared" si="7"/>
        <v>5037866.46</v>
      </c>
      <c r="O38" s="1209">
        <f t="shared" si="7"/>
        <v>4318201.71</v>
      </c>
      <c r="P38" s="1209">
        <f t="shared" si="7"/>
        <v>3574980.6799999997</v>
      </c>
      <c r="Q38" s="1209">
        <f t="shared" si="7"/>
        <v>2250336.9299999997</v>
      </c>
      <c r="R38" s="1209">
        <f t="shared" si="7"/>
        <v>6341297.6799999997</v>
      </c>
      <c r="S38" s="1209">
        <f t="shared" si="7"/>
        <v>5495494.9900000002</v>
      </c>
      <c r="T38" s="1209">
        <f t="shared" si="7"/>
        <v>4451859.49</v>
      </c>
      <c r="U38" s="1209">
        <f t="shared" si="7"/>
        <v>3472013.5599999996</v>
      </c>
      <c r="V38" s="1209">
        <f t="shared" si="7"/>
        <v>2615966.1800000002</v>
      </c>
      <c r="W38" s="1209">
        <f t="shared" si="7"/>
        <v>9545451.25</v>
      </c>
      <c r="X38" s="1209">
        <f t="shared" si="7"/>
        <v>8202841.8500000006</v>
      </c>
      <c r="Y38" s="1209">
        <f t="shared" si="7"/>
        <v>6661966.5899999999</v>
      </c>
      <c r="Z38" s="1209">
        <f t="shared" si="7"/>
        <v>5561530.46</v>
      </c>
      <c r="AA38" s="1209">
        <f t="shared" si="7"/>
        <v>5025490.51</v>
      </c>
      <c r="AB38" s="1209">
        <f t="shared" si="7"/>
        <v>15241035.960000001</v>
      </c>
      <c r="AC38" s="1209">
        <f t="shared" si="7"/>
        <v>13120984.07</v>
      </c>
      <c r="AD38" s="1209">
        <f t="shared" si="7"/>
        <v>11407252.359999999</v>
      </c>
      <c r="AE38" s="1209">
        <f t="shared" si="7"/>
        <v>10141241.889999999</v>
      </c>
      <c r="AF38" s="1209">
        <f t="shared" si="7"/>
        <v>8720324.75</v>
      </c>
      <c r="AG38" s="1209">
        <f t="shared" si="7"/>
        <v>6665790.3900000006</v>
      </c>
      <c r="AH38" s="1209">
        <f t="shared" si="7"/>
        <v>13348950.6</v>
      </c>
      <c r="AI38" s="1209">
        <f t="shared" si="7"/>
        <v>10504109.370000001</v>
      </c>
      <c r="AJ38" s="1209">
        <f t="shared" si="7"/>
        <v>19030499.019999996</v>
      </c>
      <c r="AK38" s="1209">
        <f t="shared" si="7"/>
        <v>17262651.159999996</v>
      </c>
      <c r="AL38" s="1209">
        <f t="shared" si="7"/>
        <v>15194183.520000001</v>
      </c>
    </row>
    <row r="39" spans="1:38">
      <c r="C39" s="1198" t="s">
        <v>1711</v>
      </c>
      <c r="D39" s="1199"/>
      <c r="E39" s="1199"/>
      <c r="F39" s="1199"/>
      <c r="G39" s="1199"/>
      <c r="H39" s="1199"/>
      <c r="I39" s="1199"/>
      <c r="J39" s="1199"/>
      <c r="K39" s="1199"/>
      <c r="L39" s="1199"/>
      <c r="M39" s="1199"/>
      <c r="N39" s="1199"/>
      <c r="O39" s="1199"/>
      <c r="P39" s="1199"/>
      <c r="Q39" s="1199"/>
      <c r="R39" s="1199"/>
      <c r="S39" s="1199"/>
      <c r="T39" s="1199"/>
      <c r="U39" s="1199"/>
      <c r="V39" s="1199"/>
      <c r="W39" s="1199"/>
      <c r="X39" s="1199"/>
      <c r="Y39" s="1199"/>
      <c r="Z39" s="1199"/>
      <c r="AA39" s="1199"/>
      <c r="AB39" s="1199"/>
      <c r="AC39" s="1199"/>
      <c r="AD39" s="1207"/>
      <c r="AE39" s="1207"/>
      <c r="AF39" s="1207"/>
      <c r="AG39" s="1207"/>
      <c r="AH39" s="1207"/>
      <c r="AI39" s="1207"/>
      <c r="AJ39" s="1207"/>
      <c r="AK39" s="1207"/>
      <c r="AL39" s="1207"/>
    </row>
    <row r="40" spans="1:38">
      <c r="C40" s="1198" t="s">
        <v>1712</v>
      </c>
      <c r="D40" s="1199"/>
      <c r="E40" s="1199"/>
      <c r="F40" s="1199"/>
      <c r="G40" s="1199"/>
      <c r="H40" s="1199"/>
      <c r="I40" s="1199"/>
      <c r="J40" s="1199"/>
      <c r="K40" s="1199"/>
      <c r="L40" s="1199"/>
      <c r="M40" s="1199"/>
      <c r="N40" s="1199"/>
      <c r="O40" s="1199"/>
      <c r="P40" s="1199"/>
      <c r="Q40" s="1199"/>
      <c r="R40" s="1199"/>
      <c r="S40" s="1199"/>
      <c r="T40" s="1199"/>
      <c r="U40" s="1199"/>
      <c r="V40" s="1199"/>
      <c r="W40" s="1199"/>
      <c r="X40" s="1199"/>
      <c r="Y40" s="1199"/>
      <c r="Z40" s="1199"/>
      <c r="AA40" s="1199"/>
      <c r="AB40" s="1199"/>
      <c r="AC40" s="1199"/>
      <c r="AD40" s="1207"/>
      <c r="AE40" s="1207"/>
      <c r="AF40" s="1207"/>
      <c r="AG40" s="1207"/>
      <c r="AH40" s="1207"/>
      <c r="AI40" s="1207"/>
      <c r="AJ40" s="1207"/>
      <c r="AK40" s="1207"/>
      <c r="AL40" s="1207"/>
    </row>
    <row r="41" spans="1:38">
      <c r="C41" s="1198" t="s">
        <v>1713</v>
      </c>
      <c r="D41" s="1199"/>
      <c r="E41" s="1199"/>
      <c r="F41" s="1199"/>
      <c r="G41" s="1199"/>
      <c r="H41" s="1199"/>
      <c r="I41" s="1199"/>
      <c r="J41" s="1199"/>
      <c r="K41" s="1199"/>
      <c r="L41" s="1199"/>
      <c r="M41" s="1199"/>
      <c r="N41" s="1199"/>
      <c r="O41" s="1199"/>
      <c r="P41" s="1199"/>
      <c r="Q41" s="1199"/>
      <c r="R41" s="1199"/>
      <c r="S41" s="1199"/>
      <c r="T41" s="1199"/>
      <c r="U41" s="1199"/>
      <c r="V41" s="1199"/>
      <c r="W41" s="1199"/>
      <c r="X41" s="1199"/>
      <c r="Y41" s="1199"/>
      <c r="Z41" s="1199"/>
      <c r="AA41" s="1199"/>
      <c r="AB41" s="1199"/>
      <c r="AC41" s="1199"/>
      <c r="AD41" s="1207"/>
      <c r="AE41" s="1207"/>
      <c r="AF41" s="1207"/>
      <c r="AG41" s="1207"/>
      <c r="AH41" s="1207"/>
      <c r="AI41" s="1207"/>
      <c r="AJ41" s="1207"/>
      <c r="AK41" s="1207"/>
      <c r="AL41" s="1207"/>
    </row>
    <row r="42" spans="1:38">
      <c r="A42" s="1204" t="s">
        <v>1556</v>
      </c>
      <c r="C42" s="1198" t="s">
        <v>1714</v>
      </c>
      <c r="D42" s="1199"/>
      <c r="E42" s="1199"/>
      <c r="F42" s="1199"/>
      <c r="G42" s="1199"/>
      <c r="H42" s="1199"/>
      <c r="I42" s="1199"/>
      <c r="J42" s="1199"/>
      <c r="K42" s="1199"/>
      <c r="L42" s="1199"/>
      <c r="M42" s="1199"/>
      <c r="N42" s="1199"/>
      <c r="O42" s="1199"/>
      <c r="P42" s="1199"/>
      <c r="Q42" s="1199"/>
      <c r="R42" s="1199"/>
      <c r="S42" s="1199"/>
      <c r="T42" s="1199"/>
      <c r="U42" s="1199"/>
      <c r="V42" s="1199"/>
      <c r="W42" s="1199"/>
      <c r="X42" s="1199"/>
      <c r="Y42" s="1199"/>
      <c r="Z42" s="1199"/>
      <c r="AA42" s="1199"/>
      <c r="AB42" s="1199"/>
      <c r="AC42" s="1199"/>
      <c r="AD42" s="1207"/>
      <c r="AE42" s="1207"/>
      <c r="AF42" s="1207"/>
      <c r="AG42" s="1207"/>
      <c r="AH42" s="1207"/>
      <c r="AI42" s="1207"/>
      <c r="AJ42" s="1207"/>
      <c r="AK42" s="1207"/>
      <c r="AL42" s="1207"/>
    </row>
    <row r="43" spans="1:38">
      <c r="A43" s="1204" t="s">
        <v>1556</v>
      </c>
      <c r="C43" s="1198" t="s">
        <v>1715</v>
      </c>
      <c r="D43" s="1205">
        <v>102787.65</v>
      </c>
      <c r="E43" s="1205">
        <v>925112.3</v>
      </c>
      <c r="F43" s="1205">
        <v>671107.79</v>
      </c>
      <c r="G43" s="1205">
        <v>462240.86</v>
      </c>
      <c r="H43" s="1205">
        <v>423701.95</v>
      </c>
      <c r="I43" s="1205">
        <v>628451.93000000005</v>
      </c>
      <c r="J43" s="1205">
        <v>431703.22</v>
      </c>
      <c r="K43" s="1205">
        <v>552927.01</v>
      </c>
      <c r="L43" s="1205">
        <v>229578.12</v>
      </c>
      <c r="M43" s="1205">
        <v>101608.02</v>
      </c>
      <c r="N43" s="1205">
        <v>129216.04</v>
      </c>
      <c r="O43" s="1205">
        <v>338433.36</v>
      </c>
      <c r="P43" s="1205">
        <v>1059043.9600000002</v>
      </c>
      <c r="Q43" s="1205">
        <v>1176103.29</v>
      </c>
      <c r="R43" s="1205">
        <v>1160568.69</v>
      </c>
      <c r="S43" s="1205">
        <v>1439944.27</v>
      </c>
      <c r="T43" s="1205">
        <v>1207156.21</v>
      </c>
      <c r="U43" s="1205">
        <v>1226126.23</v>
      </c>
      <c r="V43" s="1205">
        <v>1360091.39</v>
      </c>
      <c r="W43" s="1205">
        <v>1299060.75</v>
      </c>
      <c r="X43" s="1205">
        <v>1577220.5999999999</v>
      </c>
      <c r="Y43" s="1205">
        <v>1019458.9199999999</v>
      </c>
      <c r="Z43" s="1205">
        <v>1065294.5900000001</v>
      </c>
      <c r="AA43" s="1205">
        <v>2003028.31</v>
      </c>
      <c r="AB43" s="1205">
        <v>1972230.2400000002</v>
      </c>
      <c r="AC43" s="1205">
        <v>1473016.2600000002</v>
      </c>
      <c r="AD43" s="1203">
        <v>1364759.25</v>
      </c>
      <c r="AE43" s="1203">
        <v>1490165.4900000002</v>
      </c>
      <c r="AF43" s="1203">
        <v>1793041.1400000001</v>
      </c>
      <c r="AG43" s="1203">
        <v>1736440.96</v>
      </c>
      <c r="AH43" s="1203">
        <v>1775365.2800000003</v>
      </c>
      <c r="AI43" s="1203">
        <v>1475375.2</v>
      </c>
      <c r="AJ43" s="1203">
        <v>1093693.3</v>
      </c>
      <c r="AK43" s="1203">
        <v>1488775.73</v>
      </c>
      <c r="AL43" s="1203">
        <v>1547348.5000000002</v>
      </c>
    </row>
    <row r="44" spans="1:38">
      <c r="A44" s="1193"/>
      <c r="C44" s="1198" t="s">
        <v>1716</v>
      </c>
      <c r="D44" s="1209">
        <f>+D43</f>
        <v>102787.65</v>
      </c>
      <c r="E44" s="1209">
        <f t="shared" ref="E44:AL44" si="8">+E43</f>
        <v>925112.3</v>
      </c>
      <c r="F44" s="1209">
        <f t="shared" si="8"/>
        <v>671107.79</v>
      </c>
      <c r="G44" s="1209">
        <f t="shared" si="8"/>
        <v>462240.86</v>
      </c>
      <c r="H44" s="1209">
        <f t="shared" si="8"/>
        <v>423701.95</v>
      </c>
      <c r="I44" s="1209">
        <f t="shared" si="8"/>
        <v>628451.93000000005</v>
      </c>
      <c r="J44" s="1209">
        <f t="shared" si="8"/>
        <v>431703.22</v>
      </c>
      <c r="K44" s="1209">
        <f t="shared" si="8"/>
        <v>552927.01</v>
      </c>
      <c r="L44" s="1209">
        <f t="shared" si="8"/>
        <v>229578.12</v>
      </c>
      <c r="M44" s="1209">
        <f t="shared" si="8"/>
        <v>101608.02</v>
      </c>
      <c r="N44" s="1209">
        <f t="shared" si="8"/>
        <v>129216.04</v>
      </c>
      <c r="O44" s="1209">
        <f t="shared" si="8"/>
        <v>338433.36</v>
      </c>
      <c r="P44" s="1209">
        <f t="shared" si="8"/>
        <v>1059043.9600000002</v>
      </c>
      <c r="Q44" s="1209">
        <f t="shared" si="8"/>
        <v>1176103.29</v>
      </c>
      <c r="R44" s="1209">
        <f t="shared" si="8"/>
        <v>1160568.69</v>
      </c>
      <c r="S44" s="1209">
        <f t="shared" si="8"/>
        <v>1439944.27</v>
      </c>
      <c r="T44" s="1209">
        <f t="shared" si="8"/>
        <v>1207156.21</v>
      </c>
      <c r="U44" s="1209">
        <f t="shared" si="8"/>
        <v>1226126.23</v>
      </c>
      <c r="V44" s="1209">
        <f t="shared" si="8"/>
        <v>1360091.39</v>
      </c>
      <c r="W44" s="1209">
        <f t="shared" si="8"/>
        <v>1299060.75</v>
      </c>
      <c r="X44" s="1209">
        <f t="shared" si="8"/>
        <v>1577220.5999999999</v>
      </c>
      <c r="Y44" s="1209">
        <f t="shared" si="8"/>
        <v>1019458.9199999999</v>
      </c>
      <c r="Z44" s="1209">
        <f t="shared" si="8"/>
        <v>1065294.5900000001</v>
      </c>
      <c r="AA44" s="1209">
        <f t="shared" si="8"/>
        <v>2003028.31</v>
      </c>
      <c r="AB44" s="1209">
        <f t="shared" si="8"/>
        <v>1972230.2400000002</v>
      </c>
      <c r="AC44" s="1209">
        <f t="shared" si="8"/>
        <v>1473016.2600000002</v>
      </c>
      <c r="AD44" s="1209">
        <f t="shared" si="8"/>
        <v>1364759.25</v>
      </c>
      <c r="AE44" s="1209">
        <f t="shared" si="8"/>
        <v>1490165.4900000002</v>
      </c>
      <c r="AF44" s="1209">
        <f t="shared" si="8"/>
        <v>1793041.1400000001</v>
      </c>
      <c r="AG44" s="1209">
        <f t="shared" si="8"/>
        <v>1736440.96</v>
      </c>
      <c r="AH44" s="1209">
        <f t="shared" si="8"/>
        <v>1775365.2800000003</v>
      </c>
      <c r="AI44" s="1209">
        <f t="shared" si="8"/>
        <v>1475375.2</v>
      </c>
      <c r="AJ44" s="1209">
        <f t="shared" si="8"/>
        <v>1093693.3</v>
      </c>
      <c r="AK44" s="1209">
        <f t="shared" si="8"/>
        <v>1488775.73</v>
      </c>
      <c r="AL44" s="1209">
        <f t="shared" si="8"/>
        <v>1547348.5000000002</v>
      </c>
    </row>
    <row r="45" spans="1:38">
      <c r="A45" s="1193"/>
      <c r="C45" s="1198" t="s">
        <v>1717</v>
      </c>
      <c r="D45" s="1199"/>
      <c r="E45" s="1199"/>
      <c r="F45" s="1199"/>
      <c r="G45" s="1199"/>
      <c r="H45" s="1199"/>
      <c r="I45" s="1199"/>
      <c r="J45" s="1199"/>
      <c r="K45" s="1199"/>
      <c r="L45" s="1199"/>
      <c r="M45" s="1199"/>
      <c r="N45" s="1199"/>
      <c r="O45" s="1199"/>
      <c r="P45" s="1199"/>
      <c r="Q45" s="1199"/>
      <c r="R45" s="1199"/>
      <c r="S45" s="1199"/>
      <c r="T45" s="1199"/>
      <c r="U45" s="1199"/>
      <c r="V45" s="1199"/>
      <c r="W45" s="1199"/>
      <c r="X45" s="1199"/>
      <c r="Y45" s="1199"/>
      <c r="Z45" s="1199"/>
      <c r="AA45" s="1199"/>
      <c r="AB45" s="1199"/>
      <c r="AC45" s="1199"/>
      <c r="AD45" s="1207"/>
      <c r="AE45" s="1207"/>
      <c r="AF45" s="1207"/>
      <c r="AG45" s="1207"/>
      <c r="AH45" s="1207"/>
      <c r="AI45" s="1207"/>
      <c r="AJ45" s="1207"/>
      <c r="AK45" s="1207"/>
      <c r="AL45" s="1207"/>
    </row>
    <row r="46" spans="1:38">
      <c r="A46" s="1204" t="s">
        <v>1556</v>
      </c>
      <c r="C46" s="1198" t="s">
        <v>1718</v>
      </c>
      <c r="D46" s="1199"/>
      <c r="E46" s="1205"/>
      <c r="F46" s="1205"/>
      <c r="G46" s="1205">
        <v>35</v>
      </c>
      <c r="H46" s="1205">
        <v>6204.07</v>
      </c>
      <c r="I46" s="1205">
        <v>26405.040000000001</v>
      </c>
      <c r="J46" s="1205">
        <v>22063.42</v>
      </c>
      <c r="K46" s="1205">
        <v>4952.7700000000004</v>
      </c>
      <c r="L46" s="1205">
        <v>32441.759999999998</v>
      </c>
      <c r="M46" s="1205">
        <v>34209.79</v>
      </c>
      <c r="N46" s="1205">
        <v>15760.71</v>
      </c>
      <c r="O46" s="1205">
        <v>25818.69</v>
      </c>
      <c r="P46" s="1205">
        <v>29324.81</v>
      </c>
      <c r="Q46" s="1205">
        <v>23495.79</v>
      </c>
      <c r="R46" s="1205">
        <v>13377.49</v>
      </c>
      <c r="S46" s="1205">
        <v>32536.2</v>
      </c>
      <c r="T46" s="1205">
        <v>23455.98</v>
      </c>
      <c r="U46" s="1205">
        <v>23159.61</v>
      </c>
      <c r="V46" s="1205">
        <v>24292.42</v>
      </c>
      <c r="W46" s="1205">
        <v>8633.93</v>
      </c>
      <c r="X46" s="1205">
        <v>27262.06</v>
      </c>
      <c r="Y46" s="1205">
        <v>28503.69</v>
      </c>
      <c r="Z46" s="1205">
        <v>27188.52</v>
      </c>
      <c r="AA46" s="1205">
        <v>28996.49</v>
      </c>
      <c r="AB46" s="1205">
        <v>9247.11</v>
      </c>
      <c r="AC46" s="1205">
        <v>13177.37</v>
      </c>
      <c r="AD46" s="1203">
        <v>18010.650000000001</v>
      </c>
      <c r="AE46" s="1203">
        <v>26394.28</v>
      </c>
      <c r="AF46" s="1203">
        <v>16143.73</v>
      </c>
      <c r="AG46" s="1203">
        <v>8981.02</v>
      </c>
      <c r="AH46" s="1203">
        <v>28830.7</v>
      </c>
      <c r="AI46" s="1203">
        <v>30074.73</v>
      </c>
      <c r="AJ46" s="1203">
        <v>25748.84</v>
      </c>
      <c r="AK46" s="1203">
        <v>43736.71</v>
      </c>
      <c r="AL46" s="1203">
        <v>11080.87</v>
      </c>
    </row>
    <row r="47" spans="1:38">
      <c r="A47" s="1193"/>
      <c r="C47" s="1198" t="s">
        <v>1719</v>
      </c>
      <c r="D47" s="1209">
        <f>+D46</f>
        <v>0</v>
      </c>
      <c r="E47" s="1209">
        <f t="shared" ref="E47:AL47" si="9">+E46</f>
        <v>0</v>
      </c>
      <c r="F47" s="1209">
        <f t="shared" si="9"/>
        <v>0</v>
      </c>
      <c r="G47" s="1209">
        <f t="shared" si="9"/>
        <v>35</v>
      </c>
      <c r="H47" s="1209">
        <f t="shared" si="9"/>
        <v>6204.07</v>
      </c>
      <c r="I47" s="1209">
        <f t="shared" si="9"/>
        <v>26405.040000000001</v>
      </c>
      <c r="J47" s="1209">
        <f t="shared" si="9"/>
        <v>22063.42</v>
      </c>
      <c r="K47" s="1209">
        <f t="shared" si="9"/>
        <v>4952.7700000000004</v>
      </c>
      <c r="L47" s="1209">
        <f t="shared" si="9"/>
        <v>32441.759999999998</v>
      </c>
      <c r="M47" s="1209">
        <f t="shared" si="9"/>
        <v>34209.79</v>
      </c>
      <c r="N47" s="1209">
        <f t="shared" si="9"/>
        <v>15760.71</v>
      </c>
      <c r="O47" s="1209">
        <f t="shared" si="9"/>
        <v>25818.69</v>
      </c>
      <c r="P47" s="1209">
        <f t="shared" si="9"/>
        <v>29324.81</v>
      </c>
      <c r="Q47" s="1209">
        <f t="shared" si="9"/>
        <v>23495.79</v>
      </c>
      <c r="R47" s="1209">
        <f t="shared" si="9"/>
        <v>13377.49</v>
      </c>
      <c r="S47" s="1209">
        <f t="shared" si="9"/>
        <v>32536.2</v>
      </c>
      <c r="T47" s="1209">
        <f t="shared" si="9"/>
        <v>23455.98</v>
      </c>
      <c r="U47" s="1209">
        <f t="shared" si="9"/>
        <v>23159.61</v>
      </c>
      <c r="V47" s="1209">
        <f t="shared" si="9"/>
        <v>24292.42</v>
      </c>
      <c r="W47" s="1209">
        <f t="shared" si="9"/>
        <v>8633.93</v>
      </c>
      <c r="X47" s="1209">
        <f t="shared" si="9"/>
        <v>27262.06</v>
      </c>
      <c r="Y47" s="1209">
        <f t="shared" si="9"/>
        <v>28503.69</v>
      </c>
      <c r="Z47" s="1209">
        <f t="shared" si="9"/>
        <v>27188.52</v>
      </c>
      <c r="AA47" s="1209">
        <f t="shared" si="9"/>
        <v>28996.49</v>
      </c>
      <c r="AB47" s="1209">
        <f t="shared" si="9"/>
        <v>9247.11</v>
      </c>
      <c r="AC47" s="1209">
        <f t="shared" si="9"/>
        <v>13177.37</v>
      </c>
      <c r="AD47" s="1209">
        <f t="shared" si="9"/>
        <v>18010.650000000001</v>
      </c>
      <c r="AE47" s="1209">
        <f t="shared" si="9"/>
        <v>26394.28</v>
      </c>
      <c r="AF47" s="1209">
        <f t="shared" si="9"/>
        <v>16143.73</v>
      </c>
      <c r="AG47" s="1209">
        <f t="shared" si="9"/>
        <v>8981.02</v>
      </c>
      <c r="AH47" s="1209">
        <f t="shared" si="9"/>
        <v>28830.7</v>
      </c>
      <c r="AI47" s="1209">
        <f t="shared" si="9"/>
        <v>30074.73</v>
      </c>
      <c r="AJ47" s="1209">
        <f t="shared" si="9"/>
        <v>25748.84</v>
      </c>
      <c r="AK47" s="1209">
        <f t="shared" si="9"/>
        <v>43736.71</v>
      </c>
      <c r="AL47" s="1209">
        <f t="shared" si="9"/>
        <v>11080.87</v>
      </c>
    </row>
    <row r="48" spans="1:38">
      <c r="A48" s="1193"/>
      <c r="C48" s="1198" t="s">
        <v>1720</v>
      </c>
      <c r="D48" s="1209">
        <f>+D44+D47</f>
        <v>102787.65</v>
      </c>
      <c r="E48" s="1209">
        <f t="shared" ref="E48:AL48" si="10">+E44+E47</f>
        <v>925112.3</v>
      </c>
      <c r="F48" s="1209">
        <f t="shared" si="10"/>
        <v>671107.79</v>
      </c>
      <c r="G48" s="1209">
        <f t="shared" si="10"/>
        <v>462275.86</v>
      </c>
      <c r="H48" s="1209">
        <f t="shared" si="10"/>
        <v>429906.02</v>
      </c>
      <c r="I48" s="1209">
        <f t="shared" si="10"/>
        <v>654856.97000000009</v>
      </c>
      <c r="J48" s="1209">
        <f t="shared" si="10"/>
        <v>453766.63999999996</v>
      </c>
      <c r="K48" s="1209">
        <f t="shared" si="10"/>
        <v>557879.78</v>
      </c>
      <c r="L48" s="1209">
        <f t="shared" si="10"/>
        <v>262019.88</v>
      </c>
      <c r="M48" s="1209">
        <f t="shared" si="10"/>
        <v>135817.81</v>
      </c>
      <c r="N48" s="1209">
        <f t="shared" si="10"/>
        <v>144976.75</v>
      </c>
      <c r="O48" s="1209">
        <f t="shared" si="10"/>
        <v>364252.05</v>
      </c>
      <c r="P48" s="1209">
        <f t="shared" si="10"/>
        <v>1088368.7700000003</v>
      </c>
      <c r="Q48" s="1209">
        <f t="shared" si="10"/>
        <v>1199599.08</v>
      </c>
      <c r="R48" s="1209">
        <f t="shared" si="10"/>
        <v>1173946.18</v>
      </c>
      <c r="S48" s="1209">
        <f t="shared" si="10"/>
        <v>1472480.47</v>
      </c>
      <c r="T48" s="1209">
        <f t="shared" si="10"/>
        <v>1230612.19</v>
      </c>
      <c r="U48" s="1209">
        <f t="shared" si="10"/>
        <v>1249285.8400000001</v>
      </c>
      <c r="V48" s="1209">
        <f t="shared" si="10"/>
        <v>1384383.8099999998</v>
      </c>
      <c r="W48" s="1209">
        <f t="shared" si="10"/>
        <v>1307694.68</v>
      </c>
      <c r="X48" s="1209">
        <f t="shared" si="10"/>
        <v>1604482.66</v>
      </c>
      <c r="Y48" s="1209">
        <f t="shared" si="10"/>
        <v>1047962.6099999999</v>
      </c>
      <c r="Z48" s="1209">
        <f t="shared" si="10"/>
        <v>1092483.1100000001</v>
      </c>
      <c r="AA48" s="1209">
        <f t="shared" si="10"/>
        <v>2032024.8</v>
      </c>
      <c r="AB48" s="1209">
        <f t="shared" si="10"/>
        <v>1981477.3500000003</v>
      </c>
      <c r="AC48" s="1209">
        <f t="shared" si="10"/>
        <v>1486193.6300000004</v>
      </c>
      <c r="AD48" s="1209">
        <f t="shared" si="10"/>
        <v>1382769.9</v>
      </c>
      <c r="AE48" s="1209">
        <f t="shared" si="10"/>
        <v>1516559.7700000003</v>
      </c>
      <c r="AF48" s="1209">
        <f t="shared" si="10"/>
        <v>1809184.87</v>
      </c>
      <c r="AG48" s="1209">
        <f t="shared" si="10"/>
        <v>1745421.98</v>
      </c>
      <c r="AH48" s="1209">
        <f t="shared" si="10"/>
        <v>1804195.9800000002</v>
      </c>
      <c r="AI48" s="1209">
        <f t="shared" si="10"/>
        <v>1505449.93</v>
      </c>
      <c r="AJ48" s="1209">
        <f t="shared" si="10"/>
        <v>1119442.1400000001</v>
      </c>
      <c r="AK48" s="1209">
        <f t="shared" si="10"/>
        <v>1532512.44</v>
      </c>
      <c r="AL48" s="1209">
        <f t="shared" si="10"/>
        <v>1558429.3700000003</v>
      </c>
    </row>
    <row r="49" spans="1:39">
      <c r="A49" s="1193"/>
      <c r="C49" s="1198" t="s">
        <v>1721</v>
      </c>
      <c r="D49" s="1209">
        <f>+D48</f>
        <v>102787.65</v>
      </c>
      <c r="E49" s="1209">
        <f t="shared" ref="E49:AL49" si="11">+E48</f>
        <v>925112.3</v>
      </c>
      <c r="F49" s="1209">
        <f t="shared" si="11"/>
        <v>671107.79</v>
      </c>
      <c r="G49" s="1209">
        <f t="shared" si="11"/>
        <v>462275.86</v>
      </c>
      <c r="H49" s="1209">
        <f t="shared" si="11"/>
        <v>429906.02</v>
      </c>
      <c r="I49" s="1209">
        <f t="shared" si="11"/>
        <v>654856.97000000009</v>
      </c>
      <c r="J49" s="1209">
        <f t="shared" si="11"/>
        <v>453766.63999999996</v>
      </c>
      <c r="K49" s="1209">
        <f t="shared" si="11"/>
        <v>557879.78</v>
      </c>
      <c r="L49" s="1209">
        <f t="shared" si="11"/>
        <v>262019.88</v>
      </c>
      <c r="M49" s="1209">
        <f t="shared" si="11"/>
        <v>135817.81</v>
      </c>
      <c r="N49" s="1209">
        <f t="shared" si="11"/>
        <v>144976.75</v>
      </c>
      <c r="O49" s="1209">
        <f t="shared" si="11"/>
        <v>364252.05</v>
      </c>
      <c r="P49" s="1209">
        <f t="shared" si="11"/>
        <v>1088368.7700000003</v>
      </c>
      <c r="Q49" s="1209">
        <f t="shared" si="11"/>
        <v>1199599.08</v>
      </c>
      <c r="R49" s="1209">
        <f t="shared" si="11"/>
        <v>1173946.18</v>
      </c>
      <c r="S49" s="1209">
        <f t="shared" si="11"/>
        <v>1472480.47</v>
      </c>
      <c r="T49" s="1209">
        <f t="shared" si="11"/>
        <v>1230612.19</v>
      </c>
      <c r="U49" s="1209">
        <f t="shared" si="11"/>
        <v>1249285.8400000001</v>
      </c>
      <c r="V49" s="1209">
        <f t="shared" si="11"/>
        <v>1384383.8099999998</v>
      </c>
      <c r="W49" s="1209">
        <f t="shared" si="11"/>
        <v>1307694.68</v>
      </c>
      <c r="X49" s="1209">
        <f t="shared" si="11"/>
        <v>1604482.66</v>
      </c>
      <c r="Y49" s="1209">
        <f t="shared" si="11"/>
        <v>1047962.6099999999</v>
      </c>
      <c r="Z49" s="1209">
        <f t="shared" si="11"/>
        <v>1092483.1100000001</v>
      </c>
      <c r="AA49" s="1209">
        <f t="shared" si="11"/>
        <v>2032024.8</v>
      </c>
      <c r="AB49" s="1209">
        <f t="shared" si="11"/>
        <v>1981477.3500000003</v>
      </c>
      <c r="AC49" s="1209">
        <f t="shared" si="11"/>
        <v>1486193.6300000004</v>
      </c>
      <c r="AD49" s="1209">
        <f t="shared" si="11"/>
        <v>1382769.9</v>
      </c>
      <c r="AE49" s="1209">
        <f t="shared" si="11"/>
        <v>1516559.7700000003</v>
      </c>
      <c r="AF49" s="1209">
        <f t="shared" si="11"/>
        <v>1809184.87</v>
      </c>
      <c r="AG49" s="1209">
        <f t="shared" si="11"/>
        <v>1745421.98</v>
      </c>
      <c r="AH49" s="1209">
        <f t="shared" si="11"/>
        <v>1804195.9800000002</v>
      </c>
      <c r="AI49" s="1209">
        <f t="shared" si="11"/>
        <v>1505449.93</v>
      </c>
      <c r="AJ49" s="1209">
        <f t="shared" si="11"/>
        <v>1119442.1400000001</v>
      </c>
      <c r="AK49" s="1209">
        <f t="shared" si="11"/>
        <v>1532512.44</v>
      </c>
      <c r="AL49" s="1209">
        <f t="shared" si="11"/>
        <v>1558429.3700000003</v>
      </c>
    </row>
    <row r="50" spans="1:39">
      <c r="A50" s="1193"/>
      <c r="C50" s="1198" t="s">
        <v>1722</v>
      </c>
      <c r="D50" s="1199"/>
      <c r="E50" s="1199"/>
      <c r="F50" s="1199"/>
      <c r="G50" s="1199"/>
      <c r="H50" s="1199"/>
      <c r="I50" s="1199"/>
      <c r="J50" s="1199"/>
      <c r="K50" s="1199"/>
      <c r="L50" s="1199"/>
      <c r="M50" s="1199"/>
      <c r="N50" s="1199"/>
      <c r="O50" s="1199"/>
      <c r="P50" s="1199"/>
      <c r="Q50" s="1199"/>
      <c r="R50" s="1199"/>
      <c r="S50" s="1199"/>
      <c r="T50" s="1199"/>
      <c r="U50" s="1199"/>
      <c r="V50" s="1199"/>
      <c r="W50" s="1199"/>
      <c r="X50" s="1199"/>
      <c r="Y50" s="1199"/>
      <c r="Z50" s="1199"/>
      <c r="AA50" s="1199"/>
      <c r="AB50" s="1199"/>
      <c r="AC50" s="1199"/>
      <c r="AD50" s="1207"/>
      <c r="AE50" s="1207"/>
      <c r="AF50" s="1207"/>
      <c r="AG50" s="1207"/>
      <c r="AH50" s="1207"/>
      <c r="AI50" s="1207"/>
      <c r="AJ50" s="1207"/>
      <c r="AK50" s="1207"/>
      <c r="AL50" s="1207"/>
    </row>
    <row r="51" spans="1:39">
      <c r="A51" s="1204" t="s">
        <v>144</v>
      </c>
      <c r="C51" s="1198" t="s">
        <v>1723</v>
      </c>
      <c r="D51" s="1199">
        <v>0</v>
      </c>
      <c r="E51" s="1205">
        <v>0</v>
      </c>
      <c r="F51" s="1205">
        <v>38.28</v>
      </c>
      <c r="G51" s="1205">
        <v>38.28</v>
      </c>
      <c r="H51" s="1205">
        <v>38.28</v>
      </c>
      <c r="I51" s="1205">
        <v>38.28</v>
      </c>
      <c r="J51" s="1205">
        <v>38.28</v>
      </c>
      <c r="K51" s="1205">
        <v>38.28</v>
      </c>
      <c r="L51" s="1205">
        <v>38.28</v>
      </c>
      <c r="M51" s="1205">
        <v>185.43</v>
      </c>
      <c r="N51" s="1205">
        <v>185.43</v>
      </c>
      <c r="O51" s="1205">
        <v>1462.43</v>
      </c>
      <c r="P51" s="1205">
        <v>1512.43</v>
      </c>
      <c r="Q51" s="1205">
        <v>1512.43</v>
      </c>
      <c r="R51" s="1205">
        <v>2367.9299999999998</v>
      </c>
      <c r="S51" s="1205">
        <v>3165.43</v>
      </c>
      <c r="T51" s="1205">
        <v>3165.43</v>
      </c>
      <c r="U51" s="1205">
        <v>3165.43</v>
      </c>
      <c r="V51" s="1205">
        <v>3165.43</v>
      </c>
      <c r="W51" s="1205">
        <v>3165.43</v>
      </c>
      <c r="X51" s="1205">
        <v>3130.43</v>
      </c>
      <c r="Y51" s="1205">
        <v>9836.68</v>
      </c>
      <c r="Z51" s="1205">
        <v>9836.68</v>
      </c>
      <c r="AA51" s="1205">
        <v>9836.68</v>
      </c>
      <c r="AB51" s="1205">
        <v>9836.68</v>
      </c>
      <c r="AC51" s="1205">
        <v>4836.68</v>
      </c>
      <c r="AD51" s="1203">
        <v>5136.68</v>
      </c>
      <c r="AE51" s="1203">
        <v>5136.68</v>
      </c>
      <c r="AF51" s="1203">
        <v>5136.68</v>
      </c>
      <c r="AG51" s="1203">
        <v>4699.18</v>
      </c>
      <c r="AH51" s="1203">
        <v>4699.18</v>
      </c>
      <c r="AI51" s="1203">
        <v>4699.18</v>
      </c>
      <c r="AJ51" s="1203">
        <v>4699.18</v>
      </c>
      <c r="AK51" s="1203">
        <v>4699.18</v>
      </c>
      <c r="AL51" s="1203">
        <v>4699.18</v>
      </c>
    </row>
    <row r="52" spans="1:39">
      <c r="A52" s="1204" t="s">
        <v>144</v>
      </c>
      <c r="C52" s="1198" t="s">
        <v>1724</v>
      </c>
      <c r="D52" s="1205">
        <v>2000</v>
      </c>
      <c r="E52" s="1205">
        <v>8500</v>
      </c>
      <c r="F52" s="1205">
        <v>8500</v>
      </c>
      <c r="G52" s="1205">
        <v>8500</v>
      </c>
      <c r="H52" s="1205">
        <v>8500</v>
      </c>
      <c r="I52" s="1205">
        <v>8500</v>
      </c>
      <c r="J52" s="1205">
        <v>8500</v>
      </c>
      <c r="K52" s="1205">
        <v>8500</v>
      </c>
      <c r="L52" s="1205">
        <v>8500</v>
      </c>
      <c r="M52" s="1205">
        <v>13500</v>
      </c>
      <c r="N52" s="1205">
        <v>13500</v>
      </c>
      <c r="O52" s="1205">
        <v>13500</v>
      </c>
      <c r="P52" s="1205">
        <v>13500</v>
      </c>
      <c r="Q52" s="1205">
        <v>13500</v>
      </c>
      <c r="R52" s="1205">
        <v>13500</v>
      </c>
      <c r="S52" s="1205">
        <v>13500</v>
      </c>
      <c r="T52" s="1205">
        <v>13500</v>
      </c>
      <c r="U52" s="1205">
        <v>13500</v>
      </c>
      <c r="V52" s="1205">
        <v>13500</v>
      </c>
      <c r="W52" s="1205">
        <v>21500</v>
      </c>
      <c r="X52" s="1205">
        <v>22060</v>
      </c>
      <c r="Y52" s="1205">
        <v>22060</v>
      </c>
      <c r="Z52" s="1205">
        <v>22060</v>
      </c>
      <c r="AA52" s="1205">
        <v>22060</v>
      </c>
      <c r="AB52" s="1205">
        <v>22060</v>
      </c>
      <c r="AC52" s="1205">
        <v>22060</v>
      </c>
      <c r="AD52" s="1203">
        <v>22060</v>
      </c>
      <c r="AE52" s="1203">
        <v>22060</v>
      </c>
      <c r="AF52" s="1203">
        <v>22060</v>
      </c>
      <c r="AG52" s="1203">
        <v>22060</v>
      </c>
      <c r="AH52" s="1203">
        <v>22060</v>
      </c>
      <c r="AI52" s="1203">
        <v>22060</v>
      </c>
      <c r="AJ52" s="1203">
        <v>22060</v>
      </c>
      <c r="AK52" s="1203">
        <v>22060</v>
      </c>
      <c r="AL52" s="1203">
        <v>22060</v>
      </c>
    </row>
    <row r="53" spans="1:39">
      <c r="A53" s="1204" t="s">
        <v>144</v>
      </c>
      <c r="C53" s="1198" t="s">
        <v>1725</v>
      </c>
      <c r="D53" s="1199">
        <v>0</v>
      </c>
      <c r="E53" s="1205">
        <v>0</v>
      </c>
      <c r="F53" s="1205">
        <v>3789.72</v>
      </c>
      <c r="G53" s="1205">
        <v>3789.72</v>
      </c>
      <c r="H53" s="1205">
        <v>3789.72</v>
      </c>
      <c r="I53" s="1205">
        <v>3789.72</v>
      </c>
      <c r="J53" s="1205">
        <v>3789.72</v>
      </c>
      <c r="K53" s="1205">
        <v>3789.72</v>
      </c>
      <c r="L53" s="1205">
        <v>3789.72</v>
      </c>
      <c r="M53" s="1205">
        <v>43195.37</v>
      </c>
      <c r="N53" s="1205">
        <v>43195.37</v>
      </c>
      <c r="O53" s="1205">
        <v>54688.37</v>
      </c>
      <c r="P53" s="1205">
        <v>59638.37</v>
      </c>
      <c r="Q53" s="1205">
        <v>59638.37</v>
      </c>
      <c r="R53" s="1205">
        <v>67337.87</v>
      </c>
      <c r="S53" s="1205">
        <v>66190.37</v>
      </c>
      <c r="T53" s="1205">
        <v>66190.37</v>
      </c>
      <c r="U53" s="1205">
        <v>66190.37</v>
      </c>
      <c r="V53" s="1205">
        <v>66190.37</v>
      </c>
      <c r="W53" s="1205">
        <v>66190.37</v>
      </c>
      <c r="X53" s="1205">
        <v>62725.37</v>
      </c>
      <c r="Y53" s="1205">
        <v>62725.37</v>
      </c>
      <c r="Z53" s="1205">
        <v>62725.37</v>
      </c>
      <c r="AA53" s="1205">
        <v>62725.37</v>
      </c>
      <c r="AB53" s="1205">
        <v>62725.37</v>
      </c>
      <c r="AC53" s="1205">
        <v>62725.37</v>
      </c>
      <c r="AD53" s="1203">
        <v>62725.37</v>
      </c>
      <c r="AE53" s="1203">
        <v>62725.37</v>
      </c>
      <c r="AF53" s="1203">
        <v>69822.03</v>
      </c>
      <c r="AG53" s="1203">
        <v>70082.03</v>
      </c>
      <c r="AH53" s="1203">
        <v>70082.03</v>
      </c>
      <c r="AI53" s="1203">
        <v>70082.03</v>
      </c>
      <c r="AJ53" s="1203">
        <v>70082.03</v>
      </c>
      <c r="AK53" s="1203">
        <v>84314.91</v>
      </c>
      <c r="AL53" s="1203">
        <v>98634.39</v>
      </c>
    </row>
    <row r="54" spans="1:39">
      <c r="A54" s="1204" t="s">
        <v>144</v>
      </c>
      <c r="C54" s="1198" t="s">
        <v>1726</v>
      </c>
      <c r="D54" s="1205">
        <v>70000</v>
      </c>
      <c r="E54" s="1205">
        <v>6493269.8600000003</v>
      </c>
      <c r="F54" s="1205">
        <v>6493269.8600000003</v>
      </c>
      <c r="G54" s="1205">
        <v>6493269.8600000003</v>
      </c>
      <c r="H54" s="1205">
        <v>6493269.8600000003</v>
      </c>
      <c r="I54" s="1205">
        <v>6493269.8600000003</v>
      </c>
      <c r="J54" s="1205">
        <v>6493269.8600000003</v>
      </c>
      <c r="K54" s="1205">
        <v>6493269.8600000003</v>
      </c>
      <c r="L54" s="1205">
        <v>6493269.8600000003</v>
      </c>
      <c r="M54" s="1205">
        <v>11488269.859999999</v>
      </c>
      <c r="N54" s="1205">
        <v>11488269.859999999</v>
      </c>
      <c r="O54" s="1205">
        <v>11488269.859999999</v>
      </c>
      <c r="P54" s="1205">
        <v>11488269.859999999</v>
      </c>
      <c r="Q54" s="1205">
        <v>11488269.859999999</v>
      </c>
      <c r="R54" s="1205">
        <v>16488269.859999999</v>
      </c>
      <c r="S54" s="1205">
        <v>16488269.859999999</v>
      </c>
      <c r="T54" s="1205">
        <v>16488269.859999999</v>
      </c>
      <c r="U54" s="1205">
        <v>16488269.859999999</v>
      </c>
      <c r="V54" s="1205">
        <v>16488269.859999999</v>
      </c>
      <c r="W54" s="1205">
        <v>24480269.859999999</v>
      </c>
      <c r="X54" s="1205">
        <v>24480269.859999999</v>
      </c>
      <c r="Y54" s="1205">
        <v>24480269.859999999</v>
      </c>
      <c r="Z54" s="1205">
        <v>24480269.859999999</v>
      </c>
      <c r="AA54" s="1205">
        <v>24480269.859999999</v>
      </c>
      <c r="AB54" s="1205">
        <v>36480269.859999999</v>
      </c>
      <c r="AC54" s="1205">
        <v>36480269.859999999</v>
      </c>
      <c r="AD54" s="1203">
        <v>36480269.859999999</v>
      </c>
      <c r="AE54" s="1203">
        <v>36480269.859999999</v>
      </c>
      <c r="AF54" s="1203">
        <v>36480269.859999999</v>
      </c>
      <c r="AG54" s="1203">
        <v>36480269.859999999</v>
      </c>
      <c r="AH54" s="1203">
        <v>44980269.859999999</v>
      </c>
      <c r="AI54" s="1203">
        <v>44980269.859999999</v>
      </c>
      <c r="AJ54" s="1203">
        <v>55980269.859999999</v>
      </c>
      <c r="AK54" s="1203">
        <v>55980269.859999999</v>
      </c>
      <c r="AL54" s="1203">
        <v>55980269.859999999</v>
      </c>
    </row>
    <row r="55" spans="1:39">
      <c r="A55" s="1204" t="s">
        <v>144</v>
      </c>
      <c r="C55" s="1198" t="s">
        <v>1727</v>
      </c>
      <c r="D55" s="1199">
        <v>0</v>
      </c>
      <c r="E55" s="1205">
        <v>-7109.55</v>
      </c>
      <c r="F55" s="1205">
        <v>-7109.55</v>
      </c>
      <c r="G55" s="1205">
        <v>-7109.55</v>
      </c>
      <c r="H55" s="1205">
        <v>-14447.45</v>
      </c>
      <c r="I55" s="1205">
        <v>-14447.45</v>
      </c>
      <c r="J55" s="1205">
        <v>-14447.45</v>
      </c>
      <c r="K55" s="1205">
        <v>-14447.45</v>
      </c>
      <c r="L55" s="1205">
        <v>-14447.45</v>
      </c>
      <c r="M55" s="1205">
        <v>-14447.45</v>
      </c>
      <c r="N55" s="1205">
        <v>-14447.45</v>
      </c>
      <c r="O55" s="1205">
        <v>-14447.45</v>
      </c>
      <c r="P55" s="1205">
        <v>-14447.45</v>
      </c>
      <c r="Q55" s="1205">
        <v>-14447.45</v>
      </c>
      <c r="R55" s="1205">
        <v>-14447.45</v>
      </c>
      <c r="S55" s="1205">
        <v>-14447.45</v>
      </c>
      <c r="T55" s="1205">
        <v>-14447.45</v>
      </c>
      <c r="U55" s="1205">
        <v>-14447.45</v>
      </c>
      <c r="V55" s="1205">
        <v>-14447.45</v>
      </c>
      <c r="W55" s="1205">
        <v>-14447.45</v>
      </c>
      <c r="X55" s="1205">
        <v>-14447.45</v>
      </c>
      <c r="Y55" s="1205">
        <v>-14447.45</v>
      </c>
      <c r="Z55" s="1205">
        <v>-14447.45</v>
      </c>
      <c r="AA55" s="1205">
        <v>-14447.45</v>
      </c>
      <c r="AB55" s="1205">
        <v>-14447.45</v>
      </c>
      <c r="AC55" s="1205">
        <v>-14447.45</v>
      </c>
      <c r="AD55" s="1203">
        <v>-14447.45</v>
      </c>
      <c r="AE55" s="1203">
        <v>-14447.45</v>
      </c>
      <c r="AF55" s="1203">
        <v>-14447.45</v>
      </c>
      <c r="AG55" s="1203">
        <v>-14447.45</v>
      </c>
      <c r="AH55" s="1203">
        <v>-14447.45</v>
      </c>
      <c r="AI55" s="1203">
        <v>-14447.45</v>
      </c>
      <c r="AJ55" s="1203">
        <v>-14447.45</v>
      </c>
      <c r="AK55" s="1203">
        <v>-14447.45</v>
      </c>
      <c r="AL55" s="1203">
        <v>-14447.45</v>
      </c>
    </row>
    <row r="56" spans="1:39">
      <c r="A56" s="1204" t="s">
        <v>144</v>
      </c>
      <c r="C56" s="1198" t="s">
        <v>1728</v>
      </c>
      <c r="D56" s="1199"/>
      <c r="E56" s="1205"/>
      <c r="F56" s="1205"/>
      <c r="G56" s="1205"/>
      <c r="H56" s="1205"/>
      <c r="I56" s="1205"/>
      <c r="J56" s="1205"/>
      <c r="K56" s="1205"/>
      <c r="L56" s="1205"/>
      <c r="M56" s="1205"/>
      <c r="N56" s="1205"/>
      <c r="O56" s="1205"/>
      <c r="P56" s="1205"/>
      <c r="Q56" s="1205"/>
      <c r="R56" s="1205"/>
      <c r="S56" s="1205"/>
      <c r="T56" s="1205"/>
      <c r="U56" s="1205"/>
      <c r="V56" s="1205"/>
      <c r="W56" s="1205"/>
      <c r="X56" s="1205"/>
      <c r="Y56" s="1205"/>
      <c r="Z56" s="1205"/>
      <c r="AA56" s="1205"/>
      <c r="AB56" s="1205"/>
      <c r="AC56" s="1205"/>
      <c r="AD56" s="1203"/>
      <c r="AE56" s="1203"/>
      <c r="AF56" s="1203"/>
      <c r="AG56" s="1203"/>
      <c r="AH56" s="1203"/>
      <c r="AI56" s="1203"/>
      <c r="AJ56" s="1203"/>
      <c r="AK56" s="1203">
        <v>-198.86</v>
      </c>
      <c r="AL56" s="1203">
        <v>18.010000000000002</v>
      </c>
    </row>
    <row r="57" spans="1:39">
      <c r="A57" s="1204" t="s">
        <v>1561</v>
      </c>
      <c r="C57" s="1198" t="s">
        <v>1729</v>
      </c>
      <c r="D57" s="1199">
        <v>0</v>
      </c>
      <c r="E57" s="1205">
        <v>0</v>
      </c>
      <c r="F57" s="1205">
        <v>0</v>
      </c>
      <c r="G57" s="1205">
        <v>0</v>
      </c>
      <c r="H57" s="1205">
        <v>0</v>
      </c>
      <c r="I57" s="1205">
        <v>0</v>
      </c>
      <c r="J57" s="1205">
        <v>-3479118.78</v>
      </c>
      <c r="K57" s="1205">
        <v>-3479118.78</v>
      </c>
      <c r="L57" s="1205">
        <v>-3479118.78</v>
      </c>
      <c r="M57" s="1205">
        <v>-3479118.78</v>
      </c>
      <c r="N57" s="1205">
        <v>-3479118.78</v>
      </c>
      <c r="O57" s="1205">
        <v>-3479118.78</v>
      </c>
      <c r="P57" s="1205">
        <v>-3479118.78</v>
      </c>
      <c r="Q57" s="1205">
        <v>-3479118.78</v>
      </c>
      <c r="R57" s="1205">
        <v>-3479118.78</v>
      </c>
      <c r="S57" s="1205">
        <v>-3479118.78</v>
      </c>
      <c r="T57" s="1205">
        <v>-3479118.78</v>
      </c>
      <c r="U57" s="1205">
        <v>-3479118.78</v>
      </c>
      <c r="V57" s="1205">
        <v>-14333950.49</v>
      </c>
      <c r="W57" s="1205">
        <v>-14333950.49</v>
      </c>
      <c r="X57" s="1205">
        <v>-14333950.49</v>
      </c>
      <c r="Y57" s="1205">
        <v>-14333950.49</v>
      </c>
      <c r="Z57" s="1205">
        <v>-14333950.49</v>
      </c>
      <c r="AA57" s="1205">
        <v>-14333950.49</v>
      </c>
      <c r="AB57" s="1205">
        <v>-14333950.49</v>
      </c>
      <c r="AC57" s="1205">
        <v>-14333950.49</v>
      </c>
      <c r="AD57" s="1203">
        <v>-14333950.49</v>
      </c>
      <c r="AE57" s="1203">
        <v>-14333950.49</v>
      </c>
      <c r="AF57" s="1203">
        <v>-14333950.49</v>
      </c>
      <c r="AG57" s="1203">
        <v>-14333950.49</v>
      </c>
      <c r="AH57" s="1203">
        <v>-31642295.210000001</v>
      </c>
      <c r="AI57" s="1203">
        <v>-31642295.210000001</v>
      </c>
      <c r="AJ57" s="1203">
        <v>-31642295.210000001</v>
      </c>
      <c r="AK57" s="1203">
        <v>-31642295.210000001</v>
      </c>
      <c r="AL57" s="1203">
        <v>-31642295.210000001</v>
      </c>
    </row>
    <row r="58" spans="1:39">
      <c r="A58" s="1192" t="s">
        <v>181</v>
      </c>
      <c r="C58" s="1198" t="s">
        <v>1730</v>
      </c>
      <c r="D58" s="1205">
        <v>-152829.65</v>
      </c>
      <c r="E58" s="1205">
        <v>-1161835.4099999999</v>
      </c>
      <c r="F58" s="1205">
        <v>-1884237.78</v>
      </c>
      <c r="G58" s="1205">
        <v>-2331116.9</v>
      </c>
      <c r="H58" s="1205">
        <v>-2816167.46</v>
      </c>
      <c r="I58" s="1205">
        <v>-3479118.78</v>
      </c>
      <c r="J58" s="1205">
        <v>-483733.15</v>
      </c>
      <c r="K58" s="1205">
        <v>-1242928.4099999999</v>
      </c>
      <c r="L58" s="1205">
        <v>-1932991.16</v>
      </c>
      <c r="M58" s="1205">
        <v>-2594542.2799999998</v>
      </c>
      <c r="N58" s="1205">
        <v>-3158694.72</v>
      </c>
      <c r="O58" s="1205">
        <v>-4110404.77</v>
      </c>
      <c r="P58" s="1205">
        <v>-5582742.5199999996</v>
      </c>
      <c r="Q58" s="1205">
        <v>-7018616.5800000001</v>
      </c>
      <c r="R58" s="1205">
        <v>-7910557.9299999997</v>
      </c>
      <c r="S58" s="1205">
        <v>-9054544.9100000001</v>
      </c>
      <c r="T58" s="1205">
        <v>-9856312.1300000008</v>
      </c>
      <c r="U58" s="1205">
        <v>-10854831.710000001</v>
      </c>
      <c r="V58" s="1205">
        <v>-991145.35</v>
      </c>
      <c r="W58" s="1205">
        <v>-1984971.15</v>
      </c>
      <c r="X58" s="1205">
        <v>-3621428.53</v>
      </c>
      <c r="Y58" s="1205">
        <v>-4612489.99</v>
      </c>
      <c r="Z58" s="1205">
        <v>-5757446.6200000001</v>
      </c>
      <c r="AA58" s="1205">
        <v>-7233028.2599999998</v>
      </c>
      <c r="AB58" s="1205">
        <v>-8966935.3599999994</v>
      </c>
      <c r="AC58" s="1205">
        <v>-10586703.529999999</v>
      </c>
      <c r="AD58" s="1205">
        <v>-12197311.51</v>
      </c>
      <c r="AE58" s="1205">
        <v>-13597111.85</v>
      </c>
      <c r="AF58" s="1205">
        <v>-15317750.75</v>
      </c>
      <c r="AG58" s="1205">
        <v>-17308344.719999999</v>
      </c>
      <c r="AH58" s="1205">
        <v>-1875613.79</v>
      </c>
      <c r="AI58" s="1205">
        <v>-4421708.97</v>
      </c>
      <c r="AJ58" s="1205">
        <v>-6509311.5300000003</v>
      </c>
      <c r="AK58" s="1205">
        <v>-8704263.7100000009</v>
      </c>
      <c r="AL58" s="1205">
        <v>-10813184.630000001</v>
      </c>
      <c r="AM58" s="1193">
        <f>AL57+AL58+SUM(AL51:AL55)</f>
        <v>13635736.139999993</v>
      </c>
    </row>
    <row r="59" spans="1:39">
      <c r="C59" s="1198" t="s">
        <v>1731</v>
      </c>
      <c r="D59" s="1209">
        <f>SUM(D51:D58)</f>
        <v>-80829.649999999994</v>
      </c>
      <c r="E59" s="1209">
        <f t="shared" ref="E59:AL59" si="12">SUM(E51:E58)</f>
        <v>5332824.9000000004</v>
      </c>
      <c r="F59" s="1209">
        <f t="shared" si="12"/>
        <v>4614250.53</v>
      </c>
      <c r="G59" s="1209">
        <f t="shared" si="12"/>
        <v>4167371.4100000006</v>
      </c>
      <c r="H59" s="1209">
        <f t="shared" si="12"/>
        <v>3674982.95</v>
      </c>
      <c r="I59" s="1209">
        <f t="shared" si="12"/>
        <v>3012031.6300000004</v>
      </c>
      <c r="J59" s="1209">
        <f t="shared" si="12"/>
        <v>2528298.4800000004</v>
      </c>
      <c r="K59" s="1209">
        <f t="shared" si="12"/>
        <v>1769103.2200000004</v>
      </c>
      <c r="L59" s="1209">
        <f t="shared" si="12"/>
        <v>1079040.4700000004</v>
      </c>
      <c r="M59" s="1209">
        <f t="shared" si="12"/>
        <v>5457042.1500000022</v>
      </c>
      <c r="N59" s="1209">
        <f t="shared" si="12"/>
        <v>4892889.7100000009</v>
      </c>
      <c r="O59" s="1209">
        <f t="shared" si="12"/>
        <v>3953949.6600000015</v>
      </c>
      <c r="P59" s="1209">
        <f t="shared" si="12"/>
        <v>2486611.910000002</v>
      </c>
      <c r="Q59" s="1209">
        <f t="shared" si="12"/>
        <v>1050737.8500000015</v>
      </c>
      <c r="R59" s="1209">
        <f t="shared" si="12"/>
        <v>5167351.5000000019</v>
      </c>
      <c r="S59" s="1209">
        <f t="shared" si="12"/>
        <v>4023014.5200000014</v>
      </c>
      <c r="T59" s="1209">
        <f t="shared" si="12"/>
        <v>3221247.3000000007</v>
      </c>
      <c r="U59" s="1209">
        <f t="shared" si="12"/>
        <v>2222727.7200000007</v>
      </c>
      <c r="V59" s="1209">
        <f t="shared" si="12"/>
        <v>1231582.3700000006</v>
      </c>
      <c r="W59" s="1209">
        <f t="shared" si="12"/>
        <v>8237756.5700000003</v>
      </c>
      <c r="X59" s="1209">
        <f t="shared" si="12"/>
        <v>6598359.1900000013</v>
      </c>
      <c r="Y59" s="1209">
        <f t="shared" si="12"/>
        <v>5614003.9800000004</v>
      </c>
      <c r="Z59" s="1209">
        <f t="shared" si="12"/>
        <v>4469047.3500000006</v>
      </c>
      <c r="AA59" s="1209">
        <f t="shared" si="12"/>
        <v>2993465.7100000009</v>
      </c>
      <c r="AB59" s="1209">
        <f t="shared" si="12"/>
        <v>13259558.609999992</v>
      </c>
      <c r="AC59" s="1209">
        <f t="shared" si="12"/>
        <v>11634790.439999992</v>
      </c>
      <c r="AD59" s="1209">
        <f t="shared" si="12"/>
        <v>10024482.459999992</v>
      </c>
      <c r="AE59" s="1209">
        <f t="shared" si="12"/>
        <v>8624682.1199999917</v>
      </c>
      <c r="AF59" s="1209">
        <f t="shared" si="12"/>
        <v>6911139.8799999952</v>
      </c>
      <c r="AG59" s="1209">
        <f t="shared" si="12"/>
        <v>4920368.4099999964</v>
      </c>
      <c r="AH59" s="1209">
        <f t="shared" si="12"/>
        <v>11544754.619999997</v>
      </c>
      <c r="AI59" s="1209">
        <f t="shared" si="12"/>
        <v>8998659.4399999976</v>
      </c>
      <c r="AJ59" s="1209">
        <f t="shared" si="12"/>
        <v>17911056.879999995</v>
      </c>
      <c r="AK59" s="1209">
        <f t="shared" si="12"/>
        <v>15730138.719999999</v>
      </c>
      <c r="AL59" s="1209">
        <f t="shared" si="12"/>
        <v>13635754.149999993</v>
      </c>
      <c r="AM59" s="1193">
        <f>AM58+AL56</f>
        <v>13635754.149999993</v>
      </c>
    </row>
    <row r="60" spans="1:39">
      <c r="C60" s="1198" t="s">
        <v>1732</v>
      </c>
      <c r="D60" s="1209">
        <f>+D49+D59</f>
        <v>21958</v>
      </c>
      <c r="E60" s="1209">
        <f t="shared" ref="E60:AL60" si="13">+E49+E59</f>
        <v>6257937.2000000002</v>
      </c>
      <c r="F60" s="1209">
        <f t="shared" si="13"/>
        <v>5285358.32</v>
      </c>
      <c r="G60" s="1209">
        <f t="shared" si="13"/>
        <v>4629647.2700000005</v>
      </c>
      <c r="H60" s="1209">
        <f t="shared" si="13"/>
        <v>4104888.97</v>
      </c>
      <c r="I60" s="1209">
        <f t="shared" si="13"/>
        <v>3666888.6000000006</v>
      </c>
      <c r="J60" s="1209">
        <f t="shared" si="13"/>
        <v>2982065.1200000006</v>
      </c>
      <c r="K60" s="1209">
        <f t="shared" si="13"/>
        <v>2326983.0000000005</v>
      </c>
      <c r="L60" s="1209">
        <f t="shared" si="13"/>
        <v>1341060.3500000006</v>
      </c>
      <c r="M60" s="1209">
        <f t="shared" si="13"/>
        <v>5592859.9600000018</v>
      </c>
      <c r="N60" s="1209">
        <f t="shared" si="13"/>
        <v>5037866.4600000009</v>
      </c>
      <c r="O60" s="1209">
        <f t="shared" si="13"/>
        <v>4318201.7100000018</v>
      </c>
      <c r="P60" s="1209">
        <f t="shared" si="13"/>
        <v>3574980.6800000025</v>
      </c>
      <c r="Q60" s="1209">
        <f t="shared" si="13"/>
        <v>2250336.9300000016</v>
      </c>
      <c r="R60" s="1209">
        <f t="shared" si="13"/>
        <v>6341297.6800000016</v>
      </c>
      <c r="S60" s="1209">
        <f t="shared" si="13"/>
        <v>5495494.9900000012</v>
      </c>
      <c r="T60" s="1209">
        <f t="shared" si="13"/>
        <v>4451859.49</v>
      </c>
      <c r="U60" s="1209">
        <f t="shared" si="13"/>
        <v>3472013.5600000005</v>
      </c>
      <c r="V60" s="1209">
        <f t="shared" si="13"/>
        <v>2615966.1800000006</v>
      </c>
      <c r="W60" s="1209">
        <f t="shared" si="13"/>
        <v>9545451.25</v>
      </c>
      <c r="X60" s="1209">
        <f t="shared" si="13"/>
        <v>8202841.8500000015</v>
      </c>
      <c r="Y60" s="1209">
        <f t="shared" si="13"/>
        <v>6661966.5899999999</v>
      </c>
      <c r="Z60" s="1209">
        <f t="shared" si="13"/>
        <v>5561530.4600000009</v>
      </c>
      <c r="AA60" s="1209">
        <f t="shared" si="13"/>
        <v>5025490.5100000007</v>
      </c>
      <c r="AB60" s="1209">
        <f t="shared" si="13"/>
        <v>15241035.959999992</v>
      </c>
      <c r="AC60" s="1209">
        <f t="shared" si="13"/>
        <v>13120984.069999993</v>
      </c>
      <c r="AD60" s="1209">
        <f t="shared" si="13"/>
        <v>11407252.359999992</v>
      </c>
      <c r="AE60" s="1209">
        <f t="shared" si="13"/>
        <v>10141241.889999991</v>
      </c>
      <c r="AF60" s="1209">
        <f t="shared" si="13"/>
        <v>8720324.7499999963</v>
      </c>
      <c r="AG60" s="1209">
        <f t="shared" si="13"/>
        <v>6665790.3899999969</v>
      </c>
      <c r="AH60" s="1209">
        <f t="shared" si="13"/>
        <v>13348950.599999998</v>
      </c>
      <c r="AI60" s="1209">
        <f t="shared" si="13"/>
        <v>10504109.369999997</v>
      </c>
      <c r="AJ60" s="1209">
        <f t="shared" si="13"/>
        <v>19030499.019999996</v>
      </c>
      <c r="AK60" s="1209">
        <f t="shared" si="13"/>
        <v>17262651.16</v>
      </c>
      <c r="AL60" s="1209">
        <f t="shared" si="13"/>
        <v>15194183.519999994</v>
      </c>
    </row>
    <row r="61" spans="1:39">
      <c r="C61" s="1198"/>
      <c r="D61" s="1199">
        <f>+D38-D60</f>
        <v>0</v>
      </c>
      <c r="E61" s="1199">
        <f t="shared" ref="E61:U61" si="14">+E38-E60</f>
        <v>0</v>
      </c>
      <c r="F61" s="1199">
        <f t="shared" si="14"/>
        <v>0</v>
      </c>
      <c r="G61" s="1199">
        <f t="shared" si="14"/>
        <v>0</v>
      </c>
      <c r="H61" s="1199">
        <f t="shared" si="14"/>
        <v>0</v>
      </c>
      <c r="I61" s="1199">
        <f t="shared" si="14"/>
        <v>0</v>
      </c>
      <c r="J61" s="1199">
        <f t="shared" si="14"/>
        <v>0</v>
      </c>
      <c r="K61" s="1199">
        <f t="shared" si="14"/>
        <v>0</v>
      </c>
      <c r="L61" s="1199">
        <f t="shared" si="14"/>
        <v>0</v>
      </c>
      <c r="M61" s="1199">
        <f t="shared" si="14"/>
        <v>0</v>
      </c>
      <c r="N61" s="1199">
        <f t="shared" si="14"/>
        <v>0</v>
      </c>
      <c r="O61" s="1199">
        <f t="shared" si="14"/>
        <v>0</v>
      </c>
      <c r="P61" s="1199">
        <f t="shared" si="14"/>
        <v>0</v>
      </c>
      <c r="Q61" s="1199">
        <f t="shared" si="14"/>
        <v>0</v>
      </c>
      <c r="R61" s="1199">
        <f t="shared" si="14"/>
        <v>0</v>
      </c>
      <c r="S61" s="1199">
        <f t="shared" si="14"/>
        <v>0</v>
      </c>
      <c r="T61" s="1199">
        <f t="shared" si="14"/>
        <v>0</v>
      </c>
      <c r="U61" s="1199">
        <f t="shared" si="14"/>
        <v>0</v>
      </c>
      <c r="V61" s="1199">
        <f>+V38-V60</f>
        <v>0</v>
      </c>
      <c r="W61" s="1199">
        <f t="shared" ref="W61:AA61" si="15">+W38-W60</f>
        <v>0</v>
      </c>
      <c r="X61" s="1199">
        <f t="shared" si="15"/>
        <v>0</v>
      </c>
      <c r="Y61" s="1199">
        <f t="shared" si="15"/>
        <v>0</v>
      </c>
      <c r="Z61" s="1199">
        <f t="shared" si="15"/>
        <v>0</v>
      </c>
      <c r="AA61" s="1199">
        <f t="shared" si="15"/>
        <v>0</v>
      </c>
      <c r="AB61" s="1199">
        <f>+AB38-AB60</f>
        <v>0</v>
      </c>
      <c r="AC61" s="1199">
        <f t="shared" ref="AC61:AL61" si="16">+AC38-AC60</f>
        <v>0</v>
      </c>
      <c r="AD61" s="1199">
        <f t="shared" si="16"/>
        <v>0</v>
      </c>
      <c r="AE61" s="1199">
        <f t="shared" si="16"/>
        <v>0</v>
      </c>
      <c r="AF61" s="1199">
        <f t="shared" si="16"/>
        <v>0</v>
      </c>
      <c r="AG61" s="1199">
        <f t="shared" si="16"/>
        <v>0</v>
      </c>
      <c r="AH61" s="1199">
        <f t="shared" si="16"/>
        <v>0</v>
      </c>
      <c r="AI61" s="1199">
        <f t="shared" si="16"/>
        <v>0</v>
      </c>
      <c r="AJ61" s="1199">
        <f t="shared" si="16"/>
        <v>0</v>
      </c>
      <c r="AK61" s="1199">
        <f t="shared" si="16"/>
        <v>0</v>
      </c>
      <c r="AL61" s="1199">
        <f t="shared" si="16"/>
        <v>0</v>
      </c>
    </row>
    <row r="62" spans="1:39">
      <c r="C62" s="1194"/>
      <c r="D62" s="1195"/>
      <c r="E62" s="1195"/>
      <c r="F62" s="1195"/>
      <c r="G62" s="1195"/>
      <c r="H62" s="1195"/>
      <c r="I62" s="1195"/>
      <c r="J62" s="1195"/>
      <c r="K62" s="1195"/>
      <c r="L62" s="1195"/>
      <c r="M62" s="1195"/>
      <c r="N62" s="1195"/>
      <c r="O62" s="1195"/>
      <c r="P62" s="1195"/>
      <c r="Q62" s="1195"/>
      <c r="R62" s="1195"/>
      <c r="S62" s="1195"/>
      <c r="T62" s="1195"/>
      <c r="U62" s="1195"/>
      <c r="V62" s="1195"/>
      <c r="W62" s="1195"/>
      <c r="X62" s="1195"/>
      <c r="Y62" s="1195"/>
      <c r="Z62" s="1195"/>
      <c r="AA62" s="1195"/>
      <c r="AB62" s="1195"/>
      <c r="AC62" s="1195"/>
      <c r="AE62" s="1211"/>
      <c r="AF62" s="1211"/>
      <c r="AG62" s="1211"/>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AZ113"/>
  <sheetViews>
    <sheetView zoomScaleNormal="100" workbookViewId="0">
      <pane xSplit="1" ySplit="9" topLeftCell="C10" activePane="bottomRight" state="frozen"/>
      <selection activeCell="L13" sqref="L13"/>
      <selection pane="topRight" activeCell="L13" sqref="L13"/>
      <selection pane="bottomLeft" activeCell="L13" sqref="L13"/>
      <selection pane="bottomRight" activeCell="A10" sqref="A10"/>
    </sheetView>
  </sheetViews>
  <sheetFormatPr defaultColWidth="10.6640625" defaultRowHeight="15.75"/>
  <cols>
    <col min="1" max="1" width="46" style="1193" customWidth="1"/>
    <col min="2" max="2" width="20.33203125" style="1193" customWidth="1"/>
    <col min="3" max="3" width="22.33203125" style="1193" customWidth="1"/>
    <col min="4" max="7" width="16.5" style="1193" customWidth="1"/>
    <col min="8" max="8" width="5.33203125" style="1193" customWidth="1"/>
    <col min="9" max="9" width="62.33203125" style="1212" customWidth="1"/>
    <col min="10" max="10" width="20.83203125" style="1193" customWidth="1"/>
    <col min="11" max="11" width="22.33203125" style="1193" customWidth="1"/>
    <col min="12" max="15" width="17.6640625" style="1193" customWidth="1"/>
    <col min="16" max="16" width="17.6640625" style="1213" customWidth="1"/>
    <col min="17" max="27" width="17.6640625" style="1193" customWidth="1"/>
    <col min="28" max="28" width="20.33203125" style="1213" customWidth="1"/>
    <col min="29" max="29" width="18.1640625" style="1193" customWidth="1"/>
    <col min="30" max="36" width="19.6640625" style="1193" customWidth="1"/>
    <col min="37" max="38" width="19.6640625" style="1216" customWidth="1"/>
    <col min="39" max="39" width="19.1640625" style="1193" bestFit="1" customWidth="1"/>
    <col min="40" max="40" width="21.6640625" style="1193" customWidth="1"/>
    <col min="41" max="41" width="18.5" style="1193" customWidth="1"/>
    <col min="42" max="42" width="20" style="1193" customWidth="1"/>
    <col min="43" max="44" width="18.1640625" style="1193" bestFit="1" customWidth="1"/>
    <col min="45" max="45" width="18.1640625" style="1193" customWidth="1"/>
    <col min="46" max="16384" width="10.6640625" style="1193"/>
  </cols>
  <sheetData>
    <row r="1" spans="1:52">
      <c r="A1" s="1192"/>
      <c r="B1" s="1192"/>
      <c r="C1" s="1192"/>
      <c r="D1" s="1192"/>
      <c r="E1" s="1192"/>
      <c r="F1" s="1192"/>
      <c r="G1" s="1192"/>
      <c r="I1" s="1214" t="s">
        <v>1669</v>
      </c>
      <c r="J1" s="1212"/>
      <c r="K1" s="1212"/>
      <c r="L1" s="1212"/>
      <c r="M1" s="1212"/>
      <c r="N1" s="1212"/>
      <c r="O1" s="1212"/>
      <c r="P1" s="1215"/>
      <c r="Q1" s="1212"/>
      <c r="R1" s="1212"/>
      <c r="S1" s="1212"/>
      <c r="T1" s="1212"/>
      <c r="U1" s="1212"/>
      <c r="V1" s="1212"/>
      <c r="W1" s="1212"/>
      <c r="X1" s="1212"/>
      <c r="Y1" s="1212"/>
      <c r="Z1" s="1212"/>
      <c r="AA1" s="1212"/>
      <c r="AB1" s="1215"/>
      <c r="AC1" s="1212"/>
      <c r="AD1" s="1212"/>
      <c r="AE1" s="1212"/>
      <c r="AF1" s="1212"/>
      <c r="AG1" s="1212"/>
      <c r="AH1" s="1212"/>
      <c r="AI1" s="1212"/>
      <c r="AJ1" s="1212"/>
    </row>
    <row r="2" spans="1:52">
      <c r="A2" s="1192"/>
      <c r="B2" s="1192"/>
      <c r="C2" s="1192"/>
      <c r="D2" s="1192"/>
      <c r="E2" s="1192"/>
      <c r="F2" s="1192"/>
      <c r="G2" s="1192"/>
      <c r="I2" s="1214" t="s">
        <v>1733</v>
      </c>
      <c r="J2" s="1212"/>
      <c r="K2" s="1212"/>
      <c r="L2" s="1212"/>
      <c r="M2" s="1212"/>
      <c r="N2" s="1212"/>
      <c r="O2" s="1212"/>
      <c r="P2" s="1215"/>
      <c r="Q2" s="1212"/>
      <c r="R2" s="1212"/>
      <c r="S2" s="1212"/>
      <c r="T2" s="1212"/>
      <c r="U2" s="1212"/>
      <c r="V2" s="1212"/>
      <c r="W2" s="1212"/>
      <c r="X2" s="1212"/>
      <c r="Y2" s="1212"/>
      <c r="Z2" s="1212"/>
      <c r="AA2" s="1212"/>
      <c r="AB2" s="1215"/>
      <c r="AC2" s="1212"/>
      <c r="AD2" s="1212"/>
      <c r="AE2" s="1212"/>
      <c r="AF2" s="1212"/>
      <c r="AG2" s="1212"/>
      <c r="AH2" s="1212"/>
      <c r="AI2" s="1212"/>
      <c r="AJ2" s="1212"/>
    </row>
    <row r="3" spans="1:52">
      <c r="A3" s="1192" t="s">
        <v>1671</v>
      </c>
      <c r="B3" s="1192"/>
      <c r="C3" s="1192"/>
      <c r="D3" s="1192"/>
      <c r="E3" s="1192"/>
      <c r="F3" s="1192"/>
      <c r="G3" s="1192"/>
      <c r="I3" s="1214" t="s">
        <v>1734</v>
      </c>
      <c r="J3" s="1212"/>
      <c r="K3" s="1212"/>
      <c r="L3" s="1212"/>
      <c r="M3" s="1212"/>
      <c r="N3" s="1212"/>
      <c r="O3" s="1212"/>
      <c r="P3" s="1215"/>
      <c r="Q3" s="1212"/>
      <c r="R3" s="1212"/>
      <c r="S3" s="1212"/>
      <c r="T3" s="1212"/>
      <c r="U3" s="1212"/>
      <c r="V3" s="1212"/>
      <c r="W3" s="1212"/>
      <c r="X3" s="1212"/>
      <c r="Y3" s="1212"/>
      <c r="Z3" s="1212"/>
      <c r="AA3" s="1212"/>
      <c r="AB3" s="1215"/>
      <c r="AC3" s="1212"/>
      <c r="AD3" s="1212"/>
      <c r="AE3" s="1212"/>
      <c r="AF3" s="1212"/>
      <c r="AG3" s="1217"/>
      <c r="AH3" s="1217"/>
      <c r="AI3" s="1217"/>
      <c r="AJ3" s="1217"/>
      <c r="AK3" s="1217"/>
      <c r="AL3" s="1217"/>
    </row>
    <row r="4" spans="1:52">
      <c r="B4" s="1202"/>
      <c r="C4" s="1202">
        <v>2018</v>
      </c>
      <c r="D4" s="1202">
        <v>2018</v>
      </c>
      <c r="E4" s="1202">
        <v>2018</v>
      </c>
      <c r="F4" s="1202">
        <v>2018</v>
      </c>
      <c r="G4" s="1202">
        <v>2018</v>
      </c>
      <c r="AG4" s="1211"/>
      <c r="AH4" s="1211"/>
      <c r="AI4" s="1211"/>
      <c r="AJ4" s="1211"/>
      <c r="AK4" s="1211"/>
      <c r="AL4" s="1211"/>
    </row>
    <row r="5" spans="1:52">
      <c r="B5" s="1202" t="s">
        <v>1735</v>
      </c>
      <c r="C5" s="1202" t="s">
        <v>1736</v>
      </c>
      <c r="D5" s="1202" t="s">
        <v>1567</v>
      </c>
      <c r="E5" s="1202" t="s">
        <v>1568</v>
      </c>
      <c r="F5" s="1202" t="s">
        <v>1569</v>
      </c>
      <c r="G5" s="1202" t="s">
        <v>1570</v>
      </c>
      <c r="J5" s="1076" t="s">
        <v>1510</v>
      </c>
      <c r="K5" s="1076" t="s">
        <v>1511</v>
      </c>
      <c r="L5" s="1076" t="s">
        <v>1512</v>
      </c>
      <c r="M5" s="1076" t="s">
        <v>1513</v>
      </c>
      <c r="N5" s="1076" t="s">
        <v>1514</v>
      </c>
      <c r="O5" s="1076" t="s">
        <v>1515</v>
      </c>
      <c r="P5" s="1218" t="s">
        <v>1516</v>
      </c>
      <c r="Q5" s="1076" t="s">
        <v>1517</v>
      </c>
      <c r="R5" s="1076" t="s">
        <v>1518</v>
      </c>
      <c r="S5" s="1076" t="s">
        <v>1519</v>
      </c>
      <c r="T5" s="1076" t="s">
        <v>1520</v>
      </c>
      <c r="U5" s="1076" t="s">
        <v>1521</v>
      </c>
      <c r="V5" s="1076" t="s">
        <v>1522</v>
      </c>
      <c r="W5" s="1076" t="s">
        <v>1523</v>
      </c>
      <c r="X5" s="1076" t="s">
        <v>1524</v>
      </c>
      <c r="Y5" s="1076" t="s">
        <v>1525</v>
      </c>
      <c r="Z5" s="1076" t="s">
        <v>1526</v>
      </c>
      <c r="AA5" s="1076" t="s">
        <v>1527</v>
      </c>
      <c r="AB5" s="1218" t="s">
        <v>1528</v>
      </c>
      <c r="AC5" s="1076" t="s">
        <v>1529</v>
      </c>
      <c r="AD5" s="1076" t="s">
        <v>1530</v>
      </c>
      <c r="AE5" s="1076" t="s">
        <v>1531</v>
      </c>
      <c r="AF5" s="1076" t="s">
        <v>1532</v>
      </c>
      <c r="AG5" s="1076" t="s">
        <v>1533</v>
      </c>
      <c r="AH5" s="1076" t="s">
        <v>1534</v>
      </c>
      <c r="AI5" s="1076" t="s">
        <v>1535</v>
      </c>
      <c r="AJ5" s="1077">
        <v>42979</v>
      </c>
      <c r="AK5" s="1077">
        <v>43009</v>
      </c>
      <c r="AL5" s="1077">
        <v>43040</v>
      </c>
      <c r="AM5" s="1077">
        <v>43070</v>
      </c>
      <c r="AN5" s="1077">
        <v>43101</v>
      </c>
      <c r="AO5" s="1077">
        <v>43132</v>
      </c>
      <c r="AP5" s="1077">
        <v>43160</v>
      </c>
      <c r="AQ5" s="1077">
        <v>43191</v>
      </c>
      <c r="AR5" s="1077">
        <v>43221</v>
      </c>
      <c r="AS5" s="1077"/>
      <c r="AT5" s="1077">
        <v>43252</v>
      </c>
      <c r="AU5" s="1077">
        <v>43282</v>
      </c>
      <c r="AV5" s="1077">
        <v>43313</v>
      </c>
      <c r="AW5" s="1077">
        <v>43344</v>
      </c>
      <c r="AX5" s="1077">
        <v>43374</v>
      </c>
      <c r="AY5" s="1077">
        <v>43405</v>
      </c>
      <c r="AZ5" s="1077">
        <v>43435</v>
      </c>
    </row>
    <row r="6" spans="1:52">
      <c r="A6" s="1192"/>
      <c r="B6" s="1192"/>
      <c r="C6" s="1192"/>
      <c r="D6" s="1192"/>
      <c r="E6" s="1192"/>
      <c r="F6" s="1192"/>
      <c r="G6" s="1192"/>
      <c r="I6" s="1219" t="s">
        <v>1737</v>
      </c>
      <c r="J6" s="1207"/>
      <c r="K6" s="1207"/>
      <c r="L6" s="1207"/>
      <c r="M6" s="1207"/>
      <c r="N6" s="1207"/>
      <c r="O6" s="1207"/>
      <c r="P6" s="1220"/>
      <c r="Q6" s="1207"/>
      <c r="R6" s="1207"/>
      <c r="S6" s="1207"/>
      <c r="T6" s="1207"/>
      <c r="U6" s="1207"/>
      <c r="V6" s="1207"/>
      <c r="W6" s="1207"/>
      <c r="X6" s="1207"/>
      <c r="Y6" s="1207"/>
      <c r="Z6" s="1207"/>
      <c r="AA6" s="1207"/>
      <c r="AB6" s="1220"/>
      <c r="AC6" s="1207"/>
      <c r="AD6" s="1207"/>
      <c r="AE6" s="1207"/>
      <c r="AF6" s="1207"/>
      <c r="AG6" s="1207"/>
      <c r="AH6" s="1207"/>
      <c r="AI6" s="1207"/>
      <c r="AJ6" s="1207"/>
      <c r="AK6" s="1207"/>
      <c r="AL6" s="1207"/>
      <c r="AM6" s="1207"/>
    </row>
    <row r="7" spans="1:52">
      <c r="A7" s="1192"/>
      <c r="B7" s="1192"/>
      <c r="C7" s="1192"/>
      <c r="D7" s="1192"/>
      <c r="E7" s="1192"/>
      <c r="F7" s="1192"/>
      <c r="G7" s="1192"/>
      <c r="I7" s="1219" t="s">
        <v>1738</v>
      </c>
      <c r="J7" s="1207"/>
      <c r="K7" s="1207"/>
      <c r="L7" s="1207"/>
      <c r="M7" s="1207"/>
      <c r="N7" s="1207"/>
      <c r="O7" s="1207"/>
      <c r="P7" s="1220"/>
      <c r="Q7" s="1207"/>
      <c r="R7" s="1207"/>
      <c r="S7" s="1207"/>
      <c r="T7" s="1207"/>
      <c r="U7" s="1207"/>
      <c r="V7" s="1207"/>
      <c r="W7" s="1207"/>
      <c r="X7" s="1207"/>
      <c r="Y7" s="1207"/>
      <c r="Z7" s="1207"/>
      <c r="AA7" s="1207"/>
      <c r="AB7" s="1220"/>
      <c r="AC7" s="1207"/>
      <c r="AD7" s="1207"/>
      <c r="AE7" s="1207"/>
      <c r="AF7" s="1207"/>
      <c r="AG7" s="1207"/>
      <c r="AH7" s="1207"/>
      <c r="AI7" s="1207"/>
      <c r="AJ7" s="1208"/>
      <c r="AK7" s="1208"/>
      <c r="AL7" s="1208"/>
      <c r="AM7" s="1208"/>
      <c r="AN7" s="1208"/>
      <c r="AO7" s="1208"/>
      <c r="AP7" s="1208"/>
      <c r="AQ7" s="1208"/>
      <c r="AR7" s="1208"/>
      <c r="AS7" s="1208"/>
      <c r="AT7" s="1208"/>
      <c r="AU7" s="1208"/>
      <c r="AV7" s="1208"/>
      <c r="AW7" s="1208"/>
      <c r="AX7" s="1208"/>
      <c r="AY7" s="1208"/>
      <c r="AZ7" s="1208"/>
    </row>
    <row r="8" spans="1:52">
      <c r="A8" s="1192"/>
      <c r="B8" s="1192"/>
      <c r="C8" s="1192"/>
      <c r="D8" s="1192"/>
      <c r="E8" s="1192"/>
      <c r="F8" s="1192"/>
      <c r="G8" s="1192"/>
      <c r="I8" s="1219" t="s">
        <v>87</v>
      </c>
      <c r="J8" s="1208">
        <f t="shared" ref="J8:AZ8" si="0">(J7)-(0)</f>
        <v>0</v>
      </c>
      <c r="K8" s="1208">
        <f t="shared" si="0"/>
        <v>0</v>
      </c>
      <c r="L8" s="1208">
        <f t="shared" si="0"/>
        <v>0</v>
      </c>
      <c r="M8" s="1208">
        <f t="shared" si="0"/>
        <v>0</v>
      </c>
      <c r="N8" s="1208">
        <f t="shared" si="0"/>
        <v>0</v>
      </c>
      <c r="O8" s="1208">
        <f t="shared" si="0"/>
        <v>0</v>
      </c>
      <c r="P8" s="1221">
        <f t="shared" si="0"/>
        <v>0</v>
      </c>
      <c r="Q8" s="1208">
        <f t="shared" si="0"/>
        <v>0</v>
      </c>
      <c r="R8" s="1208">
        <f t="shared" si="0"/>
        <v>0</v>
      </c>
      <c r="S8" s="1208">
        <f t="shared" si="0"/>
        <v>0</v>
      </c>
      <c r="T8" s="1208">
        <f t="shared" si="0"/>
        <v>0</v>
      </c>
      <c r="U8" s="1208">
        <f t="shared" si="0"/>
        <v>0</v>
      </c>
      <c r="V8" s="1208">
        <f t="shared" si="0"/>
        <v>0</v>
      </c>
      <c r="W8" s="1208">
        <f t="shared" si="0"/>
        <v>0</v>
      </c>
      <c r="X8" s="1208">
        <f t="shared" si="0"/>
        <v>0</v>
      </c>
      <c r="Y8" s="1208">
        <f t="shared" si="0"/>
        <v>0</v>
      </c>
      <c r="Z8" s="1208">
        <f t="shared" si="0"/>
        <v>0</v>
      </c>
      <c r="AA8" s="1208">
        <f t="shared" si="0"/>
        <v>0</v>
      </c>
      <c r="AB8" s="1221">
        <f t="shared" si="0"/>
        <v>0</v>
      </c>
      <c r="AC8" s="1208">
        <f t="shared" si="0"/>
        <v>0</v>
      </c>
      <c r="AD8" s="1208">
        <f t="shared" si="0"/>
        <v>0</v>
      </c>
      <c r="AE8" s="1208">
        <f t="shared" si="0"/>
        <v>0</v>
      </c>
      <c r="AF8" s="1208">
        <f t="shared" si="0"/>
        <v>0</v>
      </c>
      <c r="AG8" s="1208">
        <f t="shared" si="0"/>
        <v>0</v>
      </c>
      <c r="AH8" s="1208">
        <f t="shared" si="0"/>
        <v>0</v>
      </c>
      <c r="AI8" s="1208">
        <f t="shared" si="0"/>
        <v>0</v>
      </c>
      <c r="AJ8" s="1208">
        <f t="shared" si="0"/>
        <v>0</v>
      </c>
      <c r="AK8" s="1208">
        <f t="shared" si="0"/>
        <v>0</v>
      </c>
      <c r="AL8" s="1208">
        <f t="shared" si="0"/>
        <v>0</v>
      </c>
      <c r="AM8" s="1208">
        <f t="shared" si="0"/>
        <v>0</v>
      </c>
      <c r="AN8" s="1208">
        <f t="shared" si="0"/>
        <v>0</v>
      </c>
      <c r="AO8" s="1208">
        <f t="shared" si="0"/>
        <v>0</v>
      </c>
      <c r="AP8" s="1208">
        <v>0</v>
      </c>
      <c r="AQ8" s="1208">
        <f t="shared" si="0"/>
        <v>0</v>
      </c>
      <c r="AR8" s="1208">
        <f t="shared" si="0"/>
        <v>0</v>
      </c>
      <c r="AS8" s="1208"/>
      <c r="AT8" s="1208">
        <f t="shared" si="0"/>
        <v>0</v>
      </c>
      <c r="AU8" s="1208">
        <f t="shared" si="0"/>
        <v>0</v>
      </c>
      <c r="AV8" s="1208">
        <f t="shared" si="0"/>
        <v>0</v>
      </c>
      <c r="AW8" s="1208">
        <f t="shared" si="0"/>
        <v>0</v>
      </c>
      <c r="AX8" s="1208">
        <f t="shared" si="0"/>
        <v>0</v>
      </c>
      <c r="AY8" s="1208">
        <f t="shared" si="0"/>
        <v>0</v>
      </c>
      <c r="AZ8" s="1208">
        <f t="shared" si="0"/>
        <v>0</v>
      </c>
    </row>
    <row r="9" spans="1:52">
      <c r="A9" s="1192"/>
      <c r="B9" s="1192"/>
      <c r="C9" s="1192"/>
      <c r="D9" s="1192"/>
      <c r="E9" s="1192"/>
      <c r="F9" s="1192"/>
      <c r="G9" s="1192"/>
      <c r="I9" s="1219" t="s">
        <v>1739</v>
      </c>
      <c r="J9" s="1207"/>
      <c r="K9" s="1207"/>
      <c r="L9" s="1207"/>
      <c r="M9" s="1207"/>
      <c r="N9" s="1207"/>
      <c r="O9" s="1207"/>
      <c r="P9" s="1220"/>
      <c r="Q9" s="1207"/>
      <c r="R9" s="1207"/>
      <c r="S9" s="1207"/>
      <c r="T9" s="1207"/>
      <c r="U9" s="1207"/>
      <c r="V9" s="1207"/>
      <c r="W9" s="1207"/>
      <c r="X9" s="1207"/>
      <c r="Y9" s="1207"/>
      <c r="Z9" s="1207"/>
      <c r="AA9" s="1207"/>
      <c r="AB9" s="1220"/>
      <c r="AC9" s="1207"/>
      <c r="AD9" s="1207"/>
      <c r="AE9" s="1207"/>
      <c r="AF9" s="1207"/>
      <c r="AG9" s="1207"/>
      <c r="AH9" s="1207"/>
      <c r="AI9" s="1207"/>
      <c r="AJ9" s="1207"/>
    </row>
    <row r="10" spans="1:52">
      <c r="A10" s="1192" t="s">
        <v>1573</v>
      </c>
      <c r="B10" s="1222">
        <f t="shared" ref="B10:B68" si="1">SUM(J10:AZ10)</f>
        <v>0</v>
      </c>
      <c r="C10" s="1222">
        <f>SUM(AN10:AZ10)</f>
        <v>0</v>
      </c>
      <c r="D10" s="1222">
        <f>SUM(AN10:AP10)</f>
        <v>0</v>
      </c>
      <c r="E10" s="1222">
        <f>SUM(AQ10:AT10)</f>
        <v>0</v>
      </c>
      <c r="F10" s="1222"/>
      <c r="G10" s="1222"/>
      <c r="I10" s="1219" t="s">
        <v>1740</v>
      </c>
      <c r="J10" s="1207"/>
      <c r="K10" s="1207"/>
      <c r="L10" s="1207"/>
      <c r="M10" s="1207"/>
      <c r="N10" s="1207"/>
      <c r="O10" s="1207"/>
      <c r="P10" s="1220"/>
      <c r="Q10" s="1207"/>
      <c r="R10" s="1207"/>
      <c r="S10" s="1207"/>
      <c r="T10" s="1207"/>
      <c r="U10" s="1207"/>
      <c r="V10" s="1207"/>
      <c r="W10" s="1207"/>
      <c r="X10" s="1203"/>
      <c r="Y10" s="1203"/>
      <c r="Z10" s="1203"/>
      <c r="AA10" s="1203"/>
      <c r="AB10" s="1223"/>
      <c r="AC10" s="1203"/>
      <c r="AD10" s="1203"/>
      <c r="AE10" s="1203"/>
      <c r="AF10" s="1207"/>
      <c r="AG10" s="1207"/>
      <c r="AH10" s="1207"/>
      <c r="AI10" s="1207"/>
      <c r="AJ10" s="1203"/>
    </row>
    <row r="11" spans="1:52">
      <c r="A11" s="1192" t="s">
        <v>1573</v>
      </c>
      <c r="B11" s="1222">
        <f t="shared" si="1"/>
        <v>9259246.8300000001</v>
      </c>
      <c r="C11" s="1233">
        <f>SUM(AN11:AZ11)</f>
        <v>2077403.11</v>
      </c>
      <c r="D11" s="1222">
        <f t="shared" ref="D11:D68" si="2">SUM(AN11:AP11)</f>
        <v>1187439.8</v>
      </c>
      <c r="E11" s="1222">
        <f t="shared" ref="E11:E68" si="3">SUM(AQ11:AT11)</f>
        <v>889963.31</v>
      </c>
      <c r="F11" s="1222"/>
      <c r="G11" s="1222"/>
      <c r="I11" s="1219" t="s">
        <v>1741</v>
      </c>
      <c r="J11" s="1207"/>
      <c r="K11" s="1203">
        <v>17334.62</v>
      </c>
      <c r="L11" s="1203">
        <v>44733.68</v>
      </c>
      <c r="M11" s="1203">
        <v>57694.77</v>
      </c>
      <c r="N11" s="1203">
        <v>63227.55</v>
      </c>
      <c r="O11" s="1203">
        <v>70318.27</v>
      </c>
      <c r="P11" s="1223">
        <v>79877.02</v>
      </c>
      <c r="Q11" s="1203">
        <v>348885.04</v>
      </c>
      <c r="R11" s="1203">
        <v>159324.10999999999</v>
      </c>
      <c r="S11" s="1203">
        <v>287042.84999999998</v>
      </c>
      <c r="T11" s="1203">
        <v>200189.09</v>
      </c>
      <c r="U11" s="1203">
        <v>240918.25</v>
      </c>
      <c r="V11" s="1203">
        <v>258043.25</v>
      </c>
      <c r="W11" s="1203">
        <v>263066.58</v>
      </c>
      <c r="X11" s="1203">
        <v>300150.18</v>
      </c>
      <c r="Y11" s="1207">
        <v>331620.34999999998</v>
      </c>
      <c r="Z11" s="1207">
        <v>299126.56</v>
      </c>
      <c r="AA11" s="1207">
        <v>299126.56</v>
      </c>
      <c r="AB11" s="1220">
        <v>299126.56</v>
      </c>
      <c r="AC11" s="1203">
        <v>299126.56</v>
      </c>
      <c r="AD11" s="1203">
        <v>285780.13</v>
      </c>
      <c r="AE11" s="1203">
        <v>288683.02</v>
      </c>
      <c r="AF11" s="1203">
        <v>283878.45</v>
      </c>
      <c r="AG11" s="1203">
        <v>291089.53999999998</v>
      </c>
      <c r="AH11" s="1203">
        <v>297803.96000000002</v>
      </c>
      <c r="AI11" s="1203">
        <v>321307.96999999997</v>
      </c>
      <c r="AJ11" s="1203">
        <v>347983.24</v>
      </c>
      <c r="AK11" s="1216">
        <v>365223.7</v>
      </c>
      <c r="AL11" s="1216">
        <v>373154.14</v>
      </c>
      <c r="AM11" s="1216">
        <v>408007.72</v>
      </c>
      <c r="AN11" s="1216">
        <v>376952.08</v>
      </c>
      <c r="AO11" s="1216">
        <v>413881.06</v>
      </c>
      <c r="AP11" s="1224">
        <v>396606.66</v>
      </c>
      <c r="AQ11" s="1216">
        <v>428898.32</v>
      </c>
      <c r="AR11" s="1216">
        <v>461064.99</v>
      </c>
      <c r="AS11" s="1216"/>
    </row>
    <row r="12" spans="1:52">
      <c r="A12" s="1192" t="s">
        <v>1573</v>
      </c>
      <c r="B12" s="1222">
        <f t="shared" si="1"/>
        <v>1330199.8199999998</v>
      </c>
      <c r="C12" s="1222">
        <f t="shared" ref="C12:C68" si="4">SUM(AN12:AZ12)</f>
        <v>767951.2</v>
      </c>
      <c r="D12" s="1222">
        <f t="shared" si="2"/>
        <v>657951.19999999995</v>
      </c>
      <c r="E12" s="1222">
        <f t="shared" si="3"/>
        <v>110000</v>
      </c>
      <c r="F12" s="1222"/>
      <c r="G12" s="1222"/>
      <c r="I12" s="1219" t="s">
        <v>1742</v>
      </c>
      <c r="J12" s="1207"/>
      <c r="K12" s="1207"/>
      <c r="L12" s="1207"/>
      <c r="M12" s="1207"/>
      <c r="N12" s="1207"/>
      <c r="O12" s="1203">
        <v>6845</v>
      </c>
      <c r="P12" s="1220"/>
      <c r="Q12" s="1203"/>
      <c r="R12" s="1207"/>
      <c r="S12" s="1207"/>
      <c r="T12" s="1207"/>
      <c r="U12" s="1207">
        <v>10000</v>
      </c>
      <c r="V12" s="1207">
        <v>0</v>
      </c>
      <c r="W12" s="1207">
        <v>0</v>
      </c>
      <c r="X12" s="1207">
        <v>12500</v>
      </c>
      <c r="Y12" s="1207">
        <v>0</v>
      </c>
      <c r="Z12" s="1207">
        <v>15000</v>
      </c>
      <c r="AA12" s="1207">
        <v>0</v>
      </c>
      <c r="AB12" s="1220">
        <v>0</v>
      </c>
      <c r="AC12" s="1207">
        <v>0</v>
      </c>
      <c r="AD12" s="1203">
        <v>318834.71999999997</v>
      </c>
      <c r="AE12" s="1207">
        <v>0</v>
      </c>
      <c r="AF12" s="1207">
        <v>0</v>
      </c>
      <c r="AG12" s="1207">
        <v>0</v>
      </c>
      <c r="AH12" s="1207">
        <v>0</v>
      </c>
      <c r="AI12" s="1207">
        <v>0</v>
      </c>
      <c r="AJ12" s="1207">
        <v>85000</v>
      </c>
      <c r="AK12" s="1216">
        <v>0</v>
      </c>
      <c r="AL12" s="1216">
        <v>0</v>
      </c>
      <c r="AM12" s="1216">
        <v>114068.9</v>
      </c>
      <c r="AN12" s="1216">
        <v>5000</v>
      </c>
      <c r="AO12" s="1216">
        <v>617951.19999999995</v>
      </c>
      <c r="AP12" s="1224">
        <v>35000</v>
      </c>
      <c r="AQ12" s="1216">
        <v>10000</v>
      </c>
      <c r="AR12" s="1216">
        <v>100000</v>
      </c>
      <c r="AS12" s="1216"/>
    </row>
    <row r="13" spans="1:52">
      <c r="A13" s="1192" t="s">
        <v>1573</v>
      </c>
      <c r="B13" s="1222">
        <f t="shared" si="1"/>
        <v>668335.04999999993</v>
      </c>
      <c r="C13" s="1222">
        <f t="shared" si="4"/>
        <v>202170.90000000002</v>
      </c>
      <c r="D13" s="1222">
        <f t="shared" si="2"/>
        <v>142260.02000000002</v>
      </c>
      <c r="E13" s="1222">
        <f t="shared" si="3"/>
        <v>59910.880000000005</v>
      </c>
      <c r="F13" s="1222"/>
      <c r="G13" s="1222"/>
      <c r="I13" s="1219" t="s">
        <v>1743</v>
      </c>
      <c r="J13" s="1207"/>
      <c r="K13" s="1203">
        <v>1976.89</v>
      </c>
      <c r="L13" s="1203">
        <v>21675.68</v>
      </c>
      <c r="M13" s="1203">
        <v>3742.14</v>
      </c>
      <c r="N13" s="1203">
        <v>9091.59</v>
      </c>
      <c r="O13" s="1203">
        <v>9015.32</v>
      </c>
      <c r="P13" s="1223">
        <v>7071.12</v>
      </c>
      <c r="Q13" s="1203">
        <v>17146.099999999999</v>
      </c>
      <c r="R13" s="1203">
        <v>9432.58</v>
      </c>
      <c r="S13" s="1203">
        <v>19784.650000000001</v>
      </c>
      <c r="T13" s="1203">
        <v>12264.77</v>
      </c>
      <c r="U13" s="1203">
        <v>15463.45</v>
      </c>
      <c r="V13" s="1203">
        <v>14946.49</v>
      </c>
      <c r="W13" s="1203">
        <v>13741.14</v>
      </c>
      <c r="X13" s="1207">
        <v>17073.36</v>
      </c>
      <c r="Y13" s="1207">
        <v>13210.91</v>
      </c>
      <c r="Z13" s="1207">
        <v>12982.61</v>
      </c>
      <c r="AA13" s="1207">
        <v>12321.62</v>
      </c>
      <c r="AB13" s="1220">
        <v>28563.55</v>
      </c>
      <c r="AC13" s="1203">
        <v>22456.81</v>
      </c>
      <c r="AD13" s="1203">
        <v>42745.16</v>
      </c>
      <c r="AE13" s="1203">
        <v>19476.34</v>
      </c>
      <c r="AF13" s="1207">
        <v>15202.11</v>
      </c>
      <c r="AG13" s="1207">
        <v>15498.46</v>
      </c>
      <c r="AH13" s="1207">
        <v>15015.46</v>
      </c>
      <c r="AI13" s="1207">
        <v>17190.05</v>
      </c>
      <c r="AJ13" s="1207">
        <v>24303.86</v>
      </c>
      <c r="AK13" s="1216">
        <v>17603.23</v>
      </c>
      <c r="AL13" s="1216">
        <v>17432.77</v>
      </c>
      <c r="AM13" s="1216">
        <v>19735.93</v>
      </c>
      <c r="AN13" s="1216">
        <v>42244.87</v>
      </c>
      <c r="AO13" s="1216">
        <v>72021.2</v>
      </c>
      <c r="AP13" s="1224">
        <v>27993.95</v>
      </c>
      <c r="AQ13" s="1216">
        <v>26574.2</v>
      </c>
      <c r="AR13" s="1216">
        <v>33336.68</v>
      </c>
      <c r="AS13" s="1216"/>
    </row>
    <row r="14" spans="1:52">
      <c r="A14" s="1192"/>
      <c r="B14" s="1222">
        <f t="shared" si="1"/>
        <v>0</v>
      </c>
      <c r="C14" s="1222">
        <f t="shared" si="4"/>
        <v>0</v>
      </c>
      <c r="D14" s="1222">
        <f t="shared" si="2"/>
        <v>0</v>
      </c>
      <c r="E14" s="1222">
        <f t="shared" si="3"/>
        <v>0</v>
      </c>
      <c r="F14" s="1222"/>
      <c r="G14" s="1222"/>
      <c r="I14" s="1219" t="s">
        <v>1744</v>
      </c>
      <c r="J14" s="1225"/>
      <c r="K14" s="1225"/>
      <c r="L14" s="1225"/>
      <c r="M14" s="1225"/>
      <c r="N14" s="1225"/>
      <c r="O14" s="1225"/>
      <c r="P14" s="1226"/>
      <c r="Q14" s="1225"/>
      <c r="R14" s="1225"/>
      <c r="S14" s="1225"/>
      <c r="T14" s="1225"/>
      <c r="U14" s="1225"/>
      <c r="V14" s="1225"/>
      <c r="W14" s="1225"/>
      <c r="X14" s="1225"/>
      <c r="Y14" s="1225"/>
      <c r="Z14" s="1225"/>
      <c r="AA14" s="1225"/>
      <c r="AB14" s="1226"/>
      <c r="AC14" s="1225"/>
      <c r="AD14" s="1225"/>
      <c r="AE14" s="1225"/>
      <c r="AF14" s="1225"/>
      <c r="AG14" s="1225"/>
      <c r="AH14" s="1225"/>
      <c r="AI14" s="1225"/>
      <c r="AJ14" s="1225"/>
      <c r="AK14" s="1227"/>
      <c r="AL14" s="1227"/>
      <c r="AM14" s="1227"/>
      <c r="AN14" s="1216"/>
      <c r="AO14" s="1216"/>
      <c r="AP14" s="1224"/>
      <c r="AQ14" s="1216"/>
      <c r="AR14" s="1216"/>
      <c r="AS14" s="1216"/>
    </row>
    <row r="15" spans="1:52">
      <c r="A15" s="1192" t="s">
        <v>1573</v>
      </c>
      <c r="B15" s="1222">
        <f t="shared" si="1"/>
        <v>1243566.8099999998</v>
      </c>
      <c r="C15" s="1222">
        <f t="shared" si="4"/>
        <v>354541.85</v>
      </c>
      <c r="D15" s="1222">
        <f t="shared" si="2"/>
        <v>222354.62</v>
      </c>
      <c r="E15" s="1222">
        <f t="shared" si="3"/>
        <v>132187.22999999998</v>
      </c>
      <c r="F15" s="1222"/>
      <c r="G15" s="1222"/>
      <c r="I15" s="1219" t="s">
        <v>1745</v>
      </c>
      <c r="J15" s="1207"/>
      <c r="K15" s="1203">
        <v>385.95</v>
      </c>
      <c r="L15" s="1203">
        <v>537.86</v>
      </c>
      <c r="M15" s="1203">
        <v>649</v>
      </c>
      <c r="N15" s="1203">
        <v>688.39</v>
      </c>
      <c r="O15" s="1203">
        <v>696.37</v>
      </c>
      <c r="P15" s="1223">
        <v>1533.13</v>
      </c>
      <c r="Q15" s="1203">
        <v>1267.18</v>
      </c>
      <c r="R15" s="1203">
        <v>20741.079999999998</v>
      </c>
      <c r="S15" s="1203">
        <v>18055.740000000002</v>
      </c>
      <c r="T15" s="1203">
        <v>16116.789999999999</v>
      </c>
      <c r="U15" s="1203">
        <v>23558.170000000002</v>
      </c>
      <c r="V15" s="1203">
        <v>29784.770000000004</v>
      </c>
      <c r="W15" s="1203">
        <v>25082.359999999997</v>
      </c>
      <c r="X15" s="1203">
        <v>44225.27</v>
      </c>
      <c r="Y15" s="1203">
        <v>39830</v>
      </c>
      <c r="Z15" s="1203">
        <v>34272.090000000004</v>
      </c>
      <c r="AA15" s="1203">
        <v>45660.960000000006</v>
      </c>
      <c r="AB15" s="1223">
        <v>39650.1</v>
      </c>
      <c r="AC15" s="1203">
        <v>54742.460000000006</v>
      </c>
      <c r="AD15" s="1203">
        <v>33152.550000000003</v>
      </c>
      <c r="AE15" s="1203">
        <v>32149.940000000002</v>
      </c>
      <c r="AF15" s="1203">
        <v>34578.35</v>
      </c>
      <c r="AG15" s="1203">
        <v>37436.660000000003</v>
      </c>
      <c r="AH15" s="1203">
        <v>39917.839999999997</v>
      </c>
      <c r="AI15" s="1203">
        <v>46432.81</v>
      </c>
      <c r="AJ15" s="1203">
        <v>35477.14</v>
      </c>
      <c r="AK15" s="1216">
        <v>47391.860000000008</v>
      </c>
      <c r="AL15" s="1216">
        <v>43807.41</v>
      </c>
      <c r="AM15" s="1216">
        <v>141202.72999999998</v>
      </c>
      <c r="AN15" s="1216">
        <v>77678.59</v>
      </c>
      <c r="AO15" s="1216">
        <v>8259.6899999999932</v>
      </c>
      <c r="AP15" s="1224">
        <v>136416.34000000003</v>
      </c>
      <c r="AQ15" s="1216">
        <v>63646.789999999994</v>
      </c>
      <c r="AR15" s="1216">
        <v>68540.44</v>
      </c>
      <c r="AS15" s="1216"/>
    </row>
    <row r="16" spans="1:52">
      <c r="A16" s="1192" t="s">
        <v>1573</v>
      </c>
      <c r="B16" s="1222">
        <f t="shared" si="1"/>
        <v>1886.4399999999998</v>
      </c>
      <c r="C16" s="1222">
        <f t="shared" si="4"/>
        <v>0</v>
      </c>
      <c r="D16" s="1222">
        <f t="shared" si="2"/>
        <v>0</v>
      </c>
      <c r="E16" s="1222">
        <f t="shared" si="3"/>
        <v>0</v>
      </c>
      <c r="F16" s="1222"/>
      <c r="G16" s="1222"/>
      <c r="I16" s="1219" t="s">
        <v>1746</v>
      </c>
      <c r="J16" s="1207"/>
      <c r="K16" s="1207"/>
      <c r="L16" s="1203">
        <v>650</v>
      </c>
      <c r="M16" s="1203">
        <v>825</v>
      </c>
      <c r="N16" s="1207"/>
      <c r="O16" s="1207"/>
      <c r="P16" s="1223">
        <v>68.599999999999994</v>
      </c>
      <c r="Q16" s="1207"/>
      <c r="R16" s="1203">
        <v>159.13999999999999</v>
      </c>
      <c r="S16" s="1203">
        <v>91.5</v>
      </c>
      <c r="T16" s="1203">
        <v>92.2</v>
      </c>
      <c r="U16" s="1207"/>
      <c r="V16" s="1207"/>
      <c r="W16" s="1207"/>
      <c r="X16" s="1207"/>
      <c r="Y16" s="1207"/>
      <c r="Z16" s="1207"/>
      <c r="AA16" s="1207"/>
      <c r="AB16" s="1220"/>
      <c r="AC16" s="1207"/>
      <c r="AD16" s="1207"/>
      <c r="AE16" s="1207"/>
      <c r="AF16" s="1207"/>
      <c r="AG16" s="1207"/>
      <c r="AH16" s="1207"/>
      <c r="AI16" s="1207"/>
      <c r="AJ16" s="1207"/>
      <c r="AM16" s="1216"/>
      <c r="AN16" s="1216"/>
      <c r="AO16" s="1216"/>
      <c r="AP16" s="1224"/>
      <c r="AQ16" s="1216"/>
      <c r="AR16" s="1216"/>
      <c r="AS16" s="1216"/>
    </row>
    <row r="17" spans="1:45">
      <c r="A17" s="1192" t="s">
        <v>1573</v>
      </c>
      <c r="B17" s="1222">
        <f t="shared" si="1"/>
        <v>23447</v>
      </c>
      <c r="C17" s="1222">
        <f t="shared" si="4"/>
        <v>5795</v>
      </c>
      <c r="D17" s="1222">
        <f t="shared" si="2"/>
        <v>0</v>
      </c>
      <c r="E17" s="1222">
        <f t="shared" si="3"/>
        <v>5795</v>
      </c>
      <c r="F17" s="1222"/>
      <c r="G17" s="1222"/>
      <c r="I17" s="1219" t="s">
        <v>1747</v>
      </c>
      <c r="J17" s="1207"/>
      <c r="K17" s="1207"/>
      <c r="L17" s="1207"/>
      <c r="M17" s="1207"/>
      <c r="N17" s="1207"/>
      <c r="O17" s="1207"/>
      <c r="P17" s="1220"/>
      <c r="Q17" s="1207"/>
      <c r="R17" s="1207"/>
      <c r="S17" s="1207"/>
      <c r="T17" s="1207"/>
      <c r="U17" s="1207"/>
      <c r="V17" s="1207"/>
      <c r="W17" s="1207"/>
      <c r="X17" s="1207"/>
      <c r="Y17" s="1207"/>
      <c r="Z17" s="1207"/>
      <c r="AA17" s="1207"/>
      <c r="AB17" s="1220"/>
      <c r="AC17" s="1203">
        <v>7980</v>
      </c>
      <c r="AD17" s="1203">
        <v>372</v>
      </c>
      <c r="AE17" s="1203"/>
      <c r="AF17" s="1203">
        <v>9300</v>
      </c>
      <c r="AG17" s="1207"/>
      <c r="AH17" s="1207"/>
      <c r="AI17" s="1207"/>
      <c r="AJ17" s="1207"/>
      <c r="AM17" s="1216"/>
      <c r="AN17" s="1216"/>
      <c r="AO17" s="1216"/>
      <c r="AP17" s="1224"/>
      <c r="AQ17" s="1216">
        <v>2795</v>
      </c>
      <c r="AR17" s="1216">
        <v>3000</v>
      </c>
      <c r="AS17" s="1216"/>
    </row>
    <row r="18" spans="1:45">
      <c r="A18" s="1192" t="s">
        <v>1573</v>
      </c>
      <c r="B18" s="1222">
        <f t="shared" si="1"/>
        <v>274084.72000000003</v>
      </c>
      <c r="C18" s="1222">
        <f t="shared" si="4"/>
        <v>59236.44</v>
      </c>
      <c r="D18" s="1222">
        <f t="shared" si="2"/>
        <v>58054.210000000006</v>
      </c>
      <c r="E18" s="1222">
        <f t="shared" si="3"/>
        <v>1182.23</v>
      </c>
      <c r="F18" s="1222"/>
      <c r="G18" s="1222"/>
      <c r="I18" s="1219" t="s">
        <v>1748</v>
      </c>
      <c r="J18" s="1207"/>
      <c r="K18" s="1207"/>
      <c r="L18" s="1203">
        <v>9733.48</v>
      </c>
      <c r="M18" s="1203">
        <v>25185</v>
      </c>
      <c r="N18" s="1207"/>
      <c r="O18" s="1203">
        <v>15200.99</v>
      </c>
      <c r="P18" s="1220"/>
      <c r="Q18" s="1207"/>
      <c r="R18" s="1203">
        <v>3563.33</v>
      </c>
      <c r="S18" s="1207">
        <v>2250</v>
      </c>
      <c r="T18" s="1203">
        <v>4730</v>
      </c>
      <c r="U18" s="1207"/>
      <c r="V18" s="1203">
        <v>1680</v>
      </c>
      <c r="W18" s="1203">
        <v>3400</v>
      </c>
      <c r="X18" s="1207"/>
      <c r="Y18" s="1203">
        <v>600</v>
      </c>
      <c r="Z18" s="1207"/>
      <c r="AA18" s="1203">
        <v>600</v>
      </c>
      <c r="AB18" s="1220"/>
      <c r="AC18" s="1203">
        <v>3375</v>
      </c>
      <c r="AD18" s="1207"/>
      <c r="AE18" s="1203">
        <v>15000</v>
      </c>
      <c r="AF18" s="1207"/>
      <c r="AG18" s="1203">
        <v>22500</v>
      </c>
      <c r="AH18" s="1203">
        <v>30880</v>
      </c>
      <c r="AI18" s="1203">
        <v>30000</v>
      </c>
      <c r="AJ18" s="1203">
        <v>45000</v>
      </c>
      <c r="AK18" s="1216">
        <v>1150.48</v>
      </c>
      <c r="AM18" s="1216"/>
      <c r="AN18" s="1216">
        <v>24511.040000000001</v>
      </c>
      <c r="AO18" s="1216">
        <v>1993.2</v>
      </c>
      <c r="AP18" s="1224">
        <v>31549.97</v>
      </c>
      <c r="AQ18" s="1216">
        <v>635.03</v>
      </c>
      <c r="AR18" s="1216">
        <v>547.20000000000005</v>
      </c>
      <c r="AS18" s="1216"/>
    </row>
    <row r="19" spans="1:45">
      <c r="A19" s="1192" t="s">
        <v>1573</v>
      </c>
      <c r="B19" s="1222">
        <f t="shared" si="1"/>
        <v>13980</v>
      </c>
      <c r="C19" s="1222">
        <f t="shared" si="4"/>
        <v>0</v>
      </c>
      <c r="D19" s="1222">
        <f t="shared" si="2"/>
        <v>0</v>
      </c>
      <c r="E19" s="1222">
        <f t="shared" si="3"/>
        <v>0</v>
      </c>
      <c r="F19" s="1222"/>
      <c r="G19" s="1222"/>
      <c r="I19" s="1219" t="s">
        <v>1749</v>
      </c>
      <c r="J19" s="1207"/>
      <c r="K19" s="1207"/>
      <c r="L19" s="1207"/>
      <c r="M19" s="1207"/>
      <c r="N19" s="1207"/>
      <c r="O19" s="1207"/>
      <c r="P19" s="1220"/>
      <c r="Q19" s="1207"/>
      <c r="R19" s="1203">
        <v>1480</v>
      </c>
      <c r="S19" s="1203">
        <v>1100</v>
      </c>
      <c r="T19" s="1203">
        <v>8100</v>
      </c>
      <c r="U19" s="1203">
        <v>3300</v>
      </c>
      <c r="V19" s="1207"/>
      <c r="W19" s="1207"/>
      <c r="X19" s="1207"/>
      <c r="Y19" s="1207"/>
      <c r="Z19" s="1207"/>
      <c r="AA19" s="1207"/>
      <c r="AB19" s="1220"/>
      <c r="AC19" s="1207"/>
      <c r="AD19" s="1207"/>
      <c r="AE19" s="1207"/>
      <c r="AF19" s="1207"/>
      <c r="AG19" s="1207"/>
      <c r="AH19" s="1207"/>
      <c r="AI19" s="1207"/>
      <c r="AJ19" s="1207"/>
      <c r="AM19" s="1216"/>
      <c r="AN19" s="1216"/>
      <c r="AO19" s="1216"/>
      <c r="AP19" s="1224"/>
      <c r="AQ19" s="1216"/>
      <c r="AR19" s="1216"/>
      <c r="AS19" s="1216"/>
    </row>
    <row r="20" spans="1:45">
      <c r="A20" s="1192" t="s">
        <v>1573</v>
      </c>
      <c r="B20" s="1222">
        <f t="shared" si="1"/>
        <v>19269.709999999995</v>
      </c>
      <c r="C20" s="1222">
        <f t="shared" si="4"/>
        <v>6538.62</v>
      </c>
      <c r="D20" s="1222">
        <f t="shared" si="2"/>
        <v>4272.63</v>
      </c>
      <c r="E20" s="1222">
        <f t="shared" si="3"/>
        <v>2265.9899999999998</v>
      </c>
      <c r="F20" s="1222"/>
      <c r="G20" s="1222"/>
      <c r="I20" s="1219" t="s">
        <v>1750</v>
      </c>
      <c r="J20" s="1207"/>
      <c r="K20" s="1207"/>
      <c r="L20" s="1207"/>
      <c r="M20" s="1207"/>
      <c r="N20" s="1207"/>
      <c r="O20" s="1207"/>
      <c r="P20" s="1220"/>
      <c r="Q20" s="1203">
        <v>486.71</v>
      </c>
      <c r="R20" s="1207"/>
      <c r="S20" s="1207"/>
      <c r="T20" s="1203">
        <v>8094.18</v>
      </c>
      <c r="U20" s="1207"/>
      <c r="V20" s="1207"/>
      <c r="W20" s="1207"/>
      <c r="X20" s="1207"/>
      <c r="Y20" s="1207"/>
      <c r="Z20" s="1207"/>
      <c r="AA20" s="1207"/>
      <c r="AB20" s="1223">
        <v>214.72</v>
      </c>
      <c r="AC20" s="1207"/>
      <c r="AD20" s="1207"/>
      <c r="AE20" s="1203"/>
      <c r="AF20" s="1203">
        <v>183.22</v>
      </c>
      <c r="AG20" s="1207">
        <v>1520.65</v>
      </c>
      <c r="AH20" s="1207">
        <v>374.07</v>
      </c>
      <c r="AI20" s="1207"/>
      <c r="AJ20" s="1207"/>
      <c r="AL20" s="1216">
        <v>1857.54</v>
      </c>
      <c r="AM20" s="1216"/>
      <c r="AN20" s="1216">
        <v>818.73</v>
      </c>
      <c r="AO20" s="1216">
        <v>1854.12</v>
      </c>
      <c r="AP20" s="1224">
        <v>1599.78</v>
      </c>
      <c r="AQ20" s="1216">
        <v>1591.5</v>
      </c>
      <c r="AR20" s="1216">
        <v>674.49</v>
      </c>
      <c r="AS20" s="1216"/>
    </row>
    <row r="21" spans="1:45">
      <c r="A21" s="1192" t="s">
        <v>1573</v>
      </c>
      <c r="B21" s="1222">
        <f t="shared" si="1"/>
        <v>5090.6200000000008</v>
      </c>
      <c r="C21" s="1222">
        <f t="shared" si="4"/>
        <v>1303.4099999999999</v>
      </c>
      <c r="D21" s="1222">
        <f t="shared" si="2"/>
        <v>864.78</v>
      </c>
      <c r="E21" s="1222">
        <f t="shared" si="3"/>
        <v>438.63</v>
      </c>
      <c r="F21" s="1222"/>
      <c r="G21" s="1222"/>
      <c r="I21" s="1219" t="s">
        <v>1751</v>
      </c>
      <c r="J21" s="1207"/>
      <c r="K21" s="1207"/>
      <c r="L21" s="1207"/>
      <c r="M21" s="1203">
        <v>69.900000000000006</v>
      </c>
      <c r="N21" s="1203">
        <v>34.950000000000003</v>
      </c>
      <c r="O21" s="1203">
        <v>356.8</v>
      </c>
      <c r="P21" s="1223">
        <v>62.91</v>
      </c>
      <c r="Q21" s="1203">
        <v>396.64</v>
      </c>
      <c r="R21" s="1203">
        <v>311.39</v>
      </c>
      <c r="S21" s="1203">
        <v>495.66</v>
      </c>
      <c r="T21" s="1207"/>
      <c r="U21" s="1203">
        <v>155.33000000000001</v>
      </c>
      <c r="V21" s="1203">
        <v>10.7</v>
      </c>
      <c r="W21" s="1203">
        <v>89.38</v>
      </c>
      <c r="X21" s="1203">
        <v>135.41</v>
      </c>
      <c r="Y21" s="1203">
        <v>324.52</v>
      </c>
      <c r="Z21" s="1203">
        <v>-244.45</v>
      </c>
      <c r="AA21" s="1203">
        <v>-12.23</v>
      </c>
      <c r="AB21" s="1223"/>
      <c r="AC21" s="1203">
        <v>748</v>
      </c>
      <c r="AD21" s="1207"/>
      <c r="AE21" s="1207"/>
      <c r="AF21" s="1207"/>
      <c r="AG21" s="1207"/>
      <c r="AH21" s="1207"/>
      <c r="AI21" s="1207"/>
      <c r="AJ21" s="1207"/>
      <c r="AK21" s="1216">
        <v>426.15</v>
      </c>
      <c r="AM21" s="1216">
        <v>426.15</v>
      </c>
      <c r="AN21" s="1216">
        <v>426.15</v>
      </c>
      <c r="AO21" s="1216"/>
      <c r="AP21" s="1224">
        <v>438.63</v>
      </c>
      <c r="AQ21" s="1216">
        <v>438.63</v>
      </c>
      <c r="AR21" s="1216"/>
      <c r="AS21" s="1216"/>
    </row>
    <row r="22" spans="1:45">
      <c r="A22" s="1192" t="s">
        <v>1574</v>
      </c>
      <c r="B22" s="1222">
        <f t="shared" si="1"/>
        <v>12046.99</v>
      </c>
      <c r="C22" s="1222">
        <f t="shared" si="4"/>
        <v>0</v>
      </c>
      <c r="D22" s="1222">
        <f t="shared" si="2"/>
        <v>0</v>
      </c>
      <c r="E22" s="1222">
        <f t="shared" si="3"/>
        <v>0</v>
      </c>
      <c r="F22" s="1222"/>
      <c r="G22" s="1222"/>
      <c r="I22" s="1219" t="s">
        <v>1752</v>
      </c>
      <c r="J22" s="1207"/>
      <c r="K22" s="1207"/>
      <c r="L22" s="1207"/>
      <c r="M22" s="1207"/>
      <c r="N22" s="1207"/>
      <c r="O22" s="1207"/>
      <c r="P22" s="1223">
        <v>1737.84</v>
      </c>
      <c r="Q22" s="1207"/>
      <c r="R22" s="1203">
        <v>189.19</v>
      </c>
      <c r="S22" s="1207"/>
      <c r="T22" s="1207"/>
      <c r="U22" s="1207"/>
      <c r="V22" s="1207"/>
      <c r="W22" s="1207"/>
      <c r="X22" s="1207"/>
      <c r="Y22" s="1207"/>
      <c r="Z22" s="1207"/>
      <c r="AA22" s="1207"/>
      <c r="AB22" s="1223">
        <v>63.82</v>
      </c>
      <c r="AC22" s="1207"/>
      <c r="AD22" s="1207"/>
      <c r="AE22" s="1207"/>
      <c r="AF22" s="1207"/>
      <c r="AG22" s="1207"/>
      <c r="AH22" s="1207"/>
      <c r="AI22" s="1203">
        <v>81.150000000000006</v>
      </c>
      <c r="AJ22" s="1203"/>
      <c r="AK22" s="1216">
        <v>33.99</v>
      </c>
      <c r="AL22" s="1216">
        <v>6710.68</v>
      </c>
      <c r="AM22" s="1216">
        <v>3230.32</v>
      </c>
      <c r="AN22" s="1216"/>
      <c r="AO22" s="1216"/>
      <c r="AP22" s="1224"/>
      <c r="AQ22" s="1216"/>
      <c r="AR22" s="1216"/>
      <c r="AS22" s="1216"/>
    </row>
    <row r="23" spans="1:45">
      <c r="A23" s="1192" t="s">
        <v>1574</v>
      </c>
      <c r="B23" s="1222">
        <f t="shared" si="1"/>
        <v>58403.479999999996</v>
      </c>
      <c r="C23" s="1222">
        <f t="shared" si="4"/>
        <v>19964.16</v>
      </c>
      <c r="D23" s="1222">
        <f t="shared" si="2"/>
        <v>4060</v>
      </c>
      <c r="E23" s="1222">
        <f t="shared" si="3"/>
        <v>15904.16</v>
      </c>
      <c r="F23" s="1222"/>
      <c r="G23" s="1222"/>
      <c r="I23" s="1219" t="s">
        <v>1753</v>
      </c>
      <c r="J23" s="1207"/>
      <c r="K23" s="1207"/>
      <c r="L23" s="1207"/>
      <c r="M23" s="1207"/>
      <c r="N23" s="1207"/>
      <c r="O23" s="1207">
        <v>2024.66</v>
      </c>
      <c r="P23" s="1220"/>
      <c r="Q23" s="1207"/>
      <c r="R23" s="1207"/>
      <c r="S23" s="1207"/>
      <c r="T23" s="1207"/>
      <c r="U23" s="1207">
        <v>1441.34</v>
      </c>
      <c r="V23" s="1207">
        <v>2876.32</v>
      </c>
      <c r="W23" s="1207"/>
      <c r="X23" s="1207"/>
      <c r="Y23" s="1203">
        <v>850</v>
      </c>
      <c r="Z23" s="1207"/>
      <c r="AA23" s="1203">
        <v>3735</v>
      </c>
      <c r="AB23" s="1223">
        <v>3975</v>
      </c>
      <c r="AC23" s="1203">
        <v>6500</v>
      </c>
      <c r="AD23" s="1203">
        <v>5780</v>
      </c>
      <c r="AE23" s="1203">
        <v>3601</v>
      </c>
      <c r="AF23" s="1203">
        <v>90</v>
      </c>
      <c r="AG23" s="1207"/>
      <c r="AH23" s="1207"/>
      <c r="AI23" s="1207">
        <v>650</v>
      </c>
      <c r="AJ23" s="1207">
        <v>3449</v>
      </c>
      <c r="AK23" s="1216">
        <v>119</v>
      </c>
      <c r="AL23" s="1216">
        <v>550</v>
      </c>
      <c r="AM23" s="1216">
        <v>2798</v>
      </c>
      <c r="AN23" s="1216"/>
      <c r="AO23" s="1216">
        <v>3060</v>
      </c>
      <c r="AP23" s="1224">
        <v>1000</v>
      </c>
      <c r="AQ23" s="1216">
        <v>12144</v>
      </c>
      <c r="AR23" s="1216">
        <v>3760.16</v>
      </c>
      <c r="AS23" s="1216"/>
    </row>
    <row r="24" spans="1:45">
      <c r="A24" s="1192" t="s">
        <v>1574</v>
      </c>
      <c r="B24" s="1222">
        <f t="shared" si="1"/>
        <v>404537.27</v>
      </c>
      <c r="C24" s="1222">
        <f t="shared" si="4"/>
        <v>104574.45000000001</v>
      </c>
      <c r="D24" s="1222">
        <f t="shared" si="2"/>
        <v>51348.3</v>
      </c>
      <c r="E24" s="1222">
        <f t="shared" si="3"/>
        <v>53226.149999999994</v>
      </c>
      <c r="F24" s="1222"/>
      <c r="G24" s="1222"/>
      <c r="I24" s="1219" t="s">
        <v>1754</v>
      </c>
      <c r="J24" s="1207"/>
      <c r="K24" s="1207"/>
      <c r="L24" s="1207"/>
      <c r="M24" s="1207"/>
      <c r="N24" s="1207">
        <v>4714.3999999999996</v>
      </c>
      <c r="O24" s="1207">
        <v>15118.59</v>
      </c>
      <c r="P24" s="1223">
        <v>21005.47</v>
      </c>
      <c r="Q24" s="1203">
        <v>5079.3</v>
      </c>
      <c r="R24" s="1203">
        <v>14826.23</v>
      </c>
      <c r="S24" s="1203">
        <v>14407.56</v>
      </c>
      <c r="T24" s="1203">
        <v>7975.33</v>
      </c>
      <c r="U24" s="1203">
        <v>4144.82</v>
      </c>
      <c r="V24" s="1203">
        <v>10595.51</v>
      </c>
      <c r="W24" s="1203">
        <v>4894.2700000000004</v>
      </c>
      <c r="X24" s="1203">
        <v>11546.06</v>
      </c>
      <c r="Y24" s="1203">
        <v>7328.93</v>
      </c>
      <c r="Z24" s="1203">
        <v>11736.17</v>
      </c>
      <c r="AA24" s="1203">
        <v>10671.56</v>
      </c>
      <c r="AB24" s="1223">
        <v>8271.7900000000009</v>
      </c>
      <c r="AC24" s="1203">
        <v>6494.5</v>
      </c>
      <c r="AD24" s="1203">
        <v>18713.080000000002</v>
      </c>
      <c r="AE24" s="1203">
        <v>10173.98</v>
      </c>
      <c r="AF24" s="1203">
        <v>19249.52</v>
      </c>
      <c r="AG24" s="1203">
        <v>22015.23</v>
      </c>
      <c r="AH24" s="1203">
        <v>13476.86</v>
      </c>
      <c r="AI24" s="1203">
        <v>9704.8700000000008</v>
      </c>
      <c r="AJ24" s="1203">
        <v>6528.8</v>
      </c>
      <c r="AK24" s="1216">
        <v>23462.15</v>
      </c>
      <c r="AL24" s="1216">
        <v>12927.82</v>
      </c>
      <c r="AM24" s="1216">
        <v>4900.0200000000004</v>
      </c>
      <c r="AN24" s="1216">
        <v>11046.85</v>
      </c>
      <c r="AO24" s="1216">
        <v>22489.5</v>
      </c>
      <c r="AP24" s="1224">
        <v>17811.95</v>
      </c>
      <c r="AQ24" s="1216">
        <v>20783.55</v>
      </c>
      <c r="AR24" s="1216">
        <v>32442.6</v>
      </c>
      <c r="AS24" s="1216"/>
    </row>
    <row r="25" spans="1:45">
      <c r="A25" s="1192" t="s">
        <v>1574</v>
      </c>
      <c r="B25" s="1222">
        <f t="shared" si="1"/>
        <v>5078.63</v>
      </c>
      <c r="C25" s="1222">
        <f t="shared" si="4"/>
        <v>415.59000000000003</v>
      </c>
      <c r="D25" s="1222">
        <f t="shared" si="2"/>
        <v>55.92</v>
      </c>
      <c r="E25" s="1222">
        <f t="shared" si="3"/>
        <v>359.67</v>
      </c>
      <c r="F25" s="1222"/>
      <c r="G25" s="1222"/>
      <c r="I25" s="1219" t="s">
        <v>1755</v>
      </c>
      <c r="J25" s="1207"/>
      <c r="K25" s="1207"/>
      <c r="L25" s="1207"/>
      <c r="M25" s="1207"/>
      <c r="N25" s="1207"/>
      <c r="O25" s="1207"/>
      <c r="P25" s="1223">
        <v>371.31</v>
      </c>
      <c r="Q25" s="1207"/>
      <c r="R25" s="1203">
        <v>129.72999999999999</v>
      </c>
      <c r="S25" s="1207"/>
      <c r="T25" s="1207"/>
      <c r="U25" s="1207"/>
      <c r="V25" s="1207"/>
      <c r="W25" s="1203">
        <v>103.38</v>
      </c>
      <c r="X25" s="1207">
        <v>22.26</v>
      </c>
      <c r="Y25" s="1203">
        <v>98.3</v>
      </c>
      <c r="Z25" s="1207"/>
      <c r="AA25" s="1203">
        <v>694.09</v>
      </c>
      <c r="AB25" s="1223">
        <v>64.56</v>
      </c>
      <c r="AC25" s="1203">
        <v>96.23</v>
      </c>
      <c r="AD25" s="1203">
        <v>129.88</v>
      </c>
      <c r="AE25" s="1203">
        <v>506.38</v>
      </c>
      <c r="AF25" s="1203">
        <v>15.11</v>
      </c>
      <c r="AG25" s="1203">
        <v>17.02</v>
      </c>
      <c r="AH25" s="1203">
        <v>638.30999999999995</v>
      </c>
      <c r="AI25" s="1203">
        <v>886.33</v>
      </c>
      <c r="AJ25" s="1203"/>
      <c r="AK25" s="1216">
        <v>549.6</v>
      </c>
      <c r="AL25" s="1216">
        <v>67.709999999999994</v>
      </c>
      <c r="AM25" s="1216">
        <v>272.83999999999997</v>
      </c>
      <c r="AN25" s="1216"/>
      <c r="AO25" s="1216">
        <v>55.92</v>
      </c>
      <c r="AP25" s="1224"/>
      <c r="AQ25" s="1216"/>
      <c r="AR25" s="1216">
        <v>359.67</v>
      </c>
      <c r="AS25" s="1216"/>
    </row>
    <row r="26" spans="1:45">
      <c r="A26" s="1228" t="s">
        <v>1574</v>
      </c>
      <c r="B26" s="1222">
        <f t="shared" si="1"/>
        <v>66383.570000000007</v>
      </c>
      <c r="C26" s="1222">
        <f t="shared" si="4"/>
        <v>17742.37</v>
      </c>
      <c r="D26" s="1222">
        <f t="shared" si="2"/>
        <v>12955.419999999998</v>
      </c>
      <c r="E26" s="1222">
        <f t="shared" si="3"/>
        <v>4786.95</v>
      </c>
      <c r="F26" s="1222"/>
      <c r="G26" s="1222"/>
      <c r="I26" s="1219" t="s">
        <v>1756</v>
      </c>
      <c r="J26" s="1207"/>
      <c r="K26" s="1207"/>
      <c r="L26" s="1207"/>
      <c r="M26" s="1207"/>
      <c r="N26" s="1207"/>
      <c r="O26" s="1207">
        <v>727.44</v>
      </c>
      <c r="P26" s="1223">
        <v>542.24</v>
      </c>
      <c r="Q26" s="1203">
        <v>711.72</v>
      </c>
      <c r="R26" s="1203">
        <v>2047.78</v>
      </c>
      <c r="S26" s="1203">
        <v>1663.17</v>
      </c>
      <c r="T26" s="1203">
        <v>1954.46</v>
      </c>
      <c r="U26" s="1207">
        <v>1311.93</v>
      </c>
      <c r="V26" s="1203">
        <v>3987.59</v>
      </c>
      <c r="W26" s="1203">
        <v>1433.12</v>
      </c>
      <c r="X26" s="1207">
        <v>730.12</v>
      </c>
      <c r="Y26" s="1203">
        <v>756.64</v>
      </c>
      <c r="Z26" s="1203">
        <v>1579.91</v>
      </c>
      <c r="AA26" s="1203">
        <v>2054.71</v>
      </c>
      <c r="AB26" s="1223">
        <v>1654.72</v>
      </c>
      <c r="AC26" s="1203">
        <v>2226.39</v>
      </c>
      <c r="AD26" s="1203">
        <v>1940.45</v>
      </c>
      <c r="AE26" s="1203">
        <v>1413.63</v>
      </c>
      <c r="AF26" s="1203">
        <v>1436.05</v>
      </c>
      <c r="AG26" s="1203">
        <v>2900.84</v>
      </c>
      <c r="AH26" s="1203">
        <v>503.04</v>
      </c>
      <c r="AI26" s="1203">
        <v>4183.42</v>
      </c>
      <c r="AJ26" s="1203">
        <v>1698.5</v>
      </c>
      <c r="AK26" s="1216">
        <v>5760.87</v>
      </c>
      <c r="AL26" s="1216">
        <v>2149.64</v>
      </c>
      <c r="AM26" s="1216">
        <v>3272.82</v>
      </c>
      <c r="AN26" s="1216">
        <v>4644.04</v>
      </c>
      <c r="AO26" s="1216">
        <v>6948.15</v>
      </c>
      <c r="AP26" s="1224">
        <v>1363.23</v>
      </c>
      <c r="AQ26" s="1216">
        <v>1260.8599999999999</v>
      </c>
      <c r="AR26" s="1216">
        <v>3526.09</v>
      </c>
      <c r="AS26" s="1216"/>
    </row>
    <row r="27" spans="1:45">
      <c r="A27" s="1192" t="s">
        <v>1579</v>
      </c>
      <c r="B27" s="1222">
        <f t="shared" si="1"/>
        <v>0</v>
      </c>
      <c r="C27" s="1222">
        <f t="shared" si="4"/>
        <v>0</v>
      </c>
      <c r="D27" s="1222">
        <f t="shared" si="2"/>
        <v>0</v>
      </c>
      <c r="E27" s="1222">
        <f t="shared" si="3"/>
        <v>0</v>
      </c>
      <c r="F27" s="1222"/>
      <c r="G27" s="1222"/>
      <c r="I27" s="1219" t="s">
        <v>1757</v>
      </c>
      <c r="J27" s="1207"/>
      <c r="K27" s="1203"/>
      <c r="L27" s="1203"/>
      <c r="M27" s="1203"/>
      <c r="N27" s="1203"/>
      <c r="O27" s="1203"/>
      <c r="P27" s="1223"/>
      <c r="Q27" s="1203"/>
      <c r="R27" s="1203"/>
      <c r="S27" s="1203"/>
      <c r="T27" s="1203"/>
      <c r="U27" s="1203"/>
      <c r="V27" s="1203"/>
      <c r="W27" s="1203"/>
      <c r="X27" s="1203"/>
      <c r="Y27" s="1203"/>
      <c r="Z27" s="1203"/>
      <c r="AA27" s="1203"/>
      <c r="AB27" s="1220"/>
      <c r="AC27" s="1207"/>
      <c r="AD27" s="1207"/>
      <c r="AE27" s="1207"/>
      <c r="AF27" s="1207"/>
      <c r="AG27" s="1207"/>
      <c r="AH27" s="1207"/>
      <c r="AI27" s="1207"/>
      <c r="AJ27" s="1207"/>
      <c r="AM27" s="1216"/>
      <c r="AN27" s="1216"/>
      <c r="AO27" s="1216"/>
      <c r="AP27" s="1224"/>
      <c r="AQ27" s="1216"/>
      <c r="AR27" s="1216"/>
      <c r="AS27" s="1216"/>
    </row>
    <row r="28" spans="1:45">
      <c r="A28" s="1192" t="s">
        <v>1577</v>
      </c>
      <c r="B28" s="1222">
        <f t="shared" si="1"/>
        <v>74591.11</v>
      </c>
      <c r="C28" s="1222">
        <f t="shared" si="4"/>
        <v>4744.6899999999996</v>
      </c>
      <c r="D28" s="1222">
        <f t="shared" si="2"/>
        <v>0</v>
      </c>
      <c r="E28" s="1222">
        <f t="shared" si="3"/>
        <v>4744.6899999999996</v>
      </c>
      <c r="F28" s="1222"/>
      <c r="G28" s="1222"/>
      <c r="I28" s="1219" t="s">
        <v>1758</v>
      </c>
      <c r="J28" s="1207"/>
      <c r="K28" s="1207"/>
      <c r="L28" s="1207"/>
      <c r="M28" s="1207"/>
      <c r="N28" s="1203">
        <v>14371.25</v>
      </c>
      <c r="O28" s="1203">
        <v>3693.15</v>
      </c>
      <c r="P28" s="1223">
        <v>1837.5</v>
      </c>
      <c r="Q28" s="1207"/>
      <c r="R28" s="1203">
        <v>25689.69</v>
      </c>
      <c r="S28" s="1203">
        <v>1425</v>
      </c>
      <c r="T28" s="1203">
        <v>3672.5</v>
      </c>
      <c r="U28" s="1207"/>
      <c r="V28" s="1207"/>
      <c r="W28" s="1203">
        <v>275</v>
      </c>
      <c r="X28" s="1207"/>
      <c r="Y28" s="1207"/>
      <c r="Z28" s="1203">
        <v>568.13</v>
      </c>
      <c r="AA28" s="1203">
        <v>315.63</v>
      </c>
      <c r="AB28" s="1223">
        <v>2500</v>
      </c>
      <c r="AC28" s="1203">
        <v>4614.08</v>
      </c>
      <c r="AD28" s="1203">
        <v>3155.38</v>
      </c>
      <c r="AE28" s="1203">
        <v>137.76</v>
      </c>
      <c r="AF28" s="1203">
        <v>811.13</v>
      </c>
      <c r="AG28" s="1207"/>
      <c r="AH28" s="1203">
        <v>943.74</v>
      </c>
      <c r="AI28" s="1207"/>
      <c r="AJ28" s="1207">
        <v>2913.08</v>
      </c>
      <c r="AK28" s="1216">
        <v>1705.94</v>
      </c>
      <c r="AL28" s="1216">
        <v>1217.46</v>
      </c>
      <c r="AM28" s="1216"/>
      <c r="AN28" s="1216"/>
      <c r="AO28" s="1216"/>
      <c r="AP28" s="1224"/>
      <c r="AQ28" s="1216"/>
      <c r="AR28" s="1216">
        <v>4744.6899999999996</v>
      </c>
      <c r="AS28" s="1216"/>
    </row>
    <row r="29" spans="1:45">
      <c r="A29" s="1192" t="s">
        <v>1577</v>
      </c>
      <c r="B29" s="1222">
        <f t="shared" si="1"/>
        <v>127397.35</v>
      </c>
      <c r="C29" s="1222">
        <f>SUM(AN29:AZ29)</f>
        <v>68479.28</v>
      </c>
      <c r="D29" s="1222">
        <f t="shared" si="2"/>
        <v>36425.69</v>
      </c>
      <c r="E29" s="1222">
        <f t="shared" si="3"/>
        <v>32053.59</v>
      </c>
      <c r="F29" s="1222"/>
      <c r="G29" s="1222"/>
      <c r="I29" s="1219" t="s">
        <v>1759</v>
      </c>
      <c r="J29" s="1207"/>
      <c r="K29" s="1207"/>
      <c r="L29" s="1207"/>
      <c r="M29" s="1207"/>
      <c r="N29" s="1203"/>
      <c r="O29" s="1203"/>
      <c r="P29" s="1223"/>
      <c r="Q29" s="1207"/>
      <c r="R29" s="1203"/>
      <c r="S29" s="1203"/>
      <c r="T29" s="1203"/>
      <c r="U29" s="1207"/>
      <c r="V29" s="1207"/>
      <c r="W29" s="1203"/>
      <c r="X29" s="1207"/>
      <c r="Y29" s="1207"/>
      <c r="Z29" s="1203"/>
      <c r="AA29" s="1203"/>
      <c r="AB29" s="1223"/>
      <c r="AC29" s="1203"/>
      <c r="AD29" s="1203"/>
      <c r="AE29" s="1203"/>
      <c r="AF29" s="1203"/>
      <c r="AG29" s="1207"/>
      <c r="AH29" s="1203"/>
      <c r="AI29" s="1207"/>
      <c r="AJ29" s="1207"/>
      <c r="AK29" s="1216">
        <v>24387</v>
      </c>
      <c r="AL29" s="1216">
        <v>16809.25</v>
      </c>
      <c r="AM29" s="1216">
        <v>17721.82</v>
      </c>
      <c r="AN29" s="1216"/>
      <c r="AO29" s="1216">
        <v>22023.49</v>
      </c>
      <c r="AP29" s="1224">
        <v>14402.2</v>
      </c>
      <c r="AQ29" s="1216">
        <v>14806.05</v>
      </c>
      <c r="AR29" s="1216">
        <v>17247.54</v>
      </c>
      <c r="AS29" s="1216"/>
    </row>
    <row r="30" spans="1:45">
      <c r="A30" s="1192" t="s">
        <v>1577</v>
      </c>
      <c r="B30" s="1222">
        <f t="shared" si="1"/>
        <v>16431.77</v>
      </c>
      <c r="C30" s="1222">
        <f t="shared" si="4"/>
        <v>6283.2</v>
      </c>
      <c r="D30" s="1222">
        <f t="shared" si="2"/>
        <v>571.20000000000005</v>
      </c>
      <c r="E30" s="1222">
        <f t="shared" si="3"/>
        <v>5712</v>
      </c>
      <c r="F30" s="1222"/>
      <c r="G30" s="1222"/>
      <c r="I30" s="1219" t="s">
        <v>1760</v>
      </c>
      <c r="J30" s="1207"/>
      <c r="K30" s="1207"/>
      <c r="L30" s="1207"/>
      <c r="M30" s="1207"/>
      <c r="N30" s="1207"/>
      <c r="O30" s="1207"/>
      <c r="P30" s="1220"/>
      <c r="Q30" s="1207"/>
      <c r="R30" s="1207"/>
      <c r="S30" s="1207"/>
      <c r="T30" s="1207"/>
      <c r="U30" s="1207"/>
      <c r="V30" s="1207"/>
      <c r="W30" s="1203"/>
      <c r="X30" s="1207"/>
      <c r="Y30" s="1207"/>
      <c r="Z30" s="1207"/>
      <c r="AA30" s="1207"/>
      <c r="AB30" s="1220"/>
      <c r="AC30" s="1207"/>
      <c r="AD30" s="1207"/>
      <c r="AE30" s="1207"/>
      <c r="AF30" s="1207"/>
      <c r="AG30" s="1207"/>
      <c r="AH30" s="1207"/>
      <c r="AI30" s="1207"/>
      <c r="AJ30" s="1207"/>
      <c r="AK30" s="1216">
        <v>8492.77</v>
      </c>
      <c r="AL30" s="1216">
        <v>1655.8</v>
      </c>
      <c r="AM30" s="1216"/>
      <c r="AN30" s="1216"/>
      <c r="AO30" s="1216">
        <v>571.20000000000005</v>
      </c>
      <c r="AP30" s="1224"/>
      <c r="AQ30" s="1216">
        <v>5712</v>
      </c>
      <c r="AR30" s="1216"/>
      <c r="AS30" s="1216"/>
    </row>
    <row r="31" spans="1:45">
      <c r="A31" s="1192" t="s">
        <v>1577</v>
      </c>
      <c r="B31" s="1222">
        <f t="shared" si="1"/>
        <v>517462.62</v>
      </c>
      <c r="C31" s="1222">
        <f t="shared" si="4"/>
        <v>130383.63</v>
      </c>
      <c r="D31" s="1222">
        <f t="shared" si="2"/>
        <v>69063.13</v>
      </c>
      <c r="E31" s="1222">
        <f t="shared" si="3"/>
        <v>61320.5</v>
      </c>
      <c r="F31" s="1222"/>
      <c r="G31" s="1222"/>
      <c r="I31" s="1219" t="s">
        <v>1761</v>
      </c>
      <c r="J31" s="1207"/>
      <c r="K31" s="1203">
        <v>12692.04</v>
      </c>
      <c r="L31" s="1203">
        <v>24815</v>
      </c>
      <c r="M31" s="1203">
        <v>4253.8</v>
      </c>
      <c r="N31" s="1203">
        <v>972.35</v>
      </c>
      <c r="O31" s="1203">
        <v>1583.55</v>
      </c>
      <c r="P31" s="1223">
        <v>7033.98</v>
      </c>
      <c r="Q31" s="1207">
        <v>2195.1</v>
      </c>
      <c r="R31" s="1207"/>
      <c r="S31" s="1203">
        <v>14438.25</v>
      </c>
      <c r="T31" s="1203">
        <v>7305</v>
      </c>
      <c r="U31" s="1203">
        <v>8869.9</v>
      </c>
      <c r="V31" s="1207"/>
      <c r="W31" s="1203">
        <v>15475.86</v>
      </c>
      <c r="X31" s="1203">
        <v>4659.17</v>
      </c>
      <c r="Y31" s="1203">
        <v>57755.47</v>
      </c>
      <c r="Z31" s="1207"/>
      <c r="AA31" s="1203">
        <v>37289.81</v>
      </c>
      <c r="AB31" s="1223">
        <v>760</v>
      </c>
      <c r="AC31" s="1203">
        <v>5815</v>
      </c>
      <c r="AD31" s="1203">
        <v>2656.25</v>
      </c>
      <c r="AE31" s="1203">
        <v>44075.62</v>
      </c>
      <c r="AF31" s="1203">
        <v>6506.25</v>
      </c>
      <c r="AG31" s="1203">
        <v>12779</v>
      </c>
      <c r="AH31" s="1203">
        <v>6685</v>
      </c>
      <c r="AI31" s="1203">
        <v>26003.75</v>
      </c>
      <c r="AJ31" s="1203">
        <v>1593</v>
      </c>
      <c r="AK31" s="1216">
        <v>17953.75</v>
      </c>
      <c r="AL31" s="1216">
        <v>17418.75</v>
      </c>
      <c r="AM31" s="1216">
        <v>45493.34</v>
      </c>
      <c r="AN31" s="1216">
        <v>41725.629999999997</v>
      </c>
      <c r="AO31" s="1216">
        <v>8170.5</v>
      </c>
      <c r="AP31" s="1224">
        <v>19167</v>
      </c>
      <c r="AQ31" s="1216">
        <v>25236.25</v>
      </c>
      <c r="AR31" s="1216">
        <v>36084.25</v>
      </c>
      <c r="AS31" s="1216"/>
    </row>
    <row r="32" spans="1:45">
      <c r="A32" s="1192" t="s">
        <v>1575</v>
      </c>
      <c r="B32" s="1222">
        <f t="shared" si="1"/>
        <v>775027.19</v>
      </c>
      <c r="C32" s="1222">
        <f t="shared" si="4"/>
        <v>178054.86</v>
      </c>
      <c r="D32" s="1222">
        <f t="shared" si="2"/>
        <v>106566.62</v>
      </c>
      <c r="E32" s="1222">
        <f t="shared" si="3"/>
        <v>71488.239999999991</v>
      </c>
      <c r="F32" s="1222"/>
      <c r="G32" s="1222"/>
      <c r="I32" s="1219" t="s">
        <v>1762</v>
      </c>
      <c r="J32" s="1207">
        <v>55021.03</v>
      </c>
      <c r="K32" s="1203">
        <v>35208.9</v>
      </c>
      <c r="L32" s="1203">
        <v>8818.2000000000007</v>
      </c>
      <c r="M32" s="1203">
        <v>1583.1</v>
      </c>
      <c r="N32" s="1203">
        <v>29005.1</v>
      </c>
      <c r="O32" s="1203">
        <v>13120.4</v>
      </c>
      <c r="P32" s="1220">
        <v>5370.4</v>
      </c>
      <c r="Q32" s="1207"/>
      <c r="R32" s="1207"/>
      <c r="S32" s="1203">
        <v>20337.150000000001</v>
      </c>
      <c r="T32" s="1207">
        <v>452.5</v>
      </c>
      <c r="U32" s="1207"/>
      <c r="V32" s="1203">
        <v>35750</v>
      </c>
      <c r="W32" s="1203">
        <v>47454.92</v>
      </c>
      <c r="X32" s="1203">
        <v>27066.34</v>
      </c>
      <c r="Y32" s="1203">
        <v>35276.120000000003</v>
      </c>
      <c r="Z32" s="1203">
        <v>29341.03</v>
      </c>
      <c r="AA32" s="1203"/>
      <c r="AB32" s="1223">
        <v>18064.16</v>
      </c>
      <c r="AC32" s="1203">
        <v>1349.97</v>
      </c>
      <c r="AD32" s="1203">
        <v>563.14</v>
      </c>
      <c r="AE32" s="1203">
        <v>388.13</v>
      </c>
      <c r="AF32" s="1203">
        <v>10725.39</v>
      </c>
      <c r="AG32" s="1203">
        <v>14740.02</v>
      </c>
      <c r="AH32" s="1203">
        <v>33264.17</v>
      </c>
      <c r="AI32" s="1203">
        <v>46662.32</v>
      </c>
      <c r="AJ32" s="1203">
        <v>41600.800000000003</v>
      </c>
      <c r="AL32" s="1216">
        <v>70478.44</v>
      </c>
      <c r="AM32" s="1216">
        <v>15330.6</v>
      </c>
      <c r="AN32" s="1216">
        <v>27847.21</v>
      </c>
      <c r="AO32" s="1216">
        <v>28897</v>
      </c>
      <c r="AP32" s="1224">
        <v>49822.41</v>
      </c>
      <c r="AQ32" s="1216">
        <v>52835.53</v>
      </c>
      <c r="AR32" s="1216">
        <v>18652.71</v>
      </c>
      <c r="AS32" s="1216"/>
    </row>
    <row r="33" spans="1:45">
      <c r="A33" s="1192" t="s">
        <v>1577</v>
      </c>
      <c r="B33" s="1222">
        <f t="shared" si="1"/>
        <v>1425271.4299999997</v>
      </c>
      <c r="C33" s="1222">
        <f t="shared" si="4"/>
        <v>194229.58000000002</v>
      </c>
      <c r="D33" s="1222">
        <f t="shared" si="2"/>
        <v>109553.5</v>
      </c>
      <c r="E33" s="1222">
        <f t="shared" si="3"/>
        <v>84676.08</v>
      </c>
      <c r="F33" s="1222"/>
      <c r="G33" s="1222"/>
      <c r="I33" s="1219" t="s">
        <v>1763</v>
      </c>
      <c r="J33" s="1203">
        <v>350</v>
      </c>
      <c r="K33" s="1203">
        <v>193195</v>
      </c>
      <c r="L33" s="1203">
        <v>167711.72</v>
      </c>
      <c r="M33" s="1203">
        <v>57046.27</v>
      </c>
      <c r="N33" s="1203">
        <v>45000</v>
      </c>
      <c r="O33" s="1203">
        <v>117586.36</v>
      </c>
      <c r="P33" s="1223">
        <v>75814.95</v>
      </c>
      <c r="Q33" s="1203">
        <v>35654.949999999997</v>
      </c>
      <c r="R33" s="1203">
        <v>44407.95</v>
      </c>
      <c r="S33" s="1203">
        <v>8869.9500000000007</v>
      </c>
      <c r="T33" s="1203">
        <v>22589.95</v>
      </c>
      <c r="U33" s="1203">
        <v>25204.95</v>
      </c>
      <c r="V33" s="1203">
        <v>44539.9</v>
      </c>
      <c r="W33" s="1203">
        <v>6239.95</v>
      </c>
      <c r="X33" s="1203">
        <v>14729.95</v>
      </c>
      <c r="Y33" s="1203">
        <v>38460</v>
      </c>
      <c r="Z33" s="1203">
        <v>19400</v>
      </c>
      <c r="AA33" s="1203">
        <v>14400</v>
      </c>
      <c r="AB33" s="1223">
        <v>8400</v>
      </c>
      <c r="AC33" s="1203">
        <v>36830</v>
      </c>
      <c r="AD33" s="1203">
        <v>20100</v>
      </c>
      <c r="AE33" s="1203">
        <v>18600</v>
      </c>
      <c r="AF33" s="1203">
        <v>29100</v>
      </c>
      <c r="AG33" s="1203">
        <v>40450</v>
      </c>
      <c r="AH33" s="1203">
        <v>3000</v>
      </c>
      <c r="AI33" s="1203">
        <v>34400</v>
      </c>
      <c r="AJ33" s="1203">
        <v>2731</v>
      </c>
      <c r="AK33" s="1216">
        <v>33179</v>
      </c>
      <c r="AL33" s="1216">
        <v>37890</v>
      </c>
      <c r="AM33" s="1216">
        <v>35160</v>
      </c>
      <c r="AN33" s="1216">
        <v>31850</v>
      </c>
      <c r="AO33" s="1216">
        <v>64803.75</v>
      </c>
      <c r="AP33" s="1224">
        <v>12899.75</v>
      </c>
      <c r="AQ33" s="1216">
        <v>55522.33</v>
      </c>
      <c r="AR33" s="1216">
        <v>29153.75</v>
      </c>
      <c r="AS33" s="1216"/>
    </row>
    <row r="34" spans="1:45">
      <c r="A34" s="1192" t="s">
        <v>1577</v>
      </c>
      <c r="B34" s="1222">
        <f t="shared" si="1"/>
        <v>52532.44</v>
      </c>
      <c r="C34" s="1222">
        <f t="shared" si="4"/>
        <v>0</v>
      </c>
      <c r="D34" s="1222">
        <f t="shared" si="2"/>
        <v>0</v>
      </c>
      <c r="E34" s="1222">
        <f t="shared" si="3"/>
        <v>0</v>
      </c>
      <c r="F34" s="1222"/>
      <c r="G34" s="1222"/>
      <c r="I34" s="1219" t="s">
        <v>1764</v>
      </c>
      <c r="J34" s="1207"/>
      <c r="K34" s="1203">
        <v>7537.82</v>
      </c>
      <c r="L34" s="1203">
        <v>4247.68</v>
      </c>
      <c r="M34" s="1203">
        <v>6878.29</v>
      </c>
      <c r="N34" s="1207"/>
      <c r="O34" s="1203">
        <v>13965.97</v>
      </c>
      <c r="P34" s="1220"/>
      <c r="Q34" s="1207"/>
      <c r="R34" s="1203">
        <v>3213.14</v>
      </c>
      <c r="S34" s="1207"/>
      <c r="T34" s="1207"/>
      <c r="U34" s="1207"/>
      <c r="V34" s="1203">
        <v>3157.79</v>
      </c>
      <c r="W34" s="1207"/>
      <c r="X34" s="1207"/>
      <c r="Y34" s="1203">
        <v>3774.15</v>
      </c>
      <c r="Z34" s="1207"/>
      <c r="AA34" s="1203">
        <v>2760.18</v>
      </c>
      <c r="AB34" s="1223">
        <v>1040</v>
      </c>
      <c r="AC34" s="1207"/>
      <c r="AD34" s="1207"/>
      <c r="AE34" s="1203">
        <v>5394.92</v>
      </c>
      <c r="AF34" s="1207"/>
      <c r="AG34" s="1203">
        <v>562.5</v>
      </c>
      <c r="AH34" s="1207"/>
      <c r="AI34" s="1207"/>
      <c r="AJ34" s="1207"/>
      <c r="AM34" s="1216"/>
      <c r="AN34" s="1216"/>
      <c r="AO34" s="1216"/>
      <c r="AP34" s="1224"/>
      <c r="AQ34" s="1216"/>
      <c r="AR34" s="1216"/>
      <c r="AS34" s="1216"/>
    </row>
    <row r="35" spans="1:45">
      <c r="A35" s="1192" t="s">
        <v>1577</v>
      </c>
      <c r="B35" s="1222">
        <f t="shared" si="1"/>
        <v>465432.93</v>
      </c>
      <c r="C35" s="1222">
        <f t="shared" si="4"/>
        <v>157625</v>
      </c>
      <c r="D35" s="1222">
        <f t="shared" si="2"/>
        <v>89702.5</v>
      </c>
      <c r="E35" s="1222">
        <f t="shared" si="3"/>
        <v>67922.5</v>
      </c>
      <c r="F35" s="1222"/>
      <c r="G35" s="1222"/>
      <c r="I35" s="1219" t="s">
        <v>1765</v>
      </c>
      <c r="J35" s="1207"/>
      <c r="K35" s="1207"/>
      <c r="L35" s="1203">
        <v>11600</v>
      </c>
      <c r="M35" s="1207"/>
      <c r="N35" s="1203">
        <v>1500</v>
      </c>
      <c r="O35" s="1207"/>
      <c r="P35" s="1223">
        <v>5100</v>
      </c>
      <c r="Q35" s="1203">
        <v>3200</v>
      </c>
      <c r="R35" s="1203">
        <v>4919</v>
      </c>
      <c r="S35" s="1203">
        <v>8745</v>
      </c>
      <c r="T35" s="1203">
        <v>13307.5</v>
      </c>
      <c r="U35" s="1203">
        <v>15157.5</v>
      </c>
      <c r="V35" s="1203">
        <v>9347.5</v>
      </c>
      <c r="W35" s="1203">
        <v>7337.5</v>
      </c>
      <c r="X35" s="1203">
        <v>13912.5</v>
      </c>
      <c r="Y35" s="1203">
        <v>812.5</v>
      </c>
      <c r="Z35" s="1203">
        <v>3212.5</v>
      </c>
      <c r="AA35" s="1203">
        <v>4675</v>
      </c>
      <c r="AB35" s="1223">
        <v>982.5</v>
      </c>
      <c r="AC35" s="1203">
        <v>7422.5</v>
      </c>
      <c r="AD35" s="1203">
        <v>2548</v>
      </c>
      <c r="AE35" s="1203">
        <v>11797</v>
      </c>
      <c r="AF35" s="1203">
        <v>5738</v>
      </c>
      <c r="AG35" s="1207"/>
      <c r="AH35" s="1203">
        <v>27748.5</v>
      </c>
      <c r="AI35" s="1203">
        <v>27441.8</v>
      </c>
      <c r="AJ35" s="1203">
        <v>5943.68</v>
      </c>
      <c r="AK35" s="1216">
        <v>42529.45</v>
      </c>
      <c r="AL35" s="1216">
        <v>17960</v>
      </c>
      <c r="AM35" s="1216">
        <v>54870</v>
      </c>
      <c r="AN35" s="1216">
        <v>29522.5</v>
      </c>
      <c r="AO35" s="1216">
        <v>35887.5</v>
      </c>
      <c r="AP35" s="1224">
        <v>24292.5</v>
      </c>
      <c r="AQ35" s="1216">
        <v>39220</v>
      </c>
      <c r="AR35" s="1216">
        <v>28702.5</v>
      </c>
      <c r="AS35" s="1216"/>
    </row>
    <row r="36" spans="1:45">
      <c r="A36" s="1192" t="s">
        <v>1579</v>
      </c>
      <c r="B36" s="1222">
        <f t="shared" si="1"/>
        <v>148165.26</v>
      </c>
      <c r="C36" s="1222">
        <f t="shared" si="4"/>
        <v>63484.18</v>
      </c>
      <c r="D36" s="1222">
        <f t="shared" si="2"/>
        <v>35505.29</v>
      </c>
      <c r="E36" s="1222">
        <f t="shared" si="3"/>
        <v>27978.89</v>
      </c>
      <c r="F36" s="1222"/>
      <c r="G36" s="1222"/>
      <c r="I36" s="1219" t="s">
        <v>1766</v>
      </c>
      <c r="J36" s="1207"/>
      <c r="K36" s="1207"/>
      <c r="L36" s="1203">
        <v>120</v>
      </c>
      <c r="M36" s="1207"/>
      <c r="N36" s="1207"/>
      <c r="O36" s="1203">
        <v>10000</v>
      </c>
      <c r="P36" s="1223">
        <v>4758.75</v>
      </c>
      <c r="Q36" s="1207"/>
      <c r="R36" s="1203">
        <v>4000</v>
      </c>
      <c r="S36" s="1203">
        <v>2400</v>
      </c>
      <c r="T36" s="1207"/>
      <c r="U36" s="1207"/>
      <c r="V36" s="1207"/>
      <c r="W36" s="1207"/>
      <c r="X36" s="1207"/>
      <c r="Y36" s="1207"/>
      <c r="Z36" s="1207"/>
      <c r="AA36" s="1207"/>
      <c r="AB36" s="1223">
        <v>8001.15</v>
      </c>
      <c r="AC36" s="1203">
        <v>8001.15</v>
      </c>
      <c r="AD36" s="1203">
        <v>8180.67</v>
      </c>
      <c r="AE36" s="1207"/>
      <c r="AF36" s="1207"/>
      <c r="AG36" s="1207"/>
      <c r="AH36" s="1207"/>
      <c r="AI36" s="1207"/>
      <c r="AJ36" s="1207"/>
      <c r="AK36" s="1216">
        <v>10690</v>
      </c>
      <c r="AL36" s="1216">
        <v>14545.5</v>
      </c>
      <c r="AM36" s="1216">
        <v>13983.86</v>
      </c>
      <c r="AN36" s="1216">
        <v>9980.49</v>
      </c>
      <c r="AO36" s="1216">
        <v>11402.83</v>
      </c>
      <c r="AP36" s="1224">
        <v>14121.97</v>
      </c>
      <c r="AQ36" s="1216">
        <v>13172.4</v>
      </c>
      <c r="AR36" s="1216">
        <v>14806.49</v>
      </c>
      <c r="AS36" s="1216"/>
    </row>
    <row r="37" spans="1:45">
      <c r="A37" s="1192" t="s">
        <v>1577</v>
      </c>
      <c r="B37" s="1222">
        <f t="shared" si="1"/>
        <v>150536.21</v>
      </c>
      <c r="C37" s="1222">
        <f t="shared" si="4"/>
        <v>19841.16</v>
      </c>
      <c r="D37" s="1222">
        <f t="shared" si="2"/>
        <v>15369.02</v>
      </c>
      <c r="E37" s="1222">
        <f t="shared" si="3"/>
        <v>4472.1399999999994</v>
      </c>
      <c r="F37" s="1222"/>
      <c r="G37" s="1222"/>
      <c r="I37" s="1219" t="s">
        <v>1767</v>
      </c>
      <c r="J37" s="1207"/>
      <c r="K37" s="1207"/>
      <c r="L37" s="1207"/>
      <c r="M37" s="1207"/>
      <c r="N37" s="1207"/>
      <c r="O37" s="1207"/>
      <c r="P37" s="1220"/>
      <c r="Q37" s="1207"/>
      <c r="R37" s="1203">
        <v>10000</v>
      </c>
      <c r="S37" s="1207"/>
      <c r="T37" s="1207"/>
      <c r="U37" s="1203">
        <v>10000</v>
      </c>
      <c r="V37" s="1207"/>
      <c r="W37" s="1207"/>
      <c r="X37" s="1203">
        <v>16250</v>
      </c>
      <c r="Y37" s="1203">
        <v>182.84</v>
      </c>
      <c r="Z37" s="1207"/>
      <c r="AA37" s="1203">
        <v>17897.12</v>
      </c>
      <c r="AB37" s="1220"/>
      <c r="AC37" s="1207"/>
      <c r="AD37" s="1203">
        <v>16250</v>
      </c>
      <c r="AE37" s="1207"/>
      <c r="AF37" s="1203">
        <v>1695.28</v>
      </c>
      <c r="AG37" s="1203">
        <v>16250</v>
      </c>
      <c r="AH37" s="1203">
        <v>2810.46</v>
      </c>
      <c r="AI37" s="1203">
        <v>2009.21</v>
      </c>
      <c r="AJ37" s="1203">
        <v>16250</v>
      </c>
      <c r="AK37" s="1216">
        <v>1850.14</v>
      </c>
      <c r="AM37" s="1216">
        <v>19250</v>
      </c>
      <c r="AN37" s="1216"/>
      <c r="AO37" s="1216">
        <v>2869.02</v>
      </c>
      <c r="AP37" s="1224">
        <v>12500</v>
      </c>
      <c r="AQ37" s="1216">
        <v>3367.52</v>
      </c>
      <c r="AR37" s="1216">
        <v>1104.6199999999999</v>
      </c>
      <c r="AS37" s="1216"/>
    </row>
    <row r="38" spans="1:45">
      <c r="A38" s="1192" t="s">
        <v>1575</v>
      </c>
      <c r="B38" s="1222">
        <f t="shared" si="1"/>
        <v>3693338.79</v>
      </c>
      <c r="C38" s="1222">
        <f t="shared" si="4"/>
        <v>1269458.0099999998</v>
      </c>
      <c r="D38" s="1222">
        <f t="shared" si="2"/>
        <v>847518.75</v>
      </c>
      <c r="E38" s="1222">
        <f t="shared" si="3"/>
        <v>421939.26</v>
      </c>
      <c r="F38" s="1222"/>
      <c r="G38" s="1222"/>
      <c r="I38" s="1219" t="s">
        <v>1768</v>
      </c>
      <c r="J38" s="1203">
        <v>7060.96</v>
      </c>
      <c r="K38" s="1203">
        <v>228728.95999999999</v>
      </c>
      <c r="L38" s="1203">
        <v>143646.70000000001</v>
      </c>
      <c r="M38" s="1203">
        <v>34612.33</v>
      </c>
      <c r="N38" s="1203">
        <v>5991.84</v>
      </c>
      <c r="O38" s="1203">
        <v>123770.95</v>
      </c>
      <c r="P38" s="1223">
        <v>16709.3</v>
      </c>
      <c r="Q38" s="1203">
        <v>49752.5</v>
      </c>
      <c r="R38" s="1203">
        <v>119687</v>
      </c>
      <c r="S38" s="1203">
        <v>28872.16</v>
      </c>
      <c r="T38" s="1203">
        <v>15570.25</v>
      </c>
      <c r="U38" s="1203">
        <v>28183.51</v>
      </c>
      <c r="V38" s="1203">
        <v>45545.26</v>
      </c>
      <c r="W38" s="1207"/>
      <c r="X38" s="1203">
        <v>175</v>
      </c>
      <c r="Y38" s="1203">
        <v>41665</v>
      </c>
      <c r="Z38" s="1203">
        <v>38452.5</v>
      </c>
      <c r="AA38" s="1203">
        <v>6516</v>
      </c>
      <c r="AB38" s="1223">
        <v>30587</v>
      </c>
      <c r="AC38" s="1203">
        <v>16936</v>
      </c>
      <c r="AD38" s="1203">
        <v>42609</v>
      </c>
      <c r="AE38" s="1203">
        <v>44832.5</v>
      </c>
      <c r="AF38" s="1203">
        <v>138012</v>
      </c>
      <c r="AG38" s="1203">
        <v>217443.25</v>
      </c>
      <c r="AH38" s="1203">
        <v>171952.29</v>
      </c>
      <c r="AI38" s="1203">
        <v>210175.37</v>
      </c>
      <c r="AJ38" s="1203">
        <v>267595.17</v>
      </c>
      <c r="AK38" s="1216">
        <v>58635.27</v>
      </c>
      <c r="AL38" s="1216">
        <v>175392.43</v>
      </c>
      <c r="AM38" s="1216">
        <v>114770.28</v>
      </c>
      <c r="AN38" s="1216">
        <v>169557.81</v>
      </c>
      <c r="AO38" s="1216">
        <v>184116.05</v>
      </c>
      <c r="AP38" s="1224">
        <v>493844.89</v>
      </c>
      <c r="AQ38" s="1216">
        <v>208391.88</v>
      </c>
      <c r="AR38" s="1216">
        <v>213547.38</v>
      </c>
      <c r="AS38" s="1216"/>
    </row>
    <row r="39" spans="1:45">
      <c r="A39" s="1192" t="s">
        <v>1575</v>
      </c>
      <c r="B39" s="1222">
        <f t="shared" si="1"/>
        <v>87128.900000000009</v>
      </c>
      <c r="C39" s="1222">
        <f t="shared" si="4"/>
        <v>0</v>
      </c>
      <c r="D39" s="1222">
        <f t="shared" si="2"/>
        <v>0</v>
      </c>
      <c r="E39" s="1222">
        <f t="shared" si="3"/>
        <v>0</v>
      </c>
      <c r="F39" s="1222"/>
      <c r="G39" s="1222"/>
      <c r="I39" s="1219" t="s">
        <v>1769</v>
      </c>
      <c r="J39" s="1207"/>
      <c r="K39" s="1203">
        <v>6343.3</v>
      </c>
      <c r="L39" s="1203">
        <v>4696.99</v>
      </c>
      <c r="M39" s="1207"/>
      <c r="N39" s="1207"/>
      <c r="O39" s="1203">
        <v>5912.98</v>
      </c>
      <c r="P39" s="1220"/>
      <c r="Q39" s="1207"/>
      <c r="R39" s="1203">
        <v>1257.27</v>
      </c>
      <c r="S39" s="1207"/>
      <c r="T39" s="1207"/>
      <c r="U39" s="1207"/>
      <c r="V39" s="1203">
        <v>2703.82</v>
      </c>
      <c r="W39" s="1207"/>
      <c r="X39" s="1207"/>
      <c r="Y39" s="1203">
        <v>4183.16</v>
      </c>
      <c r="Z39" s="1207"/>
      <c r="AA39" s="1207"/>
      <c r="AB39" s="1223">
        <v>27645.53</v>
      </c>
      <c r="AC39" s="1203">
        <v>1285.6400000000001</v>
      </c>
      <c r="AD39" s="1207"/>
      <c r="AE39" s="1203">
        <v>20700</v>
      </c>
      <c r="AF39" s="1207"/>
      <c r="AG39" s="1207"/>
      <c r="AH39" s="1207"/>
      <c r="AI39" s="1207"/>
      <c r="AJ39" s="1207"/>
      <c r="AK39" s="1216">
        <v>4668.22</v>
      </c>
      <c r="AM39" s="1216">
        <v>7731.99</v>
      </c>
      <c r="AN39" s="1216"/>
      <c r="AO39" s="1216"/>
      <c r="AP39" s="1224"/>
      <c r="AQ39" s="1216"/>
      <c r="AR39" s="1216"/>
      <c r="AS39" s="1216"/>
    </row>
    <row r="40" spans="1:45">
      <c r="A40" s="1192" t="s">
        <v>1575</v>
      </c>
      <c r="B40" s="1222">
        <f t="shared" si="1"/>
        <v>648500</v>
      </c>
      <c r="C40" s="1222">
        <f t="shared" si="4"/>
        <v>58750</v>
      </c>
      <c r="D40" s="1222">
        <f t="shared" si="2"/>
        <v>55000</v>
      </c>
      <c r="E40" s="1222">
        <f t="shared" si="3"/>
        <v>3750</v>
      </c>
      <c r="F40" s="1222"/>
      <c r="G40" s="1222"/>
      <c r="I40" s="1219" t="s">
        <v>1770</v>
      </c>
      <c r="J40" s="1207"/>
      <c r="K40" s="1207"/>
      <c r="L40" s="1203">
        <v>12500</v>
      </c>
      <c r="M40" s="1203">
        <v>15000</v>
      </c>
      <c r="N40" s="1207"/>
      <c r="O40" s="1207"/>
      <c r="P40" s="1220"/>
      <c r="Q40" s="1203">
        <v>45541.67</v>
      </c>
      <c r="R40" s="1203">
        <v>1250</v>
      </c>
      <c r="S40" s="1203">
        <v>53208.33</v>
      </c>
      <c r="T40" s="1203">
        <v>1250</v>
      </c>
      <c r="U40" s="1203">
        <v>99125</v>
      </c>
      <c r="V40" s="1203">
        <v>2500</v>
      </c>
      <c r="W40" s="1203">
        <v>1750</v>
      </c>
      <c r="X40" s="1203">
        <v>6250</v>
      </c>
      <c r="Y40" s="1203">
        <v>28750</v>
      </c>
      <c r="Z40" s="1203">
        <v>7750</v>
      </c>
      <c r="AA40" s="1203">
        <v>6250</v>
      </c>
      <c r="AB40" s="1223">
        <v>5000</v>
      </c>
      <c r="AC40" s="1203">
        <v>7500</v>
      </c>
      <c r="AD40" s="1203">
        <v>57500</v>
      </c>
      <c r="AE40" s="1203">
        <v>15000</v>
      </c>
      <c r="AF40" s="1203">
        <v>10000</v>
      </c>
      <c r="AG40" s="1203">
        <v>61250</v>
      </c>
      <c r="AH40" s="1203">
        <v>16625</v>
      </c>
      <c r="AI40" s="1203">
        <v>10000</v>
      </c>
      <c r="AJ40" s="1203">
        <v>53750</v>
      </c>
      <c r="AK40" s="1216">
        <v>9500</v>
      </c>
      <c r="AL40" s="1216">
        <v>8750</v>
      </c>
      <c r="AM40" s="1216">
        <v>53750</v>
      </c>
      <c r="AN40" s="1216">
        <v>52500</v>
      </c>
      <c r="AO40" s="1216">
        <v>2500</v>
      </c>
      <c r="AP40" s="1224"/>
      <c r="AQ40" s="1216"/>
      <c r="AR40" s="1216">
        <v>3750</v>
      </c>
      <c r="AS40" s="1216"/>
    </row>
    <row r="41" spans="1:45">
      <c r="A41" s="1192" t="s">
        <v>1575</v>
      </c>
      <c r="B41" s="1222">
        <f t="shared" si="1"/>
        <v>3421346.5300000003</v>
      </c>
      <c r="C41" s="1222">
        <f t="shared" si="4"/>
        <v>1048865.29</v>
      </c>
      <c r="D41" s="1222">
        <f t="shared" si="2"/>
        <v>551667.12</v>
      </c>
      <c r="E41" s="1222">
        <f t="shared" si="3"/>
        <v>497198.17</v>
      </c>
      <c r="F41" s="1222"/>
      <c r="G41" s="1222"/>
      <c r="I41" s="1219" t="s">
        <v>1771</v>
      </c>
      <c r="J41" s="1207"/>
      <c r="K41" s="1203">
        <v>23250</v>
      </c>
      <c r="L41" s="1203">
        <v>71400</v>
      </c>
      <c r="M41" s="1203">
        <v>7500</v>
      </c>
      <c r="N41" s="1203">
        <v>10720</v>
      </c>
      <c r="O41" s="1207"/>
      <c r="P41" s="1220"/>
      <c r="Q41" s="1207"/>
      <c r="R41" s="1207"/>
      <c r="S41" s="1203">
        <v>1350</v>
      </c>
      <c r="T41" s="1203">
        <v>1000</v>
      </c>
      <c r="U41" s="1203">
        <v>5005</v>
      </c>
      <c r="V41" s="1203">
        <v>4382.18</v>
      </c>
      <c r="W41" s="1203">
        <v>6105</v>
      </c>
      <c r="X41" s="1203">
        <v>9208</v>
      </c>
      <c r="Y41" s="1203">
        <v>17435</v>
      </c>
      <c r="Z41" s="1207"/>
      <c r="AA41" s="1203">
        <v>6800</v>
      </c>
      <c r="AB41" s="1223">
        <v>15540</v>
      </c>
      <c r="AC41" s="1207"/>
      <c r="AD41" s="1203">
        <v>183540</v>
      </c>
      <c r="AE41" s="1203">
        <v>86830</v>
      </c>
      <c r="AF41" s="1203">
        <v>123704.59</v>
      </c>
      <c r="AG41" s="1203">
        <v>253975</v>
      </c>
      <c r="AH41" s="1203">
        <v>483984.45</v>
      </c>
      <c r="AI41" s="1203">
        <v>444266.4</v>
      </c>
      <c r="AJ41" s="1203">
        <v>183390</v>
      </c>
      <c r="AK41" s="1216">
        <v>167254.5</v>
      </c>
      <c r="AL41" s="1216">
        <v>194704.37</v>
      </c>
      <c r="AM41" s="1216">
        <v>71136.75</v>
      </c>
      <c r="AN41" s="1216">
        <v>305012.5</v>
      </c>
      <c r="AO41" s="1216">
        <v>244154.62</v>
      </c>
      <c r="AP41" s="1224">
        <v>2500</v>
      </c>
      <c r="AQ41" s="1216">
        <v>47500</v>
      </c>
      <c r="AR41" s="1216">
        <v>449698.17</v>
      </c>
      <c r="AS41" s="1216"/>
    </row>
    <row r="42" spans="1:45">
      <c r="A42" s="1192" t="s">
        <v>1575</v>
      </c>
      <c r="B42" s="1222">
        <f t="shared" si="1"/>
        <v>4424512.4000000004</v>
      </c>
      <c r="C42" s="1222">
        <f t="shared" si="4"/>
        <v>1123326.22</v>
      </c>
      <c r="D42" s="1222">
        <f t="shared" si="2"/>
        <v>392790.26</v>
      </c>
      <c r="E42" s="1222">
        <f t="shared" si="3"/>
        <v>730535.96</v>
      </c>
      <c r="F42" s="1222"/>
      <c r="G42" s="1222"/>
      <c r="I42" s="1219" t="s">
        <v>1772</v>
      </c>
      <c r="J42" s="1203">
        <v>39018.75</v>
      </c>
      <c r="K42" s="1203">
        <v>1493.3</v>
      </c>
      <c r="L42" s="1203">
        <v>34717.120000000003</v>
      </c>
      <c r="M42" s="1203">
        <v>98190.71</v>
      </c>
      <c r="N42" s="1203">
        <v>128272.02</v>
      </c>
      <c r="O42" s="1203">
        <v>81392.95</v>
      </c>
      <c r="P42" s="1223">
        <v>127067.5</v>
      </c>
      <c r="Q42" s="1203">
        <v>44857.75</v>
      </c>
      <c r="R42" s="1203">
        <v>150559.01999999999</v>
      </c>
      <c r="S42" s="1207"/>
      <c r="T42" s="1203">
        <v>111683.67</v>
      </c>
      <c r="U42" s="1203">
        <v>171822.6</v>
      </c>
      <c r="V42" s="1203">
        <v>828500</v>
      </c>
      <c r="W42" s="1203">
        <v>126472.76</v>
      </c>
      <c r="X42" s="1203">
        <v>100417.24</v>
      </c>
      <c r="Y42" s="1203">
        <v>146204.74</v>
      </c>
      <c r="Z42" s="1203">
        <v>77943.8</v>
      </c>
      <c r="AA42" s="1203">
        <v>208368.64000000001</v>
      </c>
      <c r="AB42" s="1223">
        <v>9701.1200000000008</v>
      </c>
      <c r="AC42" s="1203">
        <v>224420.46</v>
      </c>
      <c r="AD42" s="1203">
        <v>169425.21</v>
      </c>
      <c r="AE42" s="1203">
        <v>37482</v>
      </c>
      <c r="AF42" s="1203">
        <v>98686.82</v>
      </c>
      <c r="AG42" s="1203">
        <v>38437</v>
      </c>
      <c r="AH42" s="1207">
        <v>84234</v>
      </c>
      <c r="AI42" s="1207"/>
      <c r="AJ42" s="1207">
        <v>6503</v>
      </c>
      <c r="AK42" s="1216">
        <v>11080</v>
      </c>
      <c r="AM42" s="1216">
        <v>144234</v>
      </c>
      <c r="AN42" s="1216"/>
      <c r="AO42" s="1216">
        <v>120361.06</v>
      </c>
      <c r="AP42" s="1224">
        <v>272429.2</v>
      </c>
      <c r="AQ42" s="1216">
        <v>524622.89</v>
      </c>
      <c r="AR42" s="1216">
        <v>205913.07</v>
      </c>
      <c r="AS42" s="1216"/>
    </row>
    <row r="43" spans="1:45">
      <c r="A43" s="1192" t="s">
        <v>1575</v>
      </c>
      <c r="B43" s="1222">
        <f t="shared" si="1"/>
        <v>30134.34</v>
      </c>
      <c r="C43" s="1222">
        <f t="shared" si="4"/>
        <v>30134.34</v>
      </c>
      <c r="D43" s="1222">
        <f t="shared" si="2"/>
        <v>30134.34</v>
      </c>
      <c r="E43" s="1222">
        <f t="shared" si="3"/>
        <v>0</v>
      </c>
      <c r="F43" s="1222"/>
      <c r="G43" s="1222"/>
      <c r="I43" s="1219" t="s">
        <v>1773</v>
      </c>
      <c r="J43" s="1203"/>
      <c r="K43" s="1203"/>
      <c r="L43" s="1203"/>
      <c r="M43" s="1203"/>
      <c r="N43" s="1203"/>
      <c r="O43" s="1203"/>
      <c r="P43" s="1223"/>
      <c r="Q43" s="1203"/>
      <c r="R43" s="1203"/>
      <c r="S43" s="1207"/>
      <c r="T43" s="1203"/>
      <c r="U43" s="1203"/>
      <c r="V43" s="1203"/>
      <c r="W43" s="1203"/>
      <c r="X43" s="1203"/>
      <c r="Y43" s="1203"/>
      <c r="Z43" s="1203"/>
      <c r="AA43" s="1203"/>
      <c r="AB43" s="1223"/>
      <c r="AC43" s="1203"/>
      <c r="AD43" s="1203"/>
      <c r="AE43" s="1203"/>
      <c r="AF43" s="1203"/>
      <c r="AG43" s="1203"/>
      <c r="AH43" s="1207"/>
      <c r="AI43" s="1207"/>
      <c r="AJ43" s="1207"/>
      <c r="AM43" s="1216"/>
      <c r="AN43" s="1216"/>
      <c r="AO43" s="1216">
        <v>30134.34</v>
      </c>
      <c r="AP43" s="1224"/>
      <c r="AQ43" s="1216"/>
      <c r="AR43" s="1216"/>
      <c r="AS43" s="1216"/>
    </row>
    <row r="44" spans="1:45">
      <c r="A44" s="1192" t="s">
        <v>1575</v>
      </c>
      <c r="B44" s="1222">
        <f t="shared" si="1"/>
        <v>1009340.1600000001</v>
      </c>
      <c r="C44" s="1222">
        <f t="shared" si="4"/>
        <v>80556.350000000006</v>
      </c>
      <c r="D44" s="1222">
        <f t="shared" si="2"/>
        <v>55090.18</v>
      </c>
      <c r="E44" s="1222">
        <f t="shared" si="3"/>
        <v>25466.17</v>
      </c>
      <c r="F44" s="1222"/>
      <c r="G44" s="1222"/>
      <c r="I44" s="1219" t="s">
        <v>1774</v>
      </c>
      <c r="J44" s="1203">
        <v>50042</v>
      </c>
      <c r="K44" s="1207"/>
      <c r="L44" s="1207"/>
      <c r="M44" s="1207"/>
      <c r="N44" s="1203">
        <v>40033.599999999999</v>
      </c>
      <c r="O44" s="1207"/>
      <c r="P44" s="1220"/>
      <c r="Q44" s="1203">
        <v>243.91</v>
      </c>
      <c r="R44" s="1207"/>
      <c r="S44" s="1203">
        <v>65946.740000000005</v>
      </c>
      <c r="T44" s="1203">
        <v>20331.13</v>
      </c>
      <c r="U44" s="1203">
        <v>62155.24</v>
      </c>
      <c r="V44" s="1203">
        <v>9912.9500000000007</v>
      </c>
      <c r="W44" s="1203">
        <v>62595.81</v>
      </c>
      <c r="X44" s="1203">
        <v>37242.660000000003</v>
      </c>
      <c r="Y44" s="1207"/>
      <c r="Z44" s="1203">
        <v>34236.11</v>
      </c>
      <c r="AA44" s="1203">
        <v>42118.69</v>
      </c>
      <c r="AB44" s="1223">
        <v>23920.29</v>
      </c>
      <c r="AC44" s="1203">
        <v>29279.97</v>
      </c>
      <c r="AD44" s="1203">
        <v>55563.91</v>
      </c>
      <c r="AE44" s="1203">
        <v>37783.75</v>
      </c>
      <c r="AF44" s="1203">
        <v>42019.54</v>
      </c>
      <c r="AG44" s="1203">
        <v>49667.76</v>
      </c>
      <c r="AH44" s="1203">
        <v>46440.34</v>
      </c>
      <c r="AI44" s="1203">
        <v>42785.11</v>
      </c>
      <c r="AJ44" s="1203">
        <v>41117.589999999997</v>
      </c>
      <c r="AK44" s="1216">
        <v>24807.49</v>
      </c>
      <c r="AL44" s="1216">
        <v>64099.67</v>
      </c>
      <c r="AM44" s="1216">
        <v>46439.55</v>
      </c>
      <c r="AN44" s="1216">
        <v>20287.18</v>
      </c>
      <c r="AO44" s="1216">
        <v>34803</v>
      </c>
      <c r="AP44" s="1224"/>
      <c r="AQ44" s="1216"/>
      <c r="AR44" s="1216">
        <v>25466.17</v>
      </c>
      <c r="AS44" s="1216"/>
    </row>
    <row r="45" spans="1:45">
      <c r="A45" s="1192" t="s">
        <v>1575</v>
      </c>
      <c r="B45" s="1222">
        <f t="shared" si="1"/>
        <v>71330.36</v>
      </c>
      <c r="C45" s="1222">
        <f t="shared" si="4"/>
        <v>71330.36</v>
      </c>
      <c r="D45" s="1222">
        <f t="shared" si="2"/>
        <v>17218.650000000001</v>
      </c>
      <c r="E45" s="1222">
        <f t="shared" si="3"/>
        <v>54111.71</v>
      </c>
      <c r="F45" s="1222"/>
      <c r="G45" s="1222"/>
      <c r="I45" s="1219" t="s">
        <v>1775</v>
      </c>
      <c r="J45" s="1203"/>
      <c r="K45" s="1207"/>
      <c r="L45" s="1207"/>
      <c r="M45" s="1207"/>
      <c r="N45" s="1203"/>
      <c r="O45" s="1207"/>
      <c r="P45" s="1220"/>
      <c r="Q45" s="1203"/>
      <c r="R45" s="1207"/>
      <c r="S45" s="1203"/>
      <c r="T45" s="1203"/>
      <c r="U45" s="1203"/>
      <c r="V45" s="1203"/>
      <c r="W45" s="1203"/>
      <c r="X45" s="1203"/>
      <c r="Y45" s="1207"/>
      <c r="Z45" s="1203"/>
      <c r="AA45" s="1203"/>
      <c r="AB45" s="1223"/>
      <c r="AC45" s="1203"/>
      <c r="AD45" s="1203"/>
      <c r="AE45" s="1203"/>
      <c r="AF45" s="1203"/>
      <c r="AG45" s="1203"/>
      <c r="AH45" s="1203"/>
      <c r="AI45" s="1203"/>
      <c r="AJ45" s="1203"/>
      <c r="AM45" s="1216"/>
      <c r="AN45" s="1216"/>
      <c r="AO45" s="1216"/>
      <c r="AP45" s="1224">
        <v>17218.650000000001</v>
      </c>
      <c r="AQ45" s="1216">
        <v>54111.71</v>
      </c>
      <c r="AR45" s="1216"/>
      <c r="AS45" s="1216"/>
    </row>
    <row r="46" spans="1:45">
      <c r="A46" s="1192" t="s">
        <v>1575</v>
      </c>
      <c r="B46" s="1222">
        <f t="shared" si="1"/>
        <v>962.57</v>
      </c>
      <c r="C46" s="1222">
        <f t="shared" si="4"/>
        <v>962.57</v>
      </c>
      <c r="D46" s="1222">
        <f t="shared" si="2"/>
        <v>962.57</v>
      </c>
      <c r="E46" s="1222">
        <f t="shared" si="3"/>
        <v>0</v>
      </c>
      <c r="F46" s="1222"/>
      <c r="G46" s="1222"/>
      <c r="I46" s="1219" t="s">
        <v>1776</v>
      </c>
      <c r="J46" s="1203"/>
      <c r="K46" s="1207"/>
      <c r="L46" s="1207"/>
      <c r="M46" s="1207"/>
      <c r="N46" s="1203"/>
      <c r="O46" s="1207"/>
      <c r="P46" s="1220"/>
      <c r="Q46" s="1203"/>
      <c r="R46" s="1207"/>
      <c r="S46" s="1203"/>
      <c r="T46" s="1203"/>
      <c r="U46" s="1203"/>
      <c r="V46" s="1203"/>
      <c r="W46" s="1203"/>
      <c r="X46" s="1203"/>
      <c r="Y46" s="1207"/>
      <c r="Z46" s="1203"/>
      <c r="AA46" s="1203"/>
      <c r="AB46" s="1223"/>
      <c r="AC46" s="1203"/>
      <c r="AD46" s="1203"/>
      <c r="AE46" s="1203"/>
      <c r="AF46" s="1203"/>
      <c r="AG46" s="1203"/>
      <c r="AH46" s="1203"/>
      <c r="AI46" s="1203"/>
      <c r="AJ46" s="1203"/>
      <c r="AM46" s="1216"/>
      <c r="AN46" s="1216"/>
      <c r="AO46" s="1216">
        <v>962.57</v>
      </c>
      <c r="AP46" s="1224"/>
      <c r="AQ46" s="1216"/>
      <c r="AR46" s="1216"/>
      <c r="AS46" s="1216"/>
    </row>
    <row r="47" spans="1:45">
      <c r="A47" s="1192" t="s">
        <v>1575</v>
      </c>
      <c r="B47" s="1222">
        <f t="shared" si="1"/>
        <v>439.54</v>
      </c>
      <c r="C47" s="1222">
        <f t="shared" si="4"/>
        <v>439.54</v>
      </c>
      <c r="D47" s="1222">
        <f t="shared" si="2"/>
        <v>165.49</v>
      </c>
      <c r="E47" s="1222">
        <f t="shared" si="3"/>
        <v>274.05</v>
      </c>
      <c r="F47" s="1222"/>
      <c r="G47" s="1222"/>
      <c r="I47" s="1219" t="s">
        <v>1777</v>
      </c>
      <c r="J47" s="1203"/>
      <c r="K47" s="1207"/>
      <c r="L47" s="1207"/>
      <c r="M47" s="1207"/>
      <c r="N47" s="1203"/>
      <c r="O47" s="1207"/>
      <c r="P47" s="1220"/>
      <c r="Q47" s="1203"/>
      <c r="R47" s="1207"/>
      <c r="S47" s="1203"/>
      <c r="T47" s="1203"/>
      <c r="U47" s="1203"/>
      <c r="V47" s="1203"/>
      <c r="W47" s="1203"/>
      <c r="X47" s="1203"/>
      <c r="Y47" s="1207"/>
      <c r="Z47" s="1203"/>
      <c r="AA47" s="1203"/>
      <c r="AB47" s="1223"/>
      <c r="AC47" s="1203"/>
      <c r="AD47" s="1203"/>
      <c r="AE47" s="1203"/>
      <c r="AF47" s="1203"/>
      <c r="AG47" s="1203"/>
      <c r="AH47" s="1203"/>
      <c r="AI47" s="1203"/>
      <c r="AJ47" s="1203"/>
      <c r="AM47" s="1216"/>
      <c r="AN47" s="1216"/>
      <c r="AO47" s="1216"/>
      <c r="AP47" s="1224">
        <v>165.49</v>
      </c>
      <c r="AQ47" s="1216">
        <v>274.05</v>
      </c>
      <c r="AR47" s="1216"/>
      <c r="AS47" s="1216"/>
    </row>
    <row r="48" spans="1:45">
      <c r="A48" s="1192" t="s">
        <v>1575</v>
      </c>
      <c r="B48" s="1222">
        <f t="shared" si="1"/>
        <v>0</v>
      </c>
      <c r="C48" s="1222">
        <f t="shared" si="4"/>
        <v>0</v>
      </c>
      <c r="D48" s="1222">
        <f t="shared" si="2"/>
        <v>0</v>
      </c>
      <c r="E48" s="1222">
        <f t="shared" si="3"/>
        <v>0</v>
      </c>
      <c r="F48" s="1222"/>
      <c r="G48" s="1222"/>
      <c r="I48" s="1219" t="s">
        <v>1778</v>
      </c>
      <c r="J48" s="1203"/>
      <c r="K48" s="1207"/>
      <c r="L48" s="1207"/>
      <c r="M48" s="1207"/>
      <c r="N48" s="1203"/>
      <c r="O48" s="1207"/>
      <c r="P48" s="1220"/>
      <c r="Q48" s="1203"/>
      <c r="R48" s="1207"/>
      <c r="S48" s="1203"/>
      <c r="T48" s="1203"/>
      <c r="U48" s="1203"/>
      <c r="V48" s="1203"/>
      <c r="W48" s="1203"/>
      <c r="X48" s="1203"/>
      <c r="Y48" s="1207"/>
      <c r="Z48" s="1203"/>
      <c r="AA48" s="1203"/>
      <c r="AB48" s="1223"/>
      <c r="AC48" s="1203"/>
      <c r="AD48" s="1203"/>
      <c r="AE48" s="1203"/>
      <c r="AF48" s="1203"/>
      <c r="AG48" s="1203"/>
      <c r="AH48" s="1203"/>
      <c r="AI48" s="1203"/>
      <c r="AJ48" s="1203"/>
      <c r="AM48" s="1216"/>
      <c r="AN48" s="1216"/>
      <c r="AO48" s="1216"/>
      <c r="AP48" s="1224"/>
      <c r="AQ48" s="1216"/>
      <c r="AR48" s="1216"/>
      <c r="AS48" s="1216"/>
    </row>
    <row r="49" spans="1:45">
      <c r="A49" s="1192" t="s">
        <v>1575</v>
      </c>
      <c r="B49" s="1222">
        <f t="shared" si="1"/>
        <v>0</v>
      </c>
      <c r="C49" s="1222">
        <f t="shared" si="4"/>
        <v>0</v>
      </c>
      <c r="D49" s="1222">
        <f t="shared" si="2"/>
        <v>0</v>
      </c>
      <c r="E49" s="1222">
        <f t="shared" si="3"/>
        <v>0</v>
      </c>
      <c r="F49" s="1222"/>
      <c r="G49" s="1222"/>
      <c r="I49" s="1219" t="s">
        <v>1779</v>
      </c>
      <c r="J49" s="1203"/>
      <c r="K49" s="1207"/>
      <c r="L49" s="1207"/>
      <c r="M49" s="1207"/>
      <c r="N49" s="1203"/>
      <c r="O49" s="1207"/>
      <c r="P49" s="1220"/>
      <c r="Q49" s="1203"/>
      <c r="R49" s="1207"/>
      <c r="S49" s="1203"/>
      <c r="T49" s="1203"/>
      <c r="U49" s="1203"/>
      <c r="V49" s="1203"/>
      <c r="W49" s="1203"/>
      <c r="X49" s="1203"/>
      <c r="Y49" s="1207"/>
      <c r="Z49" s="1203"/>
      <c r="AA49" s="1203"/>
      <c r="AB49" s="1223"/>
      <c r="AC49" s="1203"/>
      <c r="AD49" s="1203"/>
      <c r="AE49" s="1203"/>
      <c r="AF49" s="1203"/>
      <c r="AG49" s="1203"/>
      <c r="AH49" s="1203"/>
      <c r="AI49" s="1203"/>
      <c r="AJ49" s="1203"/>
      <c r="AM49" s="1216"/>
      <c r="AN49" s="1216"/>
      <c r="AO49" s="1216"/>
      <c r="AP49" s="1224"/>
      <c r="AQ49" s="1216"/>
      <c r="AR49" s="1216"/>
      <c r="AS49" s="1216"/>
    </row>
    <row r="50" spans="1:45">
      <c r="A50" s="1192" t="s">
        <v>1576</v>
      </c>
      <c r="B50" s="1222">
        <f t="shared" si="1"/>
        <v>5243870.4800000014</v>
      </c>
      <c r="C50" s="1222">
        <f t="shared" si="4"/>
        <v>1023023.09</v>
      </c>
      <c r="D50" s="1222">
        <f t="shared" si="2"/>
        <v>825689.36</v>
      </c>
      <c r="E50" s="1222">
        <f t="shared" si="3"/>
        <v>197333.73</v>
      </c>
      <c r="F50" s="1222"/>
      <c r="G50" s="1222"/>
      <c r="I50" s="1219" t="s">
        <v>1780</v>
      </c>
      <c r="J50" s="1207"/>
      <c r="K50" s="1203">
        <v>39091.26</v>
      </c>
      <c r="L50" s="1203">
        <v>32305</v>
      </c>
      <c r="M50" s="1203">
        <v>47838.36</v>
      </c>
      <c r="N50" s="1203">
        <v>44111.97</v>
      </c>
      <c r="O50" s="1203">
        <v>76067.44</v>
      </c>
      <c r="P50" s="1223">
        <v>57311.31</v>
      </c>
      <c r="Q50" s="1203">
        <v>136540.46</v>
      </c>
      <c r="R50" s="1203">
        <v>48151.18</v>
      </c>
      <c r="S50" s="1203">
        <v>50843.45</v>
      </c>
      <c r="T50" s="1203">
        <v>30084.04</v>
      </c>
      <c r="U50" s="1203">
        <v>122210.29</v>
      </c>
      <c r="V50" s="1203">
        <v>94518.75</v>
      </c>
      <c r="W50" s="1203">
        <v>136435.82</v>
      </c>
      <c r="X50" s="1203">
        <v>133067.25</v>
      </c>
      <c r="Y50" s="1203">
        <v>211906.03</v>
      </c>
      <c r="Z50" s="1203">
        <v>105082.95</v>
      </c>
      <c r="AA50" s="1203">
        <v>92212.35</v>
      </c>
      <c r="AB50" s="1223">
        <v>111279.94</v>
      </c>
      <c r="AC50" s="1203">
        <v>130840.77</v>
      </c>
      <c r="AD50" s="1203">
        <v>172694.42</v>
      </c>
      <c r="AE50" s="1203">
        <v>128262.26</v>
      </c>
      <c r="AF50" s="1203">
        <v>168360.72</v>
      </c>
      <c r="AG50" s="1203">
        <v>213005.72</v>
      </c>
      <c r="AH50" s="1203">
        <v>252947.43</v>
      </c>
      <c r="AI50" s="1203">
        <v>179229.83</v>
      </c>
      <c r="AJ50" s="1203">
        <v>236921.19</v>
      </c>
      <c r="AK50" s="1216">
        <v>339728.75</v>
      </c>
      <c r="AL50" s="1216">
        <v>492939.78</v>
      </c>
      <c r="AM50" s="1216">
        <v>336858.67</v>
      </c>
      <c r="AN50" s="1216">
        <v>441403.49</v>
      </c>
      <c r="AO50" s="1216">
        <v>384285.87</v>
      </c>
      <c r="AP50" s="1224"/>
      <c r="AQ50" s="1216"/>
      <c r="AR50" s="1216">
        <v>197333.73</v>
      </c>
      <c r="AS50" s="1216"/>
    </row>
    <row r="51" spans="1:45">
      <c r="A51" s="1192" t="s">
        <v>1576</v>
      </c>
      <c r="B51" s="1222">
        <f t="shared" si="1"/>
        <v>840124.14</v>
      </c>
      <c r="C51" s="1222">
        <f t="shared" si="4"/>
        <v>697440.53</v>
      </c>
      <c r="D51" s="1222">
        <f t="shared" si="2"/>
        <v>350621.03</v>
      </c>
      <c r="E51" s="1222">
        <f t="shared" si="3"/>
        <v>346819.5</v>
      </c>
      <c r="F51" s="1222"/>
      <c r="G51" s="1222"/>
      <c r="I51" s="1219" t="s">
        <v>1781</v>
      </c>
      <c r="J51" s="1207"/>
      <c r="K51" s="1207"/>
      <c r="L51" s="1207"/>
      <c r="M51" s="1207"/>
      <c r="N51" s="1207"/>
      <c r="O51" s="1207"/>
      <c r="P51" s="1220"/>
      <c r="Q51" s="1207"/>
      <c r="R51" s="1207"/>
      <c r="S51" s="1207"/>
      <c r="T51" s="1203">
        <v>34.950000000000003</v>
      </c>
      <c r="U51" s="1203">
        <v>461.1</v>
      </c>
      <c r="V51" s="1203">
        <v>461.1</v>
      </c>
      <c r="W51" s="1203">
        <v>34.950000000000003</v>
      </c>
      <c r="X51" s="1203">
        <v>4650</v>
      </c>
      <c r="Y51" s="1203">
        <v>4309.95</v>
      </c>
      <c r="Z51" s="1203">
        <v>9225</v>
      </c>
      <c r="AA51" s="1203">
        <v>9332.9500000000007</v>
      </c>
      <c r="AB51" s="1223">
        <v>5209.95</v>
      </c>
      <c r="AC51" s="1203">
        <v>5228.8</v>
      </c>
      <c r="AD51" s="1203">
        <v>5295.06</v>
      </c>
      <c r="AE51" s="1203">
        <v>4834.95</v>
      </c>
      <c r="AF51" s="1203">
        <v>4556.8</v>
      </c>
      <c r="AG51" s="1203">
        <v>10181.799999999999</v>
      </c>
      <c r="AH51" s="1203">
        <v>13834.95</v>
      </c>
      <c r="AI51" s="1203">
        <v>12894.65</v>
      </c>
      <c r="AJ51" s="1203">
        <v>13931.8</v>
      </c>
      <c r="AK51" s="1216">
        <v>12634.95</v>
      </c>
      <c r="AL51" s="1216">
        <v>12784.95</v>
      </c>
      <c r="AM51" s="1216">
        <v>12784.95</v>
      </c>
      <c r="AN51" s="1216">
        <v>4834.95</v>
      </c>
      <c r="AO51" s="1216">
        <v>10009.950000000001</v>
      </c>
      <c r="AP51" s="1224">
        <v>335776.13</v>
      </c>
      <c r="AQ51" s="1216">
        <v>331594.5</v>
      </c>
      <c r="AR51" s="1216">
        <v>15225</v>
      </c>
      <c r="AS51" s="1216"/>
    </row>
    <row r="52" spans="1:45">
      <c r="A52" s="1192" t="s">
        <v>1576</v>
      </c>
      <c r="B52" s="1222">
        <f t="shared" si="1"/>
        <v>609872.6</v>
      </c>
      <c r="C52" s="1222">
        <f t="shared" si="4"/>
        <v>42163.6</v>
      </c>
      <c r="D52" s="1222">
        <f t="shared" si="2"/>
        <v>16412.45</v>
      </c>
      <c r="E52" s="1222">
        <f t="shared" si="3"/>
        <v>25751.15</v>
      </c>
      <c r="F52" s="1222"/>
      <c r="G52" s="1222"/>
      <c r="I52" s="1219" t="s">
        <v>1782</v>
      </c>
      <c r="J52" s="1207"/>
      <c r="K52" s="1203">
        <v>1980</v>
      </c>
      <c r="L52" s="1203">
        <v>65350</v>
      </c>
      <c r="M52" s="1203">
        <v>7286.1</v>
      </c>
      <c r="N52" s="1203">
        <v>13118.25</v>
      </c>
      <c r="O52" s="1203">
        <v>38781.300000000003</v>
      </c>
      <c r="P52" s="1223">
        <v>5354</v>
      </c>
      <c r="Q52" s="1203">
        <v>1603.3</v>
      </c>
      <c r="R52" s="1207"/>
      <c r="S52" s="1203">
        <v>5292.5</v>
      </c>
      <c r="T52" s="1203">
        <v>8499</v>
      </c>
      <c r="U52" s="1207"/>
      <c r="V52" s="1203">
        <v>6017.5</v>
      </c>
      <c r="W52" s="1207">
        <v>3098.67</v>
      </c>
      <c r="X52" s="1203">
        <v>55625</v>
      </c>
      <c r="Y52" s="1203">
        <v>23767.25</v>
      </c>
      <c r="Z52" s="1203">
        <v>3089</v>
      </c>
      <c r="AA52" s="1203">
        <v>43485.57</v>
      </c>
      <c r="AB52" s="1223">
        <v>86710.720000000001</v>
      </c>
      <c r="AC52" s="1207"/>
      <c r="AD52" s="1203">
        <v>7669.81</v>
      </c>
      <c r="AE52" s="1203">
        <v>6351.25</v>
      </c>
      <c r="AF52" s="1203">
        <v>5003.29</v>
      </c>
      <c r="AG52" s="1203">
        <v>4858</v>
      </c>
      <c r="AH52" s="1203">
        <v>6351.25</v>
      </c>
      <c r="AI52" s="1203">
        <v>6100</v>
      </c>
      <c r="AJ52" s="1203">
        <v>15632.54</v>
      </c>
      <c r="AK52" s="1216">
        <v>7902.5</v>
      </c>
      <c r="AL52" s="1216">
        <v>1031.4000000000001</v>
      </c>
      <c r="AM52" s="1216">
        <v>137750.79999999999</v>
      </c>
      <c r="AN52" s="1216">
        <v>7902.5</v>
      </c>
      <c r="AO52" s="1216"/>
      <c r="AP52" s="1224">
        <v>8509.9500000000007</v>
      </c>
      <c r="AQ52" s="1216">
        <v>12450</v>
      </c>
      <c r="AR52" s="1216">
        <v>13301.15</v>
      </c>
      <c r="AS52" s="1216"/>
    </row>
    <row r="53" spans="1:45">
      <c r="A53" s="1192" t="s">
        <v>1578</v>
      </c>
      <c r="B53" s="1222">
        <f t="shared" si="1"/>
        <v>74960.2</v>
      </c>
      <c r="C53" s="1222">
        <f t="shared" si="4"/>
        <v>18276.45</v>
      </c>
      <c r="D53" s="1222">
        <f t="shared" si="2"/>
        <v>10000</v>
      </c>
      <c r="E53" s="1222">
        <f t="shared" si="3"/>
        <v>8276.4500000000007</v>
      </c>
      <c r="F53" s="1222"/>
      <c r="G53" s="1222"/>
      <c r="I53" s="1219" t="s">
        <v>1783</v>
      </c>
      <c r="J53" s="1207"/>
      <c r="K53" s="1207"/>
      <c r="L53" s="1207"/>
      <c r="M53" s="1207"/>
      <c r="N53" s="1207"/>
      <c r="O53" s="1207"/>
      <c r="P53" s="1220"/>
      <c r="Q53" s="1207"/>
      <c r="R53" s="1207"/>
      <c r="S53" s="1207"/>
      <c r="T53" s="1207"/>
      <c r="U53" s="1207">
        <v>1307</v>
      </c>
      <c r="V53" s="1207"/>
      <c r="W53" s="1203">
        <v>14128.75</v>
      </c>
      <c r="X53" s="1207"/>
      <c r="Y53" s="1207"/>
      <c r="Z53" s="1207"/>
      <c r="AA53" s="1207"/>
      <c r="AB53" s="1223">
        <v>1900</v>
      </c>
      <c r="AC53" s="1207"/>
      <c r="AD53" s="1207"/>
      <c r="AE53" s="1207"/>
      <c r="AF53" s="1203">
        <v>3488</v>
      </c>
      <c r="AG53" s="1203">
        <v>10025</v>
      </c>
      <c r="AH53" s="1203">
        <v>24500</v>
      </c>
      <c r="AI53" s="1207"/>
      <c r="AJ53" s="1207"/>
      <c r="AM53" s="1216">
        <v>1335</v>
      </c>
      <c r="AN53" s="1216"/>
      <c r="AO53" s="1216">
        <v>10000</v>
      </c>
      <c r="AP53" s="1224"/>
      <c r="AQ53" s="1216">
        <v>8276.4500000000007</v>
      </c>
      <c r="AR53" s="1216"/>
      <c r="AS53" s="1216"/>
    </row>
    <row r="54" spans="1:45">
      <c r="A54" s="1192" t="s">
        <v>1578</v>
      </c>
      <c r="B54" s="1222">
        <f t="shared" si="1"/>
        <v>370000</v>
      </c>
      <c r="C54" s="1222">
        <f t="shared" si="4"/>
        <v>0</v>
      </c>
      <c r="D54" s="1222">
        <f t="shared" si="2"/>
        <v>0</v>
      </c>
      <c r="E54" s="1222">
        <f t="shared" si="3"/>
        <v>0</v>
      </c>
      <c r="F54" s="1222"/>
      <c r="G54" s="1222"/>
      <c r="I54" s="1219" t="s">
        <v>1784</v>
      </c>
      <c r="J54" s="1207"/>
      <c r="K54" s="1203">
        <v>350000</v>
      </c>
      <c r="L54" s="1207"/>
      <c r="M54" s="1207"/>
      <c r="N54" s="1207"/>
      <c r="O54" s="1207"/>
      <c r="P54" s="1220"/>
      <c r="Q54" s="1207"/>
      <c r="R54" s="1207"/>
      <c r="S54" s="1207"/>
      <c r="T54" s="1207"/>
      <c r="U54" s="1203">
        <v>20000</v>
      </c>
      <c r="V54" s="1207"/>
      <c r="W54" s="1207"/>
      <c r="X54" s="1207"/>
      <c r="Y54" s="1207"/>
      <c r="Z54" s="1207"/>
      <c r="AA54" s="1207"/>
      <c r="AB54" s="1220"/>
      <c r="AC54" s="1207"/>
      <c r="AD54" s="1207"/>
      <c r="AE54" s="1207"/>
      <c r="AF54" s="1207"/>
      <c r="AG54" s="1207"/>
      <c r="AH54" s="1207"/>
      <c r="AI54" s="1207"/>
      <c r="AJ54" s="1207"/>
      <c r="AM54" s="1216"/>
      <c r="AN54" s="1216"/>
      <c r="AO54" s="1216"/>
      <c r="AP54" s="1224"/>
      <c r="AQ54" s="1216"/>
      <c r="AR54" s="1216"/>
      <c r="AS54" s="1216"/>
    </row>
    <row r="55" spans="1:45">
      <c r="A55" s="1192" t="s">
        <v>1578</v>
      </c>
      <c r="B55" s="1222">
        <f t="shared" si="1"/>
        <v>810000</v>
      </c>
      <c r="C55" s="1222">
        <f t="shared" si="4"/>
        <v>50000</v>
      </c>
      <c r="D55" s="1222">
        <f t="shared" si="2"/>
        <v>0</v>
      </c>
      <c r="E55" s="1222">
        <f t="shared" si="3"/>
        <v>50000</v>
      </c>
      <c r="F55" s="1222"/>
      <c r="G55" s="1222"/>
      <c r="I55" s="1219" t="s">
        <v>1785</v>
      </c>
      <c r="J55" s="1207"/>
      <c r="K55" s="1207"/>
      <c r="L55" s="1207"/>
      <c r="M55" s="1207"/>
      <c r="N55" s="1207"/>
      <c r="O55" s="1207"/>
      <c r="P55" s="1220"/>
      <c r="Q55" s="1207"/>
      <c r="R55" s="1207"/>
      <c r="S55" s="1207"/>
      <c r="T55" s="1207"/>
      <c r="U55" s="1207"/>
      <c r="V55" s="1207"/>
      <c r="W55" s="1203">
        <v>610000</v>
      </c>
      <c r="X55" s="1207"/>
      <c r="Y55" s="1207"/>
      <c r="Z55" s="1207"/>
      <c r="AA55" s="1207"/>
      <c r="AB55" s="1223">
        <v>150000</v>
      </c>
      <c r="AC55" s="1207"/>
      <c r="AD55" s="1207"/>
      <c r="AE55" s="1207"/>
      <c r="AF55" s="1207"/>
      <c r="AG55" s="1207"/>
      <c r="AH55" s="1207"/>
      <c r="AI55" s="1207"/>
      <c r="AJ55" s="1207"/>
      <c r="AM55" s="1216"/>
      <c r="AN55" s="1216"/>
      <c r="AO55" s="1216"/>
      <c r="AP55" s="1224"/>
      <c r="AQ55" s="1216">
        <v>50000</v>
      </c>
      <c r="AR55" s="1216"/>
      <c r="AS55" s="1216"/>
    </row>
    <row r="56" spans="1:45">
      <c r="A56" s="1192" t="s">
        <v>1578</v>
      </c>
      <c r="B56" s="1222">
        <f t="shared" si="1"/>
        <v>156424.35000000003</v>
      </c>
      <c r="C56" s="1222">
        <f t="shared" si="4"/>
        <v>31955.759999999998</v>
      </c>
      <c r="D56" s="1222">
        <f t="shared" si="2"/>
        <v>31955.759999999998</v>
      </c>
      <c r="E56" s="1222">
        <f t="shared" si="3"/>
        <v>0</v>
      </c>
      <c r="F56" s="1222"/>
      <c r="G56" s="1222"/>
      <c r="I56" s="1219" t="s">
        <v>1786</v>
      </c>
      <c r="J56" s="1207"/>
      <c r="K56" s="1203">
        <v>35976.35</v>
      </c>
      <c r="L56" s="1207"/>
      <c r="M56" s="1203">
        <v>89.55</v>
      </c>
      <c r="N56" s="1207"/>
      <c r="O56" s="1207"/>
      <c r="P56" s="1220"/>
      <c r="Q56" s="1207"/>
      <c r="R56" s="1207"/>
      <c r="S56" s="1207"/>
      <c r="T56" s="1203">
        <v>9565.65</v>
      </c>
      <c r="U56" s="1207"/>
      <c r="V56" s="1207"/>
      <c r="W56" s="1203">
        <v>13102.89</v>
      </c>
      <c r="X56" s="1203">
        <v>4247</v>
      </c>
      <c r="Y56" s="1203">
        <v>22404.34</v>
      </c>
      <c r="Z56" s="1207"/>
      <c r="AA56" s="1207"/>
      <c r="AB56" s="1223">
        <v>7809.64</v>
      </c>
      <c r="AC56" s="1203">
        <v>4808.96</v>
      </c>
      <c r="AD56" s="1203">
        <v>1025.71</v>
      </c>
      <c r="AE56" s="1203">
        <v>3648.17</v>
      </c>
      <c r="AF56" s="1203">
        <v>62.1</v>
      </c>
      <c r="AG56" s="1203">
        <v>2971.8</v>
      </c>
      <c r="AH56" s="1207"/>
      <c r="AI56" s="1207"/>
      <c r="AJ56" s="1207">
        <v>3173.08</v>
      </c>
      <c r="AK56" s="1216">
        <v>4489.05</v>
      </c>
      <c r="AM56" s="1216">
        <v>11094.3</v>
      </c>
      <c r="AN56" s="1216">
        <v>202.5</v>
      </c>
      <c r="AO56" s="1216">
        <v>31753.26</v>
      </c>
      <c r="AP56" s="1224"/>
      <c r="AQ56" s="1216"/>
      <c r="AR56" s="1216"/>
      <c r="AS56" s="1216"/>
    </row>
    <row r="57" spans="1:45">
      <c r="A57" s="1192" t="s">
        <v>1579</v>
      </c>
      <c r="B57" s="1222">
        <f t="shared" si="1"/>
        <v>147034.71</v>
      </c>
      <c r="C57" s="1222">
        <f t="shared" si="4"/>
        <v>50805.41</v>
      </c>
      <c r="D57" s="1222">
        <f t="shared" si="2"/>
        <v>16874.37</v>
      </c>
      <c r="E57" s="1222">
        <f t="shared" si="3"/>
        <v>33931.040000000001</v>
      </c>
      <c r="F57" s="1222"/>
      <c r="G57" s="1222"/>
      <c r="I57" s="1219" t="s">
        <v>1787</v>
      </c>
      <c r="J57" s="1207"/>
      <c r="K57" s="1207"/>
      <c r="L57" s="1207"/>
      <c r="M57" s="1207"/>
      <c r="N57" s="1207"/>
      <c r="O57" s="1207"/>
      <c r="P57" s="1220"/>
      <c r="Q57" s="1207"/>
      <c r="R57" s="1207"/>
      <c r="S57" s="1207"/>
      <c r="T57" s="1207"/>
      <c r="U57" s="1207"/>
      <c r="V57" s="1207"/>
      <c r="W57" s="1203">
        <v>5525</v>
      </c>
      <c r="X57" s="1203">
        <v>5525</v>
      </c>
      <c r="Y57" s="1203">
        <v>5525</v>
      </c>
      <c r="Z57" s="1203">
        <v>5525</v>
      </c>
      <c r="AA57" s="1203">
        <v>5525</v>
      </c>
      <c r="AB57" s="1223">
        <v>5525</v>
      </c>
      <c r="AC57" s="1203">
        <v>5525</v>
      </c>
      <c r="AD57" s="1203">
        <v>5525</v>
      </c>
      <c r="AE57" s="1203">
        <v>5525</v>
      </c>
      <c r="AF57" s="1203">
        <v>5525</v>
      </c>
      <c r="AG57" s="1203">
        <v>5525</v>
      </c>
      <c r="AH57" s="1203">
        <v>5525</v>
      </c>
      <c r="AI57" s="1203">
        <v>5525</v>
      </c>
      <c r="AJ57" s="1203">
        <v>5525</v>
      </c>
      <c r="AK57" s="1216">
        <v>5525</v>
      </c>
      <c r="AL57" s="1216">
        <v>6677.15</v>
      </c>
      <c r="AM57" s="1216">
        <v>6677.15</v>
      </c>
      <c r="AN57" s="1216">
        <v>5525</v>
      </c>
      <c r="AO57" s="1216">
        <v>5525</v>
      </c>
      <c r="AP57" s="1224">
        <v>5824.37</v>
      </c>
      <c r="AQ57" s="1216">
        <v>28406.04</v>
      </c>
      <c r="AR57" s="1216">
        <v>5525</v>
      </c>
      <c r="AS57" s="1216"/>
    </row>
    <row r="58" spans="1:45">
      <c r="A58" s="1192" t="s">
        <v>1579</v>
      </c>
      <c r="B58" s="1222">
        <f t="shared" si="1"/>
        <v>2336755.29</v>
      </c>
      <c r="C58" s="1222">
        <f t="shared" si="4"/>
        <v>336331</v>
      </c>
      <c r="D58" s="1222">
        <f t="shared" si="2"/>
        <v>223004</v>
      </c>
      <c r="E58" s="1222">
        <f t="shared" si="3"/>
        <v>113327</v>
      </c>
      <c r="F58" s="1222"/>
      <c r="G58" s="1222"/>
      <c r="I58" s="1219" t="s">
        <v>1788</v>
      </c>
      <c r="J58" s="1207"/>
      <c r="K58" s="1203">
        <v>43677.760000000002</v>
      </c>
      <c r="L58" s="1203">
        <v>43677.760000000002</v>
      </c>
      <c r="M58" s="1203">
        <v>45296.88</v>
      </c>
      <c r="N58" s="1203">
        <v>45296.88</v>
      </c>
      <c r="O58" s="1203">
        <v>45296.88</v>
      </c>
      <c r="P58" s="1223">
        <v>45296.88</v>
      </c>
      <c r="Q58" s="1203">
        <v>45296.88</v>
      </c>
      <c r="R58" s="1203">
        <v>42134.26</v>
      </c>
      <c r="S58" s="1203">
        <v>37212.92</v>
      </c>
      <c r="T58" s="1203">
        <v>42134.26</v>
      </c>
      <c r="U58" s="1203">
        <v>43154.46</v>
      </c>
      <c r="V58" s="1203">
        <v>43154.46</v>
      </c>
      <c r="W58" s="1203">
        <v>43562.54</v>
      </c>
      <c r="X58" s="1203">
        <v>44684.76</v>
      </c>
      <c r="Y58" s="1203">
        <v>59987.76</v>
      </c>
      <c r="Z58" s="1203">
        <v>59987.76</v>
      </c>
      <c r="AA58" s="1203">
        <v>59987.76</v>
      </c>
      <c r="AB58" s="1223">
        <v>59987.76</v>
      </c>
      <c r="AC58" s="1203">
        <v>59987.76</v>
      </c>
      <c r="AD58" s="1203">
        <v>128475.06</v>
      </c>
      <c r="AE58" s="1203">
        <v>105645.96</v>
      </c>
      <c r="AF58" s="1203">
        <v>105645.96</v>
      </c>
      <c r="AG58" s="1203">
        <v>105645.96</v>
      </c>
      <c r="AH58" s="1203">
        <v>107262.99</v>
      </c>
      <c r="AI58" s="1203">
        <v>107262.99</v>
      </c>
      <c r="AJ58" s="1203">
        <v>107262.99</v>
      </c>
      <c r="AK58" s="1216">
        <v>107802</v>
      </c>
      <c r="AL58" s="1216">
        <v>107802</v>
      </c>
      <c r="AM58" s="1216">
        <v>107802</v>
      </c>
      <c r="AN58" s="1216">
        <v>107802</v>
      </c>
      <c r="AO58" s="1216">
        <v>107802</v>
      </c>
      <c r="AP58" s="1224">
        <v>7400</v>
      </c>
      <c r="AQ58" s="1216">
        <v>5525</v>
      </c>
      <c r="AR58" s="1216">
        <v>107802</v>
      </c>
      <c r="AS58" s="1216"/>
    </row>
    <row r="59" spans="1:45">
      <c r="A59" s="1192" t="s">
        <v>1579</v>
      </c>
      <c r="B59" s="1222">
        <f t="shared" si="1"/>
        <v>306751.69000000006</v>
      </c>
      <c r="C59" s="1222">
        <f>SUM(AN59:AZ59)</f>
        <v>224176.93</v>
      </c>
      <c r="D59" s="1222">
        <f t="shared" si="2"/>
        <v>111832.15</v>
      </c>
      <c r="E59" s="1222">
        <f t="shared" si="3"/>
        <v>112344.78</v>
      </c>
      <c r="F59" s="1222"/>
      <c r="G59" s="1222"/>
      <c r="I59" s="1219" t="s">
        <v>1789</v>
      </c>
      <c r="J59" s="1207"/>
      <c r="K59" s="1203">
        <v>595.86</v>
      </c>
      <c r="L59" s="1203">
        <v>850</v>
      </c>
      <c r="M59" s="1203">
        <v>5100</v>
      </c>
      <c r="N59" s="1203">
        <v>4536.88</v>
      </c>
      <c r="O59" s="1203">
        <v>4969.07</v>
      </c>
      <c r="P59" s="1223">
        <v>6375</v>
      </c>
      <c r="Q59" s="1203">
        <v>6375</v>
      </c>
      <c r="R59" s="1203">
        <v>6913.71</v>
      </c>
      <c r="S59" s="1203">
        <v>7496.98</v>
      </c>
      <c r="T59" s="1203">
        <v>7031</v>
      </c>
      <c r="U59" s="1203">
        <v>6214.18</v>
      </c>
      <c r="V59" s="1203">
        <v>5658.3</v>
      </c>
      <c r="W59" s="1203">
        <v>133.30000000000001</v>
      </c>
      <c r="X59" s="1203">
        <v>66.650000000000006</v>
      </c>
      <c r="Y59" s="1203">
        <v>2117.4499999999998</v>
      </c>
      <c r="Z59" s="1207"/>
      <c r="AA59" s="1203">
        <v>133.61000000000001</v>
      </c>
      <c r="AB59" s="1223">
        <v>1671.11</v>
      </c>
      <c r="AC59" s="1203">
        <v>5070.6099999999997</v>
      </c>
      <c r="AD59" s="1203">
        <v>425.29</v>
      </c>
      <c r="AE59" s="1203">
        <v>67.27</v>
      </c>
      <c r="AF59" s="1203">
        <v>877.27</v>
      </c>
      <c r="AG59" s="1203">
        <v>74</v>
      </c>
      <c r="AH59" s="1203">
        <v>74</v>
      </c>
      <c r="AI59" s="1203">
        <v>2541.84</v>
      </c>
      <c r="AJ59" s="1203">
        <v>2818</v>
      </c>
      <c r="AK59" s="1216">
        <v>75.02</v>
      </c>
      <c r="AM59" s="1216">
        <v>4313.3599999999997</v>
      </c>
      <c r="AN59" s="1216">
        <v>4025.7</v>
      </c>
      <c r="AO59" s="1216">
        <v>4.45</v>
      </c>
      <c r="AP59" s="1224">
        <v>107802</v>
      </c>
      <c r="AQ59" s="1216">
        <v>107802</v>
      </c>
      <c r="AR59" s="1216">
        <v>4542.78</v>
      </c>
      <c r="AS59" s="1216"/>
    </row>
    <row r="60" spans="1:45">
      <c r="A60" s="1192" t="s">
        <v>1579</v>
      </c>
      <c r="B60" s="1222">
        <f t="shared" si="1"/>
        <v>141757.80000000002</v>
      </c>
      <c r="C60" s="1222">
        <f t="shared" si="4"/>
        <v>26554.57</v>
      </c>
      <c r="D60" s="1222">
        <f t="shared" si="2"/>
        <v>24333.65</v>
      </c>
      <c r="E60" s="1222">
        <f t="shared" si="3"/>
        <v>2220.92</v>
      </c>
      <c r="F60" s="1222"/>
      <c r="G60" s="1222"/>
      <c r="I60" s="1219" t="s">
        <v>1790</v>
      </c>
      <c r="J60" s="1207"/>
      <c r="K60" s="1207"/>
      <c r="L60" s="1203">
        <v>4538.3999999999996</v>
      </c>
      <c r="M60" s="1203">
        <v>405</v>
      </c>
      <c r="N60" s="1207"/>
      <c r="O60" s="1203">
        <v>2131.71</v>
      </c>
      <c r="P60" s="1220"/>
      <c r="Q60" s="1207"/>
      <c r="R60" s="1203">
        <v>898.2</v>
      </c>
      <c r="S60" s="1203">
        <v>1870</v>
      </c>
      <c r="T60" s="1207"/>
      <c r="U60" s="1203">
        <v>3254.58</v>
      </c>
      <c r="V60" s="1203">
        <v>2248.56</v>
      </c>
      <c r="W60" s="1203">
        <v>4049.45</v>
      </c>
      <c r="X60" s="1203">
        <v>1528.13</v>
      </c>
      <c r="Y60" s="1203">
        <v>6655.55</v>
      </c>
      <c r="Z60" s="1203">
        <v>1184.17</v>
      </c>
      <c r="AA60" s="1203">
        <v>42613.82</v>
      </c>
      <c r="AB60" s="1223">
        <v>6297.32</v>
      </c>
      <c r="AC60" s="1203">
        <v>9542.85</v>
      </c>
      <c r="AD60" s="1203">
        <v>150</v>
      </c>
      <c r="AE60" s="1203">
        <v>27301.200000000001</v>
      </c>
      <c r="AF60" s="1203">
        <v>534.29</v>
      </c>
      <c r="AG60" s="1207"/>
      <c r="AH60" s="1207"/>
      <c r="AI60" s="1207"/>
      <c r="AJ60" s="1207"/>
      <c r="AM60" s="1216"/>
      <c r="AN60" s="1216">
        <v>23108.59</v>
      </c>
      <c r="AO60" s="1216"/>
      <c r="AP60" s="1224">
        <v>1225.06</v>
      </c>
      <c r="AQ60" s="1216">
        <v>1395</v>
      </c>
      <c r="AR60" s="1216">
        <v>825.92</v>
      </c>
      <c r="AS60" s="1216"/>
    </row>
    <row r="61" spans="1:45">
      <c r="A61" s="1192" t="s">
        <v>1579</v>
      </c>
      <c r="B61" s="1222">
        <f t="shared" si="1"/>
        <v>177651.46</v>
      </c>
      <c r="C61" s="1222">
        <f t="shared" si="4"/>
        <v>56085.09</v>
      </c>
      <c r="D61" s="1222">
        <f t="shared" si="2"/>
        <v>21010.73</v>
      </c>
      <c r="E61" s="1222">
        <f t="shared" si="3"/>
        <v>35074.36</v>
      </c>
      <c r="F61" s="1222"/>
      <c r="G61" s="1222"/>
      <c r="I61" s="1219" t="s">
        <v>1791</v>
      </c>
      <c r="J61" s="1207"/>
      <c r="K61" s="1207"/>
      <c r="L61" s="1203">
        <v>323.75</v>
      </c>
      <c r="M61" s="1203">
        <v>1233.75</v>
      </c>
      <c r="N61" s="1203">
        <v>1909.9</v>
      </c>
      <c r="O61" s="1203">
        <v>1107.97</v>
      </c>
      <c r="P61" s="1223">
        <v>4954.95</v>
      </c>
      <c r="Q61" s="1203">
        <v>712.79</v>
      </c>
      <c r="R61" s="1203">
        <v>727.6</v>
      </c>
      <c r="S61" s="1203">
        <v>2563.1999999999998</v>
      </c>
      <c r="T61" s="1203">
        <v>585.69000000000005</v>
      </c>
      <c r="U61" s="1203">
        <v>2008.27</v>
      </c>
      <c r="V61" s="1203">
        <v>4903.6400000000003</v>
      </c>
      <c r="W61" s="1203">
        <v>3007.42</v>
      </c>
      <c r="X61" s="1203">
        <v>1798.42</v>
      </c>
      <c r="Y61" s="1203">
        <v>12423.14</v>
      </c>
      <c r="Z61" s="1203">
        <v>1460.47</v>
      </c>
      <c r="AA61" s="1203">
        <v>7045.15</v>
      </c>
      <c r="AB61" s="1223">
        <v>3508.46</v>
      </c>
      <c r="AC61" s="1203">
        <v>4823.53</v>
      </c>
      <c r="AD61" s="1203">
        <v>10322.07</v>
      </c>
      <c r="AE61" s="1203">
        <v>3361.65</v>
      </c>
      <c r="AF61" s="1203">
        <v>5692.46</v>
      </c>
      <c r="AG61" s="1203">
        <v>7012.84</v>
      </c>
      <c r="AH61" s="1203">
        <v>8421.23</v>
      </c>
      <c r="AI61" s="1203">
        <v>8016.74</v>
      </c>
      <c r="AJ61" s="1203">
        <v>8600.07</v>
      </c>
      <c r="AK61" s="1216">
        <v>6447.48</v>
      </c>
      <c r="AL61" s="1216">
        <v>5405.17</v>
      </c>
      <c r="AM61" s="1216">
        <v>3188.56</v>
      </c>
      <c r="AN61" s="1216">
        <v>8107.88</v>
      </c>
      <c r="AO61" s="1216">
        <v>4335.67</v>
      </c>
      <c r="AP61" s="1224">
        <v>8567.18</v>
      </c>
      <c r="AQ61" s="1216">
        <v>27388.799999999999</v>
      </c>
      <c r="AR61" s="1216">
        <v>7685.56</v>
      </c>
      <c r="AS61" s="1216"/>
    </row>
    <row r="62" spans="1:45">
      <c r="A62" s="1192" t="s">
        <v>1579</v>
      </c>
      <c r="B62" s="1222">
        <f t="shared" si="1"/>
        <v>90412.930000000008</v>
      </c>
      <c r="C62" s="1222">
        <f t="shared" si="4"/>
        <v>27454.09</v>
      </c>
      <c r="D62" s="1222">
        <f t="shared" si="2"/>
        <v>15201.970000000001</v>
      </c>
      <c r="E62" s="1222">
        <f t="shared" si="3"/>
        <v>12252.119999999999</v>
      </c>
      <c r="F62" s="1222"/>
      <c r="G62" s="1222"/>
      <c r="I62" s="1219" t="s">
        <v>1792</v>
      </c>
      <c r="J62" s="1207"/>
      <c r="K62" s="1207"/>
      <c r="L62" s="1207"/>
      <c r="M62" s="1207"/>
      <c r="N62" s="1203">
        <v>1913.47</v>
      </c>
      <c r="O62" s="1203">
        <v>1247.7</v>
      </c>
      <c r="P62" s="1223">
        <v>1235.26</v>
      </c>
      <c r="Q62" s="1203">
        <v>1801.29</v>
      </c>
      <c r="R62" s="1203">
        <v>1524.92</v>
      </c>
      <c r="S62" s="1203">
        <v>1605.15</v>
      </c>
      <c r="T62" s="1203">
        <v>1218.43</v>
      </c>
      <c r="U62" s="1203">
        <v>1545.92</v>
      </c>
      <c r="V62" s="1203">
        <v>3927.28</v>
      </c>
      <c r="W62" s="1203">
        <v>2263.38</v>
      </c>
      <c r="X62" s="1203">
        <v>414.1</v>
      </c>
      <c r="Y62" s="1203">
        <v>5697.5</v>
      </c>
      <c r="Z62" s="1203">
        <v>2965.68</v>
      </c>
      <c r="AA62" s="1203">
        <v>3702.03</v>
      </c>
      <c r="AB62" s="1223">
        <v>2332.34</v>
      </c>
      <c r="AC62" s="1203">
        <v>2259.1</v>
      </c>
      <c r="AD62" s="1203">
        <v>3619.58</v>
      </c>
      <c r="AE62" s="1203">
        <v>2196.87</v>
      </c>
      <c r="AF62" s="1203">
        <v>1968.45</v>
      </c>
      <c r="AG62" s="1203">
        <v>2265.81</v>
      </c>
      <c r="AH62" s="1203">
        <v>2943.06</v>
      </c>
      <c r="AI62" s="1203">
        <v>3059.94</v>
      </c>
      <c r="AJ62" s="1203">
        <v>2804.1</v>
      </c>
      <c r="AK62" s="1216">
        <v>3147.51</v>
      </c>
      <c r="AL62" s="1216">
        <v>2290.38</v>
      </c>
      <c r="AM62" s="1216">
        <v>3009.59</v>
      </c>
      <c r="AN62" s="1216">
        <v>2428.15</v>
      </c>
      <c r="AO62" s="1216">
        <v>3931.04</v>
      </c>
      <c r="AP62" s="1224">
        <v>8842.7800000000007</v>
      </c>
      <c r="AQ62" s="1216">
        <v>8950.41</v>
      </c>
      <c r="AR62" s="1216">
        <v>3301.71</v>
      </c>
      <c r="AS62" s="1216"/>
    </row>
    <row r="63" spans="1:45">
      <c r="A63" s="1192" t="s">
        <v>1579</v>
      </c>
      <c r="B63" s="1222">
        <f t="shared" si="1"/>
        <v>302959.75999999995</v>
      </c>
      <c r="C63" s="1222">
        <f t="shared" si="4"/>
        <v>23138.46</v>
      </c>
      <c r="D63" s="1222">
        <f t="shared" si="2"/>
        <v>15941.369999999999</v>
      </c>
      <c r="E63" s="1222">
        <f t="shared" si="3"/>
        <v>7197.09</v>
      </c>
      <c r="F63" s="1222"/>
      <c r="G63" s="1222"/>
      <c r="I63" s="1219" t="s">
        <v>1793</v>
      </c>
      <c r="J63" s="1203">
        <v>1336.91</v>
      </c>
      <c r="K63" s="1203">
        <v>9313.91</v>
      </c>
      <c r="L63" s="1203">
        <v>4628.6899999999996</v>
      </c>
      <c r="M63" s="1203">
        <v>25839.17</v>
      </c>
      <c r="N63" s="1203">
        <v>4888.33</v>
      </c>
      <c r="O63" s="1203">
        <v>1592.22</v>
      </c>
      <c r="P63" s="1223">
        <v>5687.23</v>
      </c>
      <c r="Q63" s="1203">
        <v>5061.54</v>
      </c>
      <c r="R63" s="1203">
        <v>9323.16</v>
      </c>
      <c r="S63" s="1203">
        <v>2574.73</v>
      </c>
      <c r="T63" s="1203">
        <v>6432.17</v>
      </c>
      <c r="U63" s="1203">
        <v>25078.26</v>
      </c>
      <c r="V63" s="1203">
        <v>1725.17</v>
      </c>
      <c r="W63" s="1203">
        <v>11490.95</v>
      </c>
      <c r="X63" s="1203">
        <v>7646.48</v>
      </c>
      <c r="Y63" s="1203">
        <v>8301.1299999999992</v>
      </c>
      <c r="Z63" s="1203">
        <v>10473.049999999999</v>
      </c>
      <c r="AA63" s="1203">
        <v>2851.19</v>
      </c>
      <c r="AB63" s="1223">
        <v>5781.01</v>
      </c>
      <c r="AC63" s="1203">
        <v>7981.57</v>
      </c>
      <c r="AD63" s="1203">
        <v>25143.07</v>
      </c>
      <c r="AE63" s="1203">
        <v>3731.89</v>
      </c>
      <c r="AF63" s="1203">
        <v>9372.1200000000008</v>
      </c>
      <c r="AG63" s="1203">
        <v>8285.08</v>
      </c>
      <c r="AH63" s="1203">
        <v>26466.05</v>
      </c>
      <c r="AI63" s="1203">
        <v>15614.91</v>
      </c>
      <c r="AJ63" s="1203">
        <v>6979.59</v>
      </c>
      <c r="AK63" s="1216">
        <v>8488.6200000000008</v>
      </c>
      <c r="AL63" s="1216">
        <v>6983.45</v>
      </c>
      <c r="AM63" s="1216">
        <v>10749.65</v>
      </c>
      <c r="AN63" s="1216">
        <v>7637.74</v>
      </c>
      <c r="AO63" s="1216">
        <v>5995.11</v>
      </c>
      <c r="AP63" s="1224">
        <v>2308.52</v>
      </c>
      <c r="AQ63" s="1216">
        <v>3021.74</v>
      </c>
      <c r="AR63" s="1216">
        <v>4175.3500000000004</v>
      </c>
      <c r="AS63" s="1216"/>
    </row>
    <row r="64" spans="1:45">
      <c r="A64" s="1192" t="s">
        <v>1579</v>
      </c>
      <c r="B64" s="1222">
        <f t="shared" si="1"/>
        <v>30988.379999999997</v>
      </c>
      <c r="C64" s="1222">
        <f t="shared" si="4"/>
        <v>16417</v>
      </c>
      <c r="D64" s="1222">
        <f t="shared" si="2"/>
        <v>7555.0599999999995</v>
      </c>
      <c r="E64" s="1222">
        <f t="shared" si="3"/>
        <v>8861.94</v>
      </c>
      <c r="F64" s="1222"/>
      <c r="G64" s="1222"/>
      <c r="I64" s="1219" t="s">
        <v>1794</v>
      </c>
      <c r="J64" s="1207"/>
      <c r="K64" s="1203">
        <v>223.84</v>
      </c>
      <c r="L64" s="1203">
        <v>42.55</v>
      </c>
      <c r="M64" s="1207">
        <v>35</v>
      </c>
      <c r="N64" s="1203">
        <v>37.119999999999997</v>
      </c>
      <c r="O64" s="1203">
        <v>161.29</v>
      </c>
      <c r="P64" s="1223">
        <v>101.65</v>
      </c>
      <c r="Q64" s="1203">
        <v>4311.8100000000004</v>
      </c>
      <c r="R64" s="1203">
        <v>232.64</v>
      </c>
      <c r="S64" s="1203">
        <v>369.63</v>
      </c>
      <c r="T64" s="1203">
        <v>63.63</v>
      </c>
      <c r="U64" s="1207"/>
      <c r="V64" s="1203">
        <v>125.41</v>
      </c>
      <c r="W64" s="1203">
        <v>47.63</v>
      </c>
      <c r="X64" s="1203">
        <v>141.16</v>
      </c>
      <c r="Y64" s="1203">
        <v>39.04</v>
      </c>
      <c r="Z64" s="1207">
        <v>60</v>
      </c>
      <c r="AA64" s="1203">
        <v>28.43</v>
      </c>
      <c r="AB64" s="1223">
        <v>173.21</v>
      </c>
      <c r="AC64" s="1203">
        <v>5157.4799999999996</v>
      </c>
      <c r="AD64" s="1207"/>
      <c r="AE64" s="1203"/>
      <c r="AF64" s="1203">
        <v>62.41</v>
      </c>
      <c r="AG64" s="1207"/>
      <c r="AH64" s="1203">
        <v>9.9600000000000009</v>
      </c>
      <c r="AI64" s="1203">
        <v>45</v>
      </c>
      <c r="AJ64" s="1203"/>
      <c r="AK64" s="1216">
        <v>192.53</v>
      </c>
      <c r="AL64" s="1216">
        <v>2141.14</v>
      </c>
      <c r="AM64" s="1216">
        <v>768.82</v>
      </c>
      <c r="AN64" s="1216">
        <v>620.55999999999995</v>
      </c>
      <c r="AO64" s="1216">
        <v>773.16</v>
      </c>
      <c r="AP64" s="1224">
        <v>6161.34</v>
      </c>
      <c r="AQ64" s="1216">
        <v>7480</v>
      </c>
      <c r="AR64" s="1216">
        <v>1381.94</v>
      </c>
      <c r="AS64" s="1216"/>
    </row>
    <row r="65" spans="1:45">
      <c r="A65" s="1192" t="s">
        <v>1579</v>
      </c>
      <c r="B65" s="1222">
        <f t="shared" si="1"/>
        <v>53969.270000000004</v>
      </c>
      <c r="C65" s="1222">
        <f t="shared" si="4"/>
        <v>1726.56</v>
      </c>
      <c r="D65" s="1222">
        <f t="shared" si="2"/>
        <v>905.4</v>
      </c>
      <c r="E65" s="1222">
        <f t="shared" si="3"/>
        <v>821.16</v>
      </c>
      <c r="F65" s="1222"/>
      <c r="G65" s="1222"/>
      <c r="I65" s="1219" t="s">
        <v>1795</v>
      </c>
      <c r="J65" s="1207"/>
      <c r="K65" s="1207"/>
      <c r="L65" s="1203">
        <v>9082.11</v>
      </c>
      <c r="M65" s="1207"/>
      <c r="N65" s="1203">
        <v>10382</v>
      </c>
      <c r="O65" s="1207"/>
      <c r="P65" s="1220"/>
      <c r="Q65" s="1207"/>
      <c r="R65" s="1207"/>
      <c r="S65" s="1207"/>
      <c r="T65" s="1207"/>
      <c r="U65" s="1207"/>
      <c r="V65" s="1207"/>
      <c r="W65" s="1207"/>
      <c r="X65" s="1207"/>
      <c r="Y65" s="1203">
        <v>8582.11</v>
      </c>
      <c r="Z65" s="1207"/>
      <c r="AA65" s="1203">
        <v>4745.38</v>
      </c>
      <c r="AB65" s="1220"/>
      <c r="AC65" s="1207"/>
      <c r="AD65" s="1207"/>
      <c r="AE65" s="1207"/>
      <c r="AF65" s="1207"/>
      <c r="AG65" s="1207"/>
      <c r="AH65" s="1207"/>
      <c r="AI65" s="1207"/>
      <c r="AJ65" s="1207"/>
      <c r="AK65" s="1216">
        <v>19451.11</v>
      </c>
      <c r="AM65" s="1216"/>
      <c r="AN65" s="1216"/>
      <c r="AO65" s="1216"/>
      <c r="AP65" s="1224">
        <v>905.4</v>
      </c>
      <c r="AQ65" s="1216">
        <v>821.16</v>
      </c>
      <c r="AR65" s="1216"/>
      <c r="AS65" s="1216"/>
    </row>
    <row r="66" spans="1:45">
      <c r="A66" s="1192" t="s">
        <v>1579</v>
      </c>
      <c r="B66" s="1222">
        <f t="shared" si="1"/>
        <v>148738.88000000003</v>
      </c>
      <c r="C66" s="1222">
        <f t="shared" si="4"/>
        <v>27925</v>
      </c>
      <c r="D66" s="1222">
        <f t="shared" si="2"/>
        <v>26129.05</v>
      </c>
      <c r="E66" s="1222">
        <f t="shared" si="3"/>
        <v>1795.95</v>
      </c>
      <c r="F66" s="1222"/>
      <c r="G66" s="1222"/>
      <c r="I66" s="1219" t="s">
        <v>1796</v>
      </c>
      <c r="J66" s="1207"/>
      <c r="K66" s="1207"/>
      <c r="L66" s="1207"/>
      <c r="M66" s="1207"/>
      <c r="N66" s="1207"/>
      <c r="O66" s="1207">
        <v>60</v>
      </c>
      <c r="P66" s="1220">
        <v>70</v>
      </c>
      <c r="Q66" s="1207">
        <v>1500</v>
      </c>
      <c r="R66" s="1203">
        <v>2093.6</v>
      </c>
      <c r="S66" s="1203">
        <v>579.85</v>
      </c>
      <c r="T66" s="1203">
        <v>940.45</v>
      </c>
      <c r="U66" s="1207"/>
      <c r="V66" s="1207"/>
      <c r="W66" s="1203">
        <v>2568.5500000000002</v>
      </c>
      <c r="X66" s="1203">
        <v>15415</v>
      </c>
      <c r="Y66" s="1203">
        <v>1803.4</v>
      </c>
      <c r="Z66" s="1203">
        <v>15618.3</v>
      </c>
      <c r="AA66" s="1203">
        <v>3729.15</v>
      </c>
      <c r="AB66" s="1223">
        <v>8040.8</v>
      </c>
      <c r="AC66" s="1203">
        <v>4514.8</v>
      </c>
      <c r="AD66" s="1203">
        <v>5688.93</v>
      </c>
      <c r="AE66" s="1207">
        <v>4817.17</v>
      </c>
      <c r="AF66" s="1207">
        <v>1550.1</v>
      </c>
      <c r="AG66" s="1203">
        <v>5871.85</v>
      </c>
      <c r="AH66" s="1203">
        <v>7842.84</v>
      </c>
      <c r="AI66" s="1207">
        <v>2903.66</v>
      </c>
      <c r="AJ66" s="1207">
        <v>21711.78</v>
      </c>
      <c r="AK66" s="1216">
        <v>1392</v>
      </c>
      <c r="AL66" s="1216">
        <v>1573.05</v>
      </c>
      <c r="AM66" s="1216">
        <v>10528.6</v>
      </c>
      <c r="AN66" s="1216">
        <v>2374.1999999999998</v>
      </c>
      <c r="AO66" s="1216">
        <v>23754.85</v>
      </c>
      <c r="AP66" s="1224"/>
      <c r="AQ66" s="1216"/>
      <c r="AR66" s="1216">
        <v>1795.95</v>
      </c>
      <c r="AS66" s="1216"/>
    </row>
    <row r="67" spans="1:45">
      <c r="A67" s="1192" t="s">
        <v>1579</v>
      </c>
      <c r="B67" s="1222">
        <f t="shared" si="1"/>
        <v>118153.87</v>
      </c>
      <c r="C67" s="1222">
        <f t="shared" si="4"/>
        <v>63033.130000000005</v>
      </c>
      <c r="D67" s="1222">
        <f>SUM(AN67:AP67)</f>
        <v>57027.98</v>
      </c>
      <c r="E67" s="1222">
        <f t="shared" si="3"/>
        <v>6005.15</v>
      </c>
      <c r="F67" s="1222"/>
      <c r="G67" s="1222"/>
      <c r="I67" s="1219" t="s">
        <v>1797</v>
      </c>
      <c r="J67" s="1207"/>
      <c r="K67" s="1207"/>
      <c r="L67" s="1207"/>
      <c r="M67" s="1203">
        <v>525</v>
      </c>
      <c r="N67" s="1203">
        <v>3325</v>
      </c>
      <c r="O67" s="1203">
        <v>205.99</v>
      </c>
      <c r="P67" s="1223">
        <v>1384.85</v>
      </c>
      <c r="Q67" s="1203">
        <v>573.62</v>
      </c>
      <c r="R67" s="1203">
        <v>875.85</v>
      </c>
      <c r="S67" s="1203">
        <v>659</v>
      </c>
      <c r="T67" s="1203">
        <v>883.85</v>
      </c>
      <c r="U67" s="1203">
        <v>659</v>
      </c>
      <c r="V67" s="1203">
        <v>1333.55</v>
      </c>
      <c r="W67" s="1203">
        <v>907.73</v>
      </c>
      <c r="X67" s="1203">
        <v>838.88</v>
      </c>
      <c r="Y67" s="1203">
        <v>1348.7</v>
      </c>
      <c r="Z67" s="1203">
        <v>1738.88</v>
      </c>
      <c r="AA67" s="1203">
        <v>883.85</v>
      </c>
      <c r="AB67" s="1223">
        <v>1191.52</v>
      </c>
      <c r="AC67" s="1203">
        <v>883.85</v>
      </c>
      <c r="AD67" s="1203">
        <v>883.85</v>
      </c>
      <c r="AE67" s="1203">
        <v>1291.8499999999999</v>
      </c>
      <c r="AF67" s="1203">
        <v>1325.85</v>
      </c>
      <c r="AG67" s="1203">
        <v>1325.85</v>
      </c>
      <c r="AH67" s="1203">
        <v>1430.85</v>
      </c>
      <c r="AI67" s="1203">
        <v>2298.0500000000002</v>
      </c>
      <c r="AJ67" s="1203">
        <v>3375.62</v>
      </c>
      <c r="AK67" s="1216">
        <v>9933.1200000000008</v>
      </c>
      <c r="AL67" s="1216">
        <v>5933.58</v>
      </c>
      <c r="AM67" s="1216">
        <v>9103</v>
      </c>
      <c r="AN67" s="1216">
        <v>28072</v>
      </c>
      <c r="AO67" s="1216">
        <v>23160.63</v>
      </c>
      <c r="AP67" s="1224">
        <v>5795.35</v>
      </c>
      <c r="AQ67" s="1216">
        <v>3565.4</v>
      </c>
      <c r="AR67" s="1216">
        <v>2439.75</v>
      </c>
      <c r="AS67" s="1216"/>
    </row>
    <row r="68" spans="1:45">
      <c r="A68" s="1192" t="s">
        <v>1579</v>
      </c>
      <c r="B68" s="1222">
        <f t="shared" si="1"/>
        <v>23439.45</v>
      </c>
      <c r="C68" s="1222">
        <f t="shared" si="4"/>
        <v>12311.43</v>
      </c>
      <c r="D68" s="1222">
        <f t="shared" si="2"/>
        <v>6194.3099999999995</v>
      </c>
      <c r="E68" s="1222">
        <f t="shared" si="3"/>
        <v>6117.12</v>
      </c>
      <c r="F68" s="1222"/>
      <c r="G68" s="1222"/>
      <c r="I68" s="1219" t="s">
        <v>1798</v>
      </c>
      <c r="J68" s="1207"/>
      <c r="K68" s="1207"/>
      <c r="L68" s="1207"/>
      <c r="M68" s="1203"/>
      <c r="N68" s="1203"/>
      <c r="O68" s="1203"/>
      <c r="P68" s="1223"/>
      <c r="Q68" s="1203"/>
      <c r="R68" s="1203"/>
      <c r="S68" s="1203"/>
      <c r="T68" s="1203"/>
      <c r="U68" s="1203"/>
      <c r="V68" s="1203"/>
      <c r="W68" s="1203"/>
      <c r="X68" s="1203"/>
      <c r="Y68" s="1203"/>
      <c r="Z68" s="1203"/>
      <c r="AA68" s="1203"/>
      <c r="AB68" s="1223"/>
      <c r="AC68" s="1203"/>
      <c r="AD68" s="1203"/>
      <c r="AE68" s="1203"/>
      <c r="AF68" s="1203"/>
      <c r="AG68" s="1203"/>
      <c r="AH68" s="1203"/>
      <c r="AI68" s="1203">
        <v>95</v>
      </c>
      <c r="AJ68" s="1203">
        <v>11033.02</v>
      </c>
      <c r="AM68" s="1216"/>
      <c r="AN68" s="1216">
        <v>2950</v>
      </c>
      <c r="AO68" s="1216">
        <v>1000</v>
      </c>
      <c r="AP68" s="1193">
        <v>2244.31</v>
      </c>
      <c r="AQ68" s="1193">
        <v>2252.12</v>
      </c>
      <c r="AR68" s="1216">
        <v>3865</v>
      </c>
      <c r="AS68" s="1216"/>
    </row>
    <row r="69" spans="1:45">
      <c r="A69" s="1192"/>
      <c r="B69" s="1222">
        <f t="shared" ref="B69:G69" si="5">SUM(B10:B68)</f>
        <v>42509304.100000016</v>
      </c>
      <c r="C69" s="1222">
        <f t="shared" si="5"/>
        <v>10853403.459999999</v>
      </c>
      <c r="D69" s="1222">
        <f>SUM(D10:D68)</f>
        <v>6515609.8500000015</v>
      </c>
      <c r="E69" s="1222">
        <f t="shared" si="5"/>
        <v>4337793.6100000003</v>
      </c>
      <c r="F69" s="1222">
        <f t="shared" si="5"/>
        <v>0</v>
      </c>
      <c r="G69" s="1222">
        <f t="shared" si="5"/>
        <v>0</v>
      </c>
      <c r="I69" s="1219" t="s">
        <v>1799</v>
      </c>
      <c r="J69" s="1208">
        <f t="shared" ref="J69:AR69" si="6">SUM(J10:J68)</f>
        <v>152829.65</v>
      </c>
      <c r="K69" s="1208">
        <f t="shared" si="6"/>
        <v>1009005.76</v>
      </c>
      <c r="L69" s="1208">
        <f t="shared" si="6"/>
        <v>722402.37</v>
      </c>
      <c r="M69" s="1208">
        <f t="shared" si="6"/>
        <v>446879.12</v>
      </c>
      <c r="N69" s="1208">
        <f t="shared" si="6"/>
        <v>483142.84</v>
      </c>
      <c r="O69" s="1208">
        <f t="shared" si="6"/>
        <v>662951.31999999983</v>
      </c>
      <c r="P69" s="1208">
        <f t="shared" si="6"/>
        <v>483733.15</v>
      </c>
      <c r="Q69" s="1208">
        <f t="shared" si="6"/>
        <v>759195.26000000013</v>
      </c>
      <c r="R69" s="1208">
        <f t="shared" si="6"/>
        <v>690062.75</v>
      </c>
      <c r="S69" s="1208">
        <f t="shared" si="6"/>
        <v>661551.11999999988</v>
      </c>
      <c r="T69" s="1208">
        <f t="shared" si="6"/>
        <v>564152.43999999994</v>
      </c>
      <c r="U69" s="1208">
        <f t="shared" si="6"/>
        <v>951710.05000000016</v>
      </c>
      <c r="V69" s="1208">
        <f t="shared" si="6"/>
        <v>1472337.75</v>
      </c>
      <c r="W69" s="1208">
        <f t="shared" si="6"/>
        <v>1435874.0599999998</v>
      </c>
      <c r="X69" s="1208">
        <f t="shared" si="6"/>
        <v>891941.35000000009</v>
      </c>
      <c r="Y69" s="1208">
        <f t="shared" si="6"/>
        <v>1143986.9799999997</v>
      </c>
      <c r="Z69" s="1208">
        <f t="shared" si="6"/>
        <v>801767.22000000009</v>
      </c>
      <c r="AA69" s="1208">
        <f t="shared" si="6"/>
        <v>998519.58</v>
      </c>
      <c r="AB69" s="1208">
        <f t="shared" si="6"/>
        <v>991145.34999999986</v>
      </c>
      <c r="AC69" s="1208">
        <f t="shared" si="6"/>
        <v>993825.79999999993</v>
      </c>
      <c r="AD69" s="1208">
        <f t="shared" si="6"/>
        <v>1636457.3800000004</v>
      </c>
      <c r="AE69" s="1208">
        <f t="shared" si="6"/>
        <v>991061.46</v>
      </c>
      <c r="AF69" s="1208">
        <f t="shared" si="6"/>
        <v>1144956.6300000004</v>
      </c>
      <c r="AG69" s="1208">
        <f t="shared" si="6"/>
        <v>1475581.6400000006</v>
      </c>
      <c r="AH69" s="1208">
        <f t="shared" si="6"/>
        <v>1733907.1</v>
      </c>
      <c r="AI69" s="1208">
        <f t="shared" si="6"/>
        <v>1619768.17</v>
      </c>
      <c r="AJ69" s="1208">
        <f t="shared" si="6"/>
        <v>1612596.6400000006</v>
      </c>
      <c r="AK69" s="1208">
        <f t="shared" si="6"/>
        <v>1405664.2000000004</v>
      </c>
      <c r="AL69" s="1208">
        <f t="shared" si="6"/>
        <v>1725141.4299999997</v>
      </c>
      <c r="AM69" s="1208">
        <f t="shared" si="6"/>
        <v>1993752.07</v>
      </c>
      <c r="AN69" s="1208">
        <f t="shared" si="6"/>
        <v>1878600.9299999997</v>
      </c>
      <c r="AO69" s="1208">
        <f t="shared" si="6"/>
        <v>2552501.9600000004</v>
      </c>
      <c r="AP69" s="1208">
        <f t="shared" si="6"/>
        <v>2084506.96</v>
      </c>
      <c r="AQ69" s="1208">
        <f t="shared" si="6"/>
        <v>2212469.1100000008</v>
      </c>
      <c r="AR69" s="1208">
        <f t="shared" si="6"/>
        <v>2125324.5</v>
      </c>
      <c r="AS69" s="1229"/>
    </row>
    <row r="70" spans="1:45">
      <c r="A70" s="1192"/>
      <c r="B70" s="1192"/>
      <c r="C70" s="1192"/>
      <c r="D70" s="1222"/>
      <c r="E70" s="1192"/>
      <c r="F70" s="1192"/>
      <c r="G70" s="1192"/>
      <c r="I70" s="1219" t="s">
        <v>1800</v>
      </c>
      <c r="J70" s="1208">
        <f t="shared" ref="J70:AR70" si="7">(J8)-(J69)</f>
        <v>-152829.65</v>
      </c>
      <c r="K70" s="1208">
        <f t="shared" si="7"/>
        <v>-1009005.76</v>
      </c>
      <c r="L70" s="1208">
        <f t="shared" si="7"/>
        <v>-722402.37</v>
      </c>
      <c r="M70" s="1208">
        <f t="shared" si="7"/>
        <v>-446879.12</v>
      </c>
      <c r="N70" s="1208">
        <f t="shared" si="7"/>
        <v>-483142.84</v>
      </c>
      <c r="O70" s="1208">
        <f t="shared" si="7"/>
        <v>-662951.31999999983</v>
      </c>
      <c r="P70" s="1221">
        <f t="shared" si="7"/>
        <v>-483733.15</v>
      </c>
      <c r="Q70" s="1208">
        <f t="shared" si="7"/>
        <v>-759195.26000000013</v>
      </c>
      <c r="R70" s="1208">
        <f t="shared" si="7"/>
        <v>-690062.75</v>
      </c>
      <c r="S70" s="1208">
        <f t="shared" si="7"/>
        <v>-661551.11999999988</v>
      </c>
      <c r="T70" s="1208">
        <f t="shared" si="7"/>
        <v>-564152.43999999994</v>
      </c>
      <c r="U70" s="1208">
        <f t="shared" si="7"/>
        <v>-951710.05000000016</v>
      </c>
      <c r="V70" s="1208">
        <f t="shared" si="7"/>
        <v>-1472337.75</v>
      </c>
      <c r="W70" s="1208">
        <f t="shared" si="7"/>
        <v>-1435874.0599999998</v>
      </c>
      <c r="X70" s="1208">
        <f t="shared" si="7"/>
        <v>-891941.35000000009</v>
      </c>
      <c r="Y70" s="1208">
        <f t="shared" si="7"/>
        <v>-1143986.9799999997</v>
      </c>
      <c r="Z70" s="1208">
        <f t="shared" si="7"/>
        <v>-801767.22000000009</v>
      </c>
      <c r="AA70" s="1208">
        <f t="shared" si="7"/>
        <v>-998519.58</v>
      </c>
      <c r="AB70" s="1221">
        <f t="shared" si="7"/>
        <v>-991145.34999999986</v>
      </c>
      <c r="AC70" s="1208">
        <f t="shared" si="7"/>
        <v>-993825.79999999993</v>
      </c>
      <c r="AD70" s="1208">
        <f t="shared" si="7"/>
        <v>-1636457.3800000004</v>
      </c>
      <c r="AE70" s="1208">
        <f t="shared" si="7"/>
        <v>-991061.46</v>
      </c>
      <c r="AF70" s="1208">
        <f t="shared" si="7"/>
        <v>-1144956.6300000004</v>
      </c>
      <c r="AG70" s="1208">
        <f t="shared" si="7"/>
        <v>-1475581.6400000006</v>
      </c>
      <c r="AH70" s="1208">
        <f t="shared" si="7"/>
        <v>-1733907.1</v>
      </c>
      <c r="AI70" s="1208">
        <f t="shared" si="7"/>
        <v>-1619768.17</v>
      </c>
      <c r="AJ70" s="1208">
        <f t="shared" si="7"/>
        <v>-1612596.6400000006</v>
      </c>
      <c r="AK70" s="1208">
        <f t="shared" si="7"/>
        <v>-1405664.2000000004</v>
      </c>
      <c r="AL70" s="1208">
        <f t="shared" si="7"/>
        <v>-1725141.4299999997</v>
      </c>
      <c r="AM70" s="1208">
        <f t="shared" si="7"/>
        <v>-1993752.07</v>
      </c>
      <c r="AN70" s="1208">
        <f t="shared" si="7"/>
        <v>-1878600.9299999997</v>
      </c>
      <c r="AO70" s="1208">
        <f t="shared" si="7"/>
        <v>-2552501.9600000004</v>
      </c>
      <c r="AP70" s="1208">
        <f t="shared" si="7"/>
        <v>-2084506.96</v>
      </c>
      <c r="AQ70" s="1208">
        <f t="shared" si="7"/>
        <v>-2212469.1100000008</v>
      </c>
      <c r="AR70" s="1208">
        <f t="shared" si="7"/>
        <v>-2125324.5</v>
      </c>
      <c r="AS70" s="1229"/>
    </row>
    <row r="71" spans="1:45">
      <c r="A71" s="1192"/>
      <c r="B71" s="1192"/>
      <c r="C71" s="1192"/>
      <c r="D71" s="1222"/>
      <c r="E71" s="1222"/>
      <c r="F71" s="1222"/>
      <c r="G71" s="1222"/>
      <c r="I71" s="1219" t="s">
        <v>1581</v>
      </c>
      <c r="J71" s="1229"/>
      <c r="K71" s="1229"/>
      <c r="L71" s="1229"/>
      <c r="M71" s="1229"/>
      <c r="N71" s="1229"/>
      <c r="O71" s="1229"/>
      <c r="P71" s="1230"/>
      <c r="Q71" s="1229"/>
      <c r="R71" s="1229"/>
      <c r="S71" s="1229"/>
      <c r="T71" s="1229"/>
      <c r="U71" s="1229"/>
      <c r="V71" s="1229"/>
      <c r="W71" s="1229"/>
      <c r="X71" s="1229"/>
      <c r="Y71" s="1229"/>
      <c r="Z71" s="1229"/>
      <c r="AA71" s="1229"/>
      <c r="AB71" s="1230"/>
      <c r="AC71" s="1229">
        <v>-1003457.83</v>
      </c>
      <c r="AD71" s="1229"/>
      <c r="AE71" s="1229"/>
      <c r="AF71" s="1229"/>
      <c r="AG71" s="1229"/>
      <c r="AH71" s="1229"/>
      <c r="AI71" s="1229"/>
      <c r="AJ71" s="1229"/>
      <c r="AM71" s="1216"/>
    </row>
    <row r="72" spans="1:45">
      <c r="A72" s="1192"/>
      <c r="B72" s="1192"/>
      <c r="C72" s="1192"/>
      <c r="D72" s="1192"/>
      <c r="E72" s="1192"/>
      <c r="F72" s="1192"/>
      <c r="G72" s="1192"/>
      <c r="I72" s="1219" t="s">
        <v>1801</v>
      </c>
      <c r="J72" s="1229"/>
      <c r="K72" s="1229"/>
      <c r="L72" s="1229"/>
      <c r="M72" s="1229"/>
      <c r="N72" s="1229"/>
      <c r="O72" s="1229"/>
      <c r="P72" s="1230"/>
      <c r="Q72" s="1229"/>
      <c r="R72" s="1229"/>
      <c r="S72" s="1229"/>
      <c r="T72" s="1229"/>
      <c r="U72" s="1229"/>
      <c r="V72" s="1229"/>
      <c r="W72" s="1229"/>
      <c r="X72" s="1229"/>
      <c r="Y72" s="1229"/>
      <c r="Z72" s="1229"/>
      <c r="AA72" s="1229"/>
      <c r="AB72" s="1230"/>
      <c r="AC72" s="1229"/>
      <c r="AD72" s="1229"/>
      <c r="AE72" s="1229"/>
      <c r="AF72" s="1229"/>
      <c r="AG72" s="1229"/>
      <c r="AH72" s="1229"/>
      <c r="AI72" s="1229"/>
      <c r="AJ72" s="1229"/>
      <c r="AM72" s="1216"/>
    </row>
    <row r="73" spans="1:45">
      <c r="A73" s="1084"/>
      <c r="B73" s="1222">
        <f>SUM(J73:AZ73)</f>
        <v>56991.360000000001</v>
      </c>
      <c r="C73" s="1222">
        <f t="shared" ref="C73:C76" si="8">SUM(AN73:AZ73)</f>
        <v>43041.06</v>
      </c>
      <c r="D73" s="1222">
        <f t="shared" ref="D73:D76" si="9">SUM(AN73:AP73)</f>
        <v>15503.849999999999</v>
      </c>
      <c r="E73" s="1222">
        <f t="shared" ref="E73:E76" si="10">SUM(AQ73:AT73)</f>
        <v>27537.21</v>
      </c>
      <c r="F73" s="1192"/>
      <c r="G73" s="1192"/>
      <c r="I73" s="1219" t="s">
        <v>1802</v>
      </c>
      <c r="J73" s="1229"/>
      <c r="K73" s="1229"/>
      <c r="L73" s="1229"/>
      <c r="M73" s="1229"/>
      <c r="N73" s="1229"/>
      <c r="O73" s="1229"/>
      <c r="P73" s="1230"/>
      <c r="Q73" s="1229"/>
      <c r="R73" s="1229"/>
      <c r="S73" s="1229"/>
      <c r="T73" s="1229"/>
      <c r="U73" s="1229"/>
      <c r="V73" s="1229"/>
      <c r="W73" s="1229"/>
      <c r="X73" s="1229"/>
      <c r="Y73" s="1229"/>
      <c r="Z73" s="1229"/>
      <c r="AA73" s="1229"/>
      <c r="AB73" s="1230"/>
      <c r="AC73" s="1229"/>
      <c r="AD73" s="1229"/>
      <c r="AE73" s="1229"/>
      <c r="AF73" s="1229"/>
      <c r="AG73" s="1229"/>
      <c r="AH73" s="1229"/>
      <c r="AI73" s="1229"/>
      <c r="AJ73" s="1229">
        <v>2040.43</v>
      </c>
      <c r="AK73" s="1216">
        <v>6386.58</v>
      </c>
      <c r="AL73" s="1216">
        <v>3863.43</v>
      </c>
      <c r="AM73" s="1216">
        <v>1659.86</v>
      </c>
      <c r="AN73" s="1193">
        <v>3465.74</v>
      </c>
      <c r="AO73" s="1193">
        <v>6440.33</v>
      </c>
      <c r="AP73" s="1193">
        <v>5597.78</v>
      </c>
      <c r="AQ73" s="1193">
        <v>13748.79</v>
      </c>
      <c r="AR73" s="1193">
        <v>13788.42</v>
      </c>
    </row>
    <row r="74" spans="1:45">
      <c r="A74" s="1084"/>
      <c r="B74" s="1222">
        <f>SUM(J74:AZ74)</f>
        <v>-707.38</v>
      </c>
      <c r="C74" s="1222">
        <f t="shared" si="8"/>
        <v>-707.38</v>
      </c>
      <c r="D74" s="1222">
        <f t="shared" si="9"/>
        <v>-553.86</v>
      </c>
      <c r="E74" s="1222">
        <f t="shared" si="10"/>
        <v>-153.52000000000001</v>
      </c>
      <c r="F74" s="1192"/>
      <c r="G74" s="1192"/>
      <c r="I74" s="1219" t="s">
        <v>1803</v>
      </c>
      <c r="J74" s="1229"/>
      <c r="K74" s="1229"/>
      <c r="L74" s="1229"/>
      <c r="M74" s="1229"/>
      <c r="N74" s="1229"/>
      <c r="O74" s="1229"/>
      <c r="P74" s="1230"/>
      <c r="Q74" s="1229"/>
      <c r="R74" s="1229"/>
      <c r="S74" s="1229"/>
      <c r="T74" s="1229"/>
      <c r="U74" s="1229"/>
      <c r="V74" s="1229"/>
      <c r="W74" s="1229"/>
      <c r="X74" s="1229"/>
      <c r="Y74" s="1229"/>
      <c r="Z74" s="1229"/>
      <c r="AA74" s="1229"/>
      <c r="AB74" s="1230"/>
      <c r="AC74" s="1229"/>
      <c r="AD74" s="1229"/>
      <c r="AE74" s="1229"/>
      <c r="AF74" s="1229"/>
      <c r="AG74" s="1229"/>
      <c r="AH74" s="1229"/>
      <c r="AI74" s="1229"/>
      <c r="AJ74" s="1229"/>
      <c r="AM74" s="1216"/>
      <c r="AN74" s="1193">
        <v>-478.6</v>
      </c>
      <c r="AO74" s="1193">
        <v>-33.549999999999997</v>
      </c>
      <c r="AP74" s="1193">
        <v>-41.71</v>
      </c>
      <c r="AQ74" s="1193">
        <v>-153.52000000000001</v>
      </c>
    </row>
    <row r="75" spans="1:45">
      <c r="A75" s="1192"/>
      <c r="B75" s="1222">
        <f>SUM(J75:AZ75)</f>
        <v>0</v>
      </c>
      <c r="C75" s="1222">
        <f t="shared" si="8"/>
        <v>0</v>
      </c>
      <c r="D75" s="1222">
        <f t="shared" si="9"/>
        <v>0</v>
      </c>
      <c r="E75" s="1222">
        <f t="shared" si="10"/>
        <v>0</v>
      </c>
      <c r="F75" s="1192"/>
      <c r="G75" s="1192"/>
      <c r="I75" s="1219" t="s">
        <v>1804</v>
      </c>
      <c r="J75" s="1229"/>
      <c r="K75" s="1229"/>
      <c r="L75" s="1229"/>
      <c r="M75" s="1229"/>
      <c r="N75" s="1229"/>
      <c r="O75" s="1229"/>
      <c r="P75" s="1230"/>
      <c r="Q75" s="1229"/>
      <c r="R75" s="1229"/>
      <c r="S75" s="1229"/>
      <c r="T75" s="1229"/>
      <c r="U75" s="1229"/>
      <c r="V75" s="1229"/>
      <c r="W75" s="1229"/>
      <c r="X75" s="1229"/>
      <c r="Y75" s="1229"/>
      <c r="Z75" s="1229"/>
      <c r="AA75" s="1229"/>
      <c r="AB75" s="1230"/>
      <c r="AC75" s="1229"/>
      <c r="AD75" s="1229"/>
      <c r="AE75" s="1229"/>
      <c r="AF75" s="1229"/>
      <c r="AG75" s="1229"/>
      <c r="AH75" s="1229"/>
      <c r="AI75" s="1229"/>
      <c r="AJ75" s="1229"/>
      <c r="AM75" s="1216"/>
    </row>
    <row r="76" spans="1:45">
      <c r="A76" s="1192"/>
      <c r="B76" s="1222">
        <f>SUM(J76:AZ76)</f>
        <v>9197.32</v>
      </c>
      <c r="C76" s="1222">
        <f t="shared" si="8"/>
        <v>7634.4699999999993</v>
      </c>
      <c r="D76" s="1222">
        <f t="shared" si="9"/>
        <v>1097.6500000000001</v>
      </c>
      <c r="E76" s="1222">
        <f t="shared" si="10"/>
        <v>6536.82</v>
      </c>
      <c r="F76" s="1192"/>
      <c r="G76" s="1192"/>
      <c r="I76" s="1206" t="s">
        <v>1805</v>
      </c>
      <c r="J76" s="1229"/>
      <c r="K76" s="1229"/>
      <c r="L76" s="1229"/>
      <c r="M76" s="1229"/>
      <c r="N76" s="1229"/>
      <c r="O76" s="1229"/>
      <c r="P76" s="1230"/>
      <c r="Q76" s="1229"/>
      <c r="R76" s="1229"/>
      <c r="S76" s="1229"/>
      <c r="T76" s="1229"/>
      <c r="U76" s="1229"/>
      <c r="V76" s="1229"/>
      <c r="W76" s="1229"/>
      <c r="X76" s="1229"/>
      <c r="Y76" s="1229"/>
      <c r="Z76" s="1229"/>
      <c r="AA76" s="1229"/>
      <c r="AB76" s="1230"/>
      <c r="AC76" s="1229"/>
      <c r="AD76" s="1229"/>
      <c r="AE76" s="1229"/>
      <c r="AF76" s="1229"/>
      <c r="AG76" s="1229"/>
      <c r="AH76" s="1229"/>
      <c r="AI76" s="1229"/>
      <c r="AJ76" s="1229">
        <v>-51.77</v>
      </c>
      <c r="AK76" s="1216">
        <v>-522.72</v>
      </c>
      <c r="AL76" s="1216">
        <v>639.1</v>
      </c>
      <c r="AM76" s="1216">
        <v>1498.24</v>
      </c>
      <c r="AN76" s="1193">
        <v>0</v>
      </c>
      <c r="AO76" s="1193">
        <v>0</v>
      </c>
      <c r="AP76" s="1193">
        <v>1097.6500000000001</v>
      </c>
      <c r="AQ76" s="1193">
        <v>3921.66</v>
      </c>
      <c r="AR76" s="1193">
        <v>2615.16</v>
      </c>
    </row>
    <row r="77" spans="1:45">
      <c r="A77" s="1192"/>
      <c r="B77" s="1192"/>
      <c r="C77" s="1192"/>
      <c r="D77" s="1192"/>
      <c r="E77" s="1192"/>
      <c r="F77" s="1192"/>
      <c r="G77" s="1192"/>
      <c r="I77" s="1206"/>
      <c r="J77" s="1229"/>
      <c r="K77" s="1229"/>
      <c r="L77" s="1229"/>
      <c r="M77" s="1229"/>
      <c r="N77" s="1229"/>
      <c r="O77" s="1229"/>
      <c r="P77" s="1230"/>
      <c r="Q77" s="1229"/>
      <c r="R77" s="1229"/>
      <c r="S77" s="1229"/>
      <c r="T77" s="1229"/>
      <c r="U77" s="1229"/>
      <c r="V77" s="1229"/>
      <c r="W77" s="1229"/>
      <c r="X77" s="1229"/>
      <c r="Y77" s="1229"/>
      <c r="Z77" s="1229"/>
      <c r="AA77" s="1229"/>
      <c r="AB77" s="1230"/>
      <c r="AC77" s="1229"/>
      <c r="AD77" s="1229"/>
      <c r="AE77" s="1229"/>
      <c r="AF77" s="1229"/>
      <c r="AG77" s="1229"/>
      <c r="AH77" s="1229"/>
      <c r="AI77" s="1229"/>
      <c r="AJ77" s="1229"/>
      <c r="AM77" s="1216"/>
    </row>
    <row r="78" spans="1:45">
      <c r="A78" s="1192"/>
      <c r="B78" s="1192"/>
      <c r="C78" s="1192"/>
      <c r="D78" s="1192"/>
      <c r="E78" s="1192"/>
      <c r="F78" s="1192"/>
      <c r="G78" s="1192"/>
      <c r="I78" s="1206"/>
      <c r="J78" s="1229"/>
      <c r="K78" s="1229"/>
      <c r="L78" s="1229"/>
      <c r="M78" s="1229"/>
      <c r="N78" s="1229"/>
      <c r="O78" s="1229"/>
      <c r="P78" s="1230"/>
      <c r="Q78" s="1229"/>
      <c r="R78" s="1229"/>
      <c r="S78" s="1229"/>
      <c r="T78" s="1229"/>
      <c r="U78" s="1229"/>
      <c r="V78" s="1229"/>
      <c r="W78" s="1229"/>
      <c r="X78" s="1229"/>
      <c r="Y78" s="1229"/>
      <c r="Z78" s="1229"/>
      <c r="AA78" s="1229"/>
      <c r="AB78" s="1230"/>
      <c r="AC78" s="1229"/>
      <c r="AD78" s="1229"/>
      <c r="AE78" s="1229"/>
      <c r="AF78" s="1229"/>
      <c r="AG78" s="1229"/>
      <c r="AH78" s="1229"/>
      <c r="AI78" s="1229"/>
      <c r="AJ78" s="1229"/>
      <c r="AM78" s="1216"/>
    </row>
    <row r="79" spans="1:45">
      <c r="A79" s="1084" t="s">
        <v>1581</v>
      </c>
      <c r="B79" s="1222">
        <f>SUM(J79:AZ79)</f>
        <v>65481.3</v>
      </c>
      <c r="C79" s="1222">
        <f t="shared" ref="C79" si="11">SUM(AN79:AZ79)</f>
        <v>49968.15</v>
      </c>
      <c r="D79" s="1222">
        <f t="shared" ref="D79" si="12">SUM(AN79:AP79)</f>
        <v>16047.64</v>
      </c>
      <c r="E79" s="1222">
        <f t="shared" ref="E79" si="13">SUM(AQ79:AT79)</f>
        <v>33920.51</v>
      </c>
      <c r="F79" s="1222"/>
      <c r="G79" s="1222"/>
      <c r="I79" s="1219" t="s">
        <v>1806</v>
      </c>
      <c r="J79" s="1229">
        <f t="shared" ref="J79:AH79" si="14">(((J72)+(J73))+(J74))+(J75)</f>
        <v>0</v>
      </c>
      <c r="K79" s="1229">
        <f t="shared" si="14"/>
        <v>0</v>
      </c>
      <c r="L79" s="1229">
        <f t="shared" si="14"/>
        <v>0</v>
      </c>
      <c r="M79" s="1229">
        <f t="shared" si="14"/>
        <v>0</v>
      </c>
      <c r="N79" s="1229">
        <f t="shared" si="14"/>
        <v>0</v>
      </c>
      <c r="O79" s="1229">
        <f t="shared" si="14"/>
        <v>0</v>
      </c>
      <c r="P79" s="1230">
        <f t="shared" si="14"/>
        <v>0</v>
      </c>
      <c r="Q79" s="1229">
        <f t="shared" si="14"/>
        <v>0</v>
      </c>
      <c r="R79" s="1229">
        <f t="shared" si="14"/>
        <v>0</v>
      </c>
      <c r="S79" s="1229">
        <f t="shared" si="14"/>
        <v>0</v>
      </c>
      <c r="T79" s="1229">
        <f t="shared" si="14"/>
        <v>0</v>
      </c>
      <c r="U79" s="1229">
        <f t="shared" si="14"/>
        <v>0</v>
      </c>
      <c r="V79" s="1229">
        <f t="shared" si="14"/>
        <v>0</v>
      </c>
      <c r="W79" s="1229">
        <f t="shared" si="14"/>
        <v>0</v>
      </c>
      <c r="X79" s="1229">
        <f t="shared" si="14"/>
        <v>0</v>
      </c>
      <c r="Y79" s="1229">
        <f t="shared" si="14"/>
        <v>0</v>
      </c>
      <c r="Z79" s="1229">
        <f t="shared" si="14"/>
        <v>0</v>
      </c>
      <c r="AA79" s="1229">
        <f t="shared" si="14"/>
        <v>0</v>
      </c>
      <c r="AB79" s="1230">
        <f t="shared" si="14"/>
        <v>0</v>
      </c>
      <c r="AC79" s="1229">
        <f t="shared" si="14"/>
        <v>0</v>
      </c>
      <c r="AD79" s="1229">
        <f t="shared" si="14"/>
        <v>0</v>
      </c>
      <c r="AE79" s="1229">
        <f t="shared" si="14"/>
        <v>0</v>
      </c>
      <c r="AF79" s="1229">
        <f t="shared" si="14"/>
        <v>0</v>
      </c>
      <c r="AG79" s="1229">
        <f t="shared" si="14"/>
        <v>0</v>
      </c>
      <c r="AH79" s="1229">
        <f t="shared" si="14"/>
        <v>0</v>
      </c>
      <c r="AI79" s="1229">
        <f>(((AI72)+(AI73))+(AI74))+(AI75)</f>
        <v>0</v>
      </c>
      <c r="AJ79" s="1229">
        <f t="shared" ref="AJ79:AR79" si="15">(((AJ72)+(AJ73))+(AJ74))+(AJ75)+(AJ76)</f>
        <v>1988.66</v>
      </c>
      <c r="AK79" s="1229">
        <f t="shared" si="15"/>
        <v>5863.86</v>
      </c>
      <c r="AL79" s="1229">
        <f t="shared" si="15"/>
        <v>4502.53</v>
      </c>
      <c r="AM79" s="1229">
        <f t="shared" si="15"/>
        <v>3158.1</v>
      </c>
      <c r="AN79" s="1229">
        <f t="shared" si="15"/>
        <v>2987.14</v>
      </c>
      <c r="AO79" s="1229">
        <f t="shared" si="15"/>
        <v>6406.78</v>
      </c>
      <c r="AP79" s="1229">
        <f t="shared" si="15"/>
        <v>6653.7199999999993</v>
      </c>
      <c r="AQ79" s="1229">
        <f t="shared" si="15"/>
        <v>17516.93</v>
      </c>
      <c r="AR79" s="1229">
        <f t="shared" si="15"/>
        <v>16403.580000000002</v>
      </c>
      <c r="AS79" s="1229"/>
    </row>
    <row r="80" spans="1:45">
      <c r="A80" s="1192"/>
      <c r="B80" s="1222"/>
      <c r="C80" s="1222"/>
      <c r="D80" s="1222"/>
      <c r="E80" s="1222"/>
      <c r="F80" s="1222"/>
      <c r="G80" s="1222"/>
      <c r="I80" s="1219" t="s">
        <v>92</v>
      </c>
      <c r="J80" s="1207"/>
      <c r="K80" s="1207"/>
      <c r="L80" s="1207"/>
      <c r="M80" s="1207"/>
      <c r="N80" s="1207"/>
      <c r="O80" s="1207"/>
      <c r="P80" s="1220"/>
      <c r="Q80" s="1207"/>
      <c r="R80" s="1207"/>
      <c r="S80" s="1207"/>
      <c r="T80" s="1207"/>
      <c r="U80" s="1207"/>
      <c r="V80" s="1207"/>
      <c r="W80" s="1207"/>
      <c r="X80" s="1207"/>
      <c r="Y80" s="1207"/>
      <c r="Z80" s="1207"/>
      <c r="AA80" s="1207"/>
      <c r="AB80" s="1220"/>
      <c r="AC80" s="1207"/>
      <c r="AD80" s="1207"/>
      <c r="AE80" s="1207"/>
      <c r="AF80" s="1207"/>
      <c r="AG80" s="1207"/>
      <c r="AH80" s="1207"/>
      <c r="AI80" s="1207"/>
      <c r="AJ80" s="1207"/>
      <c r="AM80" s="1216"/>
    </row>
    <row r="81" spans="1:42">
      <c r="A81" s="1192"/>
      <c r="B81" s="1222">
        <f>SUM(J81:AZ81)</f>
        <v>0</v>
      </c>
      <c r="C81" s="1222">
        <f t="shared" ref="C81:C84" si="16">SUM(AN81:AZ81)</f>
        <v>0</v>
      </c>
      <c r="D81" s="1222">
        <f t="shared" ref="D81:D84" si="17">SUM(AN81:AP81)</f>
        <v>0</v>
      </c>
      <c r="E81" s="1222">
        <f t="shared" ref="E81:E84" si="18">SUM(AQ81:AT81)</f>
        <v>0</v>
      </c>
      <c r="F81" s="1222"/>
      <c r="G81" s="1222"/>
      <c r="I81" s="1219" t="s">
        <v>1807</v>
      </c>
      <c r="J81" s="1207"/>
      <c r="K81" s="1207"/>
      <c r="L81" s="1207"/>
      <c r="M81" s="1207"/>
      <c r="N81" s="1207"/>
      <c r="O81" s="1207"/>
      <c r="P81" s="1220"/>
      <c r="Q81" s="1207"/>
      <c r="R81" s="1207"/>
      <c r="S81" s="1207"/>
      <c r="T81" s="1207"/>
      <c r="U81" s="1207"/>
      <c r="V81" s="1207"/>
      <c r="W81" s="1207"/>
      <c r="X81" s="1207"/>
      <c r="Y81" s="1207"/>
      <c r="Z81" s="1207"/>
      <c r="AA81" s="1207"/>
      <c r="AB81" s="1220"/>
      <c r="AC81" s="1207"/>
      <c r="AD81" s="1207"/>
      <c r="AE81" s="1207"/>
      <c r="AF81" s="1207"/>
      <c r="AG81" s="1207"/>
      <c r="AH81" s="1207"/>
      <c r="AI81" s="1207"/>
      <c r="AJ81" s="1207"/>
      <c r="AM81" s="1216"/>
    </row>
    <row r="82" spans="1:42">
      <c r="A82" s="1192"/>
      <c r="B82" s="1222">
        <f>SUM(J82:AZ82)</f>
        <v>1342.47</v>
      </c>
      <c r="C82" s="1222">
        <f t="shared" si="16"/>
        <v>0</v>
      </c>
      <c r="D82" s="1222">
        <f t="shared" si="17"/>
        <v>0</v>
      </c>
      <c r="E82" s="1222">
        <f t="shared" si="18"/>
        <v>0</v>
      </c>
      <c r="F82" s="1222">
        <f t="shared" ref="F82" si="19">SUM(AH82:AJ82)</f>
        <v>0</v>
      </c>
      <c r="G82" s="1222">
        <f t="shared" ref="G82" si="20">SUM(AK82:AM82)</f>
        <v>0</v>
      </c>
      <c r="I82" s="1219" t="s">
        <v>1808</v>
      </c>
      <c r="J82" s="1207"/>
      <c r="K82" s="1207"/>
      <c r="L82" s="1207"/>
      <c r="M82" s="1207"/>
      <c r="N82" s="1203">
        <f>1342.47</f>
        <v>1342.47</v>
      </c>
      <c r="O82" s="1207"/>
      <c r="P82" s="1220"/>
      <c r="Q82" s="1207"/>
      <c r="R82" s="1207"/>
      <c r="S82" s="1207"/>
      <c r="T82" s="1207"/>
      <c r="U82" s="1207"/>
      <c r="V82" s="1207"/>
      <c r="W82" s="1207"/>
      <c r="X82" s="1207"/>
      <c r="Y82" s="1207"/>
      <c r="Z82" s="1207"/>
      <c r="AA82" s="1207"/>
      <c r="AB82" s="1220"/>
      <c r="AC82" s="1207"/>
      <c r="AD82" s="1207"/>
      <c r="AE82" s="1207"/>
      <c r="AF82" s="1207"/>
      <c r="AG82" s="1207"/>
      <c r="AH82" s="1207"/>
      <c r="AI82" s="1207"/>
      <c r="AJ82" s="1207"/>
      <c r="AM82" s="1216"/>
    </row>
    <row r="83" spans="1:42">
      <c r="A83" s="1192"/>
      <c r="B83" s="1222">
        <f>SUM(J83:AZ83)</f>
        <v>0</v>
      </c>
      <c r="C83" s="1222">
        <f t="shared" si="16"/>
        <v>0</v>
      </c>
      <c r="D83" s="1222">
        <f t="shared" si="17"/>
        <v>0</v>
      </c>
      <c r="E83" s="1222">
        <f t="shared" si="18"/>
        <v>0</v>
      </c>
      <c r="F83" s="1222"/>
      <c r="G83" s="1222"/>
      <c r="I83" s="1219" t="s">
        <v>1809</v>
      </c>
      <c r="J83" s="1207"/>
      <c r="K83" s="1207"/>
      <c r="L83" s="1207"/>
      <c r="M83" s="1207"/>
      <c r="N83" s="1203"/>
      <c r="O83" s="1207"/>
      <c r="P83" s="1220"/>
      <c r="Q83" s="1207"/>
      <c r="R83" s="1207"/>
      <c r="S83" s="1207"/>
      <c r="T83" s="1207"/>
      <c r="U83" s="1207"/>
      <c r="V83" s="1207"/>
      <c r="W83" s="1207"/>
      <c r="X83" s="1207"/>
      <c r="Y83" s="1207"/>
      <c r="Z83" s="1207"/>
      <c r="AA83" s="1207"/>
      <c r="AB83" s="1220"/>
      <c r="AC83" s="1207"/>
      <c r="AD83" s="1207"/>
      <c r="AE83" s="1207"/>
      <c r="AF83" s="1207"/>
      <c r="AG83" s="1207"/>
      <c r="AH83" s="1207"/>
      <c r="AI83" s="1207"/>
      <c r="AJ83" s="1207"/>
      <c r="AM83" s="1216"/>
    </row>
    <row r="84" spans="1:42">
      <c r="A84" s="1192"/>
      <c r="B84" s="1222">
        <f>SUM(J84:AZ84)</f>
        <v>0</v>
      </c>
      <c r="C84" s="1222">
        <f t="shared" si="16"/>
        <v>0</v>
      </c>
      <c r="D84" s="1222">
        <f t="shared" si="17"/>
        <v>0</v>
      </c>
      <c r="E84" s="1222">
        <f t="shared" si="18"/>
        <v>0</v>
      </c>
      <c r="F84" s="1222"/>
      <c r="G84" s="1222"/>
      <c r="I84" s="1219" t="s">
        <v>1810</v>
      </c>
      <c r="J84" s="1207"/>
      <c r="K84" s="1207"/>
      <c r="L84" s="1207"/>
      <c r="M84" s="1207"/>
      <c r="N84" s="1203"/>
      <c r="O84" s="1207"/>
      <c r="P84" s="1220"/>
      <c r="Q84" s="1207"/>
      <c r="R84" s="1207"/>
      <c r="S84" s="1207"/>
      <c r="T84" s="1207"/>
      <c r="U84" s="1207"/>
      <c r="V84" s="1207"/>
      <c r="W84" s="1207"/>
      <c r="X84" s="1207"/>
      <c r="Y84" s="1207"/>
      <c r="Z84" s="1207"/>
      <c r="AA84" s="1207"/>
      <c r="AB84" s="1220"/>
      <c r="AC84" s="1207"/>
      <c r="AD84" s="1207"/>
      <c r="AE84" s="1207"/>
      <c r="AF84" s="1207"/>
      <c r="AG84" s="1207"/>
      <c r="AH84" s="1207"/>
      <c r="AI84" s="1207"/>
      <c r="AJ84" s="1207"/>
      <c r="AM84" s="1216"/>
    </row>
    <row r="85" spans="1:42">
      <c r="A85" s="1192"/>
      <c r="B85" s="1222"/>
      <c r="C85" s="1222"/>
      <c r="D85" s="1222"/>
      <c r="E85" s="1222"/>
      <c r="F85" s="1222"/>
      <c r="G85" s="1222"/>
      <c r="I85" s="1219"/>
      <c r="J85" s="1207"/>
      <c r="K85" s="1207"/>
      <c r="L85" s="1207"/>
      <c r="M85" s="1207"/>
      <c r="N85" s="1203"/>
      <c r="O85" s="1207"/>
      <c r="P85" s="1220"/>
      <c r="Q85" s="1207"/>
      <c r="R85" s="1207"/>
      <c r="S85" s="1207"/>
      <c r="T85" s="1207"/>
      <c r="U85" s="1207"/>
      <c r="V85" s="1207"/>
      <c r="W85" s="1207"/>
      <c r="X85" s="1207"/>
      <c r="Y85" s="1207"/>
      <c r="Z85" s="1207"/>
      <c r="AA85" s="1207"/>
      <c r="AB85" s="1220"/>
      <c r="AC85" s="1207"/>
      <c r="AD85" s="1207"/>
      <c r="AE85" s="1207"/>
      <c r="AF85" s="1207"/>
      <c r="AG85" s="1207"/>
      <c r="AH85" s="1207"/>
      <c r="AI85" s="1207"/>
      <c r="AJ85" s="1207"/>
      <c r="AM85" s="1216"/>
    </row>
    <row r="86" spans="1:42">
      <c r="A86" s="1192"/>
      <c r="B86" s="1222">
        <f t="shared" ref="B86:B91" si="21">SUM(J86:AZ86)</f>
        <v>565.25</v>
      </c>
      <c r="C86" s="1222">
        <f t="shared" ref="C86:C91" si="22">SUM(AN86:AZ86)</f>
        <v>0</v>
      </c>
      <c r="D86" s="1222">
        <f t="shared" ref="D86:D91" si="23">SUM(AN86:AP86)</f>
        <v>0</v>
      </c>
      <c r="E86" s="1222">
        <f t="shared" ref="E86:E91" si="24">SUM(AQ86:AT86)</f>
        <v>0</v>
      </c>
      <c r="F86" s="1222"/>
      <c r="G86" s="1222"/>
      <c r="I86" s="1219" t="s">
        <v>1811</v>
      </c>
      <c r="J86" s="1207"/>
      <c r="K86" s="1207"/>
      <c r="L86" s="1207"/>
      <c r="M86" s="1207"/>
      <c r="N86" s="1203">
        <f>565.25</f>
        <v>565.25</v>
      </c>
      <c r="O86" s="1207"/>
      <c r="P86" s="1220"/>
      <c r="Q86" s="1207"/>
      <c r="R86" s="1207"/>
      <c r="S86" s="1207"/>
      <c r="T86" s="1207"/>
      <c r="U86" s="1207"/>
      <c r="V86" s="1207"/>
      <c r="W86" s="1207"/>
      <c r="X86" s="1207"/>
      <c r="Y86" s="1207"/>
      <c r="Z86" s="1207"/>
      <c r="AA86" s="1207"/>
      <c r="AB86" s="1220"/>
      <c r="AC86" s="1207"/>
      <c r="AD86" s="1207"/>
      <c r="AE86" s="1207"/>
      <c r="AF86" s="1207"/>
      <c r="AG86" s="1207"/>
      <c r="AH86" s="1207"/>
      <c r="AI86" s="1207"/>
      <c r="AJ86" s="1207"/>
      <c r="AM86" s="1216"/>
    </row>
    <row r="87" spans="1:42">
      <c r="A87" s="1192"/>
      <c r="B87" s="1222">
        <f t="shared" si="21"/>
        <v>9749.32</v>
      </c>
      <c r="C87" s="1222">
        <f t="shared" si="22"/>
        <v>9749.32</v>
      </c>
      <c r="D87" s="1222">
        <f t="shared" si="23"/>
        <v>9749.32</v>
      </c>
      <c r="E87" s="1222">
        <f t="shared" si="24"/>
        <v>0</v>
      </c>
      <c r="F87" s="1222"/>
      <c r="G87" s="1222"/>
      <c r="I87" s="1219" t="s">
        <v>1812</v>
      </c>
      <c r="J87" s="1207"/>
      <c r="K87" s="1207"/>
      <c r="L87" s="1207"/>
      <c r="M87" s="1207"/>
      <c r="N87" s="1203"/>
      <c r="O87" s="1207"/>
      <c r="P87" s="1220"/>
      <c r="Q87" s="1207"/>
      <c r="R87" s="1207"/>
      <c r="S87" s="1207"/>
      <c r="T87" s="1207"/>
      <c r="U87" s="1207"/>
      <c r="V87" s="1207"/>
      <c r="W87" s="1207"/>
      <c r="X87" s="1207"/>
      <c r="Y87" s="1207"/>
      <c r="Z87" s="1207"/>
      <c r="AA87" s="1207"/>
      <c r="AB87" s="1220"/>
      <c r="AC87" s="1207"/>
      <c r="AD87" s="1207"/>
      <c r="AE87" s="1207"/>
      <c r="AF87" s="1207"/>
      <c r="AG87" s="1207"/>
      <c r="AH87" s="1207"/>
      <c r="AI87" s="1207"/>
      <c r="AJ87" s="1207"/>
      <c r="AM87" s="1216"/>
      <c r="AP87" s="1193">
        <v>9749.32</v>
      </c>
    </row>
    <row r="88" spans="1:42">
      <c r="A88" s="1192"/>
      <c r="B88" s="1222">
        <f t="shared" si="21"/>
        <v>0</v>
      </c>
      <c r="C88" s="1222">
        <f t="shared" si="22"/>
        <v>0</v>
      </c>
      <c r="D88" s="1222">
        <f t="shared" si="23"/>
        <v>0</v>
      </c>
      <c r="E88" s="1222">
        <f t="shared" si="24"/>
        <v>0</v>
      </c>
      <c r="F88" s="1222"/>
      <c r="G88" s="1222"/>
      <c r="I88" s="1219" t="s">
        <v>1813</v>
      </c>
      <c r="J88" s="1207"/>
      <c r="K88" s="1207"/>
      <c r="L88" s="1207"/>
      <c r="M88" s="1207"/>
      <c r="N88" s="1203"/>
      <c r="O88" s="1207"/>
      <c r="P88" s="1220"/>
      <c r="Q88" s="1207"/>
      <c r="R88" s="1207"/>
      <c r="S88" s="1207"/>
      <c r="T88" s="1207"/>
      <c r="U88" s="1207"/>
      <c r="V88" s="1207"/>
      <c r="W88" s="1207"/>
      <c r="X88" s="1207"/>
      <c r="Y88" s="1207"/>
      <c r="Z88" s="1207"/>
      <c r="AA88" s="1207"/>
      <c r="AB88" s="1220"/>
      <c r="AC88" s="1207"/>
      <c r="AD88" s="1207"/>
      <c r="AE88" s="1207"/>
      <c r="AF88" s="1207"/>
      <c r="AG88" s="1207"/>
      <c r="AH88" s="1207"/>
      <c r="AI88" s="1207"/>
      <c r="AJ88" s="1207"/>
      <c r="AM88" s="1216"/>
    </row>
    <row r="89" spans="1:42">
      <c r="A89" s="1192"/>
      <c r="B89" s="1222">
        <f t="shared" si="21"/>
        <v>0</v>
      </c>
      <c r="C89" s="1222">
        <f t="shared" si="22"/>
        <v>0</v>
      </c>
      <c r="D89" s="1222">
        <f t="shared" si="23"/>
        <v>0</v>
      </c>
      <c r="E89" s="1222">
        <f t="shared" si="24"/>
        <v>0</v>
      </c>
      <c r="F89" s="1222"/>
      <c r="G89" s="1222"/>
      <c r="I89" s="1219" t="s">
        <v>1814</v>
      </c>
      <c r="J89" s="1207"/>
      <c r="K89" s="1207"/>
      <c r="L89" s="1207"/>
      <c r="M89" s="1207"/>
      <c r="N89" s="1203"/>
      <c r="O89" s="1207"/>
      <c r="P89" s="1220"/>
      <c r="Q89" s="1207"/>
      <c r="R89" s="1207"/>
      <c r="S89" s="1207"/>
      <c r="T89" s="1207"/>
      <c r="U89" s="1207"/>
      <c r="V89" s="1207"/>
      <c r="W89" s="1207"/>
      <c r="X89" s="1207"/>
      <c r="Y89" s="1207"/>
      <c r="Z89" s="1207"/>
      <c r="AA89" s="1207"/>
      <c r="AB89" s="1220"/>
      <c r="AC89" s="1207"/>
      <c r="AD89" s="1207"/>
      <c r="AE89" s="1207"/>
      <c r="AF89" s="1207"/>
      <c r="AG89" s="1207"/>
      <c r="AH89" s="1207"/>
      <c r="AI89" s="1207"/>
      <c r="AJ89" s="1207"/>
      <c r="AM89" s="1216"/>
    </row>
    <row r="90" spans="1:42">
      <c r="A90" s="1192"/>
      <c r="B90" s="1222">
        <f t="shared" si="21"/>
        <v>0</v>
      </c>
      <c r="C90" s="1222">
        <f t="shared" si="22"/>
        <v>0</v>
      </c>
      <c r="D90" s="1222">
        <f t="shared" si="23"/>
        <v>0</v>
      </c>
      <c r="E90" s="1222">
        <f t="shared" si="24"/>
        <v>0</v>
      </c>
      <c r="F90" s="1222"/>
      <c r="G90" s="1222"/>
      <c r="I90" s="1219" t="s">
        <v>1815</v>
      </c>
      <c r="J90" s="1207"/>
      <c r="K90" s="1207"/>
      <c r="L90" s="1207"/>
      <c r="M90" s="1207"/>
      <c r="N90" s="1203"/>
      <c r="O90" s="1207"/>
      <c r="P90" s="1220"/>
      <c r="Q90" s="1207"/>
      <c r="R90" s="1207"/>
      <c r="S90" s="1207"/>
      <c r="T90" s="1207"/>
      <c r="U90" s="1207"/>
      <c r="V90" s="1207"/>
      <c r="W90" s="1207"/>
      <c r="X90" s="1207"/>
      <c r="Y90" s="1207"/>
      <c r="Z90" s="1207"/>
      <c r="AA90" s="1207"/>
      <c r="AB90" s="1220"/>
      <c r="AC90" s="1207"/>
      <c r="AD90" s="1207"/>
      <c r="AE90" s="1207"/>
      <c r="AF90" s="1207"/>
      <c r="AG90" s="1207"/>
      <c r="AH90" s="1207"/>
      <c r="AI90" s="1207"/>
      <c r="AJ90" s="1207"/>
      <c r="AM90" s="1216"/>
    </row>
    <row r="91" spans="1:42">
      <c r="A91" s="1192"/>
      <c r="B91" s="1222">
        <f t="shared" si="21"/>
        <v>0</v>
      </c>
      <c r="C91" s="1222">
        <f t="shared" si="22"/>
        <v>0</v>
      </c>
      <c r="D91" s="1222">
        <f t="shared" si="23"/>
        <v>0</v>
      </c>
      <c r="E91" s="1222">
        <f t="shared" si="24"/>
        <v>0</v>
      </c>
      <c r="F91" s="1222"/>
      <c r="G91" s="1222"/>
      <c r="I91" s="1219" t="s">
        <v>1816</v>
      </c>
      <c r="J91" s="1207"/>
      <c r="K91" s="1207"/>
      <c r="L91" s="1207"/>
      <c r="M91" s="1207"/>
      <c r="N91" s="1203"/>
      <c r="O91" s="1207"/>
      <c r="P91" s="1220"/>
      <c r="Q91" s="1207"/>
      <c r="R91" s="1207"/>
      <c r="S91" s="1207"/>
      <c r="T91" s="1207"/>
      <c r="U91" s="1207"/>
      <c r="V91" s="1207"/>
      <c r="W91" s="1207"/>
      <c r="X91" s="1207"/>
      <c r="Y91" s="1207"/>
      <c r="Z91" s="1207"/>
      <c r="AA91" s="1207"/>
      <c r="AB91" s="1220"/>
      <c r="AC91" s="1207"/>
      <c r="AD91" s="1207"/>
      <c r="AE91" s="1207"/>
      <c r="AF91" s="1207"/>
      <c r="AG91" s="1207"/>
      <c r="AH91" s="1207"/>
      <c r="AI91" s="1207"/>
      <c r="AJ91" s="1207"/>
      <c r="AM91" s="1216"/>
    </row>
    <row r="92" spans="1:42">
      <c r="A92" s="1192"/>
      <c r="B92" s="1222"/>
      <c r="C92" s="1222"/>
      <c r="D92" s="1222"/>
      <c r="E92" s="1222"/>
      <c r="F92" s="1222"/>
      <c r="G92" s="1222"/>
      <c r="H92" s="1193" t="s">
        <v>1817</v>
      </c>
      <c r="I92" s="1219" t="s">
        <v>1818</v>
      </c>
      <c r="J92" s="1207"/>
      <c r="K92" s="1207"/>
      <c r="L92" s="1207"/>
      <c r="M92" s="1207"/>
      <c r="N92" s="1203"/>
      <c r="O92" s="1207"/>
      <c r="P92" s="1220"/>
      <c r="Q92" s="1207"/>
      <c r="R92" s="1207"/>
      <c r="S92" s="1207"/>
      <c r="T92" s="1207"/>
      <c r="U92" s="1207"/>
      <c r="V92" s="1207"/>
      <c r="W92" s="1207"/>
      <c r="X92" s="1207"/>
      <c r="Y92" s="1207"/>
      <c r="Z92" s="1207"/>
      <c r="AA92" s="1207"/>
      <c r="AB92" s="1220"/>
      <c r="AC92" s="1207"/>
      <c r="AD92" s="1207"/>
      <c r="AE92" s="1207"/>
      <c r="AF92" s="1207"/>
      <c r="AG92" s="1207"/>
      <c r="AH92" s="1207"/>
      <c r="AI92" s="1207"/>
      <c r="AJ92" s="1207"/>
      <c r="AM92" s="1216"/>
    </row>
    <row r="93" spans="1:42">
      <c r="A93" s="1192"/>
      <c r="B93" s="1222"/>
      <c r="C93" s="1222"/>
      <c r="D93" s="1222"/>
      <c r="E93" s="1222"/>
      <c r="F93" s="1222"/>
      <c r="G93" s="1222"/>
      <c r="H93" s="1193" t="s">
        <v>1817</v>
      </c>
      <c r="I93" s="1219" t="s">
        <v>1819</v>
      </c>
      <c r="J93" s="1207"/>
      <c r="K93" s="1207"/>
      <c r="L93" s="1207"/>
      <c r="M93" s="1207"/>
      <c r="N93" s="1203"/>
      <c r="O93" s="1207"/>
      <c r="P93" s="1220"/>
      <c r="Q93" s="1207"/>
      <c r="R93" s="1207"/>
      <c r="S93" s="1207"/>
      <c r="T93" s="1207"/>
      <c r="U93" s="1207"/>
      <c r="V93" s="1207"/>
      <c r="W93" s="1207"/>
      <c r="X93" s="1207"/>
      <c r="Y93" s="1207"/>
      <c r="Z93" s="1207"/>
      <c r="AA93" s="1207"/>
      <c r="AB93" s="1220"/>
      <c r="AC93" s="1207"/>
      <c r="AD93" s="1207"/>
      <c r="AE93" s="1207"/>
      <c r="AF93" s="1207"/>
      <c r="AG93" s="1207"/>
      <c r="AH93" s="1207"/>
      <c r="AI93" s="1207"/>
      <c r="AJ93" s="1207"/>
      <c r="AM93" s="1216"/>
    </row>
    <row r="94" spans="1:42">
      <c r="A94" s="1192"/>
      <c r="B94" s="1222"/>
      <c r="C94" s="1222"/>
      <c r="D94" s="1222"/>
      <c r="E94" s="1222"/>
      <c r="F94" s="1222"/>
      <c r="G94" s="1222"/>
      <c r="H94" s="1193" t="s">
        <v>1817</v>
      </c>
      <c r="I94" s="1219" t="s">
        <v>1820</v>
      </c>
      <c r="J94" s="1207"/>
      <c r="K94" s="1207"/>
      <c r="L94" s="1207"/>
      <c r="M94" s="1207"/>
      <c r="N94" s="1203"/>
      <c r="O94" s="1207"/>
      <c r="P94" s="1220"/>
      <c r="Q94" s="1207"/>
      <c r="R94" s="1207"/>
      <c r="S94" s="1207"/>
      <c r="T94" s="1207"/>
      <c r="U94" s="1207"/>
      <c r="V94" s="1207"/>
      <c r="W94" s="1207"/>
      <c r="X94" s="1207"/>
      <c r="Y94" s="1207"/>
      <c r="Z94" s="1207"/>
      <c r="AA94" s="1207"/>
      <c r="AB94" s="1220"/>
      <c r="AC94" s="1207"/>
      <c r="AD94" s="1207"/>
      <c r="AE94" s="1207"/>
      <c r="AF94" s="1207"/>
      <c r="AG94" s="1207"/>
      <c r="AH94" s="1207"/>
      <c r="AI94" s="1207"/>
      <c r="AJ94" s="1207"/>
      <c r="AM94" s="1216"/>
    </row>
    <row r="95" spans="1:42">
      <c r="A95" s="1192"/>
      <c r="B95" s="1222"/>
      <c r="C95" s="1222"/>
      <c r="D95" s="1222"/>
      <c r="E95" s="1222"/>
      <c r="F95" s="1222"/>
      <c r="G95" s="1222"/>
      <c r="H95" s="1193" t="s">
        <v>1817</v>
      </c>
      <c r="I95" s="1219" t="s">
        <v>1821</v>
      </c>
      <c r="J95" s="1207"/>
      <c r="K95" s="1207"/>
      <c r="L95" s="1207"/>
      <c r="M95" s="1207"/>
      <c r="N95" s="1203"/>
      <c r="O95" s="1207"/>
      <c r="P95" s="1220"/>
      <c r="Q95" s="1207"/>
      <c r="R95" s="1207"/>
      <c r="S95" s="1207"/>
      <c r="T95" s="1207"/>
      <c r="U95" s="1207"/>
      <c r="V95" s="1207"/>
      <c r="W95" s="1207"/>
      <c r="X95" s="1207"/>
      <c r="Y95" s="1207"/>
      <c r="Z95" s="1207"/>
      <c r="AA95" s="1207"/>
      <c r="AB95" s="1220"/>
      <c r="AC95" s="1207"/>
      <c r="AD95" s="1207"/>
      <c r="AE95" s="1207"/>
      <c r="AF95" s="1207"/>
      <c r="AG95" s="1207"/>
      <c r="AH95" s="1207"/>
      <c r="AI95" s="1207"/>
      <c r="AJ95" s="1207"/>
      <c r="AM95" s="1216"/>
    </row>
    <row r="96" spans="1:42">
      <c r="A96" s="1192"/>
      <c r="B96" s="1222"/>
      <c r="C96" s="1222"/>
      <c r="D96" s="1222"/>
      <c r="E96" s="1222"/>
      <c r="F96" s="1222"/>
      <c r="G96" s="1222"/>
      <c r="H96" s="1193" t="s">
        <v>1817</v>
      </c>
      <c r="I96" s="1219" t="s">
        <v>1822</v>
      </c>
      <c r="J96" s="1207"/>
      <c r="K96" s="1207"/>
      <c r="L96" s="1207"/>
      <c r="M96" s="1207"/>
      <c r="N96" s="1203"/>
      <c r="O96" s="1207"/>
      <c r="P96" s="1220"/>
      <c r="Q96" s="1207"/>
      <c r="R96" s="1207"/>
      <c r="S96" s="1207"/>
      <c r="T96" s="1207"/>
      <c r="U96" s="1207"/>
      <c r="V96" s="1207"/>
      <c r="W96" s="1207"/>
      <c r="X96" s="1207"/>
      <c r="Y96" s="1207"/>
      <c r="Z96" s="1207"/>
      <c r="AA96" s="1207"/>
      <c r="AB96" s="1220"/>
      <c r="AC96" s="1207"/>
      <c r="AD96" s="1207"/>
      <c r="AE96" s="1207"/>
      <c r="AF96" s="1207"/>
      <c r="AG96" s="1207"/>
      <c r="AH96" s="1207"/>
      <c r="AI96" s="1207"/>
      <c r="AJ96" s="1207"/>
      <c r="AM96" s="1216"/>
    </row>
    <row r="97" spans="1:45">
      <c r="A97" s="1192"/>
      <c r="B97" s="1222"/>
      <c r="C97" s="1222"/>
      <c r="D97" s="1222"/>
      <c r="E97" s="1222"/>
      <c r="F97" s="1222"/>
      <c r="G97" s="1222"/>
      <c r="H97" s="1193" t="s">
        <v>1817</v>
      </c>
      <c r="I97" s="1219" t="s">
        <v>1823</v>
      </c>
      <c r="J97" s="1207"/>
      <c r="K97" s="1207"/>
      <c r="L97" s="1207"/>
      <c r="M97" s="1207"/>
      <c r="N97" s="1203"/>
      <c r="O97" s="1207"/>
      <c r="P97" s="1220"/>
      <c r="Q97" s="1207"/>
      <c r="R97" s="1207"/>
      <c r="S97" s="1207"/>
      <c r="T97" s="1207"/>
      <c r="U97" s="1207"/>
      <c r="V97" s="1207"/>
      <c r="W97" s="1207"/>
      <c r="X97" s="1207"/>
      <c r="Y97" s="1207"/>
      <c r="Z97" s="1207"/>
      <c r="AA97" s="1207"/>
      <c r="AB97" s="1220"/>
      <c r="AC97" s="1207"/>
      <c r="AD97" s="1207"/>
      <c r="AE97" s="1207"/>
      <c r="AF97" s="1207"/>
      <c r="AG97" s="1207"/>
      <c r="AH97" s="1207"/>
      <c r="AI97" s="1207"/>
      <c r="AJ97" s="1207"/>
      <c r="AM97" s="1216"/>
    </row>
    <row r="98" spans="1:45">
      <c r="A98" s="1192"/>
      <c r="B98" s="1222"/>
      <c r="C98" s="1222"/>
      <c r="D98" s="1222"/>
      <c r="E98" s="1222"/>
      <c r="F98" s="1222"/>
      <c r="G98" s="1222"/>
      <c r="H98" s="1193" t="s">
        <v>1817</v>
      </c>
      <c r="I98" s="1219" t="s">
        <v>1824</v>
      </c>
      <c r="J98" s="1207"/>
      <c r="K98" s="1207"/>
      <c r="L98" s="1207"/>
      <c r="M98" s="1207"/>
      <c r="N98" s="1203"/>
      <c r="O98" s="1207"/>
      <c r="P98" s="1220"/>
      <c r="Q98" s="1207"/>
      <c r="R98" s="1207"/>
      <c r="S98" s="1207"/>
      <c r="T98" s="1207"/>
      <c r="U98" s="1207"/>
      <c r="V98" s="1207"/>
      <c r="W98" s="1207"/>
      <c r="X98" s="1207"/>
      <c r="Y98" s="1207"/>
      <c r="Z98" s="1207"/>
      <c r="AA98" s="1207"/>
      <c r="AB98" s="1220"/>
      <c r="AC98" s="1207"/>
      <c r="AD98" s="1207"/>
      <c r="AE98" s="1207"/>
      <c r="AF98" s="1207"/>
      <c r="AG98" s="1207"/>
      <c r="AH98" s="1207"/>
      <c r="AI98" s="1207"/>
      <c r="AJ98" s="1207"/>
      <c r="AM98" s="1216"/>
    </row>
    <row r="99" spans="1:45">
      <c r="A99" s="1192"/>
      <c r="B99" s="1222"/>
      <c r="C99" s="1222"/>
      <c r="D99" s="1222"/>
      <c r="E99" s="1222"/>
      <c r="F99" s="1222"/>
      <c r="G99" s="1222"/>
      <c r="H99" s="1193" t="s">
        <v>1817</v>
      </c>
      <c r="I99" s="1219" t="s">
        <v>1825</v>
      </c>
      <c r="J99" s="1207"/>
      <c r="K99" s="1207"/>
      <c r="L99" s="1207"/>
      <c r="M99" s="1207"/>
      <c r="N99" s="1203"/>
      <c r="O99" s="1207"/>
      <c r="P99" s="1220"/>
      <c r="Q99" s="1207"/>
      <c r="R99" s="1207"/>
      <c r="S99" s="1207"/>
      <c r="T99" s="1207"/>
      <c r="U99" s="1207"/>
      <c r="V99" s="1207"/>
      <c r="W99" s="1207"/>
      <c r="X99" s="1207"/>
      <c r="Y99" s="1207"/>
      <c r="Z99" s="1207"/>
      <c r="AA99" s="1207"/>
      <c r="AB99" s="1220"/>
      <c r="AC99" s="1207"/>
      <c r="AD99" s="1207"/>
      <c r="AE99" s="1207"/>
      <c r="AF99" s="1207"/>
      <c r="AG99" s="1207"/>
      <c r="AH99" s="1207"/>
      <c r="AI99" s="1207"/>
      <c r="AJ99" s="1207"/>
      <c r="AM99" s="1216"/>
    </row>
    <row r="100" spans="1:45">
      <c r="A100" s="1084" t="s">
        <v>1582</v>
      </c>
      <c r="B100" s="1222">
        <f>SUM(J100:AZ100)</f>
        <v>11657.039999999999</v>
      </c>
      <c r="C100" s="1222">
        <f t="shared" ref="C100:C101" si="25">SUM(AN100:AZ100)</f>
        <v>9749.32</v>
      </c>
      <c r="D100" s="1222">
        <f>SUM(AN100:AP100)</f>
        <v>9749.32</v>
      </c>
      <c r="E100" s="1222">
        <f>SUM(AQ100:AT100)</f>
        <v>0</v>
      </c>
      <c r="F100" s="1222">
        <f t="shared" ref="F100:G100" si="26">SUM(F79:F82)</f>
        <v>0</v>
      </c>
      <c r="G100" s="1222">
        <f t="shared" si="26"/>
        <v>0</v>
      </c>
      <c r="I100" s="1219" t="s">
        <v>1826</v>
      </c>
      <c r="J100" s="1208">
        <f t="shared" ref="J100:AP100" si="27">(((((((((((((((((J81)+(J82))+(J83))+(J84))+(J86))+(J87))+(J88))+(J89))+(J90))+(J91))+(J92))+(J93))+(J94))+(J95))+(J96))+(J97))+(J98))+(J99)</f>
        <v>0</v>
      </c>
      <c r="K100" s="1208">
        <f t="shared" si="27"/>
        <v>0</v>
      </c>
      <c r="L100" s="1208">
        <f t="shared" si="27"/>
        <v>0</v>
      </c>
      <c r="M100" s="1208">
        <f t="shared" si="27"/>
        <v>0</v>
      </c>
      <c r="N100" s="1208">
        <f t="shared" si="27"/>
        <v>1907.72</v>
      </c>
      <c r="O100" s="1208">
        <f t="shared" si="27"/>
        <v>0</v>
      </c>
      <c r="P100" s="1221">
        <f t="shared" si="27"/>
        <v>0</v>
      </c>
      <c r="Q100" s="1208">
        <f t="shared" si="27"/>
        <v>0</v>
      </c>
      <c r="R100" s="1208">
        <f t="shared" si="27"/>
        <v>0</v>
      </c>
      <c r="S100" s="1208">
        <f t="shared" si="27"/>
        <v>0</v>
      </c>
      <c r="T100" s="1208">
        <f t="shared" si="27"/>
        <v>0</v>
      </c>
      <c r="U100" s="1208">
        <f t="shared" si="27"/>
        <v>0</v>
      </c>
      <c r="V100" s="1208">
        <f t="shared" si="27"/>
        <v>0</v>
      </c>
      <c r="W100" s="1208">
        <f t="shared" si="27"/>
        <v>0</v>
      </c>
      <c r="X100" s="1208">
        <f t="shared" si="27"/>
        <v>0</v>
      </c>
      <c r="Y100" s="1208">
        <f t="shared" si="27"/>
        <v>0</v>
      </c>
      <c r="Z100" s="1208">
        <f t="shared" si="27"/>
        <v>0</v>
      </c>
      <c r="AA100" s="1208">
        <f t="shared" si="27"/>
        <v>0</v>
      </c>
      <c r="AB100" s="1221">
        <f t="shared" si="27"/>
        <v>0</v>
      </c>
      <c r="AC100" s="1208">
        <f t="shared" si="27"/>
        <v>0</v>
      </c>
      <c r="AD100" s="1208">
        <f t="shared" si="27"/>
        <v>0</v>
      </c>
      <c r="AE100" s="1208">
        <f t="shared" si="27"/>
        <v>0</v>
      </c>
      <c r="AF100" s="1208">
        <f t="shared" si="27"/>
        <v>0</v>
      </c>
      <c r="AG100" s="1208">
        <f t="shared" si="27"/>
        <v>0</v>
      </c>
      <c r="AH100" s="1208">
        <f t="shared" si="27"/>
        <v>0</v>
      </c>
      <c r="AI100" s="1208">
        <f t="shared" si="27"/>
        <v>0</v>
      </c>
      <c r="AJ100" s="1208">
        <f t="shared" si="27"/>
        <v>0</v>
      </c>
      <c r="AK100" s="1208">
        <f t="shared" si="27"/>
        <v>0</v>
      </c>
      <c r="AL100" s="1208">
        <f t="shared" si="27"/>
        <v>0</v>
      </c>
      <c r="AM100" s="1208">
        <f t="shared" si="27"/>
        <v>0</v>
      </c>
      <c r="AN100" s="1208">
        <f t="shared" si="27"/>
        <v>0</v>
      </c>
      <c r="AO100" s="1208">
        <f t="shared" si="27"/>
        <v>0</v>
      </c>
      <c r="AP100" s="1208">
        <f t="shared" si="27"/>
        <v>9749.32</v>
      </c>
      <c r="AQ100" s="1208">
        <f>(((((((((((((((((AQ81)+(AQ82))+(AQ83))+(AQ84))+(AQ86))+(AQ87))+(AQ88))+(AQ89))+(AQ90))+(AQ91))+(AQ92))+(AQ93))+(AQ94))+(AQ95))+(AQ96))+(AQ97))+(AQ98))+(AQ99)</f>
        <v>0</v>
      </c>
      <c r="AR100" s="1208">
        <f>(((((((((((((((((AR81)+(AR82))+(AR83))+(AR84))+(AR86))+(AR87))+(AR88))+(AR89))+(AR90))+(AR91))+(AR92))+(AR93))+(AR94))+(AR95))+(AR96))+(AR97))+(AR98))+(AR99)</f>
        <v>0</v>
      </c>
      <c r="AS100" s="1229"/>
    </row>
    <row r="101" spans="1:45">
      <c r="A101" s="1095" t="s">
        <v>1580</v>
      </c>
      <c r="B101" s="1222">
        <f>SUM(J101:AZ101)</f>
        <v>53824.26</v>
      </c>
      <c r="C101" s="1222">
        <f t="shared" si="25"/>
        <v>40218.83</v>
      </c>
      <c r="D101" s="1222">
        <f>SUM(AN101:AP101)</f>
        <v>6298.32</v>
      </c>
      <c r="E101" s="1222">
        <f t="shared" ref="E101" si="28">SUM(AQ101:AT101)</f>
        <v>33920.51</v>
      </c>
      <c r="F101" s="1192"/>
      <c r="G101" s="1192"/>
      <c r="I101" s="1219" t="s">
        <v>1580</v>
      </c>
      <c r="J101" s="1208">
        <f t="shared" ref="J101:AO101" si="29">(J79)-(J100)</f>
        <v>0</v>
      </c>
      <c r="K101" s="1208">
        <f t="shared" si="29"/>
        <v>0</v>
      </c>
      <c r="L101" s="1208">
        <f t="shared" si="29"/>
        <v>0</v>
      </c>
      <c r="M101" s="1208">
        <f t="shared" si="29"/>
        <v>0</v>
      </c>
      <c r="N101" s="1208">
        <f>(N79)-(N100)</f>
        <v>-1907.72</v>
      </c>
      <c r="O101" s="1208">
        <f t="shared" si="29"/>
        <v>0</v>
      </c>
      <c r="P101" s="1221">
        <f t="shared" si="29"/>
        <v>0</v>
      </c>
      <c r="Q101" s="1208">
        <f t="shared" si="29"/>
        <v>0</v>
      </c>
      <c r="R101" s="1208">
        <f t="shared" si="29"/>
        <v>0</v>
      </c>
      <c r="S101" s="1208">
        <f t="shared" si="29"/>
        <v>0</v>
      </c>
      <c r="T101" s="1208">
        <f t="shared" si="29"/>
        <v>0</v>
      </c>
      <c r="U101" s="1208">
        <f t="shared" si="29"/>
        <v>0</v>
      </c>
      <c r="V101" s="1208">
        <f t="shared" si="29"/>
        <v>0</v>
      </c>
      <c r="W101" s="1208">
        <f t="shared" si="29"/>
        <v>0</v>
      </c>
      <c r="X101" s="1208">
        <f t="shared" si="29"/>
        <v>0</v>
      </c>
      <c r="Y101" s="1208">
        <f t="shared" si="29"/>
        <v>0</v>
      </c>
      <c r="Z101" s="1208">
        <f t="shared" si="29"/>
        <v>0</v>
      </c>
      <c r="AA101" s="1208">
        <f t="shared" si="29"/>
        <v>0</v>
      </c>
      <c r="AB101" s="1221">
        <f t="shared" si="29"/>
        <v>0</v>
      </c>
      <c r="AC101" s="1208">
        <f t="shared" si="29"/>
        <v>0</v>
      </c>
      <c r="AD101" s="1208">
        <f t="shared" si="29"/>
        <v>0</v>
      </c>
      <c r="AE101" s="1208">
        <f t="shared" si="29"/>
        <v>0</v>
      </c>
      <c r="AF101" s="1208">
        <f t="shared" si="29"/>
        <v>0</v>
      </c>
      <c r="AG101" s="1208">
        <f t="shared" si="29"/>
        <v>0</v>
      </c>
      <c r="AH101" s="1208">
        <f t="shared" si="29"/>
        <v>0</v>
      </c>
      <c r="AI101" s="1208">
        <f t="shared" si="29"/>
        <v>0</v>
      </c>
      <c r="AJ101" s="1208">
        <f t="shared" si="29"/>
        <v>1988.66</v>
      </c>
      <c r="AK101" s="1208">
        <f t="shared" si="29"/>
        <v>5863.86</v>
      </c>
      <c r="AL101" s="1208">
        <f t="shared" si="29"/>
        <v>4502.53</v>
      </c>
      <c r="AM101" s="1208">
        <f t="shared" si="29"/>
        <v>3158.1</v>
      </c>
      <c r="AN101" s="1208">
        <f t="shared" si="29"/>
        <v>2987.14</v>
      </c>
      <c r="AO101" s="1208">
        <f t="shared" si="29"/>
        <v>6406.78</v>
      </c>
      <c r="AP101" s="1208">
        <f>(AP79)-(AP100)</f>
        <v>-3095.6000000000004</v>
      </c>
      <c r="AQ101" s="1208">
        <f>(AQ79)-(AQ100)</f>
        <v>17516.93</v>
      </c>
      <c r="AR101" s="1208">
        <f>(AR79)-(AR100)</f>
        <v>16403.580000000002</v>
      </c>
      <c r="AS101" s="1229"/>
    </row>
    <row r="102" spans="1:45">
      <c r="A102" s="1231" t="s">
        <v>1827</v>
      </c>
      <c r="B102" s="1232">
        <f>B69+B100</f>
        <v>42520961.140000015</v>
      </c>
      <c r="C102" s="1232">
        <f>C69-C101</f>
        <v>10813184.629999999</v>
      </c>
      <c r="D102" s="1232">
        <f>D69-D101</f>
        <v>6509311.5300000012</v>
      </c>
      <c r="E102" s="1232">
        <f>E69-E101</f>
        <v>4303873.1000000006</v>
      </c>
      <c r="F102" s="1232">
        <f>F69+F100</f>
        <v>0</v>
      </c>
      <c r="G102" s="1232">
        <f>G69+G100</f>
        <v>0</v>
      </c>
      <c r="I102" s="1219" t="s">
        <v>181</v>
      </c>
      <c r="J102" s="1208">
        <f t="shared" ref="J102:AP102" si="30">(J70)+(J101)</f>
        <v>-152829.65</v>
      </c>
      <c r="K102" s="1208">
        <f t="shared" si="30"/>
        <v>-1009005.76</v>
      </c>
      <c r="L102" s="1208">
        <f t="shared" si="30"/>
        <v>-722402.37</v>
      </c>
      <c r="M102" s="1208">
        <f t="shared" si="30"/>
        <v>-446879.12</v>
      </c>
      <c r="N102" s="1208">
        <f t="shared" si="30"/>
        <v>-485050.56</v>
      </c>
      <c r="O102" s="1208">
        <f t="shared" si="30"/>
        <v>-662951.31999999983</v>
      </c>
      <c r="P102" s="1221">
        <f t="shared" si="30"/>
        <v>-483733.15</v>
      </c>
      <c r="Q102" s="1208">
        <f t="shared" si="30"/>
        <v>-759195.26000000013</v>
      </c>
      <c r="R102" s="1208">
        <f t="shared" si="30"/>
        <v>-690062.75</v>
      </c>
      <c r="S102" s="1208">
        <f t="shared" si="30"/>
        <v>-661551.11999999988</v>
      </c>
      <c r="T102" s="1208">
        <f t="shared" si="30"/>
        <v>-564152.43999999994</v>
      </c>
      <c r="U102" s="1208">
        <f t="shared" si="30"/>
        <v>-951710.05000000016</v>
      </c>
      <c r="V102" s="1208">
        <f t="shared" si="30"/>
        <v>-1472337.75</v>
      </c>
      <c r="W102" s="1208">
        <f t="shared" si="30"/>
        <v>-1435874.0599999998</v>
      </c>
      <c r="X102" s="1208">
        <f t="shared" si="30"/>
        <v>-891941.35000000009</v>
      </c>
      <c r="Y102" s="1208">
        <f t="shared" si="30"/>
        <v>-1143986.9799999997</v>
      </c>
      <c r="Z102" s="1208">
        <f t="shared" si="30"/>
        <v>-801767.22000000009</v>
      </c>
      <c r="AA102" s="1208">
        <f t="shared" si="30"/>
        <v>-998519.58</v>
      </c>
      <c r="AB102" s="1221">
        <f t="shared" si="30"/>
        <v>-991145.34999999986</v>
      </c>
      <c r="AC102" s="1208">
        <f t="shared" si="30"/>
        <v>-993825.79999999993</v>
      </c>
      <c r="AD102" s="1208">
        <f t="shared" si="30"/>
        <v>-1636457.3800000004</v>
      </c>
      <c r="AE102" s="1208">
        <f t="shared" si="30"/>
        <v>-991061.46</v>
      </c>
      <c r="AF102" s="1208">
        <f t="shared" si="30"/>
        <v>-1144956.6300000004</v>
      </c>
      <c r="AG102" s="1208">
        <f t="shared" si="30"/>
        <v>-1475581.6400000006</v>
      </c>
      <c r="AH102" s="1208">
        <f t="shared" si="30"/>
        <v>-1733907.1</v>
      </c>
      <c r="AI102" s="1208">
        <f t="shared" si="30"/>
        <v>-1619768.17</v>
      </c>
      <c r="AJ102" s="1208">
        <f t="shared" si="30"/>
        <v>-1610607.9800000007</v>
      </c>
      <c r="AK102" s="1208">
        <f t="shared" si="30"/>
        <v>-1399800.3400000003</v>
      </c>
      <c r="AL102" s="1208">
        <f t="shared" si="30"/>
        <v>-1720638.8999999997</v>
      </c>
      <c r="AM102" s="1208">
        <f t="shared" si="30"/>
        <v>-1990593.97</v>
      </c>
      <c r="AN102" s="1208">
        <f t="shared" si="30"/>
        <v>-1875613.7899999998</v>
      </c>
      <c r="AO102" s="1208">
        <f t="shared" si="30"/>
        <v>-2546095.1800000006</v>
      </c>
      <c r="AP102" s="1208">
        <f t="shared" si="30"/>
        <v>-2087602.56</v>
      </c>
      <c r="AQ102" s="1208">
        <f>(AQ70)+(AQ101)</f>
        <v>-2194952.1800000006</v>
      </c>
      <c r="AR102" s="1208">
        <f>(AR70)+(AR101)</f>
        <v>-2108920.92</v>
      </c>
      <c r="AS102" s="1229"/>
    </row>
    <row r="103" spans="1:45">
      <c r="A103" s="1192"/>
      <c r="B103" s="1192"/>
      <c r="C103" s="1233">
        <f>SUM(AN102:AR102)</f>
        <v>-10813184.630000001</v>
      </c>
      <c r="D103" s="1222">
        <f>SUM(AN102:AP102)</f>
        <v>-6509311.5300000012</v>
      </c>
      <c r="E103" s="1222">
        <f>SUM(AQ102:AR102)</f>
        <v>-4303873.1000000006</v>
      </c>
      <c r="F103" s="1222"/>
      <c r="G103" s="1222"/>
      <c r="I103" s="1219"/>
      <c r="J103" s="1207"/>
      <c r="K103" s="1207"/>
      <c r="L103" s="1207"/>
      <c r="M103" s="1207"/>
      <c r="N103" s="1207"/>
      <c r="O103" s="1207"/>
      <c r="P103" s="1220"/>
      <c r="Q103" s="1220"/>
      <c r="R103" s="1220"/>
      <c r="S103" s="1220"/>
      <c r="T103" s="1220"/>
      <c r="U103" s="1220"/>
      <c r="V103" s="1220"/>
      <c r="W103" s="1220"/>
      <c r="X103" s="1220"/>
      <c r="Y103" s="1220"/>
      <c r="Z103" s="1220"/>
      <c r="AA103" s="1220"/>
      <c r="AB103" s="1220"/>
      <c r="AC103" s="1220"/>
      <c r="AD103" s="1220"/>
      <c r="AE103" s="1220"/>
      <c r="AF103" s="1220"/>
      <c r="AG103" s="1220"/>
      <c r="AH103" s="1220"/>
      <c r="AI103" s="1220"/>
      <c r="AJ103" s="1220"/>
      <c r="AK103" s="1220"/>
      <c r="AL103" s="1220"/>
      <c r="AM103" s="1220"/>
    </row>
    <row r="104" spans="1:45">
      <c r="A104" s="1192"/>
      <c r="B104" s="1192"/>
      <c r="C104" s="1234">
        <f>SUM(C102:C103)</f>
        <v>0</v>
      </c>
      <c r="D104" s="1234">
        <f>SUM(D102:D103)</f>
        <v>0</v>
      </c>
      <c r="E104" s="1234">
        <f>SUM(E102:E103)</f>
        <v>0</v>
      </c>
      <c r="F104" s="1234">
        <f t="shared" ref="F104:G104" si="31">SUM(F102:F103)</f>
        <v>0</v>
      </c>
      <c r="G104" s="1234">
        <f t="shared" si="31"/>
        <v>0</v>
      </c>
      <c r="J104" s="1224"/>
      <c r="K104" s="1224"/>
      <c r="L104" s="1224"/>
      <c r="M104" s="1224"/>
      <c r="N104" s="1224"/>
      <c r="O104" s="1224"/>
      <c r="P104" s="1224"/>
      <c r="Q104" s="1224"/>
      <c r="R104" s="1224"/>
      <c r="S104" s="1224"/>
      <c r="T104" s="1224"/>
      <c r="U104" s="1224"/>
      <c r="V104" s="1224"/>
      <c r="W104" s="1224"/>
      <c r="X104" s="1224"/>
      <c r="Y104" s="1224"/>
      <c r="Z104" s="1224"/>
      <c r="AA104" s="1224"/>
      <c r="AB104" s="1216"/>
      <c r="AC104" s="1216"/>
      <c r="AD104" s="1216"/>
      <c r="AE104" s="1216"/>
      <c r="AF104" s="1216"/>
      <c r="AG104" s="1216"/>
      <c r="AH104" s="1216"/>
      <c r="AI104" s="1216"/>
      <c r="AJ104" s="1216"/>
      <c r="AM104" s="1216"/>
      <c r="AP104" s="1211">
        <f>AP70-AP79+AP100</f>
        <v>-2081411.3599999999</v>
      </c>
    </row>
    <row r="105" spans="1:45">
      <c r="A105" s="1192"/>
      <c r="B105" s="1192"/>
      <c r="C105" s="1192"/>
      <c r="D105" s="1192"/>
      <c r="E105" s="1192"/>
      <c r="F105" s="1192"/>
      <c r="G105" s="1192"/>
      <c r="AB105" s="1235"/>
      <c r="AC105" s="1235"/>
      <c r="AD105" s="1235"/>
      <c r="AE105" s="1235"/>
      <c r="AF105" s="1235"/>
      <c r="AG105" s="1235"/>
      <c r="AH105" s="1235"/>
      <c r="AI105" s="1235"/>
      <c r="AJ105" s="1235"/>
      <c r="AK105" s="1235"/>
      <c r="AL105" s="1235"/>
      <c r="AM105" s="1235"/>
    </row>
    <row r="106" spans="1:45">
      <c r="A106" s="1192"/>
      <c r="B106" s="1192"/>
      <c r="C106" s="1192"/>
      <c r="D106" s="1192"/>
      <c r="E106" s="1192"/>
      <c r="F106" s="1192"/>
      <c r="G106" s="1192"/>
      <c r="I106" s="1214" t="s">
        <v>1828</v>
      </c>
      <c r="J106" s="1212" t="s">
        <v>1829</v>
      </c>
      <c r="K106" s="1212" t="s">
        <v>1829</v>
      </c>
      <c r="L106" s="1212" t="s">
        <v>1829</v>
      </c>
      <c r="M106" s="1212" t="s">
        <v>1829</v>
      </c>
      <c r="N106" s="1212" t="s">
        <v>1829</v>
      </c>
      <c r="O106" s="1212" t="s">
        <v>1829</v>
      </c>
      <c r="P106" s="1215" t="s">
        <v>1829</v>
      </c>
      <c r="Q106" s="1212" t="s">
        <v>1829</v>
      </c>
      <c r="R106" s="1212" t="s">
        <v>1829</v>
      </c>
      <c r="S106" s="1212" t="s">
        <v>1829</v>
      </c>
      <c r="T106" s="1212" t="s">
        <v>1829</v>
      </c>
      <c r="U106" s="1212" t="s">
        <v>1829</v>
      </c>
      <c r="V106" s="1212" t="s">
        <v>1829</v>
      </c>
      <c r="W106" s="1212" t="s">
        <v>1829</v>
      </c>
      <c r="X106" s="1212" t="s">
        <v>1829</v>
      </c>
      <c r="Y106" s="1212" t="s">
        <v>1829</v>
      </c>
      <c r="Z106" s="1212" t="s">
        <v>1829</v>
      </c>
      <c r="AA106" s="1212" t="s">
        <v>1829</v>
      </c>
      <c r="AB106" s="1215" t="s">
        <v>1829</v>
      </c>
      <c r="AC106" s="1212" t="s">
        <v>1829</v>
      </c>
      <c r="AD106" s="1212" t="s">
        <v>1829</v>
      </c>
      <c r="AE106" s="1212" t="s">
        <v>1829</v>
      </c>
      <c r="AF106" s="1212" t="s">
        <v>1829</v>
      </c>
      <c r="AG106" s="1212" t="s">
        <v>1829</v>
      </c>
      <c r="AH106" s="1212" t="s">
        <v>1829</v>
      </c>
      <c r="AI106" s="1212" t="s">
        <v>1829</v>
      </c>
      <c r="AJ106" s="1212"/>
      <c r="AM106" s="1216"/>
    </row>
    <row r="107" spans="1:45">
      <c r="A107" s="1192"/>
      <c r="B107" s="1192"/>
      <c r="C107" s="1192"/>
      <c r="D107" s="1192"/>
      <c r="E107" s="1192"/>
      <c r="F107" s="1192"/>
      <c r="G107" s="1192"/>
      <c r="AM107" s="1216"/>
    </row>
    <row r="108" spans="1:45">
      <c r="A108" s="1192"/>
      <c r="B108" s="1192"/>
      <c r="C108" s="1192"/>
      <c r="D108" s="1192"/>
      <c r="E108" s="1192"/>
      <c r="F108" s="1192"/>
      <c r="G108" s="1192"/>
      <c r="I108" s="1212" t="s">
        <v>1830</v>
      </c>
      <c r="J108" s="1211">
        <v>0</v>
      </c>
      <c r="K108" s="1211">
        <v>0</v>
      </c>
      <c r="L108" s="1211">
        <v>0</v>
      </c>
      <c r="M108" s="1211">
        <v>0</v>
      </c>
      <c r="N108" s="1211">
        <v>0</v>
      </c>
      <c r="O108" s="1211">
        <v>0</v>
      </c>
      <c r="P108" s="1236">
        <v>0</v>
      </c>
      <c r="Q108" s="1211">
        <v>0</v>
      </c>
      <c r="R108" s="1211">
        <v>0</v>
      </c>
      <c r="S108" s="1211">
        <v>0</v>
      </c>
      <c r="T108" s="1211">
        <v>0</v>
      </c>
      <c r="U108" s="1211">
        <v>0</v>
      </c>
      <c r="V108" s="1211">
        <v>0</v>
      </c>
      <c r="W108" s="1211">
        <v>0</v>
      </c>
      <c r="X108" s="1211">
        <v>0</v>
      </c>
      <c r="Y108" s="1211">
        <v>0</v>
      </c>
      <c r="Z108" s="1211">
        <v>0</v>
      </c>
      <c r="AA108" s="1211">
        <v>0</v>
      </c>
      <c r="AB108" s="1236">
        <v>0</v>
      </c>
      <c r="AC108" s="1211">
        <v>0</v>
      </c>
      <c r="AD108" s="1211">
        <v>10000</v>
      </c>
      <c r="AE108" s="1211">
        <v>7407.5</v>
      </c>
      <c r="AF108" s="1211">
        <v>0</v>
      </c>
      <c r="AG108" s="1211">
        <v>358.88000000012107</v>
      </c>
      <c r="AH108" s="1211">
        <v>5.9000000001396984</v>
      </c>
      <c r="AI108" s="1211">
        <v>281945.09999999986</v>
      </c>
      <c r="AM108" s="1216"/>
    </row>
    <row r="109" spans="1:45">
      <c r="A109" s="1192"/>
      <c r="B109" s="1192"/>
      <c r="C109" s="1192"/>
      <c r="D109" s="1192"/>
      <c r="E109" s="1192"/>
      <c r="F109" s="1192"/>
      <c r="G109" s="1192"/>
    </row>
    <row r="110" spans="1:45">
      <c r="A110" s="1192"/>
      <c r="B110" s="1192"/>
      <c r="C110" s="1192"/>
      <c r="D110" s="1192"/>
      <c r="E110" s="1192"/>
      <c r="F110" s="1192"/>
      <c r="G110" s="1192"/>
    </row>
    <row r="111" spans="1:45">
      <c r="A111" s="1192"/>
      <c r="B111" s="1192"/>
      <c r="C111" s="1192"/>
      <c r="D111" s="1192"/>
      <c r="E111" s="1192"/>
      <c r="F111" s="1192"/>
      <c r="G111" s="1192"/>
    </row>
    <row r="112" spans="1:45">
      <c r="A112" s="1192"/>
      <c r="B112" s="1192"/>
      <c r="C112" s="1192"/>
      <c r="D112" s="1192"/>
      <c r="E112" s="1192"/>
      <c r="F112" s="1192"/>
      <c r="G112" s="1192"/>
    </row>
    <row r="113" spans="1:7">
      <c r="A113" s="1192"/>
      <c r="B113" s="1192"/>
      <c r="C113" s="1192"/>
      <c r="D113" s="1192"/>
      <c r="E113" s="1192"/>
      <c r="F113" s="1192"/>
      <c r="G113" s="1192"/>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B1:U53"/>
  <sheetViews>
    <sheetView zoomScale="120" zoomScaleNormal="120" workbookViewId="0">
      <pane xSplit="2" ySplit="4" topLeftCell="C40" activePane="bottomRight" state="frozen"/>
      <selection pane="topRight" activeCell="C1" sqref="C1"/>
      <selection pane="bottomLeft" activeCell="A5" sqref="A5"/>
      <selection pane="bottomRight" activeCell="E48" sqref="E48"/>
    </sheetView>
  </sheetViews>
  <sheetFormatPr defaultRowHeight="15"/>
  <cols>
    <col min="1" max="1" width="0.6640625" style="1314" customWidth="1"/>
    <col min="2" max="2" width="34" style="1314" bestFit="1" customWidth="1"/>
    <col min="3" max="3" width="19" style="1314" bestFit="1" customWidth="1"/>
    <col min="4" max="4" width="0.83203125" style="1314" customWidth="1"/>
    <col min="5" max="5" width="19" style="1314" bestFit="1" customWidth="1"/>
    <col min="6" max="6" width="18" style="1314" customWidth="1"/>
    <col min="7" max="7" width="0.83203125" style="1314" customWidth="1"/>
    <col min="8" max="8" width="19" style="1314" bestFit="1" customWidth="1"/>
    <col min="9" max="9" width="17" style="1314" bestFit="1" customWidth="1"/>
    <col min="10" max="10" width="1.5" style="1314" customWidth="1"/>
    <col min="11" max="11" width="18.1640625" style="1314" bestFit="1" customWidth="1"/>
    <col min="12" max="12" width="1.5" style="1314" customWidth="1"/>
    <col min="13" max="13" width="15.5" style="1314" bestFit="1" customWidth="1"/>
    <col min="14" max="14" width="0.6640625" style="1314" customWidth="1"/>
    <col min="15" max="15" width="20" style="1314" customWidth="1"/>
    <col min="16" max="16" width="20" style="1314" bestFit="1" customWidth="1"/>
    <col min="17" max="17" width="1.33203125" style="1314" customWidth="1"/>
    <col min="18" max="18" width="15.1640625" style="1314" bestFit="1" customWidth="1"/>
    <col min="19" max="19" width="10.1640625" style="1314" bestFit="1" customWidth="1"/>
    <col min="20" max="21" width="24.5" style="1314" customWidth="1"/>
    <col min="22" max="16384" width="9.33203125" style="1314"/>
  </cols>
  <sheetData>
    <row r="1" spans="2:20">
      <c r="B1" s="2322" t="s">
        <v>1860</v>
      </c>
      <c r="C1" s="2323"/>
      <c r="D1" s="2323"/>
      <c r="E1" s="2323"/>
      <c r="F1" s="2323"/>
      <c r="G1" s="2323"/>
      <c r="H1" s="2323"/>
      <c r="I1" s="2323"/>
      <c r="J1" s="2323"/>
      <c r="K1" s="2323"/>
      <c r="L1" s="2323"/>
      <c r="M1" s="2323"/>
      <c r="N1" s="2323"/>
      <c r="O1" s="2323"/>
      <c r="P1" s="2323"/>
      <c r="Q1" s="2323"/>
      <c r="R1" s="2323"/>
      <c r="S1" s="2323"/>
    </row>
    <row r="2" spans="2:20">
      <c r="B2" s="2322" t="s">
        <v>1861</v>
      </c>
      <c r="C2" s="2322"/>
      <c r="D2" s="2322"/>
      <c r="E2" s="2322"/>
      <c r="F2" s="2322"/>
      <c r="G2" s="2322"/>
      <c r="H2" s="2322"/>
      <c r="I2" s="2322"/>
      <c r="J2" s="2322"/>
      <c r="K2" s="2322"/>
      <c r="L2" s="2322"/>
      <c r="M2" s="2322"/>
      <c r="N2" s="2322"/>
      <c r="O2" s="2322"/>
      <c r="P2" s="2322"/>
      <c r="Q2" s="2322"/>
      <c r="R2" s="2322"/>
      <c r="S2" s="2322"/>
    </row>
    <row r="3" spans="2:20" ht="15.75" thickBot="1">
      <c r="B3" s="1315"/>
      <c r="C3" s="1315"/>
      <c r="D3" s="1315"/>
      <c r="E3" s="1315"/>
      <c r="F3" s="1315"/>
      <c r="G3" s="1315"/>
      <c r="H3" s="1315"/>
      <c r="I3" s="1315"/>
      <c r="J3" s="1315"/>
      <c r="K3" s="1315"/>
      <c r="L3" s="1315"/>
      <c r="M3" s="1315"/>
      <c r="N3" s="1315"/>
      <c r="O3" s="1315"/>
      <c r="P3" s="1315"/>
      <c r="Q3" s="1315"/>
      <c r="R3" s="1315"/>
      <c r="S3" s="1315"/>
    </row>
    <row r="4" spans="2:20">
      <c r="B4" s="1316" t="s">
        <v>1862</v>
      </c>
      <c r="C4" s="1317" t="s">
        <v>119</v>
      </c>
      <c r="D4" s="1317"/>
      <c r="E4" s="1317" t="s">
        <v>1863</v>
      </c>
      <c r="F4" s="1317" t="s">
        <v>1864</v>
      </c>
      <c r="G4" s="1317"/>
      <c r="H4" s="1317" t="s">
        <v>1865</v>
      </c>
      <c r="I4" s="1317" t="s">
        <v>1866</v>
      </c>
      <c r="J4" s="1317"/>
      <c r="K4" s="1317" t="s">
        <v>1867</v>
      </c>
      <c r="L4" s="1317"/>
      <c r="M4" s="1317" t="s">
        <v>1868</v>
      </c>
      <c r="N4" s="1317"/>
      <c r="O4" s="1317" t="s">
        <v>1869</v>
      </c>
      <c r="P4" s="1317" t="s">
        <v>1870</v>
      </c>
      <c r="Q4" s="1317"/>
      <c r="R4" s="1317" t="s">
        <v>1871</v>
      </c>
      <c r="S4" s="1318" t="s">
        <v>1872</v>
      </c>
    </row>
    <row r="5" spans="2:20">
      <c r="B5" s="1319" t="s">
        <v>329</v>
      </c>
      <c r="C5" s="1320"/>
      <c r="D5" s="1320"/>
      <c r="E5" s="1321">
        <v>56000000</v>
      </c>
      <c r="F5" s="1322">
        <v>56000000</v>
      </c>
      <c r="G5" s="1320"/>
      <c r="H5" s="1320"/>
      <c r="I5" s="1320"/>
      <c r="J5" s="1320"/>
      <c r="K5" s="1320"/>
      <c r="L5" s="1320"/>
      <c r="M5" s="1320"/>
      <c r="N5" s="1320"/>
      <c r="O5" s="1323">
        <f>C5+F5+I5</f>
        <v>56000000</v>
      </c>
      <c r="P5" s="1323">
        <f>C5+F5+I5+K5+M5</f>
        <v>56000000</v>
      </c>
      <c r="Q5" s="1320"/>
      <c r="R5" s="1324">
        <f>O5/O$45</f>
        <v>0.45800687121537065</v>
      </c>
      <c r="S5" s="1325">
        <f>P5/P$45</f>
        <v>0.42594026405501451</v>
      </c>
    </row>
    <row r="6" spans="2:20">
      <c r="B6" s="1319"/>
      <c r="C6" s="1320"/>
      <c r="D6" s="1320"/>
      <c r="E6" s="1320"/>
      <c r="F6" s="1320"/>
      <c r="G6" s="1320"/>
      <c r="H6" s="1320"/>
      <c r="I6" s="1320"/>
      <c r="J6" s="1320"/>
      <c r="K6" s="1320"/>
      <c r="L6" s="1320"/>
      <c r="M6" s="1320"/>
      <c r="N6" s="1320"/>
      <c r="O6" s="1323"/>
      <c r="P6" s="1323"/>
      <c r="Q6" s="1320"/>
      <c r="R6" s="1324"/>
      <c r="S6" s="1325"/>
    </row>
    <row r="7" spans="2:20">
      <c r="B7" s="1319" t="s">
        <v>1873</v>
      </c>
      <c r="C7" s="1320"/>
      <c r="D7" s="1320"/>
      <c r="E7" s="1320"/>
      <c r="F7" s="1320"/>
      <c r="G7" s="1320"/>
      <c r="H7" s="1321">
        <v>14999998.68</v>
      </c>
      <c r="I7" s="1322">
        <f>H7/C$48</f>
        <v>10895619.001961211</v>
      </c>
      <c r="J7" s="1320"/>
      <c r="K7" s="1320"/>
      <c r="L7" s="1320"/>
      <c r="M7" s="1320"/>
      <c r="N7" s="1320"/>
      <c r="O7" s="1323">
        <f t="shared" ref="O7:O43" si="0">C7+F7+I7</f>
        <v>10895619.001961211</v>
      </c>
      <c r="P7" s="1323">
        <f>C7+F7+I7+K7+M7</f>
        <v>10895619.001961211</v>
      </c>
      <c r="Q7" s="1320"/>
      <c r="R7" s="1324">
        <f>O7/O$45</f>
        <v>8.9111935161482025E-2</v>
      </c>
      <c r="S7" s="1325">
        <f>P7/P$45</f>
        <v>8.2872907763181999E-2</v>
      </c>
      <c r="T7" s="1326"/>
    </row>
    <row r="8" spans="2:20">
      <c r="B8" s="1319" t="s">
        <v>1874</v>
      </c>
      <c r="C8" s="1320"/>
      <c r="D8" s="1320"/>
      <c r="E8" s="1320"/>
      <c r="F8" s="1320"/>
      <c r="G8" s="1320"/>
      <c r="H8" s="1321">
        <v>14999998.68</v>
      </c>
      <c r="I8" s="1322">
        <f>H8/C$48</f>
        <v>10895619.001961211</v>
      </c>
      <c r="J8" s="1320"/>
      <c r="K8" s="1320"/>
      <c r="L8" s="1320"/>
      <c r="M8" s="1320"/>
      <c r="N8" s="1320"/>
      <c r="O8" s="1323">
        <f t="shared" si="0"/>
        <v>10895619.001961211</v>
      </c>
      <c r="P8" s="1323">
        <f t="shared" ref="P8:P11" si="1">C8+F8+I8+K8+M8</f>
        <v>10895619.001961211</v>
      </c>
      <c r="Q8" s="1320"/>
      <c r="R8" s="1324">
        <f t="shared" ref="R8:S11" si="2">O8/O$45</f>
        <v>8.9111935161482025E-2</v>
      </c>
      <c r="S8" s="1325">
        <f t="shared" si="2"/>
        <v>8.2872907763181999E-2</v>
      </c>
      <c r="T8" s="1326"/>
    </row>
    <row r="9" spans="2:20">
      <c r="B9" s="1319" t="s">
        <v>1875</v>
      </c>
      <c r="C9" s="1320"/>
      <c r="D9" s="1320"/>
      <c r="E9" s="1320"/>
      <c r="F9" s="1320"/>
      <c r="G9" s="1320"/>
      <c r="H9" s="1321">
        <v>7499998.6500000004</v>
      </c>
      <c r="I9" s="1322">
        <f>H9/C$48</f>
        <v>5447808.9997820873</v>
      </c>
      <c r="J9" s="1320"/>
      <c r="K9" s="1320"/>
      <c r="L9" s="1320"/>
      <c r="M9" s="1320"/>
      <c r="N9" s="1320"/>
      <c r="O9" s="1323">
        <f t="shared" si="0"/>
        <v>5447808.9997820873</v>
      </c>
      <c r="P9" s="1323">
        <f t="shared" si="1"/>
        <v>5447808.9997820873</v>
      </c>
      <c r="Q9" s="1320"/>
      <c r="R9" s="1324">
        <f t="shared" si="2"/>
        <v>4.4555963481591632E-2</v>
      </c>
      <c r="S9" s="1325">
        <f t="shared" si="2"/>
        <v>4.1436450069436907E-2</v>
      </c>
      <c r="T9" s="1326"/>
    </row>
    <row r="10" spans="2:20">
      <c r="B10" s="1319" t="s">
        <v>1876</v>
      </c>
      <c r="C10" s="1320"/>
      <c r="D10" s="1320"/>
      <c r="E10" s="1320"/>
      <c r="F10" s="1320"/>
      <c r="G10" s="1320"/>
      <c r="H10" s="1321">
        <v>4999999.5599999996</v>
      </c>
      <c r="I10" s="1322">
        <f>H10/C$48</f>
        <v>3631873.0006537368</v>
      </c>
      <c r="J10" s="1320"/>
      <c r="K10" s="1320"/>
      <c r="L10" s="1320"/>
      <c r="M10" s="1320"/>
      <c r="N10" s="1320"/>
      <c r="O10" s="1323">
        <f t="shared" si="0"/>
        <v>3631873.0006537368</v>
      </c>
      <c r="P10" s="1323">
        <f t="shared" si="1"/>
        <v>3631873.0006537368</v>
      </c>
      <c r="Q10" s="1320"/>
      <c r="R10" s="1324">
        <f t="shared" si="2"/>
        <v>2.9703978387160674E-2</v>
      </c>
      <c r="S10" s="1325">
        <f t="shared" si="2"/>
        <v>2.7624302587727332E-2</v>
      </c>
      <c r="T10" s="1326"/>
    </row>
    <row r="11" spans="2:20">
      <c r="B11" s="1319" t="s">
        <v>1877</v>
      </c>
      <c r="C11" s="1320"/>
      <c r="D11" s="1320"/>
      <c r="E11" s="1320"/>
      <c r="F11" s="1320"/>
      <c r="G11" s="1320"/>
      <c r="H11" s="1321">
        <v>1499998.63</v>
      </c>
      <c r="I11" s="1322">
        <f>H11/C$48</f>
        <v>1089561.0009442871</v>
      </c>
      <c r="J11" s="1320"/>
      <c r="K11" s="1320"/>
      <c r="L11" s="1320"/>
      <c r="M11" s="1320"/>
      <c r="N11" s="1320"/>
      <c r="O11" s="1323">
        <f t="shared" si="0"/>
        <v>1089561.0009442871</v>
      </c>
      <c r="P11" s="1323">
        <f t="shared" si="1"/>
        <v>1089561.0009442871</v>
      </c>
      <c r="Q11" s="1320"/>
      <c r="R11" s="1324">
        <f t="shared" si="2"/>
        <v>8.9111861614425067E-3</v>
      </c>
      <c r="S11" s="1325">
        <f t="shared" si="2"/>
        <v>8.2872839365402771E-3</v>
      </c>
      <c r="T11" s="1326"/>
    </row>
    <row r="12" spans="2:20">
      <c r="B12" s="1319"/>
      <c r="C12" s="1320"/>
      <c r="D12" s="1320"/>
      <c r="E12" s="1320"/>
      <c r="F12" s="1320"/>
      <c r="G12" s="1320"/>
      <c r="H12" s="1321"/>
      <c r="I12" s="1322"/>
      <c r="J12" s="1320"/>
      <c r="K12" s="1320"/>
      <c r="L12" s="1320"/>
      <c r="M12" s="1320"/>
      <c r="N12" s="1320"/>
      <c r="O12" s="1323"/>
      <c r="P12" s="1323"/>
      <c r="Q12" s="1320"/>
      <c r="R12" s="1324"/>
      <c r="S12" s="1325"/>
    </row>
    <row r="13" spans="2:20">
      <c r="B13" s="1327" t="s">
        <v>1878</v>
      </c>
      <c r="C13" s="1320"/>
      <c r="D13" s="1320"/>
      <c r="E13" s="1320"/>
      <c r="F13" s="1320"/>
      <c r="G13" s="1320"/>
      <c r="H13" s="1321"/>
      <c r="I13" s="1322"/>
      <c r="J13" s="1320"/>
      <c r="K13" s="1320"/>
      <c r="L13" s="1320"/>
      <c r="M13" s="1320"/>
      <c r="N13" s="1320"/>
      <c r="O13" s="1323"/>
      <c r="P13" s="1323"/>
      <c r="Q13" s="1320"/>
      <c r="R13" s="1324"/>
      <c r="S13" s="1325"/>
    </row>
    <row r="14" spans="2:20">
      <c r="B14" s="1319" t="s">
        <v>1879</v>
      </c>
      <c r="C14" s="1320"/>
      <c r="D14" s="1320"/>
      <c r="E14" s="1320"/>
      <c r="F14" s="1320"/>
      <c r="G14" s="1320"/>
      <c r="H14" s="1321">
        <v>3999999.1</v>
      </c>
      <c r="I14" s="1322">
        <f t="shared" ref="I14:I19" si="3">H14/C$48</f>
        <v>2905498.0024696738</v>
      </c>
      <c r="J14" s="1320"/>
      <c r="K14" s="1320"/>
      <c r="L14" s="1320"/>
      <c r="M14" s="1320"/>
      <c r="N14" s="1320"/>
      <c r="O14" s="1323">
        <f t="shared" ref="O14:O19" si="4">C14+F14+I14</f>
        <v>2905498.0024696738</v>
      </c>
      <c r="P14" s="1323">
        <f t="shared" ref="P14:P19" si="5">C14+F14+I14+K14+M14</f>
        <v>2905498.0024696738</v>
      </c>
      <c r="Q14" s="1320"/>
      <c r="R14" s="1324">
        <f t="shared" ref="R14:S19" si="6">O14/O$45</f>
        <v>2.3763179454172223E-2</v>
      </c>
      <c r="S14" s="1325">
        <f t="shared" si="6"/>
        <v>2.2099439042558039E-2</v>
      </c>
      <c r="T14" s="1326"/>
    </row>
    <row r="15" spans="2:20">
      <c r="B15" s="1319" t="s">
        <v>1880</v>
      </c>
      <c r="C15" s="1320"/>
      <c r="D15" s="1320"/>
      <c r="E15" s="1320"/>
      <c r="F15" s="1320"/>
      <c r="G15" s="1320"/>
      <c r="H15" s="1321">
        <v>3999999.1</v>
      </c>
      <c r="I15" s="1322">
        <f t="shared" si="3"/>
        <v>2905498.0024696738</v>
      </c>
      <c r="J15" s="1320"/>
      <c r="K15" s="1320"/>
      <c r="L15" s="1320"/>
      <c r="M15" s="1320"/>
      <c r="N15" s="1320"/>
      <c r="O15" s="1323">
        <f t="shared" si="4"/>
        <v>2905498.0024696738</v>
      </c>
      <c r="P15" s="1323">
        <f t="shared" si="5"/>
        <v>2905498.0024696738</v>
      </c>
      <c r="Q15" s="1320"/>
      <c r="R15" s="1324">
        <f t="shared" si="6"/>
        <v>2.3763179454172223E-2</v>
      </c>
      <c r="S15" s="1325">
        <f t="shared" si="6"/>
        <v>2.2099439042558039E-2</v>
      </c>
      <c r="T15" s="1326"/>
    </row>
    <row r="16" spans="2:20">
      <c r="B16" s="1319" t="s">
        <v>1881</v>
      </c>
      <c r="C16" s="1320"/>
      <c r="D16" s="1320"/>
      <c r="E16" s="1320"/>
      <c r="F16" s="1320"/>
      <c r="G16" s="1320"/>
      <c r="H16" s="1321">
        <v>2999998.63</v>
      </c>
      <c r="I16" s="1322">
        <f t="shared" si="3"/>
        <v>2179122.9970218637</v>
      </c>
      <c r="J16" s="1320"/>
      <c r="K16" s="1320"/>
      <c r="L16" s="1320"/>
      <c r="M16" s="1320"/>
      <c r="N16" s="1320"/>
      <c r="O16" s="1323">
        <f t="shared" si="4"/>
        <v>2179122.9970218637</v>
      </c>
      <c r="P16" s="1323">
        <f t="shared" si="5"/>
        <v>2179122.9970218637</v>
      </c>
      <c r="Q16" s="1320"/>
      <c r="R16" s="1324">
        <f t="shared" si="6"/>
        <v>1.7822380461775807E-2</v>
      </c>
      <c r="S16" s="1325">
        <f t="shared" si="6"/>
        <v>1.6574575442140131E-2</v>
      </c>
      <c r="T16" s="1326"/>
    </row>
    <row r="17" spans="2:21">
      <c r="B17" s="1319" t="s">
        <v>1882</v>
      </c>
      <c r="C17" s="1320"/>
      <c r="D17" s="1320"/>
      <c r="E17" s="1320"/>
      <c r="F17" s="1320"/>
      <c r="G17" s="1320"/>
      <c r="H17" s="1321">
        <v>2499999.09</v>
      </c>
      <c r="I17" s="1322">
        <f t="shared" si="3"/>
        <v>1815935.9991283503</v>
      </c>
      <c r="J17" s="1320"/>
      <c r="K17" s="1320"/>
      <c r="L17" s="1320"/>
      <c r="M17" s="1320"/>
      <c r="N17" s="1320"/>
      <c r="O17" s="1323">
        <f t="shared" si="4"/>
        <v>1815935.9991283503</v>
      </c>
      <c r="P17" s="1323">
        <f t="shared" si="5"/>
        <v>1815935.9991283503</v>
      </c>
      <c r="Q17" s="1320"/>
      <c r="R17" s="1324">
        <f t="shared" si="6"/>
        <v>1.4851985094430959E-2</v>
      </c>
      <c r="S17" s="1325">
        <f t="shared" si="6"/>
        <v>1.3812147481709574E-2</v>
      </c>
      <c r="T17" s="1326"/>
      <c r="U17" s="1328"/>
    </row>
    <row r="18" spans="2:21">
      <c r="B18" s="1319" t="s">
        <v>1883</v>
      </c>
      <c r="C18" s="1320"/>
      <c r="D18" s="1320"/>
      <c r="E18" s="1320"/>
      <c r="F18" s="1320"/>
      <c r="G18" s="1320"/>
      <c r="H18" s="1321">
        <v>1999999.55</v>
      </c>
      <c r="I18" s="1322">
        <f t="shared" si="3"/>
        <v>1452749.0012348369</v>
      </c>
      <c r="J18" s="1320"/>
      <c r="K18" s="1320"/>
      <c r="L18" s="1320"/>
      <c r="M18" s="1320"/>
      <c r="N18" s="1320"/>
      <c r="O18" s="1323">
        <f t="shared" si="4"/>
        <v>1452749.0012348369</v>
      </c>
      <c r="P18" s="1323">
        <f t="shared" si="5"/>
        <v>1452749.0012348369</v>
      </c>
      <c r="Q18" s="1320"/>
      <c r="R18" s="1324">
        <f t="shared" si="6"/>
        <v>1.1881589727086111E-2</v>
      </c>
      <c r="S18" s="1325">
        <f t="shared" si="6"/>
        <v>1.1049719521279019E-2</v>
      </c>
      <c r="T18" s="1326"/>
    </row>
    <row r="19" spans="2:21">
      <c r="B19" s="1319" t="s">
        <v>1884</v>
      </c>
      <c r="C19" s="1320"/>
      <c r="D19" s="1320"/>
      <c r="E19" s="1320"/>
      <c r="F19" s="1320"/>
      <c r="G19" s="1320"/>
      <c r="H19" s="1321">
        <v>1999999.55</v>
      </c>
      <c r="I19" s="1322">
        <f t="shared" si="3"/>
        <v>1452749.0012348369</v>
      </c>
      <c r="J19" s="1320"/>
      <c r="K19" s="1320"/>
      <c r="L19" s="1320"/>
      <c r="M19" s="1320"/>
      <c r="N19" s="1320"/>
      <c r="O19" s="1323">
        <f t="shared" si="4"/>
        <v>1452749.0012348369</v>
      </c>
      <c r="P19" s="1323">
        <f t="shared" si="5"/>
        <v>1452749.0012348369</v>
      </c>
      <c r="Q19" s="1320"/>
      <c r="R19" s="1324">
        <f t="shared" si="6"/>
        <v>1.1881589727086111E-2</v>
      </c>
      <c r="S19" s="1325">
        <f t="shared" si="6"/>
        <v>1.1049719521279019E-2</v>
      </c>
      <c r="T19" s="1326"/>
    </row>
    <row r="20" spans="2:21">
      <c r="B20" s="1319"/>
      <c r="C20" s="1320"/>
      <c r="D20" s="1320"/>
      <c r="E20" s="1320"/>
      <c r="F20" s="1320"/>
      <c r="G20" s="1320"/>
      <c r="H20" s="1321"/>
      <c r="I20" s="1322"/>
      <c r="J20" s="1320"/>
      <c r="K20" s="1320"/>
      <c r="L20" s="1320"/>
      <c r="M20" s="1320"/>
      <c r="N20" s="1320"/>
      <c r="O20" s="1323"/>
      <c r="P20" s="1323"/>
      <c r="Q20" s="1320"/>
      <c r="R20" s="1324"/>
      <c r="S20" s="1325"/>
      <c r="T20" s="1326"/>
    </row>
    <row r="21" spans="2:21">
      <c r="B21" s="1327" t="s">
        <v>1885</v>
      </c>
      <c r="C21" s="1320"/>
      <c r="D21" s="1320"/>
      <c r="E21" s="1320"/>
      <c r="F21" s="1320"/>
      <c r="G21" s="1320"/>
      <c r="H21" s="1321"/>
      <c r="I21" s="1322"/>
      <c r="J21" s="1320"/>
      <c r="K21" s="1320"/>
      <c r="L21" s="1320"/>
      <c r="M21" s="1320"/>
      <c r="N21" s="1320"/>
      <c r="O21" s="1323"/>
      <c r="P21" s="1323"/>
      <c r="Q21" s="1320"/>
      <c r="R21" s="1324"/>
      <c r="S21" s="1325"/>
    </row>
    <row r="22" spans="2:21">
      <c r="B22" s="1319" t="s">
        <v>1886</v>
      </c>
      <c r="C22" s="1320"/>
      <c r="D22" s="1320"/>
      <c r="E22" s="1320"/>
      <c r="F22" s="1320"/>
      <c r="G22" s="1320"/>
      <c r="H22" s="1321">
        <v>250000.45980000001</v>
      </c>
      <c r="I22" s="1322">
        <f t="shared" ref="I22:I32" si="7">H22/C$48</f>
        <v>181594</v>
      </c>
      <c r="J22" s="1320"/>
      <c r="K22" s="1320"/>
      <c r="L22" s="1320"/>
      <c r="M22" s="1320"/>
      <c r="N22" s="1320"/>
      <c r="O22" s="1323">
        <f t="shared" ref="O22:O32" si="8">C22+F22+I22</f>
        <v>181594</v>
      </c>
      <c r="P22" s="1323">
        <f t="shared" ref="P22:P32" si="9">C22+F22+I22+K22+M22</f>
        <v>181594</v>
      </c>
      <c r="Q22" s="1320"/>
      <c r="R22" s="1324">
        <f t="shared" ref="R22:S32" si="10">O22/O$45</f>
        <v>1.485201781633643E-3</v>
      </c>
      <c r="S22" s="1325">
        <f t="shared" si="10"/>
        <v>1.3812177912643983E-3</v>
      </c>
    </row>
    <row r="23" spans="2:21">
      <c r="B23" s="1319" t="s">
        <v>1887</v>
      </c>
      <c r="C23" s="1320"/>
      <c r="D23" s="1320"/>
      <c r="E23" s="1320"/>
      <c r="F23" s="1320"/>
      <c r="G23" s="1320"/>
      <c r="H23" s="1321">
        <v>50000.367299999998</v>
      </c>
      <c r="I23" s="1322">
        <f t="shared" si="7"/>
        <v>36319</v>
      </c>
      <c r="J23" s="1320"/>
      <c r="K23" s="1320"/>
      <c r="L23" s="1320"/>
      <c r="M23" s="1320"/>
      <c r="N23" s="1320"/>
      <c r="O23" s="1323">
        <f t="shared" si="8"/>
        <v>36319</v>
      </c>
      <c r="P23" s="1323">
        <f t="shared" si="9"/>
        <v>36319</v>
      </c>
      <c r="Q23" s="1320"/>
      <c r="R23" s="1324">
        <f t="shared" si="10"/>
        <v>2.9704199206555438E-4</v>
      </c>
      <c r="S23" s="1325">
        <f t="shared" si="10"/>
        <v>2.7624507946810847E-4</v>
      </c>
    </row>
    <row r="24" spans="2:21">
      <c r="B24" s="1319" t="s">
        <v>1888</v>
      </c>
      <c r="C24" s="1320"/>
      <c r="D24" s="1320"/>
      <c r="E24" s="1320"/>
      <c r="F24" s="1320"/>
      <c r="G24" s="1320"/>
      <c r="H24" s="1321">
        <v>50000.367299999998</v>
      </c>
      <c r="I24" s="1322">
        <f t="shared" si="7"/>
        <v>36319</v>
      </c>
      <c r="J24" s="1320"/>
      <c r="K24" s="1320"/>
      <c r="L24" s="1320"/>
      <c r="M24" s="1320"/>
      <c r="N24" s="1320"/>
      <c r="O24" s="1323">
        <f t="shared" si="8"/>
        <v>36319</v>
      </c>
      <c r="P24" s="1323">
        <f t="shared" si="9"/>
        <v>36319</v>
      </c>
      <c r="Q24" s="1320"/>
      <c r="R24" s="1324">
        <f t="shared" si="10"/>
        <v>2.9704199206555438E-4</v>
      </c>
      <c r="S24" s="1325">
        <f t="shared" si="10"/>
        <v>2.7624507946810847E-4</v>
      </c>
    </row>
    <row r="25" spans="2:21">
      <c r="B25" s="1319" t="s">
        <v>1889</v>
      </c>
      <c r="C25" s="1320"/>
      <c r="D25" s="1320"/>
      <c r="E25" s="1320"/>
      <c r="F25" s="1320"/>
      <c r="G25" s="1320"/>
      <c r="H25" s="1321">
        <v>25000.871999999999</v>
      </c>
      <c r="I25" s="1322">
        <f t="shared" si="7"/>
        <v>18160</v>
      </c>
      <c r="J25" s="1320"/>
      <c r="K25" s="1320"/>
      <c r="L25" s="1320"/>
      <c r="M25" s="1320"/>
      <c r="N25" s="1320"/>
      <c r="O25" s="1323">
        <f t="shared" si="8"/>
        <v>18160</v>
      </c>
      <c r="P25" s="1323">
        <f t="shared" si="9"/>
        <v>18160</v>
      </c>
      <c r="Q25" s="1320"/>
      <c r="R25" s="1324">
        <f t="shared" si="10"/>
        <v>1.4852508537984162E-4</v>
      </c>
      <c r="S25" s="1325">
        <f t="shared" si="10"/>
        <v>1.3812634277212614E-4</v>
      </c>
    </row>
    <row r="26" spans="2:21">
      <c r="B26" s="1319" t="s">
        <v>1890</v>
      </c>
      <c r="C26" s="1320"/>
      <c r="D26" s="1320"/>
      <c r="E26" s="1320"/>
      <c r="F26" s="1320"/>
      <c r="G26" s="1320"/>
      <c r="H26" s="1321">
        <v>34999.844100000002</v>
      </c>
      <c r="I26" s="1322">
        <f t="shared" si="7"/>
        <v>25423</v>
      </c>
      <c r="J26" s="1320"/>
      <c r="K26" s="1320"/>
      <c r="L26" s="1320"/>
      <c r="M26" s="1320"/>
      <c r="N26" s="1320"/>
      <c r="O26" s="1323">
        <f t="shared" si="8"/>
        <v>25423</v>
      </c>
      <c r="P26" s="1323">
        <f t="shared" si="9"/>
        <v>25423</v>
      </c>
      <c r="Q26" s="1320"/>
      <c r="R26" s="1324">
        <f t="shared" si="10"/>
        <v>2.0792694083764942E-4</v>
      </c>
      <c r="S26" s="1325">
        <f t="shared" si="10"/>
        <v>1.9336927380483277E-4</v>
      </c>
    </row>
    <row r="27" spans="2:21">
      <c r="B27" s="1319" t="s">
        <v>1891</v>
      </c>
      <c r="C27" s="1320"/>
      <c r="D27" s="1320"/>
      <c r="E27" s="1320"/>
      <c r="F27" s="1320"/>
      <c r="G27" s="1320"/>
      <c r="H27" s="1321">
        <v>27534</v>
      </c>
      <c r="I27" s="1322">
        <f t="shared" si="7"/>
        <v>20000</v>
      </c>
      <c r="J27" s="1320"/>
      <c r="K27" s="1320"/>
      <c r="L27" s="1320"/>
      <c r="M27" s="1320"/>
      <c r="N27" s="1320"/>
      <c r="O27" s="1323">
        <f t="shared" si="8"/>
        <v>20000</v>
      </c>
      <c r="P27" s="1323">
        <f t="shared" si="9"/>
        <v>20000</v>
      </c>
      <c r="Q27" s="1320"/>
      <c r="R27" s="1324">
        <f t="shared" si="10"/>
        <v>1.6357388257691807E-4</v>
      </c>
      <c r="S27" s="1325">
        <f t="shared" si="10"/>
        <v>1.521215228767909E-4</v>
      </c>
    </row>
    <row r="28" spans="2:21">
      <c r="B28" s="1319" t="s">
        <v>1892</v>
      </c>
      <c r="C28" s="1320"/>
      <c r="D28" s="1320"/>
      <c r="E28" s="1320"/>
      <c r="F28" s="1320"/>
      <c r="G28" s="1320"/>
      <c r="H28" s="1321">
        <v>103252.5</v>
      </c>
      <c r="I28" s="1322">
        <f t="shared" si="7"/>
        <v>75000</v>
      </c>
      <c r="J28" s="1320"/>
      <c r="K28" s="1320"/>
      <c r="L28" s="1320"/>
      <c r="M28" s="1320"/>
      <c r="N28" s="1320"/>
      <c r="O28" s="1323">
        <f t="shared" si="8"/>
        <v>75000</v>
      </c>
      <c r="P28" s="1323">
        <f t="shared" si="9"/>
        <v>75000</v>
      </c>
      <c r="Q28" s="1320"/>
      <c r="R28" s="1324">
        <f t="shared" si="10"/>
        <v>6.1340205966344279E-4</v>
      </c>
      <c r="S28" s="1325">
        <f t="shared" si="10"/>
        <v>5.7045571078796591E-4</v>
      </c>
    </row>
    <row r="29" spans="2:21">
      <c r="B29" s="1319" t="s">
        <v>1893</v>
      </c>
      <c r="C29" s="1320"/>
      <c r="D29" s="1320"/>
      <c r="E29" s="1320"/>
      <c r="F29" s="1320"/>
      <c r="G29" s="1320"/>
      <c r="H29" s="1321">
        <v>25000.871999999999</v>
      </c>
      <c r="I29" s="1322">
        <f t="shared" si="7"/>
        <v>18160</v>
      </c>
      <c r="J29" s="1320"/>
      <c r="K29" s="1320"/>
      <c r="L29" s="1320"/>
      <c r="M29" s="1320"/>
      <c r="N29" s="1320"/>
      <c r="O29" s="1323">
        <f t="shared" si="8"/>
        <v>18160</v>
      </c>
      <c r="P29" s="1323">
        <f t="shared" si="9"/>
        <v>18160</v>
      </c>
      <c r="Q29" s="1320"/>
      <c r="R29" s="1324">
        <f t="shared" si="10"/>
        <v>1.4852508537984162E-4</v>
      </c>
      <c r="S29" s="1325">
        <f t="shared" si="10"/>
        <v>1.3812634277212614E-4</v>
      </c>
    </row>
    <row r="30" spans="2:21">
      <c r="B30" s="1319" t="s">
        <v>1894</v>
      </c>
      <c r="C30" s="1320"/>
      <c r="D30" s="1320"/>
      <c r="E30" s="1320"/>
      <c r="F30" s="1320"/>
      <c r="G30" s="1320"/>
      <c r="H30" s="1321">
        <v>29999.669700000002</v>
      </c>
      <c r="I30" s="1322">
        <f t="shared" si="7"/>
        <v>21791</v>
      </c>
      <c r="J30" s="1320"/>
      <c r="K30" s="1320"/>
      <c r="L30" s="1320"/>
      <c r="M30" s="1320"/>
      <c r="N30" s="1320"/>
      <c r="O30" s="1323">
        <f t="shared" si="8"/>
        <v>21791</v>
      </c>
      <c r="P30" s="1323">
        <f t="shared" si="9"/>
        <v>21791</v>
      </c>
      <c r="Q30" s="1320"/>
      <c r="R30" s="1324">
        <f t="shared" si="10"/>
        <v>1.7822192376168111E-4</v>
      </c>
      <c r="S30" s="1325">
        <f t="shared" si="10"/>
        <v>1.6574400525040753E-4</v>
      </c>
    </row>
    <row r="31" spans="2:21">
      <c r="B31" s="1319" t="s">
        <v>1895</v>
      </c>
      <c r="C31" s="1320"/>
      <c r="D31" s="1320"/>
      <c r="E31" s="1320"/>
      <c r="F31" s="1320"/>
      <c r="G31" s="1320"/>
      <c r="H31" s="1321">
        <v>25000.871999999999</v>
      </c>
      <c r="I31" s="1322">
        <f t="shared" si="7"/>
        <v>18160</v>
      </c>
      <c r="J31" s="1320"/>
      <c r="K31" s="1320"/>
      <c r="L31" s="1320"/>
      <c r="M31" s="1320"/>
      <c r="N31" s="1320"/>
      <c r="O31" s="1323">
        <f t="shared" si="8"/>
        <v>18160</v>
      </c>
      <c r="P31" s="1323">
        <f t="shared" si="9"/>
        <v>18160</v>
      </c>
      <c r="Q31" s="1320"/>
      <c r="R31" s="1324">
        <f t="shared" si="10"/>
        <v>1.4852508537984162E-4</v>
      </c>
      <c r="S31" s="1325">
        <f t="shared" si="10"/>
        <v>1.3812634277212614E-4</v>
      </c>
    </row>
    <row r="32" spans="2:21">
      <c r="B32" s="1319" t="s">
        <v>1896</v>
      </c>
      <c r="C32" s="1320"/>
      <c r="D32" s="1320"/>
      <c r="E32" s="1320"/>
      <c r="F32" s="1320"/>
      <c r="G32" s="1320"/>
      <c r="H32" s="1321">
        <v>27534</v>
      </c>
      <c r="I32" s="1322">
        <f t="shared" si="7"/>
        <v>20000</v>
      </c>
      <c r="J32" s="1320"/>
      <c r="K32" s="1320"/>
      <c r="L32" s="1320"/>
      <c r="M32" s="1320"/>
      <c r="N32" s="1320"/>
      <c r="O32" s="1323">
        <f t="shared" si="8"/>
        <v>20000</v>
      </c>
      <c r="P32" s="1323">
        <f t="shared" si="9"/>
        <v>20000</v>
      </c>
      <c r="Q32" s="1320"/>
      <c r="R32" s="1324">
        <f t="shared" si="10"/>
        <v>1.6357388257691807E-4</v>
      </c>
      <c r="S32" s="1325">
        <f t="shared" si="10"/>
        <v>1.521215228767909E-4</v>
      </c>
    </row>
    <row r="33" spans="2:21">
      <c r="B33" s="1319"/>
      <c r="C33" s="1320"/>
      <c r="D33" s="1320"/>
      <c r="E33" s="1320"/>
      <c r="F33" s="1320"/>
      <c r="G33" s="1320"/>
      <c r="H33" s="1321"/>
      <c r="I33" s="1322"/>
      <c r="J33" s="1320"/>
      <c r="K33" s="1320"/>
      <c r="L33" s="1320"/>
      <c r="M33" s="1320"/>
      <c r="N33" s="1320"/>
      <c r="O33" s="1323"/>
      <c r="P33" s="1323"/>
      <c r="Q33" s="1320"/>
      <c r="R33" s="1324"/>
      <c r="S33" s="1325"/>
    </row>
    <row r="34" spans="2:21">
      <c r="B34" s="1319" t="s">
        <v>1897</v>
      </c>
      <c r="C34" s="1320"/>
      <c r="D34" s="1320"/>
      <c r="E34" s="1320"/>
      <c r="F34" s="1320"/>
      <c r="G34" s="1320"/>
      <c r="H34" s="1321">
        <f>70000000-SUM(H7:H32)</f>
        <v>7851686.9558000118</v>
      </c>
      <c r="I34" s="1322">
        <f>ROUNDDOWN((H34/C$48), 0)</f>
        <v>5703266</v>
      </c>
      <c r="J34" s="1320"/>
      <c r="K34" s="1320"/>
      <c r="L34" s="1320"/>
      <c r="M34" s="1320"/>
      <c r="N34" s="1320"/>
      <c r="O34" s="1323">
        <f t="shared" ref="O34" si="11">C34+F34+I34</f>
        <v>5703266</v>
      </c>
      <c r="P34" s="1323">
        <f t="shared" ref="P34" si="12">C34+F34+I34+K34+M34</f>
        <v>5703266</v>
      </c>
      <c r="Q34" s="1320"/>
      <c r="R34" s="1324">
        <f t="shared" ref="R34:S34" si="13">O34/O$45</f>
        <v>4.6645268149446466E-2</v>
      </c>
      <c r="S34" s="1325">
        <f t="shared" si="13"/>
        <v>4.3379475464571188E-2</v>
      </c>
    </row>
    <row r="35" spans="2:21" s="1336" customFormat="1">
      <c r="B35" s="1329"/>
      <c r="C35" s="1330"/>
      <c r="D35" s="1330"/>
      <c r="E35" s="1330"/>
      <c r="F35" s="1330"/>
      <c r="G35" s="1330"/>
      <c r="H35" s="1331"/>
      <c r="I35" s="1332"/>
      <c r="J35" s="1330"/>
      <c r="K35" s="1330"/>
      <c r="L35" s="1330"/>
      <c r="M35" s="1330"/>
      <c r="N35" s="1330"/>
      <c r="O35" s="1333"/>
      <c r="P35" s="1333"/>
      <c r="Q35" s="1330"/>
      <c r="R35" s="1334"/>
      <c r="S35" s="1335"/>
    </row>
    <row r="36" spans="2:21">
      <c r="B36" s="1319"/>
      <c r="C36" s="1320"/>
      <c r="D36" s="1320"/>
      <c r="E36" s="1320"/>
      <c r="F36" s="1320"/>
      <c r="G36" s="1320"/>
      <c r="H36" s="1320"/>
      <c r="I36" s="1320"/>
      <c r="J36" s="1320"/>
      <c r="K36" s="1320"/>
      <c r="L36" s="1320"/>
      <c r="M36" s="1320"/>
      <c r="N36" s="1320"/>
      <c r="O36" s="1323"/>
      <c r="P36" s="1323"/>
      <c r="Q36" s="1320"/>
      <c r="R36" s="1324"/>
      <c r="S36" s="1325"/>
    </row>
    <row r="37" spans="2:21">
      <c r="B37" s="1319" t="s">
        <v>1898</v>
      </c>
      <c r="C37" s="1322">
        <v>15422682</v>
      </c>
      <c r="D37" s="1320"/>
      <c r="E37" s="1320"/>
      <c r="F37" s="1320"/>
      <c r="G37" s="1320"/>
      <c r="H37" s="1320"/>
      <c r="I37" s="1320"/>
      <c r="J37" s="1320"/>
      <c r="K37" s="1320"/>
      <c r="L37" s="1320"/>
      <c r="M37" s="1320"/>
      <c r="N37" s="1320"/>
      <c r="O37" s="1323">
        <f t="shared" si="0"/>
        <v>15422682</v>
      </c>
      <c r="P37" s="1323">
        <f>C37+F37+I37+K37+M37</f>
        <v>15422682</v>
      </c>
      <c r="Q37" s="1320"/>
      <c r="R37" s="1324">
        <f>O37/O$45</f>
        <v>0.12613739872445739</v>
      </c>
      <c r="S37" s="1325">
        <f>P37/P$45</f>
        <v>0.11730609363422356</v>
      </c>
    </row>
    <row r="38" spans="2:21">
      <c r="B38" s="1319"/>
      <c r="C38" s="1320"/>
      <c r="D38" s="1320"/>
      <c r="E38" s="1320"/>
      <c r="F38" s="1320"/>
      <c r="G38" s="1320"/>
      <c r="H38" s="1320"/>
      <c r="I38" s="1320"/>
      <c r="J38" s="1320"/>
      <c r="K38" s="1320"/>
      <c r="L38" s="1320"/>
      <c r="M38" s="1320"/>
      <c r="N38" s="1320"/>
      <c r="O38" s="1323"/>
      <c r="P38" s="1323"/>
      <c r="Q38" s="1320"/>
      <c r="R38" s="1324"/>
      <c r="S38" s="1325"/>
    </row>
    <row r="39" spans="2:21">
      <c r="B39" s="1319" t="s">
        <v>1899</v>
      </c>
      <c r="C39" s="1320"/>
      <c r="D39" s="1320"/>
      <c r="E39" s="1320"/>
      <c r="F39" s="1320"/>
      <c r="G39" s="1320"/>
      <c r="H39" s="1320"/>
      <c r="I39" s="1320"/>
      <c r="J39" s="1320"/>
      <c r="K39" s="1322">
        <v>216900</v>
      </c>
      <c r="L39" s="1320"/>
      <c r="M39" s="1320"/>
      <c r="N39" s="1320"/>
      <c r="O39" s="1323">
        <f t="shared" si="0"/>
        <v>0</v>
      </c>
      <c r="P39" s="1323">
        <f>C39+F39+I39+K39+M39</f>
        <v>216900</v>
      </c>
      <c r="Q39" s="1320"/>
      <c r="R39" s="1324">
        <f t="shared" ref="R39:S41" si="14">O39/O$45</f>
        <v>0</v>
      </c>
      <c r="S39" s="1325">
        <f t="shared" si="14"/>
        <v>1.6497579155987973E-3</v>
      </c>
    </row>
    <row r="40" spans="2:21">
      <c r="B40" s="1319" t="s">
        <v>1900</v>
      </c>
      <c r="C40" s="1320"/>
      <c r="D40" s="1320"/>
      <c r="E40" s="1320"/>
      <c r="F40" s="1320"/>
      <c r="G40" s="1320"/>
      <c r="H40" s="1320"/>
      <c r="I40" s="1320"/>
      <c r="J40" s="1320"/>
      <c r="K40" s="1322">
        <v>688918</v>
      </c>
      <c r="L40" s="1320"/>
      <c r="M40" s="1320"/>
      <c r="N40" s="1320"/>
      <c r="O40" s="1323">
        <f t="shared" si="0"/>
        <v>0</v>
      </c>
      <c r="P40" s="1323">
        <f>C40+F40+I40+K40+M40</f>
        <v>688918</v>
      </c>
      <c r="Q40" s="1320"/>
      <c r="R40" s="1324">
        <f t="shared" si="14"/>
        <v>0</v>
      </c>
      <c r="S40" s="1325">
        <f t="shared" si="14"/>
        <v>5.2399627648616514E-3</v>
      </c>
    </row>
    <row r="41" spans="2:21">
      <c r="B41" s="1319" t="s">
        <v>1901</v>
      </c>
      <c r="C41" s="1320"/>
      <c r="D41" s="1320"/>
      <c r="E41" s="1320"/>
      <c r="F41" s="1320"/>
      <c r="G41" s="1320"/>
      <c r="H41" s="1320"/>
      <c r="I41" s="1320"/>
      <c r="J41" s="1320"/>
      <c r="K41" s="1322">
        <v>7150000</v>
      </c>
      <c r="L41" s="1320"/>
      <c r="M41" s="1320"/>
      <c r="N41" s="1320"/>
      <c r="O41" s="1323">
        <f t="shared" si="0"/>
        <v>0</v>
      </c>
      <c r="P41" s="1323">
        <f>C41+F41+I41+K41+M41</f>
        <v>7150000</v>
      </c>
      <c r="Q41" s="1320"/>
      <c r="R41" s="1324">
        <f t="shared" si="14"/>
        <v>0</v>
      </c>
      <c r="S41" s="1325">
        <f t="shared" si="14"/>
        <v>5.4383444428452749E-2</v>
      </c>
      <c r="U41" s="1337"/>
    </row>
    <row r="42" spans="2:21">
      <c r="B42" s="1319"/>
      <c r="C42" s="1320"/>
      <c r="D42" s="1320"/>
      <c r="E42" s="1320"/>
      <c r="F42" s="1320"/>
      <c r="G42" s="1320"/>
      <c r="H42" s="1320"/>
      <c r="I42" s="1320"/>
      <c r="J42" s="1320"/>
      <c r="K42" s="1322"/>
      <c r="L42" s="1320"/>
      <c r="M42" s="1320"/>
      <c r="N42" s="1320"/>
      <c r="O42" s="1323"/>
      <c r="P42" s="1323"/>
      <c r="Q42" s="1320"/>
      <c r="R42" s="1324"/>
      <c r="S42" s="1325"/>
    </row>
    <row r="43" spans="2:21">
      <c r="B43" s="1319" t="s">
        <v>1868</v>
      </c>
      <c r="C43" s="1320"/>
      <c r="D43" s="1320"/>
      <c r="E43" s="1320"/>
      <c r="F43" s="1320"/>
      <c r="G43" s="1320"/>
      <c r="H43" s="1320"/>
      <c r="I43" s="1320"/>
      <c r="J43" s="1320"/>
      <c r="K43" s="1320"/>
      <c r="L43" s="1320"/>
      <c r="M43" s="1984">
        <v>1149109</v>
      </c>
      <c r="N43" s="1320"/>
      <c r="O43" s="1323">
        <f t="shared" si="0"/>
        <v>0</v>
      </c>
      <c r="P43" s="1323">
        <f>C43+F43+I43+K43+M43</f>
        <v>1149109</v>
      </c>
      <c r="Q43" s="1320"/>
      <c r="R43" s="1324">
        <f>O43/O$45</f>
        <v>0</v>
      </c>
      <c r="S43" s="1325">
        <f>P43/P$45</f>
        <v>8.7402105515713164E-3</v>
      </c>
    </row>
    <row r="44" spans="2:21">
      <c r="B44" s="1319"/>
      <c r="C44" s="1320"/>
      <c r="D44" s="1320"/>
      <c r="E44" s="1320"/>
      <c r="F44" s="1320"/>
      <c r="G44" s="1320"/>
      <c r="H44" s="1320"/>
      <c r="I44" s="1320"/>
      <c r="J44" s="1320"/>
      <c r="K44" s="1320"/>
      <c r="L44" s="1320"/>
      <c r="M44" s="1320"/>
      <c r="N44" s="1320"/>
      <c r="O44" s="1323"/>
      <c r="P44" s="1320"/>
      <c r="Q44" s="1320"/>
      <c r="R44" s="1324"/>
      <c r="S44" s="1325"/>
    </row>
    <row r="45" spans="2:21" ht="15.75" thickBot="1">
      <c r="B45" s="1338" t="s">
        <v>86</v>
      </c>
      <c r="C45" s="1339">
        <f>SUM(C5:C44)</f>
        <v>15422682</v>
      </c>
      <c r="D45" s="1340"/>
      <c r="E45" s="1341">
        <f t="shared" ref="E45:N45" si="15">SUM(E5:E44)</f>
        <v>56000000</v>
      </c>
      <c r="F45" s="1339">
        <f t="shared" si="15"/>
        <v>56000000</v>
      </c>
      <c r="G45" s="1341">
        <f t="shared" si="15"/>
        <v>0</v>
      </c>
      <c r="H45" s="1341">
        <f t="shared" si="15"/>
        <v>70000000</v>
      </c>
      <c r="I45" s="1339">
        <f t="shared" si="15"/>
        <v>50846226.008861765</v>
      </c>
      <c r="J45" s="1341">
        <f t="shared" si="15"/>
        <v>0</v>
      </c>
      <c r="K45" s="1339">
        <f t="shared" si="15"/>
        <v>8055818</v>
      </c>
      <c r="L45" s="1341">
        <f t="shared" si="15"/>
        <v>0</v>
      </c>
      <c r="M45" s="1339">
        <f t="shared" si="15"/>
        <v>1149109</v>
      </c>
      <c r="N45" s="1341">
        <f t="shared" si="15"/>
        <v>0</v>
      </c>
      <c r="O45" s="1339">
        <f>ROUNDDOWN(SUM(O5:O43), 0)</f>
        <v>122268908</v>
      </c>
      <c r="P45" s="1339">
        <f>SUM(P5:P44)</f>
        <v>131473835.00886178</v>
      </c>
      <c r="Q45" s="1340"/>
      <c r="R45" s="1342">
        <f>SUM(R5:R43)</f>
        <v>1.0000000000724776</v>
      </c>
      <c r="S45" s="1343">
        <f>SUM(S5:S43)</f>
        <v>1</v>
      </c>
    </row>
    <row r="46" spans="2:21" ht="15.75" thickBot="1">
      <c r="O46" s="1529" t="s">
        <v>2263</v>
      </c>
      <c r="P46" s="1352">
        <f>P45-M43</f>
        <v>130324726.00886178</v>
      </c>
    </row>
    <row r="47" spans="2:21">
      <c r="B47" s="1344" t="s">
        <v>1902</v>
      </c>
      <c r="C47" s="1345">
        <v>111000000</v>
      </c>
      <c r="E47" s="1328"/>
      <c r="M47" s="1352">
        <f>0.2*M43</f>
        <v>229821.80000000002</v>
      </c>
    </row>
    <row r="48" spans="2:21" ht="15.75" thickBot="1">
      <c r="B48" s="1338" t="s">
        <v>1903</v>
      </c>
      <c r="C48" s="1346">
        <f>ROUND(C47/(C45+F45+K45+M45), 4)</f>
        <v>1.3767</v>
      </c>
    </row>
    <row r="49" spans="6:20">
      <c r="T49" s="1347"/>
    </row>
    <row r="53" spans="6:20">
      <c r="F53" s="1328"/>
    </row>
  </sheetData>
  <mergeCells count="2">
    <mergeCell ref="B1:S1"/>
    <mergeCell ref="B2:S2"/>
  </mergeCells>
  <pageMargins left="0.7" right="0.7" top="0.75" bottom="0.75" header="0.3" footer="0.3"/>
  <pageSetup orientation="portrait" horizontalDpi="1200" verticalDpi="120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L71"/>
  <sheetViews>
    <sheetView showGridLines="0" workbookViewId="0"/>
  </sheetViews>
  <sheetFormatPr defaultColWidth="10.6640625" defaultRowHeight="15"/>
  <cols>
    <col min="1" max="1" width="33.33203125" style="1875" customWidth="1"/>
    <col min="2" max="8" width="16.6640625" style="1875" customWidth="1"/>
    <col min="9" max="9" width="17.33203125" style="1875" customWidth="1"/>
    <col min="10" max="10" width="10.6640625" style="1875"/>
    <col min="11" max="11" width="14.6640625" style="1875" customWidth="1"/>
    <col min="12" max="16384" width="10.6640625" style="1875"/>
  </cols>
  <sheetData>
    <row r="1" spans="1:10" s="1856" customFormat="1" ht="14.25">
      <c r="A1" s="1855"/>
      <c r="B1" s="1855"/>
      <c r="C1" s="1855"/>
      <c r="D1" s="1855"/>
      <c r="E1" s="1855"/>
      <c r="F1" s="1855"/>
      <c r="G1" s="1855"/>
      <c r="H1" s="1855"/>
    </row>
    <row r="2" spans="1:10" s="1856" customFormat="1" ht="15.75" customHeight="1">
      <c r="A2" s="1857" t="s">
        <v>1502</v>
      </c>
      <c r="B2" s="1857"/>
      <c r="C2" s="1857"/>
      <c r="D2" s="1857"/>
      <c r="E2" s="1857"/>
      <c r="F2" s="1857"/>
      <c r="G2" s="1857"/>
      <c r="H2" s="1857"/>
    </row>
    <row r="3" spans="1:10" s="1856" customFormat="1" ht="15.75" customHeight="1">
      <c r="A3" s="1857" t="s">
        <v>2404</v>
      </c>
      <c r="B3" s="1857"/>
      <c r="C3" s="1857"/>
      <c r="D3" s="1857"/>
      <c r="E3" s="1857"/>
      <c r="F3" s="1857"/>
      <c r="G3" s="1857"/>
      <c r="H3" s="1857"/>
    </row>
    <row r="4" spans="1:10" s="1856" customFormat="1" ht="15" customHeight="1">
      <c r="A4" s="1858" t="s">
        <v>2405</v>
      </c>
      <c r="B4" s="1858"/>
      <c r="C4" s="1858"/>
      <c r="D4" s="1858"/>
      <c r="E4" s="1858"/>
      <c r="F4" s="1858"/>
      <c r="G4" s="1858"/>
      <c r="H4" s="1858"/>
    </row>
    <row r="5" spans="1:10" s="1856" customFormat="1" ht="15" customHeight="1">
      <c r="A5" s="1858" t="s">
        <v>2406</v>
      </c>
      <c r="B5" s="1858"/>
      <c r="C5" s="1858"/>
      <c r="D5" s="1858"/>
      <c r="E5" s="1858"/>
      <c r="F5" s="1858"/>
      <c r="G5" s="1858"/>
      <c r="H5" s="1858"/>
    </row>
    <row r="6" spans="1:10" s="1856" customFormat="1" ht="15" customHeight="1">
      <c r="A6" s="1859" t="s">
        <v>2407</v>
      </c>
      <c r="B6" s="1859"/>
      <c r="C6" s="1859"/>
      <c r="D6" s="1859"/>
      <c r="E6" s="1859"/>
      <c r="F6" s="1859"/>
      <c r="G6" s="1859"/>
      <c r="H6" s="1859"/>
    </row>
    <row r="7" spans="1:10" s="1856" customFormat="1" ht="48">
      <c r="A7" s="1860" t="s">
        <v>2408</v>
      </c>
      <c r="B7" s="1861" t="s">
        <v>78</v>
      </c>
      <c r="C7" s="1861" t="s">
        <v>2409</v>
      </c>
      <c r="D7" s="1861" t="s">
        <v>2410</v>
      </c>
      <c r="E7" s="1861" t="s">
        <v>2411</v>
      </c>
      <c r="F7" s="1861" t="s">
        <v>2412</v>
      </c>
      <c r="G7" s="1861" t="s">
        <v>2413</v>
      </c>
      <c r="H7" s="1861" t="s">
        <v>2414</v>
      </c>
      <c r="I7" s="1928" t="s">
        <v>2524</v>
      </c>
    </row>
    <row r="8" spans="1:10" s="1856" customFormat="1">
      <c r="A8" s="1862" t="s">
        <v>2415</v>
      </c>
      <c r="B8" s="1863">
        <v>350000</v>
      </c>
      <c r="C8" s="1864"/>
      <c r="D8" s="1863">
        <v>350000</v>
      </c>
      <c r="E8" s="1865">
        <v>0.50009999999999999</v>
      </c>
      <c r="F8" s="1863">
        <v>60000</v>
      </c>
      <c r="G8" s="1863">
        <v>410000</v>
      </c>
      <c r="H8" s="1865">
        <v>0.56689999999999996</v>
      </c>
      <c r="I8" s="1929">
        <v>0.01</v>
      </c>
      <c r="J8" s="1927" t="s">
        <v>2525</v>
      </c>
    </row>
    <row r="9" spans="1:10" s="1856" customFormat="1">
      <c r="A9" s="1862" t="s">
        <v>2416</v>
      </c>
      <c r="B9" s="1863">
        <v>20000</v>
      </c>
      <c r="C9" s="1864"/>
      <c r="D9" s="1863">
        <v>20000</v>
      </c>
      <c r="E9" s="1865">
        <v>2.86E-2</v>
      </c>
      <c r="F9" s="1864"/>
      <c r="G9" s="1863">
        <v>20000</v>
      </c>
      <c r="H9" s="1865">
        <v>2.7699999999999999E-2</v>
      </c>
      <c r="I9" s="1929"/>
    </row>
    <row r="10" spans="1:10" s="1856" customFormat="1" ht="45">
      <c r="A10" s="1862" t="s">
        <v>2417</v>
      </c>
      <c r="B10" s="1863">
        <v>3209780</v>
      </c>
      <c r="C10" s="1864"/>
      <c r="D10" s="1863">
        <v>3209780</v>
      </c>
      <c r="E10" s="1865">
        <v>4.5860000000000003</v>
      </c>
      <c r="F10" s="1864"/>
      <c r="G10" s="1863">
        <v>3209780</v>
      </c>
      <c r="H10" s="1865">
        <v>4.4378000000000002</v>
      </c>
      <c r="I10" s="1929"/>
    </row>
    <row r="11" spans="1:10" s="1856" customFormat="1">
      <c r="A11" s="1862" t="s">
        <v>2418</v>
      </c>
      <c r="B11" s="1864"/>
      <c r="C11" s="1864"/>
      <c r="D11" s="1864"/>
      <c r="E11" s="1865"/>
      <c r="F11" s="1863">
        <v>30000</v>
      </c>
      <c r="G11" s="1863">
        <v>30000</v>
      </c>
      <c r="H11" s="1865">
        <v>4.1500000000000002E-2</v>
      </c>
      <c r="I11" s="1929">
        <v>0.01</v>
      </c>
    </row>
    <row r="12" spans="1:10" s="1856" customFormat="1">
      <c r="A12" s="1862" t="s">
        <v>2419</v>
      </c>
      <c r="B12" s="1863">
        <v>180000</v>
      </c>
      <c r="C12" s="1864"/>
      <c r="D12" s="1863">
        <v>180000</v>
      </c>
      <c r="E12" s="1865">
        <v>0.25719999999999998</v>
      </c>
      <c r="F12" s="1863">
        <v>29350</v>
      </c>
      <c r="G12" s="1863">
        <v>209350</v>
      </c>
      <c r="H12" s="1865">
        <v>0.28939999999999999</v>
      </c>
      <c r="I12" s="1929">
        <v>0.01</v>
      </c>
    </row>
    <row r="13" spans="1:10" s="1856" customFormat="1">
      <c r="A13" s="1862" t="s">
        <v>2420</v>
      </c>
      <c r="B13" s="1863">
        <v>46500</v>
      </c>
      <c r="C13" s="1864"/>
      <c r="D13" s="1863">
        <v>46500</v>
      </c>
      <c r="E13" s="1865">
        <v>6.6400000000000001E-2</v>
      </c>
      <c r="F13" s="1864"/>
      <c r="G13" s="1863">
        <v>46500</v>
      </c>
      <c r="H13" s="1865">
        <v>6.4299999999999996E-2</v>
      </c>
      <c r="I13" s="1929"/>
    </row>
    <row r="14" spans="1:10" s="1856" customFormat="1">
      <c r="A14" s="1862" t="s">
        <v>2421</v>
      </c>
      <c r="B14" s="1863">
        <v>500000</v>
      </c>
      <c r="C14" s="1864"/>
      <c r="D14" s="1863">
        <v>500000</v>
      </c>
      <c r="E14" s="1865">
        <v>0.71440000000000003</v>
      </c>
      <c r="F14" s="1864"/>
      <c r="G14" s="1863">
        <v>500000</v>
      </c>
      <c r="H14" s="1865">
        <v>0.69130000000000003</v>
      </c>
      <c r="I14" s="1929"/>
    </row>
    <row r="15" spans="1:10" s="1856" customFormat="1">
      <c r="A15" s="1862" t="s">
        <v>2422</v>
      </c>
      <c r="B15" s="1863">
        <v>65500</v>
      </c>
      <c r="C15" s="1864"/>
      <c r="D15" s="1863">
        <v>65500</v>
      </c>
      <c r="E15" s="1865">
        <v>9.3600000000000003E-2</v>
      </c>
      <c r="F15" s="1864"/>
      <c r="G15" s="1863">
        <v>65500</v>
      </c>
      <c r="H15" s="1865">
        <v>9.06E-2</v>
      </c>
      <c r="I15" s="1929"/>
    </row>
    <row r="16" spans="1:10" s="1856" customFormat="1">
      <c r="A16" s="1862" t="s">
        <v>2423</v>
      </c>
      <c r="B16" s="1863">
        <v>9300</v>
      </c>
      <c r="C16" s="1864"/>
      <c r="D16" s="1863">
        <v>9300</v>
      </c>
      <c r="E16" s="1865">
        <v>1.3299999999999999E-2</v>
      </c>
      <c r="F16" s="1864"/>
      <c r="G16" s="1863">
        <v>9300</v>
      </c>
      <c r="H16" s="1865">
        <v>1.29E-2</v>
      </c>
      <c r="I16" s="1929"/>
    </row>
    <row r="17" spans="1:10" s="1856" customFormat="1">
      <c r="A17" s="1862" t="s">
        <v>2424</v>
      </c>
      <c r="B17" s="1863">
        <v>180000</v>
      </c>
      <c r="C17" s="1864"/>
      <c r="D17" s="1863">
        <v>180000</v>
      </c>
      <c r="E17" s="1865">
        <v>0.25719999999999998</v>
      </c>
      <c r="F17" s="1863">
        <v>29350</v>
      </c>
      <c r="G17" s="1863">
        <v>209350</v>
      </c>
      <c r="H17" s="1865">
        <v>0.28939999999999999</v>
      </c>
      <c r="I17" s="1929">
        <v>0.01</v>
      </c>
    </row>
    <row r="18" spans="1:10" s="1856" customFormat="1">
      <c r="A18" s="1862" t="s">
        <v>2425</v>
      </c>
      <c r="B18" s="1863">
        <v>40700</v>
      </c>
      <c r="C18" s="1864"/>
      <c r="D18" s="1863">
        <v>40700</v>
      </c>
      <c r="E18" s="1865">
        <v>5.8200000000000002E-2</v>
      </c>
      <c r="F18" s="1864"/>
      <c r="G18" s="1863">
        <v>40700</v>
      </c>
      <c r="H18" s="1865">
        <v>5.6300000000000003E-2</v>
      </c>
      <c r="I18" s="1929"/>
    </row>
    <row r="19" spans="1:10" s="1856" customFormat="1">
      <c r="A19" s="1862" t="s">
        <v>2426</v>
      </c>
      <c r="B19" s="1863">
        <v>1250000</v>
      </c>
      <c r="C19" s="1864"/>
      <c r="D19" s="1863">
        <v>1250000</v>
      </c>
      <c r="E19" s="1865">
        <v>1.786</v>
      </c>
      <c r="F19" s="1864"/>
      <c r="G19" s="1863">
        <v>1250000</v>
      </c>
      <c r="H19" s="1865">
        <v>1.7282</v>
      </c>
      <c r="I19" s="1929"/>
    </row>
    <row r="20" spans="1:10" s="1856" customFormat="1">
      <c r="A20" s="1862" t="s">
        <v>2427</v>
      </c>
      <c r="B20" s="1863">
        <v>500000</v>
      </c>
      <c r="C20" s="1864"/>
      <c r="D20" s="1863">
        <v>500000</v>
      </c>
      <c r="E20" s="1865">
        <v>0.71440000000000003</v>
      </c>
      <c r="F20" s="1864"/>
      <c r="G20" s="1863">
        <v>500000</v>
      </c>
      <c r="H20" s="1865">
        <v>0.69130000000000003</v>
      </c>
      <c r="I20" s="1929"/>
    </row>
    <row r="21" spans="1:10" s="1856" customFormat="1">
      <c r="A21" s="1862" t="s">
        <v>2428</v>
      </c>
      <c r="B21" s="1864"/>
      <c r="C21" s="1864"/>
      <c r="D21" s="1864"/>
      <c r="E21" s="1865"/>
      <c r="F21" s="1863">
        <v>45000</v>
      </c>
      <c r="G21" s="1863">
        <v>45000</v>
      </c>
      <c r="H21" s="1865">
        <v>6.2199999999999998E-2</v>
      </c>
      <c r="I21" s="1929">
        <v>0.01</v>
      </c>
    </row>
    <row r="22" spans="1:10" s="1856" customFormat="1">
      <c r="A22" s="1862" t="s">
        <v>2429</v>
      </c>
      <c r="B22" s="1863">
        <v>25000</v>
      </c>
      <c r="C22" s="1864"/>
      <c r="D22" s="1863">
        <v>25000</v>
      </c>
      <c r="E22" s="1865">
        <v>3.5700000000000003E-2</v>
      </c>
      <c r="F22" s="1864"/>
      <c r="G22" s="1863">
        <v>25000</v>
      </c>
      <c r="H22" s="1865">
        <v>3.4599999999999999E-2</v>
      </c>
      <c r="I22" s="1929"/>
    </row>
    <row r="23" spans="1:10" s="1856" customFormat="1">
      <c r="A23" s="1862" t="s">
        <v>2430</v>
      </c>
      <c r="B23" s="1863">
        <v>18600</v>
      </c>
      <c r="C23" s="1864"/>
      <c r="D23" s="1863">
        <v>18600</v>
      </c>
      <c r="E23" s="1865">
        <v>2.6599999999999999E-2</v>
      </c>
      <c r="F23" s="1864"/>
      <c r="G23" s="1863">
        <v>18600</v>
      </c>
      <c r="H23" s="1865">
        <v>2.5700000000000001E-2</v>
      </c>
      <c r="I23" s="1929"/>
    </row>
    <row r="24" spans="1:10" s="1856" customFormat="1">
      <c r="A24" s="1862" t="s">
        <v>2431</v>
      </c>
      <c r="B24" s="1863">
        <v>5625</v>
      </c>
      <c r="C24" s="1864"/>
      <c r="D24" s="1863">
        <v>5625</v>
      </c>
      <c r="E24" s="1865">
        <v>8.0000000000000002E-3</v>
      </c>
      <c r="F24" s="1864"/>
      <c r="G24" s="1863">
        <v>5625</v>
      </c>
      <c r="H24" s="1865">
        <v>7.7999999999999996E-3</v>
      </c>
      <c r="I24" s="1929"/>
    </row>
    <row r="25" spans="1:10" s="1856" customFormat="1">
      <c r="A25" s="1862" t="s">
        <v>2432</v>
      </c>
      <c r="B25" s="1863">
        <v>90625</v>
      </c>
      <c r="C25" s="1864"/>
      <c r="D25" s="1863">
        <v>90625</v>
      </c>
      <c r="E25" s="1865">
        <v>0.1295</v>
      </c>
      <c r="F25" s="1864"/>
      <c r="G25" s="1863">
        <v>90625</v>
      </c>
      <c r="H25" s="1865">
        <v>0.12529999999999999</v>
      </c>
      <c r="I25" s="1929"/>
    </row>
    <row r="26" spans="1:10" s="1856" customFormat="1">
      <c r="A26" s="1862" t="s">
        <v>2433</v>
      </c>
      <c r="B26" s="1863">
        <v>9000</v>
      </c>
      <c r="C26" s="1864"/>
      <c r="D26" s="1863">
        <v>9000</v>
      </c>
      <c r="E26" s="1865">
        <v>1.29E-2</v>
      </c>
      <c r="F26" s="1863">
        <v>1500</v>
      </c>
      <c r="G26" s="1863">
        <v>10500</v>
      </c>
      <c r="H26" s="1865">
        <v>1.4500000000000001E-2</v>
      </c>
      <c r="I26" s="1929">
        <v>0.01</v>
      </c>
      <c r="J26" s="1931" t="s">
        <v>2526</v>
      </c>
    </row>
    <row r="27" spans="1:10" s="1856" customFormat="1">
      <c r="A27" s="1862" t="s">
        <v>2434</v>
      </c>
      <c r="B27" s="1863">
        <v>375000</v>
      </c>
      <c r="C27" s="1864"/>
      <c r="D27" s="1863">
        <v>375000</v>
      </c>
      <c r="E27" s="1865">
        <v>0.53580000000000005</v>
      </c>
      <c r="F27" s="1864"/>
      <c r="G27" s="1863">
        <v>375000</v>
      </c>
      <c r="H27" s="1865">
        <v>0.51849999999999996</v>
      </c>
      <c r="I27" s="1929"/>
    </row>
    <row r="28" spans="1:10" s="1856" customFormat="1">
      <c r="A28" s="1862" t="s">
        <v>2435</v>
      </c>
      <c r="B28" s="1863">
        <v>16900</v>
      </c>
      <c r="C28" s="1864"/>
      <c r="D28" s="1863">
        <v>16900</v>
      </c>
      <c r="E28" s="1865">
        <v>2.41E-2</v>
      </c>
      <c r="F28" s="1864"/>
      <c r="G28" s="1863">
        <v>16900</v>
      </c>
      <c r="H28" s="1865">
        <v>2.3400000000000001E-2</v>
      </c>
      <c r="I28" s="1929"/>
    </row>
    <row r="29" spans="1:10" s="1856" customFormat="1">
      <c r="A29" s="1862" t="s">
        <v>2436</v>
      </c>
      <c r="B29" s="1863">
        <v>17500</v>
      </c>
      <c r="C29" s="1864"/>
      <c r="D29" s="1863">
        <v>17500</v>
      </c>
      <c r="E29" s="1865">
        <v>2.5000000000000001E-2</v>
      </c>
      <c r="F29" s="1864"/>
      <c r="G29" s="1863">
        <v>17500</v>
      </c>
      <c r="H29" s="1865">
        <v>2.4199999999999999E-2</v>
      </c>
      <c r="I29" s="1929"/>
    </row>
    <row r="30" spans="1:10" s="1856" customFormat="1">
      <c r="A30" s="1862" t="s">
        <v>2437</v>
      </c>
      <c r="B30" s="1863">
        <v>713288</v>
      </c>
      <c r="C30" s="1864"/>
      <c r="D30" s="1863">
        <v>713288</v>
      </c>
      <c r="E30" s="1865">
        <v>1.0190999999999999</v>
      </c>
      <c r="F30" s="1864"/>
      <c r="G30" s="1863">
        <v>713288</v>
      </c>
      <c r="H30" s="1865">
        <v>0.98619999999999997</v>
      </c>
      <c r="I30" s="1929"/>
    </row>
    <row r="31" spans="1:10" s="1856" customFormat="1">
      <c r="A31" s="1862" t="s">
        <v>2438</v>
      </c>
      <c r="B31" s="1863">
        <v>1002000</v>
      </c>
      <c r="C31" s="1864"/>
      <c r="D31" s="1863">
        <v>1002000</v>
      </c>
      <c r="E31" s="1865">
        <v>1.4316</v>
      </c>
      <c r="F31" s="1864"/>
      <c r="G31" s="1863">
        <v>1002000</v>
      </c>
      <c r="H31" s="1865">
        <v>1.3853</v>
      </c>
      <c r="I31" s="1929"/>
    </row>
    <row r="32" spans="1:10" s="1856" customFormat="1">
      <c r="A32" s="1862" t="s">
        <v>2439</v>
      </c>
      <c r="B32" s="1863">
        <v>23300</v>
      </c>
      <c r="C32" s="1864"/>
      <c r="D32" s="1863">
        <v>23300</v>
      </c>
      <c r="E32" s="1865">
        <v>3.3300000000000003E-2</v>
      </c>
      <c r="F32" s="1864"/>
      <c r="G32" s="1863">
        <v>23300</v>
      </c>
      <c r="H32" s="1865">
        <v>3.2199999999999999E-2</v>
      </c>
      <c r="I32" s="1929"/>
    </row>
    <row r="33" spans="1:12" s="1856" customFormat="1">
      <c r="A33" s="1862" t="s">
        <v>2440</v>
      </c>
      <c r="B33" s="1863">
        <v>5666</v>
      </c>
      <c r="C33" s="1864"/>
      <c r="D33" s="1863">
        <v>5666</v>
      </c>
      <c r="E33" s="1865">
        <v>8.0999999999999996E-3</v>
      </c>
      <c r="F33" s="1864"/>
      <c r="G33" s="1863">
        <v>5666</v>
      </c>
      <c r="H33" s="1865">
        <v>7.7999999999999996E-3</v>
      </c>
      <c r="I33" s="1929"/>
    </row>
    <row r="34" spans="1:12" s="1856" customFormat="1">
      <c r="A34" s="1862" t="s">
        <v>2441</v>
      </c>
      <c r="B34" s="1863">
        <v>30000</v>
      </c>
      <c r="C34" s="1864"/>
      <c r="D34" s="1863">
        <v>30000</v>
      </c>
      <c r="E34" s="1865">
        <v>4.2900000000000001E-2</v>
      </c>
      <c r="F34" s="1864"/>
      <c r="G34" s="1863">
        <v>30000</v>
      </c>
      <c r="H34" s="1865">
        <v>4.1500000000000002E-2</v>
      </c>
      <c r="I34" s="1929"/>
      <c r="K34" s="1930">
        <v>1E-3</v>
      </c>
      <c r="L34" s="1856">
        <f>SUMIF($I$8:$I$61,K34,$F$8:$F$61)</f>
        <v>10000</v>
      </c>
    </row>
    <row r="35" spans="1:12" s="1856" customFormat="1">
      <c r="A35" s="1862" t="s">
        <v>2442</v>
      </c>
      <c r="B35" s="1863">
        <v>180000</v>
      </c>
      <c r="C35" s="1864"/>
      <c r="D35" s="1863">
        <v>180000</v>
      </c>
      <c r="E35" s="1865">
        <v>0.25719999999999998</v>
      </c>
      <c r="F35" s="1864"/>
      <c r="G35" s="1863">
        <v>180000</v>
      </c>
      <c r="H35" s="1865">
        <v>0.24890000000000001</v>
      </c>
      <c r="I35" s="1929"/>
      <c r="K35" s="1930">
        <v>0.01</v>
      </c>
      <c r="L35" s="1856">
        <f>SUMIF($I$8:$I$61,K35,$F$8:$F$61)</f>
        <v>265600</v>
      </c>
    </row>
    <row r="36" spans="1:12" s="1856" customFormat="1">
      <c r="A36" s="1862" t="s">
        <v>2443</v>
      </c>
      <c r="B36" s="1863">
        <v>11200</v>
      </c>
      <c r="C36" s="1864"/>
      <c r="D36" s="1863">
        <v>11200</v>
      </c>
      <c r="E36" s="1865">
        <v>1.6E-2</v>
      </c>
      <c r="F36" s="1864"/>
      <c r="G36" s="1863">
        <v>11200</v>
      </c>
      <c r="H36" s="1865">
        <v>1.55E-2</v>
      </c>
      <c r="I36" s="1929"/>
      <c r="K36" s="1930">
        <v>1.4E-2</v>
      </c>
      <c r="L36" s="1856">
        <f>SUMIF($I$8:$I$61,K36,$F$8:$F$61)</f>
        <v>0</v>
      </c>
    </row>
    <row r="37" spans="1:12" s="1856" customFormat="1">
      <c r="A37" s="1862" t="s">
        <v>2444</v>
      </c>
      <c r="B37" s="1863">
        <v>30000</v>
      </c>
      <c r="C37" s="1864"/>
      <c r="D37" s="1863">
        <v>30000</v>
      </c>
      <c r="E37" s="1865">
        <v>4.2900000000000001E-2</v>
      </c>
      <c r="F37" s="1864"/>
      <c r="G37" s="1863">
        <v>30000</v>
      </c>
      <c r="H37" s="1865">
        <v>4.1500000000000002E-2</v>
      </c>
      <c r="I37" s="1929"/>
      <c r="L37" s="1856">
        <f>SUM(L34:L36)</f>
        <v>275600</v>
      </c>
    </row>
    <row r="38" spans="1:12" s="1856" customFormat="1">
      <c r="A38" s="1862" t="s">
        <v>2445</v>
      </c>
      <c r="B38" s="1863">
        <v>16000</v>
      </c>
      <c r="C38" s="1864"/>
      <c r="D38" s="1863">
        <v>16000</v>
      </c>
      <c r="E38" s="1865">
        <v>2.29E-2</v>
      </c>
      <c r="F38" s="1863">
        <v>2600</v>
      </c>
      <c r="G38" s="1863">
        <v>18600</v>
      </c>
      <c r="H38" s="1865">
        <v>2.5700000000000001E-2</v>
      </c>
      <c r="I38" s="1929">
        <v>0.01</v>
      </c>
    </row>
    <row r="39" spans="1:12" s="1856" customFormat="1">
      <c r="A39" s="1862" t="s">
        <v>2446</v>
      </c>
      <c r="B39" s="1863">
        <v>400000</v>
      </c>
      <c r="C39" s="1864"/>
      <c r="D39" s="1863">
        <v>400000</v>
      </c>
      <c r="E39" s="1865">
        <v>0.57150000000000001</v>
      </c>
      <c r="F39" s="1864"/>
      <c r="G39" s="1863">
        <v>400000</v>
      </c>
      <c r="H39" s="1865">
        <v>0.55300000000000005</v>
      </c>
      <c r="I39" s="1929"/>
    </row>
    <row r="40" spans="1:12" s="1856" customFormat="1">
      <c r="A40" s="1862" t="s">
        <v>2447</v>
      </c>
      <c r="B40" s="1863">
        <v>145000</v>
      </c>
      <c r="C40" s="1864"/>
      <c r="D40" s="1863">
        <v>145000</v>
      </c>
      <c r="E40" s="1865">
        <v>0.2072</v>
      </c>
      <c r="F40" s="1864"/>
      <c r="G40" s="1863">
        <v>145000</v>
      </c>
      <c r="H40" s="1865">
        <v>0.20050000000000001</v>
      </c>
      <c r="I40" s="1929"/>
    </row>
    <row r="41" spans="1:12" s="1856" customFormat="1">
      <c r="A41" s="1862" t="s">
        <v>2448</v>
      </c>
      <c r="B41" s="1863">
        <v>26250</v>
      </c>
      <c r="C41" s="1864"/>
      <c r="D41" s="1863">
        <v>26250</v>
      </c>
      <c r="E41" s="1865">
        <v>3.7499999999999999E-2</v>
      </c>
      <c r="F41" s="1864"/>
      <c r="G41" s="1863">
        <v>26250</v>
      </c>
      <c r="H41" s="1865">
        <v>3.6299999999999999E-2</v>
      </c>
      <c r="I41" s="1929"/>
    </row>
    <row r="42" spans="1:12" s="1856" customFormat="1">
      <c r="A42" s="1862" t="s">
        <v>2449</v>
      </c>
      <c r="B42" s="1864"/>
      <c r="C42" s="1864"/>
      <c r="D42" s="1864"/>
      <c r="E42" s="1865"/>
      <c r="F42" s="1863">
        <v>35000</v>
      </c>
      <c r="G42" s="1863">
        <v>35000</v>
      </c>
      <c r="H42" s="1865">
        <v>4.8399999999999999E-2</v>
      </c>
      <c r="I42" s="1929">
        <v>0.01</v>
      </c>
    </row>
    <row r="43" spans="1:12" s="1856" customFormat="1">
      <c r="A43" s="1862" t="s">
        <v>2450</v>
      </c>
      <c r="B43" s="1863">
        <v>12700</v>
      </c>
      <c r="C43" s="1864"/>
      <c r="D43" s="1863">
        <v>12700</v>
      </c>
      <c r="E43" s="1865">
        <v>1.8100000000000002E-2</v>
      </c>
      <c r="F43" s="1864"/>
      <c r="G43" s="1863">
        <v>12700</v>
      </c>
      <c r="H43" s="1865">
        <v>1.7600000000000001E-2</v>
      </c>
      <c r="I43" s="1929"/>
    </row>
    <row r="44" spans="1:12" s="1856" customFormat="1">
      <c r="A44" s="1862" t="s">
        <v>2451</v>
      </c>
      <c r="B44" s="1863">
        <v>400000</v>
      </c>
      <c r="C44" s="1864"/>
      <c r="D44" s="1863">
        <v>400000</v>
      </c>
      <c r="E44" s="1865">
        <v>0.57150000000000001</v>
      </c>
      <c r="F44" s="1864"/>
      <c r="G44" s="1863">
        <v>400000</v>
      </c>
      <c r="H44" s="1865">
        <v>0.55300000000000005</v>
      </c>
      <c r="I44" s="1929"/>
    </row>
    <row r="45" spans="1:12" s="1856" customFormat="1">
      <c r="A45" s="1862" t="s">
        <v>2452</v>
      </c>
      <c r="B45" s="1863">
        <v>10000</v>
      </c>
      <c r="C45" s="1864"/>
      <c r="D45" s="1863">
        <v>10000</v>
      </c>
      <c r="E45" s="1865">
        <v>1.43E-2</v>
      </c>
      <c r="F45" s="1863">
        <v>1600</v>
      </c>
      <c r="G45" s="1863">
        <v>11600</v>
      </c>
      <c r="H45" s="1865">
        <v>1.6E-2</v>
      </c>
      <c r="I45" s="1929">
        <v>0.01</v>
      </c>
    </row>
    <row r="46" spans="1:12" s="1856" customFormat="1">
      <c r="A46" s="1862" t="s">
        <v>2453</v>
      </c>
      <c r="B46" s="1863">
        <v>30000</v>
      </c>
      <c r="C46" s="1864"/>
      <c r="D46" s="1863">
        <v>30000</v>
      </c>
      <c r="E46" s="1865">
        <v>4.2900000000000001E-2</v>
      </c>
      <c r="F46" s="1864"/>
      <c r="G46" s="1863">
        <v>30000</v>
      </c>
      <c r="H46" s="1865">
        <v>4.1500000000000002E-2</v>
      </c>
      <c r="I46" s="1929"/>
    </row>
    <row r="47" spans="1:12" s="1856" customFormat="1">
      <c r="A47" s="1862" t="s">
        <v>2454</v>
      </c>
      <c r="B47" s="1864"/>
      <c r="C47" s="1863">
        <v>1000000</v>
      </c>
      <c r="D47" s="1863">
        <v>1000000</v>
      </c>
      <c r="E47" s="1865">
        <v>1.4288000000000001</v>
      </c>
      <c r="F47" s="1864"/>
      <c r="G47" s="1863">
        <v>1000000</v>
      </c>
      <c r="H47" s="1865">
        <v>1.3826000000000001</v>
      </c>
      <c r="I47" s="1929"/>
    </row>
    <row r="48" spans="1:12" s="1856" customFormat="1">
      <c r="A48" s="1862" t="s">
        <v>2455</v>
      </c>
      <c r="B48" s="1863">
        <v>48000</v>
      </c>
      <c r="C48" s="1864"/>
      <c r="D48" s="1863">
        <v>48000</v>
      </c>
      <c r="E48" s="1865">
        <v>6.8599999999999994E-2</v>
      </c>
      <c r="F48" s="1864"/>
      <c r="G48" s="1863">
        <v>48000</v>
      </c>
      <c r="H48" s="1865">
        <v>6.6400000000000001E-2</v>
      </c>
      <c r="I48" s="1929"/>
    </row>
    <row r="49" spans="1:10" s="1856" customFormat="1">
      <c r="A49" s="1862" t="s">
        <v>2456</v>
      </c>
      <c r="B49" s="1863">
        <v>40000</v>
      </c>
      <c r="C49" s="1864"/>
      <c r="D49" s="1863">
        <v>40000</v>
      </c>
      <c r="E49" s="1865">
        <v>5.7200000000000001E-2</v>
      </c>
      <c r="F49" s="1864"/>
      <c r="G49" s="1863">
        <v>40000</v>
      </c>
      <c r="H49" s="1865">
        <v>5.5300000000000002E-2</v>
      </c>
      <c r="I49" s="1929"/>
    </row>
    <row r="50" spans="1:10" s="1856" customFormat="1">
      <c r="A50" s="1862" t="s">
        <v>2457</v>
      </c>
      <c r="B50" s="1864"/>
      <c r="C50" s="1864"/>
      <c r="D50" s="1864"/>
      <c r="E50" s="1865"/>
      <c r="F50" s="1863">
        <v>11200</v>
      </c>
      <c r="G50" s="1863">
        <v>11200</v>
      </c>
      <c r="H50" s="1865">
        <v>1.55E-2</v>
      </c>
      <c r="I50" s="1929">
        <v>0.01</v>
      </c>
    </row>
    <row r="51" spans="1:10" s="1856" customFormat="1">
      <c r="A51" s="1862" t="s">
        <v>2458</v>
      </c>
      <c r="B51" s="1863">
        <v>150000</v>
      </c>
      <c r="C51" s="1864"/>
      <c r="D51" s="1863">
        <v>150000</v>
      </c>
      <c r="E51" s="1865">
        <v>0.21429999999999999</v>
      </c>
      <c r="F51" s="1863">
        <v>20000</v>
      </c>
      <c r="G51" s="1863">
        <v>170000</v>
      </c>
      <c r="H51" s="1865">
        <v>0.23499999999999999</v>
      </c>
      <c r="I51" s="1929">
        <v>0.01</v>
      </c>
    </row>
    <row r="52" spans="1:10" s="1856" customFormat="1">
      <c r="A52" s="1862" t="s">
        <v>2459</v>
      </c>
      <c r="B52" s="1863">
        <v>29100</v>
      </c>
      <c r="C52" s="1864"/>
      <c r="D52" s="1863">
        <v>29100</v>
      </c>
      <c r="E52" s="1865">
        <v>4.1599999999999998E-2</v>
      </c>
      <c r="F52" s="1864"/>
      <c r="G52" s="1863">
        <v>29100</v>
      </c>
      <c r="H52" s="1865">
        <v>4.02E-2</v>
      </c>
      <c r="I52" s="1929"/>
    </row>
    <row r="53" spans="1:10" s="1856" customFormat="1">
      <c r="A53" s="1862" t="s">
        <v>2460</v>
      </c>
      <c r="B53" s="1863">
        <v>30000</v>
      </c>
      <c r="C53" s="1864"/>
      <c r="D53" s="1863">
        <v>30000</v>
      </c>
      <c r="E53" s="1865">
        <v>4.2900000000000001E-2</v>
      </c>
      <c r="F53" s="1864"/>
      <c r="G53" s="1863">
        <v>30000</v>
      </c>
      <c r="H53" s="1865">
        <v>4.1500000000000002E-2</v>
      </c>
      <c r="I53" s="1929"/>
    </row>
    <row r="54" spans="1:10" s="1856" customFormat="1">
      <c r="A54" s="1862" t="s">
        <v>2461</v>
      </c>
      <c r="B54" s="1863">
        <v>1250000</v>
      </c>
      <c r="C54" s="1864"/>
      <c r="D54" s="1863">
        <v>1250000</v>
      </c>
      <c r="E54" s="1865">
        <v>1.786</v>
      </c>
      <c r="F54" s="1864"/>
      <c r="G54" s="1863">
        <v>1250000</v>
      </c>
      <c r="H54" s="1865">
        <v>1.7282</v>
      </c>
      <c r="I54" s="1929"/>
    </row>
    <row r="55" spans="1:10" s="1856" customFormat="1">
      <c r="A55" s="1862" t="s">
        <v>2462</v>
      </c>
      <c r="B55" s="1863">
        <v>30000</v>
      </c>
      <c r="C55" s="1864"/>
      <c r="D55" s="1863">
        <v>30000</v>
      </c>
      <c r="E55" s="1865">
        <v>4.2900000000000001E-2</v>
      </c>
      <c r="F55" s="1864"/>
      <c r="G55" s="1863">
        <v>30000</v>
      </c>
      <c r="H55" s="1865">
        <v>4.1500000000000002E-2</v>
      </c>
      <c r="I55" s="1929"/>
    </row>
    <row r="56" spans="1:10" s="1856" customFormat="1">
      <c r="A56" s="1862" t="s">
        <v>2463</v>
      </c>
      <c r="B56" s="1863">
        <v>2000000</v>
      </c>
      <c r="C56" s="1863">
        <v>39750000</v>
      </c>
      <c r="D56" s="1863">
        <v>41750000</v>
      </c>
      <c r="E56" s="1865">
        <v>59.650799999999997</v>
      </c>
      <c r="F56" s="1864"/>
      <c r="G56" s="1863">
        <v>41750000</v>
      </c>
      <c r="H56" s="1865">
        <v>57.722799999999999</v>
      </c>
      <c r="I56" s="1929"/>
    </row>
    <row r="57" spans="1:10" s="1856" customFormat="1">
      <c r="A57" s="1862" t="s">
        <v>2464</v>
      </c>
      <c r="B57" s="1864"/>
      <c r="C57" s="1863">
        <v>15250000</v>
      </c>
      <c r="D57" s="1863">
        <v>15250000</v>
      </c>
      <c r="E57" s="1865">
        <v>21.788599999999999</v>
      </c>
      <c r="F57" s="1864"/>
      <c r="G57" s="1863">
        <v>15250000</v>
      </c>
      <c r="H57" s="1865">
        <v>21.084399999999999</v>
      </c>
      <c r="I57" s="1929"/>
    </row>
    <row r="58" spans="1:10" s="1856" customFormat="1">
      <c r="A58" s="1862" t="s">
        <v>2465</v>
      </c>
      <c r="B58" s="1863">
        <v>16000</v>
      </c>
      <c r="C58" s="1864"/>
      <c r="D58" s="1863">
        <v>16000</v>
      </c>
      <c r="E58" s="1865">
        <v>2.29E-2</v>
      </c>
      <c r="F58" s="1864"/>
      <c r="G58" s="1863">
        <v>16000</v>
      </c>
      <c r="H58" s="1865">
        <v>2.2100000000000002E-2</v>
      </c>
      <c r="I58" s="1929"/>
    </row>
    <row r="59" spans="1:10" s="1856" customFormat="1">
      <c r="A59" s="1862" t="s">
        <v>2466</v>
      </c>
      <c r="B59" s="1863">
        <v>350000</v>
      </c>
      <c r="C59" s="1864"/>
      <c r="D59" s="1863">
        <v>350000</v>
      </c>
      <c r="E59" s="1865">
        <v>0.50009999999999999</v>
      </c>
      <c r="F59" s="1864"/>
      <c r="G59" s="1863">
        <v>350000</v>
      </c>
      <c r="H59" s="1865">
        <v>0.4839</v>
      </c>
      <c r="I59" s="1929"/>
    </row>
    <row r="60" spans="1:10" s="1856" customFormat="1">
      <c r="A60" s="1862" t="s">
        <v>2467</v>
      </c>
      <c r="B60" s="1863">
        <v>90000</v>
      </c>
      <c r="C60" s="1864"/>
      <c r="D60" s="1863">
        <v>90000</v>
      </c>
      <c r="E60" s="1865">
        <v>0.12859999999999999</v>
      </c>
      <c r="F60" s="1863">
        <v>10000</v>
      </c>
      <c r="G60" s="1863">
        <v>100000</v>
      </c>
      <c r="H60" s="1865">
        <v>0.13830000000000001</v>
      </c>
      <c r="I60" s="1929">
        <v>1E-3</v>
      </c>
      <c r="J60" s="1931" t="s">
        <v>2526</v>
      </c>
    </row>
    <row r="61" spans="1:10" s="1856" customFormat="1">
      <c r="A61" s="1862" t="s">
        <v>2468</v>
      </c>
      <c r="B61" s="1863">
        <v>12200</v>
      </c>
      <c r="C61" s="1864"/>
      <c r="D61" s="1863">
        <v>12200</v>
      </c>
      <c r="E61" s="1865">
        <v>1.7399999999999999E-2</v>
      </c>
      <c r="F61" s="1864"/>
      <c r="G61" s="1863">
        <v>12200</v>
      </c>
      <c r="H61" s="1865">
        <v>1.6899999999999998E-2</v>
      </c>
      <c r="I61" s="1929"/>
    </row>
    <row r="62" spans="1:10" s="1856" customFormat="1" ht="20.100000000000001" customHeight="1">
      <c r="A62" s="1866" t="s">
        <v>2469</v>
      </c>
      <c r="B62" s="1866"/>
      <c r="C62" s="1866"/>
      <c r="D62" s="1866"/>
      <c r="E62" s="1866"/>
      <c r="F62" s="1866"/>
      <c r="G62" s="1866"/>
      <c r="H62" s="1866"/>
      <c r="I62" s="1929"/>
    </row>
    <row r="63" spans="1:10" s="1856" customFormat="1">
      <c r="A63" s="1862" t="s">
        <v>2470</v>
      </c>
      <c r="B63" s="1864"/>
      <c r="C63" s="1864"/>
      <c r="D63" s="1864"/>
      <c r="E63" s="1865"/>
      <c r="F63" s="1864"/>
      <c r="G63" s="1863">
        <v>2062166</v>
      </c>
      <c r="H63" s="1865">
        <v>2.8511000000000002</v>
      </c>
      <c r="I63" s="1929"/>
    </row>
    <row r="64" spans="1:10" s="1856" customFormat="1" ht="20.100000000000001" customHeight="1">
      <c r="A64" s="1867" t="s">
        <v>204</v>
      </c>
      <c r="B64" s="1868">
        <v>13990734</v>
      </c>
      <c r="C64" s="1868">
        <v>56000000</v>
      </c>
      <c r="D64" s="1868">
        <v>69990734</v>
      </c>
      <c r="E64" s="1869">
        <v>100</v>
      </c>
      <c r="F64" s="1868">
        <v>275600</v>
      </c>
      <c r="G64" s="1868">
        <v>72328500</v>
      </c>
      <c r="H64" s="1869">
        <v>100</v>
      </c>
      <c r="I64" s="1929"/>
    </row>
    <row r="65" spans="1:9" s="1856" customFormat="1">
      <c r="A65" s="1870"/>
      <c r="B65" s="1870"/>
      <c r="C65" s="1870"/>
      <c r="D65" s="1870"/>
      <c r="E65" s="1870"/>
      <c r="F65" s="1870"/>
      <c r="G65" s="1870"/>
      <c r="H65" s="1870"/>
      <c r="I65" s="1929"/>
    </row>
    <row r="66" spans="1:9" s="1856" customFormat="1" ht="15.75" thickBot="1">
      <c r="A66" s="1871" t="s">
        <v>21</v>
      </c>
      <c r="B66" s="1871"/>
      <c r="C66" s="1871"/>
      <c r="D66" s="1871"/>
      <c r="E66" s="1871"/>
      <c r="F66" s="1871"/>
      <c r="G66" s="1871"/>
      <c r="H66" s="1871"/>
      <c r="I66" s="1929"/>
    </row>
    <row r="67" spans="1:9" s="1856" customFormat="1" ht="34.5" thickBot="1">
      <c r="A67" s="1872" t="s">
        <v>2471</v>
      </c>
      <c r="B67" s="1872"/>
      <c r="C67" s="1872"/>
      <c r="D67" s="1872"/>
      <c r="E67" s="1872"/>
      <c r="F67" s="1872"/>
      <c r="G67" s="1872"/>
      <c r="H67" s="1872"/>
      <c r="I67" s="1929"/>
    </row>
    <row r="68" spans="1:9" s="1856" customFormat="1" ht="22.5" customHeight="1" thickBot="1">
      <c r="A68" s="1873" t="s">
        <v>2472</v>
      </c>
      <c r="B68" s="1873"/>
      <c r="C68" s="1873"/>
      <c r="D68" s="1873"/>
      <c r="E68" s="1873"/>
      <c r="F68" s="1873"/>
      <c r="G68" s="1873"/>
      <c r="H68" s="1873"/>
      <c r="I68" s="1929"/>
    </row>
    <row r="69" spans="1:9" s="1856" customFormat="1" ht="22.5" customHeight="1" thickBot="1">
      <c r="A69" s="1873" t="s">
        <v>2473</v>
      </c>
      <c r="B69" s="1873"/>
      <c r="C69" s="1873"/>
      <c r="D69" s="1873"/>
      <c r="E69" s="1873"/>
      <c r="F69" s="1873"/>
      <c r="G69" s="1873"/>
      <c r="H69" s="1873"/>
      <c r="I69" s="1929"/>
    </row>
    <row r="70" spans="1:9" s="1856" customFormat="1" ht="68.25" thickBot="1">
      <c r="A70" s="1873" t="s">
        <v>2474</v>
      </c>
      <c r="B70" s="1873"/>
      <c r="C70" s="1873"/>
      <c r="D70" s="1873"/>
      <c r="E70" s="1873"/>
      <c r="F70" s="1873"/>
      <c r="G70" s="1873"/>
      <c r="H70" s="1873"/>
      <c r="I70" s="1929"/>
    </row>
    <row r="71" spans="1:9" s="1856" customFormat="1" ht="45">
      <c r="A71" s="1874" t="s">
        <v>2475</v>
      </c>
      <c r="B71" s="1874"/>
      <c r="C71" s="1874"/>
      <c r="D71" s="1874"/>
      <c r="E71" s="1874"/>
      <c r="F71" s="1874"/>
      <c r="G71" s="1874"/>
      <c r="H71" s="1874"/>
      <c r="I71" s="1929"/>
    </row>
  </sheetData>
  <pageMargins left="0.75" right="0.75" top="1" bottom="1" header="0.5" footer="0.5"/>
  <pageSetup orientation="portrait" horizontalDpi="4294967293"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theme="1"/>
  </sheetPr>
  <dimension ref="A1"/>
  <sheetViews>
    <sheetView workbookViewId="0"/>
  </sheetViews>
  <sheetFormatPr defaultRowHeight="12.75"/>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0000"/>
  </sheetPr>
  <dimension ref="A1:CH74"/>
  <sheetViews>
    <sheetView showGridLines="0" view="pageBreakPreview" topLeftCell="BI1" zoomScaleNormal="100" zoomScaleSheetLayoutView="100" workbookViewId="0">
      <pane ySplit="10" topLeftCell="A11" activePane="bottomLeft" state="frozen"/>
      <selection activeCell="BU10" sqref="BU10"/>
      <selection pane="bottomLeft" activeCell="BX13" sqref="BX13"/>
    </sheetView>
  </sheetViews>
  <sheetFormatPr defaultRowHeight="11.25" outlineLevelCol="1"/>
  <cols>
    <col min="1" max="1" width="40.1640625" style="469" bestFit="1" customWidth="1"/>
    <col min="2" max="2" width="14.83203125" style="469" bestFit="1" customWidth="1"/>
    <col min="3" max="3" width="31.33203125" style="467" customWidth="1"/>
    <col min="4" max="4" width="19" style="467" bestFit="1" customWidth="1"/>
    <col min="5" max="9" width="17.83203125" style="467" customWidth="1"/>
    <col min="10" max="10" width="15.33203125" style="467" customWidth="1"/>
    <col min="11" max="11" width="14" style="467" customWidth="1"/>
    <col min="12" max="12" width="15.6640625" style="467" bestFit="1" customWidth="1"/>
    <col min="13" max="13" width="16.1640625" style="467" customWidth="1"/>
    <col min="14" max="16" width="14.83203125" style="467" bestFit="1" customWidth="1"/>
    <col min="17" max="18" width="14.83203125" style="467" customWidth="1"/>
    <col min="19" max="23" width="14.83203125" style="467" bestFit="1" customWidth="1"/>
    <col min="24" max="24" width="14.83203125" style="467" customWidth="1"/>
    <col min="25" max="29" width="14.83203125" style="467" bestFit="1" customWidth="1"/>
    <col min="30" max="30" width="17" style="467" bestFit="1" customWidth="1"/>
    <col min="31" max="31" width="14.83203125" style="467" bestFit="1" customWidth="1"/>
    <col min="32" max="32" width="19.1640625" style="467" customWidth="1"/>
    <col min="33" max="33" width="19.5" style="467" customWidth="1"/>
    <col min="34" max="34" width="21.1640625" style="467" customWidth="1"/>
    <col min="35" max="35" width="19" style="467" bestFit="1" customWidth="1"/>
    <col min="36" max="36" width="12.83203125" style="467" customWidth="1"/>
    <col min="37" max="37" width="15.33203125" style="467" customWidth="1"/>
    <col min="38" max="38" width="13.1640625" style="467" customWidth="1"/>
    <col min="39" max="39" width="18.5" style="467" bestFit="1" customWidth="1"/>
    <col min="40" max="40" width="14.83203125" style="467" bestFit="1" customWidth="1"/>
    <col min="41" max="42" width="14.83203125" style="467" customWidth="1"/>
    <col min="43" max="43" width="14.83203125" style="466" customWidth="1"/>
    <col min="44" max="44" width="14.83203125" style="467" customWidth="1"/>
    <col min="45" max="45" width="11.1640625" style="466" customWidth="1"/>
    <col min="46" max="46" width="14.83203125" style="467" bestFit="1" customWidth="1"/>
    <col min="47" max="50" width="14.83203125" style="466" customWidth="1"/>
    <col min="51" max="51" width="16" style="466" customWidth="1"/>
    <col min="52" max="54" width="14.83203125" style="466" customWidth="1"/>
    <col min="55" max="55" width="14.83203125" style="467" customWidth="1"/>
    <col min="56" max="69" width="14.83203125" style="466" customWidth="1"/>
    <col min="70" max="70" width="17" style="466" customWidth="1" outlineLevel="1"/>
    <col min="71" max="78" width="9.33203125" style="466"/>
    <col min="79" max="82" width="9.33203125" style="465"/>
    <col min="83" max="83" width="9.33203125" style="523"/>
    <col min="84" max="16384" width="9.33203125" style="465"/>
  </cols>
  <sheetData>
    <row r="1" spans="1:86" s="462" customFormat="1">
      <c r="A1" s="469" t="s">
        <v>531</v>
      </c>
      <c r="B1" s="505">
        <v>43312</v>
      </c>
      <c r="C1" s="467"/>
      <c r="D1" s="467"/>
      <c r="E1" s="467"/>
      <c r="F1" s="467"/>
      <c r="G1" s="467"/>
      <c r="H1" s="467"/>
      <c r="I1" s="467"/>
      <c r="J1" s="467"/>
      <c r="K1" s="467"/>
      <c r="L1" s="467"/>
      <c r="M1" s="467"/>
      <c r="N1" s="467"/>
      <c r="O1" s="467"/>
      <c r="P1" s="467"/>
      <c r="Q1" s="467"/>
      <c r="R1" s="467"/>
      <c r="S1" s="467"/>
      <c r="T1" s="467"/>
      <c r="U1" s="467"/>
      <c r="V1" s="467"/>
      <c r="W1" s="467"/>
      <c r="X1" s="467"/>
      <c r="Y1" s="467"/>
      <c r="Z1" s="467"/>
      <c r="AA1" s="467"/>
      <c r="AB1" s="467"/>
      <c r="AC1" s="467"/>
      <c r="AD1" s="467"/>
      <c r="AE1" s="467"/>
      <c r="AF1" s="467"/>
      <c r="AG1" s="467"/>
      <c r="AH1" s="467"/>
      <c r="AI1" s="467"/>
      <c r="AJ1" s="467"/>
      <c r="AK1" s="467"/>
      <c r="AL1" s="467"/>
      <c r="AM1" s="467"/>
      <c r="AN1" s="467"/>
      <c r="AO1" s="467"/>
      <c r="AP1" s="467"/>
      <c r="AQ1" s="463"/>
      <c r="AR1" s="467"/>
      <c r="AS1" s="464"/>
      <c r="AT1" s="467"/>
      <c r="AU1" s="463"/>
      <c r="AV1" s="463"/>
      <c r="AW1" s="463"/>
      <c r="AX1" s="463"/>
      <c r="AY1" s="463"/>
      <c r="AZ1" s="463"/>
      <c r="BA1" s="463"/>
      <c r="BB1" s="463"/>
      <c r="BC1" s="463"/>
      <c r="BD1" s="463"/>
      <c r="BE1" s="463"/>
      <c r="BF1" s="463"/>
      <c r="BG1" s="463"/>
      <c r="BH1" s="463"/>
      <c r="BI1" s="463"/>
      <c r="BJ1" s="463"/>
      <c r="BK1" s="463"/>
      <c r="BL1" s="463"/>
      <c r="BM1" s="463"/>
      <c r="BN1" s="463"/>
      <c r="BO1" s="463"/>
      <c r="BP1" s="463"/>
      <c r="BQ1" s="463"/>
      <c r="BR1" s="463"/>
      <c r="BS1" s="463"/>
      <c r="BT1" s="463"/>
      <c r="BU1" s="463"/>
      <c r="BV1" s="463"/>
      <c r="BW1" s="463"/>
      <c r="BX1" s="463"/>
      <c r="BY1" s="463"/>
      <c r="BZ1" s="463"/>
    </row>
    <row r="2" spans="1:86" s="462" customFormat="1">
      <c r="A2" s="469" t="s">
        <v>532</v>
      </c>
      <c r="B2" s="506" t="s">
        <v>561</v>
      </c>
      <c r="C2" s="467"/>
      <c r="D2" s="467"/>
      <c r="E2" s="467"/>
      <c r="F2" s="467"/>
      <c r="G2" s="467"/>
      <c r="H2" s="467"/>
      <c r="I2" s="467"/>
      <c r="J2" s="467"/>
      <c r="K2" s="507" t="s">
        <v>22</v>
      </c>
      <c r="L2" s="508">
        <v>43312</v>
      </c>
      <c r="M2" s="467"/>
      <c r="N2" s="467"/>
      <c r="O2" s="467"/>
      <c r="P2" s="467"/>
      <c r="Q2" s="467"/>
      <c r="R2" s="467"/>
      <c r="S2" s="467"/>
      <c r="T2" s="467"/>
      <c r="U2" s="467"/>
      <c r="V2" s="467"/>
      <c r="W2" s="467"/>
      <c r="X2" s="467"/>
      <c r="Y2" s="467"/>
      <c r="Z2" s="467"/>
      <c r="AA2" s="467"/>
      <c r="AB2" s="467"/>
      <c r="AC2" s="467"/>
      <c r="AD2" s="467"/>
      <c r="AE2" s="467"/>
      <c r="AF2" s="467"/>
      <c r="AG2" s="467"/>
      <c r="AH2" s="467"/>
      <c r="AI2" s="467"/>
      <c r="AJ2" s="467"/>
      <c r="AK2" s="467"/>
      <c r="AL2" s="467"/>
      <c r="AM2" s="467"/>
      <c r="AN2" s="467"/>
      <c r="AO2" s="467"/>
      <c r="AP2" s="467"/>
      <c r="AQ2" s="463"/>
      <c r="AR2" s="467"/>
      <c r="AS2" s="464"/>
      <c r="AT2" s="467"/>
      <c r="AU2" s="463"/>
      <c r="AV2" s="463"/>
      <c r="AW2" s="463"/>
      <c r="AX2" s="463"/>
      <c r="AY2" s="463"/>
      <c r="AZ2" s="463"/>
      <c r="BA2" s="463"/>
      <c r="BB2" s="463"/>
      <c r="BC2" s="463"/>
      <c r="BD2" s="463"/>
      <c r="BE2" s="463"/>
      <c r="BF2" s="463"/>
      <c r="BG2" s="463"/>
      <c r="BH2" s="463"/>
      <c r="BI2" s="463"/>
      <c r="BJ2" s="463"/>
      <c r="BK2" s="463"/>
      <c r="BL2" s="463"/>
      <c r="BM2" s="463"/>
      <c r="BN2" s="463"/>
      <c r="BO2" s="463"/>
      <c r="BP2" s="463"/>
      <c r="BQ2" s="463"/>
      <c r="BR2" s="463"/>
      <c r="BS2" s="463"/>
      <c r="BT2" s="463"/>
      <c r="BU2" s="463"/>
      <c r="BV2" s="463"/>
      <c r="BW2" s="463"/>
      <c r="BX2" s="463"/>
      <c r="BY2" s="463"/>
      <c r="BZ2" s="463"/>
    </row>
    <row r="3" spans="1:86" s="462" customFormat="1">
      <c r="A3" s="469" t="s">
        <v>533</v>
      </c>
      <c r="B3" s="506" t="s">
        <v>562</v>
      </c>
      <c r="C3" s="467"/>
      <c r="D3" s="467"/>
      <c r="E3" s="467"/>
      <c r="F3" s="467"/>
      <c r="G3" s="467"/>
      <c r="H3" s="467"/>
      <c r="I3" s="467"/>
      <c r="J3" s="467"/>
      <c r="K3" s="509" t="s">
        <v>299</v>
      </c>
      <c r="L3" s="510" t="s">
        <v>301</v>
      </c>
      <c r="M3" s="467"/>
      <c r="N3" s="467"/>
      <c r="O3" s="467"/>
      <c r="P3" s="467"/>
      <c r="Q3" s="467"/>
      <c r="R3" s="467"/>
      <c r="S3" s="467"/>
      <c r="T3" s="467"/>
      <c r="U3" s="467"/>
      <c r="V3" s="467"/>
      <c r="W3" s="467"/>
      <c r="X3" s="467"/>
      <c r="Y3" s="467"/>
      <c r="Z3" s="467"/>
      <c r="AA3" s="467"/>
      <c r="AB3" s="467"/>
      <c r="AC3" s="467"/>
      <c r="AD3" s="467"/>
      <c r="AE3" s="467"/>
      <c r="AF3" s="467"/>
      <c r="AG3" s="467"/>
      <c r="AH3" s="467"/>
      <c r="AI3" s="467"/>
      <c r="AJ3" s="467"/>
      <c r="AK3" s="467"/>
      <c r="AL3" s="467"/>
      <c r="AM3" s="467"/>
      <c r="AN3" s="467"/>
      <c r="AO3" s="467"/>
      <c r="AP3" s="467"/>
      <c r="AQ3" s="463"/>
      <c r="AR3" s="467"/>
      <c r="AS3" s="464"/>
      <c r="AT3" s="467"/>
      <c r="AU3" s="463"/>
      <c r="AV3" s="463"/>
      <c r="AW3" s="463"/>
      <c r="AX3" s="463"/>
      <c r="AY3" s="463"/>
      <c r="AZ3" s="463"/>
      <c r="BA3" s="463"/>
      <c r="BB3" s="463"/>
      <c r="BC3" s="463"/>
      <c r="BD3" s="463"/>
      <c r="BE3" s="463"/>
      <c r="BF3" s="463"/>
      <c r="BG3" s="463"/>
      <c r="BH3" s="463"/>
      <c r="BI3" s="463"/>
      <c r="BJ3" s="463"/>
      <c r="BK3" s="463"/>
      <c r="BL3" s="463"/>
      <c r="BM3" s="463"/>
      <c r="BN3" s="463"/>
      <c r="BO3" s="463"/>
      <c r="BP3" s="463"/>
      <c r="BQ3" s="463"/>
      <c r="BR3" s="463"/>
      <c r="BS3" s="463"/>
      <c r="BT3" s="463"/>
      <c r="BU3" s="463"/>
      <c r="BV3" s="463"/>
      <c r="BW3" s="463"/>
      <c r="BX3" s="463"/>
      <c r="BY3" s="463"/>
      <c r="BZ3" s="463"/>
    </row>
    <row r="4" spans="1:86" s="462" customFormat="1">
      <c r="A4" s="469" t="s">
        <v>534</v>
      </c>
      <c r="B4" s="506" t="s">
        <v>563</v>
      </c>
      <c r="C4" s="467"/>
      <c r="D4" s="467"/>
      <c r="E4" s="467"/>
      <c r="F4" s="467"/>
      <c r="G4" s="467"/>
      <c r="H4" s="467"/>
      <c r="I4" s="467"/>
      <c r="J4" s="467"/>
      <c r="K4" s="509" t="s">
        <v>610</v>
      </c>
      <c r="L4" s="510" t="s">
        <v>611</v>
      </c>
      <c r="M4" s="467"/>
      <c r="N4" s="467"/>
      <c r="O4" s="467"/>
      <c r="P4" s="467"/>
      <c r="Q4" s="467"/>
      <c r="R4" s="467"/>
      <c r="S4" s="467"/>
      <c r="T4" s="467"/>
      <c r="U4" s="467"/>
      <c r="V4" s="467"/>
      <c r="W4" s="467"/>
      <c r="X4" s="467"/>
      <c r="Y4" s="467"/>
      <c r="Z4" s="467"/>
      <c r="AA4" s="467"/>
      <c r="AB4" s="467"/>
      <c r="AC4" s="467"/>
      <c r="AD4" s="467"/>
      <c r="AE4" s="467"/>
      <c r="AF4" s="467"/>
      <c r="AG4" s="467"/>
      <c r="AH4" s="467"/>
      <c r="AI4" s="467"/>
      <c r="AJ4" s="467"/>
      <c r="AK4" s="467"/>
      <c r="AL4" s="467"/>
      <c r="AM4" s="467"/>
      <c r="AN4" s="467"/>
      <c r="AO4" s="467"/>
      <c r="AP4" s="467"/>
      <c r="AQ4" s="463"/>
      <c r="AR4" s="467"/>
      <c r="AS4" s="463"/>
      <c r="AT4" s="467"/>
      <c r="AU4" s="463"/>
      <c r="AV4" s="463"/>
      <c r="AW4" s="463"/>
      <c r="AX4" s="463"/>
      <c r="AY4" s="463"/>
      <c r="AZ4" s="463"/>
      <c r="BA4" s="463"/>
      <c r="BB4" s="463"/>
      <c r="BC4" s="463"/>
      <c r="BD4" s="463"/>
      <c r="BE4" s="463"/>
      <c r="BF4" s="463"/>
      <c r="BG4" s="463"/>
      <c r="BH4" s="463"/>
      <c r="BI4" s="463"/>
      <c r="BJ4" s="463"/>
      <c r="BK4" s="463"/>
      <c r="BL4" s="463"/>
      <c r="BM4" s="463"/>
      <c r="BN4" s="463"/>
      <c r="BO4" s="463"/>
      <c r="BP4" s="463"/>
      <c r="BQ4" s="463"/>
      <c r="BR4" s="463"/>
      <c r="BS4" s="463"/>
      <c r="BT4" s="463"/>
      <c r="BU4" s="463"/>
      <c r="BV4" s="463"/>
      <c r="BW4" s="463"/>
      <c r="BX4" s="463"/>
      <c r="BY4" s="463"/>
      <c r="BZ4" s="463"/>
    </row>
    <row r="5" spans="1:86" s="462" customFormat="1">
      <c r="A5" s="469" t="s">
        <v>535</v>
      </c>
      <c r="B5" s="506" t="s">
        <v>613</v>
      </c>
      <c r="C5" s="467"/>
      <c r="D5" s="467"/>
      <c r="E5" s="467"/>
      <c r="F5" s="467"/>
      <c r="G5" s="467"/>
      <c r="H5" s="467"/>
      <c r="I5" s="467"/>
      <c r="J5" s="467"/>
      <c r="K5" s="509" t="s">
        <v>300</v>
      </c>
      <c r="L5" s="510" t="s">
        <v>302</v>
      </c>
      <c r="M5" s="467"/>
      <c r="N5" s="467"/>
      <c r="O5" s="467"/>
      <c r="P5" s="467"/>
      <c r="Q5" s="467"/>
      <c r="R5" s="467"/>
      <c r="S5" s="467"/>
      <c r="T5" s="467"/>
      <c r="U5" s="467"/>
      <c r="V5" s="467"/>
      <c r="W5" s="467"/>
      <c r="X5" s="467"/>
      <c r="Y5" s="467"/>
      <c r="Z5" s="467"/>
      <c r="AA5" s="467"/>
      <c r="AB5" s="467"/>
      <c r="AC5" s="467"/>
      <c r="AD5" s="467"/>
      <c r="AE5" s="467"/>
      <c r="AF5" s="467"/>
      <c r="AG5" s="467"/>
      <c r="AH5" s="467"/>
      <c r="AI5" s="467"/>
      <c r="AJ5" s="467"/>
      <c r="AK5" s="467"/>
      <c r="AL5" s="467"/>
      <c r="AM5" s="467"/>
      <c r="AN5" s="467"/>
      <c r="AO5" s="467"/>
      <c r="AP5" s="467"/>
      <c r="AQ5" s="463"/>
      <c r="AR5" s="467"/>
      <c r="AS5" s="463"/>
      <c r="AT5" s="467"/>
      <c r="AU5" s="463"/>
      <c r="AV5" s="463"/>
      <c r="AW5" s="463"/>
      <c r="AX5" s="463"/>
      <c r="AY5" s="463"/>
      <c r="AZ5" s="463"/>
      <c r="BA5" s="463"/>
      <c r="BB5" s="463"/>
      <c r="BC5" s="463"/>
      <c r="BD5" s="463"/>
      <c r="BE5" s="463"/>
      <c r="BF5" s="463"/>
      <c r="BG5" s="463"/>
      <c r="BH5" s="463"/>
      <c r="BI5" s="463"/>
      <c r="BJ5" s="463"/>
      <c r="BK5" s="463"/>
      <c r="BL5" s="463"/>
      <c r="BM5" s="463"/>
      <c r="BN5" s="463"/>
      <c r="BO5" s="463"/>
      <c r="BP5" s="463"/>
      <c r="BQ5" s="463"/>
      <c r="BR5" s="463"/>
      <c r="BS5" s="463"/>
      <c r="BT5" s="463"/>
      <c r="BU5" s="463"/>
      <c r="BV5" s="463"/>
      <c r="BW5" s="463"/>
      <c r="BX5" s="463"/>
      <c r="BY5" s="463"/>
      <c r="BZ5" s="463"/>
    </row>
    <row r="6" spans="1:86" s="462" customFormat="1">
      <c r="A6" s="469" t="s">
        <v>536</v>
      </c>
      <c r="B6" s="506" t="s">
        <v>1911</v>
      </c>
      <c r="C6" s="467"/>
      <c r="D6" s="467"/>
      <c r="E6" s="467"/>
      <c r="F6" s="467"/>
      <c r="G6" s="467"/>
      <c r="H6" s="467"/>
      <c r="I6" s="467"/>
      <c r="J6" s="467"/>
      <c r="K6" s="511" t="s">
        <v>24</v>
      </c>
      <c r="L6" s="512" t="s">
        <v>25</v>
      </c>
      <c r="M6" s="467"/>
      <c r="N6" s="467"/>
      <c r="O6" s="467"/>
      <c r="P6" s="467"/>
      <c r="Q6" s="467"/>
      <c r="R6" s="467"/>
      <c r="S6" s="467"/>
      <c r="T6" s="467"/>
      <c r="U6" s="467"/>
      <c r="V6" s="467"/>
      <c r="W6" s="467"/>
      <c r="X6" s="467"/>
      <c r="Y6" s="467"/>
      <c r="Z6" s="467"/>
      <c r="AA6" s="467"/>
      <c r="AB6" s="467"/>
      <c r="AC6" s="467"/>
      <c r="AD6" s="467"/>
      <c r="AE6" s="513"/>
      <c r="AF6" s="467"/>
      <c r="AG6" s="467"/>
      <c r="AH6" s="467"/>
      <c r="AI6" s="467"/>
      <c r="AJ6" s="467"/>
      <c r="AK6" s="467"/>
      <c r="AL6" s="467"/>
      <c r="AM6" s="467"/>
      <c r="AN6" s="467"/>
      <c r="AO6" s="467"/>
      <c r="AP6" s="467"/>
      <c r="AQ6" s="463"/>
      <c r="AR6" s="467"/>
      <c r="AS6" s="463"/>
      <c r="AT6" s="467"/>
      <c r="AU6" s="463"/>
      <c r="AV6" s="463"/>
      <c r="AW6" s="463"/>
      <c r="AX6" s="463"/>
      <c r="AY6" s="463"/>
      <c r="AZ6" s="463"/>
      <c r="BA6" s="463"/>
      <c r="BB6" s="463"/>
      <c r="BC6" s="463"/>
      <c r="BD6" s="463"/>
      <c r="BE6" s="463"/>
      <c r="BF6" s="463"/>
      <c r="BG6" s="463"/>
      <c r="BH6" s="463"/>
      <c r="BI6" s="463"/>
      <c r="BJ6" s="463"/>
      <c r="BK6" s="463"/>
      <c r="BL6" s="463"/>
      <c r="BM6" s="463"/>
      <c r="BN6" s="463"/>
      <c r="BO6" s="463"/>
      <c r="BP6" s="463"/>
      <c r="BQ6" s="463"/>
      <c r="BR6" s="463"/>
      <c r="BS6" s="463"/>
      <c r="BT6" s="463"/>
      <c r="BU6" s="463"/>
      <c r="BV6" s="463"/>
      <c r="BW6" s="463"/>
      <c r="BX6" s="463"/>
      <c r="BY6" s="463"/>
      <c r="BZ6" s="463"/>
    </row>
    <row r="7" spans="1:86" s="462" customFormat="1">
      <c r="A7" s="469" t="s">
        <v>612</v>
      </c>
      <c r="B7" s="506" t="s">
        <v>1912</v>
      </c>
      <c r="C7" s="467"/>
      <c r="D7" s="467"/>
      <c r="E7" s="467"/>
      <c r="F7" s="467"/>
      <c r="G7" s="467"/>
      <c r="H7" s="467"/>
      <c r="I7" s="467"/>
      <c r="J7" s="467"/>
      <c r="K7" s="513"/>
      <c r="L7" s="513"/>
      <c r="M7" s="467"/>
      <c r="N7" s="467"/>
      <c r="O7" s="467"/>
      <c r="P7" s="467"/>
      <c r="Q7" s="467"/>
      <c r="R7" s="467"/>
      <c r="S7" s="467"/>
      <c r="T7" s="467"/>
      <c r="U7" s="467"/>
      <c r="V7" s="467"/>
      <c r="W7" s="467"/>
      <c r="X7" s="467"/>
      <c r="Y7" s="467"/>
      <c r="Z7" s="467"/>
      <c r="AA7" s="467"/>
      <c r="AB7" s="467"/>
      <c r="AC7" s="467"/>
      <c r="AD7" s="467"/>
      <c r="AE7" s="513"/>
      <c r="AF7" s="514"/>
      <c r="AG7" s="514"/>
      <c r="AH7" s="467"/>
      <c r="AI7" s="467"/>
      <c r="AJ7" s="467"/>
      <c r="AK7" s="467"/>
      <c r="AL7" s="467"/>
      <c r="AM7" s="467"/>
      <c r="AN7" s="467"/>
      <c r="AO7" s="467"/>
      <c r="AP7" s="467"/>
      <c r="AQ7" s="463"/>
      <c r="AR7" s="467"/>
      <c r="AS7" s="463"/>
      <c r="AT7" s="467"/>
      <c r="AU7" s="463"/>
      <c r="AV7" s="463"/>
      <c r="AW7" s="463"/>
      <c r="AX7" s="463"/>
      <c r="AY7" s="463"/>
      <c r="AZ7" s="463"/>
      <c r="BA7" s="463"/>
      <c r="BB7" s="463"/>
      <c r="BC7" s="463"/>
      <c r="BD7" s="463"/>
      <c r="BE7" s="463"/>
      <c r="BF7" s="463"/>
      <c r="BG7" s="463"/>
      <c r="BH7" s="463"/>
      <c r="BI7" s="463"/>
      <c r="BJ7" s="463"/>
      <c r="BK7" s="463"/>
      <c r="BL7" s="463"/>
      <c r="BM7" s="463"/>
      <c r="BN7" s="463"/>
      <c r="BO7" s="463"/>
      <c r="BP7" s="463"/>
      <c r="BQ7" s="463"/>
      <c r="BR7" s="463"/>
      <c r="BS7" s="463"/>
      <c r="BT7" s="463"/>
      <c r="BU7" s="463"/>
      <c r="BV7" s="463"/>
      <c r="BW7" s="463"/>
      <c r="BX7" s="463"/>
      <c r="BY7" s="463"/>
      <c r="BZ7" s="463"/>
    </row>
    <row r="8" spans="1:86" s="462" customFormat="1">
      <c r="A8" s="469" t="s">
        <v>537</v>
      </c>
      <c r="B8" s="505">
        <v>42643</v>
      </c>
      <c r="C8" s="467"/>
      <c r="D8" s="467"/>
      <c r="E8" s="467"/>
      <c r="F8" s="467"/>
      <c r="G8" s="467"/>
      <c r="H8" s="467"/>
      <c r="I8" s="467"/>
      <c r="J8" s="467"/>
      <c r="K8" s="467"/>
      <c r="L8" s="467"/>
      <c r="M8" s="467"/>
      <c r="N8" s="467"/>
      <c r="O8" s="467"/>
      <c r="P8" s="467"/>
      <c r="Q8" s="467"/>
      <c r="R8" s="467"/>
      <c r="S8" s="467"/>
      <c r="T8" s="467"/>
      <c r="U8" s="467"/>
      <c r="V8" s="467"/>
      <c r="W8" s="467"/>
      <c r="X8" s="467"/>
      <c r="Y8" s="467"/>
      <c r="Z8" s="467"/>
      <c r="AA8" s="467"/>
      <c r="AB8" s="467"/>
      <c r="AC8" s="467"/>
      <c r="AD8" s="467"/>
      <c r="AE8" s="467"/>
      <c r="AF8" s="467"/>
      <c r="AG8" s="467"/>
      <c r="AH8" s="467"/>
      <c r="AI8" s="467"/>
      <c r="AJ8" s="467"/>
      <c r="AK8" s="467"/>
      <c r="AL8" s="467"/>
      <c r="AM8" s="467"/>
      <c r="AN8" s="467"/>
      <c r="AO8" s="467"/>
      <c r="AP8" s="467"/>
      <c r="AQ8" s="463"/>
      <c r="AR8" s="467"/>
      <c r="AS8" s="463"/>
      <c r="AT8" s="467"/>
      <c r="AU8" s="463"/>
      <c r="AV8" s="463"/>
      <c r="AW8" s="463"/>
      <c r="AX8" s="463"/>
      <c r="AY8" s="463"/>
      <c r="AZ8" s="463"/>
      <c r="BA8" s="463"/>
      <c r="BB8" s="463"/>
      <c r="BC8" s="463"/>
      <c r="BD8" s="463"/>
      <c r="BE8" s="463"/>
      <c r="BF8" s="463"/>
      <c r="BG8" s="463"/>
      <c r="BH8" s="463"/>
      <c r="BI8" s="463"/>
      <c r="BJ8" s="463"/>
      <c r="BK8" s="463"/>
      <c r="BL8" s="463"/>
      <c r="BM8" s="463"/>
      <c r="BN8" s="463"/>
      <c r="BO8" s="463"/>
      <c r="BP8" s="463"/>
      <c r="BQ8" s="463"/>
      <c r="BR8" s="463"/>
      <c r="BS8" s="463"/>
      <c r="BT8" s="463"/>
      <c r="BU8" s="463"/>
      <c r="BV8" s="463"/>
      <c r="BW8" s="463"/>
      <c r="BX8" s="463"/>
      <c r="BY8" s="463"/>
      <c r="BZ8" s="463"/>
    </row>
    <row r="9" spans="1:86" s="473" customFormat="1" ht="12.75">
      <c r="A9" s="20"/>
      <c r="B9" s="20"/>
      <c r="C9" s="165"/>
      <c r="D9" s="165"/>
      <c r="E9" s="165"/>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474"/>
      <c r="AR9" s="165"/>
      <c r="AS9" s="474"/>
      <c r="AT9" s="165"/>
      <c r="AU9" s="474"/>
      <c r="AV9" s="474"/>
      <c r="AW9" s="474"/>
      <c r="AX9" s="474"/>
      <c r="AY9" s="474"/>
      <c r="AZ9" s="474"/>
      <c r="BA9" s="474"/>
      <c r="BB9" s="474"/>
      <c r="BC9" s="165"/>
      <c r="BD9" s="474"/>
      <c r="BE9" s="474"/>
      <c r="BF9" s="474"/>
      <c r="BG9" s="474"/>
      <c r="BH9" s="474"/>
      <c r="BI9" s="474"/>
      <c r="BJ9" s="474"/>
      <c r="BK9" s="474"/>
      <c r="BL9" s="474"/>
      <c r="BM9" s="474"/>
      <c r="BN9" s="474"/>
      <c r="BO9" s="474"/>
      <c r="BP9" s="474"/>
      <c r="BQ9" s="474"/>
      <c r="BR9" s="474"/>
      <c r="BS9" s="474"/>
      <c r="BT9" s="474"/>
      <c r="BU9" s="474"/>
      <c r="BV9" s="474"/>
      <c r="BW9" s="474"/>
      <c r="BX9" s="474"/>
      <c r="BY9" s="474"/>
      <c r="BZ9" s="474"/>
    </row>
    <row r="10" spans="1:86">
      <c r="A10" s="515" t="s">
        <v>564</v>
      </c>
      <c r="W10" s="516"/>
      <c r="AF10" s="467" t="s">
        <v>175</v>
      </c>
      <c r="AJ10" s="467" t="s">
        <v>188</v>
      </c>
      <c r="AK10" s="467" t="s">
        <v>174</v>
      </c>
      <c r="AL10" s="467" t="s">
        <v>175</v>
      </c>
      <c r="AM10" s="467" t="s">
        <v>188</v>
      </c>
      <c r="AN10" s="467" t="s">
        <v>174</v>
      </c>
      <c r="AO10" s="467" t="s">
        <v>175</v>
      </c>
      <c r="AQ10" s="463">
        <v>1</v>
      </c>
      <c r="AR10" s="467">
        <v>2</v>
      </c>
      <c r="AS10" s="463">
        <v>5</v>
      </c>
      <c r="AU10" s="467" t="s">
        <v>188</v>
      </c>
      <c r="AV10" s="467" t="s">
        <v>174</v>
      </c>
      <c r="AW10" s="467" t="s">
        <v>175</v>
      </c>
      <c r="AX10" s="516" t="s">
        <v>561</v>
      </c>
      <c r="AY10" s="516" t="s">
        <v>562</v>
      </c>
      <c r="AZ10" s="467" t="s">
        <v>188</v>
      </c>
      <c r="BA10" s="467" t="s">
        <v>174</v>
      </c>
      <c r="BB10" s="467" t="s">
        <v>175</v>
      </c>
      <c r="BC10" s="467" t="s">
        <v>561</v>
      </c>
      <c r="BD10" s="467" t="s">
        <v>562</v>
      </c>
      <c r="BE10" s="467"/>
      <c r="BF10" s="467"/>
      <c r="BG10" s="467"/>
      <c r="BH10" s="463"/>
      <c r="BI10" s="463"/>
      <c r="BJ10" s="463"/>
      <c r="BK10" s="463"/>
      <c r="BL10" s="463"/>
      <c r="BM10" s="463"/>
      <c r="BN10" s="463"/>
      <c r="BO10" s="463"/>
      <c r="BP10" s="463"/>
      <c r="BQ10" s="463"/>
      <c r="BR10" s="463"/>
      <c r="BS10" s="463" t="s">
        <v>52</v>
      </c>
      <c r="BT10" s="463"/>
      <c r="BU10" s="463"/>
      <c r="BV10" s="463"/>
      <c r="BW10" s="463"/>
      <c r="BX10" s="463"/>
      <c r="BY10" s="463"/>
      <c r="BZ10" s="463"/>
      <c r="CA10" s="462"/>
      <c r="CB10" s="462"/>
      <c r="CC10" s="462"/>
      <c r="CD10" s="462"/>
      <c r="CE10" s="462"/>
      <c r="CF10" s="462"/>
      <c r="CG10" s="462"/>
      <c r="CH10" s="462"/>
    </row>
    <row r="11" spans="1:86" ht="12.75">
      <c r="A11" s="469" t="s">
        <v>43</v>
      </c>
      <c r="B11" s="469" t="s">
        <v>538</v>
      </c>
      <c r="C11" s="467" t="s">
        <v>539</v>
      </c>
      <c r="D11" s="467" t="s">
        <v>540</v>
      </c>
      <c r="E11" s="467" t="s">
        <v>541</v>
      </c>
      <c r="F11" s="467" t="s">
        <v>614</v>
      </c>
      <c r="G11" s="466" t="s">
        <v>542</v>
      </c>
      <c r="H11" s="466" t="s">
        <v>75</v>
      </c>
      <c r="I11" s="466" t="s">
        <v>508</v>
      </c>
      <c r="J11" s="467" t="s">
        <v>29</v>
      </c>
      <c r="K11" s="467" t="s">
        <v>30</v>
      </c>
      <c r="L11" s="467" t="s">
        <v>31</v>
      </c>
      <c r="M11" s="467" t="s">
        <v>32</v>
      </c>
      <c r="N11" s="467" t="s">
        <v>35</v>
      </c>
      <c r="O11" s="165" t="s">
        <v>585</v>
      </c>
      <c r="P11" s="467" t="s">
        <v>586</v>
      </c>
      <c r="Q11" s="467" t="s">
        <v>587</v>
      </c>
      <c r="R11" s="467" t="s">
        <v>615</v>
      </c>
      <c r="S11" s="467" t="s">
        <v>616</v>
      </c>
      <c r="T11" s="467" t="s">
        <v>617</v>
      </c>
      <c r="U11" s="467" t="s">
        <v>618</v>
      </c>
      <c r="V11" s="467" t="s">
        <v>1913</v>
      </c>
      <c r="W11" s="467" t="s">
        <v>1914</v>
      </c>
      <c r="X11" s="165" t="s">
        <v>588</v>
      </c>
      <c r="Y11" s="467" t="s">
        <v>589</v>
      </c>
      <c r="Z11" s="467" t="s">
        <v>543</v>
      </c>
      <c r="AA11" s="467" t="s">
        <v>592</v>
      </c>
      <c r="AB11" s="467" t="s">
        <v>593</v>
      </c>
      <c r="AC11" s="467" t="s">
        <v>594</v>
      </c>
      <c r="AD11" s="467" t="s">
        <v>1915</v>
      </c>
      <c r="AE11" s="467" t="s">
        <v>1916</v>
      </c>
      <c r="AF11" s="467" t="s">
        <v>597</v>
      </c>
      <c r="AG11" s="467" t="s">
        <v>629</v>
      </c>
      <c r="AH11" s="467" t="s">
        <v>630</v>
      </c>
      <c r="AI11" s="467" t="s">
        <v>631</v>
      </c>
      <c r="AJ11" s="467" t="s">
        <v>598</v>
      </c>
      <c r="AK11" s="467" t="s">
        <v>598</v>
      </c>
      <c r="AL11" s="467" t="s">
        <v>598</v>
      </c>
      <c r="AM11" s="467" t="s">
        <v>505</v>
      </c>
      <c r="AN11" s="467" t="s">
        <v>505</v>
      </c>
      <c r="AO11" s="467" t="s">
        <v>505</v>
      </c>
      <c r="AP11" s="467" t="s">
        <v>632</v>
      </c>
      <c r="AQ11" s="467" t="s">
        <v>546</v>
      </c>
      <c r="AR11" s="467" t="s">
        <v>545</v>
      </c>
      <c r="AS11" s="467" t="s">
        <v>544</v>
      </c>
      <c r="AT11" s="467" t="s">
        <v>8</v>
      </c>
      <c r="AU11" s="466" t="s">
        <v>430</v>
      </c>
      <c r="AV11" s="466" t="s">
        <v>430</v>
      </c>
      <c r="AW11" s="466" t="s">
        <v>430</v>
      </c>
      <c r="AX11" s="466" t="s">
        <v>430</v>
      </c>
      <c r="AY11" s="467" t="s">
        <v>430</v>
      </c>
      <c r="AZ11" s="466" t="s">
        <v>431</v>
      </c>
      <c r="BA11" s="466" t="s">
        <v>431</v>
      </c>
      <c r="BB11" s="466" t="s">
        <v>431</v>
      </c>
      <c r="BC11" s="467" t="s">
        <v>431</v>
      </c>
      <c r="BD11" s="466" t="s">
        <v>431</v>
      </c>
      <c r="BE11" s="466" t="s">
        <v>620</v>
      </c>
      <c r="BF11" s="466" t="s">
        <v>621</v>
      </c>
      <c r="BG11" s="466" t="s">
        <v>622</v>
      </c>
      <c r="BH11" s="466" t="s">
        <v>623</v>
      </c>
      <c r="BI11" s="466" t="s">
        <v>624</v>
      </c>
      <c r="BJ11" s="466" t="s">
        <v>625</v>
      </c>
      <c r="BK11" s="466" t="s">
        <v>547</v>
      </c>
      <c r="BL11" s="466" t="s">
        <v>548</v>
      </c>
      <c r="BM11" s="466" t="s">
        <v>549</v>
      </c>
      <c r="BN11" s="466" t="s">
        <v>550</v>
      </c>
      <c r="BO11" s="466" t="s">
        <v>551</v>
      </c>
      <c r="BP11" s="466" t="s">
        <v>552</v>
      </c>
      <c r="BQ11" s="466" t="s">
        <v>553</v>
      </c>
      <c r="BR11" s="466" t="s">
        <v>554</v>
      </c>
      <c r="BS11" s="468" t="s">
        <v>565</v>
      </c>
      <c r="BT11" s="468" t="s">
        <v>566</v>
      </c>
      <c r="BU11" s="468" t="s">
        <v>567</v>
      </c>
      <c r="BV11" s="468" t="s">
        <v>568</v>
      </c>
      <c r="BW11" s="468" t="s">
        <v>569</v>
      </c>
      <c r="BX11" s="468" t="s">
        <v>1151</v>
      </c>
      <c r="BY11" s="468" t="s">
        <v>1152</v>
      </c>
      <c r="BZ11" s="468" t="s">
        <v>1153</v>
      </c>
      <c r="CB11" s="465" t="s">
        <v>633</v>
      </c>
      <c r="CC11" s="465" t="s">
        <v>151</v>
      </c>
      <c r="CD11" s="465" t="s">
        <v>152</v>
      </c>
      <c r="CE11" s="466" t="s">
        <v>602</v>
      </c>
    </row>
    <row r="12" spans="1:86">
      <c r="CE12" s="465"/>
    </row>
    <row r="13" spans="1:86" s="466" customFormat="1" ht="12.75">
      <c r="A13" s="467" t="s">
        <v>2242</v>
      </c>
      <c r="B13" s="517" t="s">
        <v>2243</v>
      </c>
      <c r="C13" s="467" t="s">
        <v>2244</v>
      </c>
      <c r="D13" s="467" t="s">
        <v>572</v>
      </c>
      <c r="E13" s="516">
        <v>43100</v>
      </c>
      <c r="F13" s="516">
        <v>43281</v>
      </c>
      <c r="G13" s="516">
        <v>33443</v>
      </c>
      <c r="H13" s="518">
        <v>42428.4</v>
      </c>
      <c r="I13" s="518">
        <v>174.4</v>
      </c>
      <c r="J13" s="518">
        <v>44574.8</v>
      </c>
      <c r="K13" s="518">
        <v>592.70000000000005</v>
      </c>
      <c r="L13" s="518" t="s">
        <v>2796</v>
      </c>
      <c r="M13" s="518">
        <v>28.7</v>
      </c>
      <c r="N13" s="518">
        <v>2767.8</v>
      </c>
      <c r="O13" s="518">
        <v>1557.4</v>
      </c>
      <c r="P13" s="518">
        <v>2131.3000000000002</v>
      </c>
      <c r="Q13" s="518">
        <v>2622.8</v>
      </c>
      <c r="R13" s="518">
        <v>1702.2</v>
      </c>
      <c r="S13" s="518">
        <v>2488.6999999999998</v>
      </c>
      <c r="T13" s="518">
        <v>2997.6</v>
      </c>
      <c r="U13" s="518">
        <v>3569.8</v>
      </c>
      <c r="V13" s="518">
        <v>4332.2</v>
      </c>
      <c r="W13" s="518">
        <v>5217.1000000000004</v>
      </c>
      <c r="X13" s="518">
        <v>-67</v>
      </c>
      <c r="Y13" s="518">
        <v>418</v>
      </c>
      <c r="Z13" s="518">
        <v>583.6</v>
      </c>
      <c r="AA13" s="518">
        <v>72.599999999999994</v>
      </c>
      <c r="AB13" s="518">
        <v>614.20000000000005</v>
      </c>
      <c r="AC13" s="518">
        <v>1125.4000000000001</v>
      </c>
      <c r="AD13" s="518">
        <v>1320.7</v>
      </c>
      <c r="AE13" s="518">
        <v>2020.8</v>
      </c>
      <c r="AF13" s="519">
        <v>0.39700000000000002</v>
      </c>
      <c r="AG13" s="519">
        <v>0.223</v>
      </c>
      <c r="AH13" s="519">
        <v>0.19700000000000001</v>
      </c>
      <c r="AI13" s="519">
        <v>0.158</v>
      </c>
      <c r="AJ13" s="518">
        <v>-1.1000000000000001</v>
      </c>
      <c r="AK13" s="518">
        <v>-95.3</v>
      </c>
      <c r="AL13" s="518">
        <v>-272.60000000000002</v>
      </c>
      <c r="AM13" s="518">
        <v>-49.2</v>
      </c>
      <c r="AN13" s="518">
        <v>-57.1</v>
      </c>
      <c r="AO13" s="518">
        <v>-129.80000000000001</v>
      </c>
      <c r="AP13" s="520" t="s">
        <v>2245</v>
      </c>
      <c r="AQ13" s="521">
        <v>1.1100000000000001</v>
      </c>
      <c r="AR13" s="521">
        <v>1.45</v>
      </c>
      <c r="AS13" s="521">
        <v>1.49</v>
      </c>
      <c r="AT13" s="519">
        <v>0</v>
      </c>
      <c r="AU13" s="518">
        <v>-240.7</v>
      </c>
      <c r="AV13" s="518">
        <v>268.89999999999998</v>
      </c>
      <c r="AW13" s="518">
        <v>244.5</v>
      </c>
      <c r="AX13" s="518">
        <v>-84</v>
      </c>
      <c r="AY13" s="518">
        <v>91.6</v>
      </c>
      <c r="AZ13" s="518">
        <v>1168.8</v>
      </c>
      <c r="BA13" s="518">
        <v>1867.2</v>
      </c>
      <c r="BB13" s="518">
        <v>2714.9</v>
      </c>
      <c r="BC13" s="518">
        <v>1338.2</v>
      </c>
      <c r="BD13" s="518">
        <v>2042.3</v>
      </c>
      <c r="BE13" s="518">
        <v>87.2</v>
      </c>
      <c r="BF13" s="518">
        <v>21608.799999999999</v>
      </c>
      <c r="BG13" s="518">
        <v>820.6</v>
      </c>
      <c r="BH13" s="466" t="s">
        <v>1</v>
      </c>
      <c r="BI13" s="466">
        <v>187.49100000000001</v>
      </c>
      <c r="BJ13" s="518">
        <v>1071.4000000000001</v>
      </c>
      <c r="BK13" s="466" t="s">
        <v>571</v>
      </c>
      <c r="BL13" s="466">
        <v>0.29769699999999999</v>
      </c>
      <c r="BM13" s="466">
        <v>0.61028700000000002</v>
      </c>
      <c r="BN13" s="466">
        <v>0.149094</v>
      </c>
      <c r="BO13" s="466" t="s">
        <v>1</v>
      </c>
      <c r="BP13" s="466" t="s">
        <v>1</v>
      </c>
      <c r="BQ13" s="466" t="s">
        <v>1</v>
      </c>
      <c r="BR13" s="470">
        <v>2.5000000000000001E-2</v>
      </c>
      <c r="BS13" s="522">
        <v>0.30399999999999999</v>
      </c>
      <c r="BT13" s="522">
        <v>0.36599999999999999</v>
      </c>
      <c r="BU13" s="522">
        <v>0.40100000000000002</v>
      </c>
      <c r="BV13" s="522">
        <v>0.38900000000000001</v>
      </c>
      <c r="BW13" s="522">
        <v>0.41299999999999998</v>
      </c>
      <c r="BX13" s="522">
        <v>0.44900000000000001</v>
      </c>
      <c r="BY13" s="522">
        <v>0.49099999999999999</v>
      </c>
      <c r="BZ13" s="522">
        <v>0.47799999999999998</v>
      </c>
      <c r="CB13" s="466">
        <v>2</v>
      </c>
      <c r="CC13" s="53" t="s">
        <v>155</v>
      </c>
      <c r="CD13" s="53" t="s">
        <v>154</v>
      </c>
      <c r="CE13" s="468">
        <v>42582</v>
      </c>
    </row>
    <row r="14" spans="1:86" s="466" customFormat="1" ht="12.75">
      <c r="A14" s="467" t="s">
        <v>1917</v>
      </c>
      <c r="B14" s="517" t="s">
        <v>1918</v>
      </c>
      <c r="C14" s="467" t="s">
        <v>1919</v>
      </c>
      <c r="D14" s="467" t="s">
        <v>572</v>
      </c>
      <c r="E14" s="516">
        <v>43100</v>
      </c>
      <c r="F14" s="516">
        <v>43190</v>
      </c>
      <c r="G14" s="516">
        <v>41957</v>
      </c>
      <c r="H14" s="518">
        <v>4584.3</v>
      </c>
      <c r="I14" s="518">
        <v>61.7</v>
      </c>
      <c r="J14" s="518">
        <v>5153.3</v>
      </c>
      <c r="K14" s="518">
        <v>115.4</v>
      </c>
      <c r="L14" s="518" t="s">
        <v>2796</v>
      </c>
      <c r="M14" s="518">
        <v>19.3</v>
      </c>
      <c r="N14" s="518">
        <v>703.8</v>
      </c>
      <c r="O14" s="518">
        <v>192.8</v>
      </c>
      <c r="P14" s="518">
        <v>180.7</v>
      </c>
      <c r="Q14" s="518">
        <v>128.19999999999999</v>
      </c>
      <c r="R14" s="518">
        <v>179.6</v>
      </c>
      <c r="S14" s="518">
        <v>125.7</v>
      </c>
      <c r="T14" s="518">
        <v>181.6</v>
      </c>
      <c r="U14" s="518">
        <v>334.2</v>
      </c>
      <c r="V14" s="518">
        <v>360.7</v>
      </c>
      <c r="W14" s="518">
        <v>542.20000000000005</v>
      </c>
      <c r="X14" s="518">
        <v>-53.9</v>
      </c>
      <c r="Y14" s="518">
        <v>-49.6</v>
      </c>
      <c r="Z14" s="518">
        <v>-128.30000000000001</v>
      </c>
      <c r="AA14" s="518">
        <v>-47.6</v>
      </c>
      <c r="AB14" s="518">
        <v>-116.5</v>
      </c>
      <c r="AC14" s="518">
        <v>-80.599999999999994</v>
      </c>
      <c r="AD14" s="518">
        <v>-58.7</v>
      </c>
      <c r="AE14" s="518">
        <v>156.4</v>
      </c>
      <c r="AF14" s="519">
        <v>-0.61299999999999999</v>
      </c>
      <c r="AG14" s="519">
        <v>-1.0009999999999999</v>
      </c>
      <c r="AH14" s="519">
        <v>-1.0489999999999999</v>
      </c>
      <c r="AI14" s="519">
        <v>-1.069</v>
      </c>
      <c r="AJ14" s="518">
        <v>-47.7</v>
      </c>
      <c r="AK14" s="518">
        <v>-47</v>
      </c>
      <c r="AL14" s="518">
        <v>-69.900000000000006</v>
      </c>
      <c r="AM14" s="518">
        <v>-2.4</v>
      </c>
      <c r="AN14" s="518">
        <v>-1</v>
      </c>
      <c r="AO14" s="518">
        <v>-9.6999999999999993</v>
      </c>
      <c r="AP14" s="520" t="s">
        <v>1920</v>
      </c>
      <c r="AQ14" s="521">
        <v>1.47</v>
      </c>
      <c r="AR14" s="521">
        <v>2.13</v>
      </c>
      <c r="AS14" s="521">
        <v>1.87</v>
      </c>
      <c r="AT14" s="519">
        <v>0</v>
      </c>
      <c r="AU14" s="518">
        <v>-67.3</v>
      </c>
      <c r="AV14" s="518">
        <v>-64.400000000000006</v>
      </c>
      <c r="AW14" s="518">
        <v>-137</v>
      </c>
      <c r="AX14" s="518">
        <v>-61.7</v>
      </c>
      <c r="AY14" s="518">
        <v>-126.2</v>
      </c>
      <c r="AZ14" s="518">
        <v>176.2</v>
      </c>
      <c r="BA14" s="518">
        <v>151</v>
      </c>
      <c r="BB14" s="518">
        <v>518.79999999999995</v>
      </c>
      <c r="BC14" s="518">
        <v>175.1</v>
      </c>
      <c r="BD14" s="518">
        <v>582.5</v>
      </c>
      <c r="BE14" s="518">
        <v>20.7</v>
      </c>
      <c r="BF14" s="518">
        <v>1299.7</v>
      </c>
      <c r="BG14" s="518">
        <v>112.9</v>
      </c>
      <c r="BH14" s="466" t="s">
        <v>1</v>
      </c>
      <c r="BI14" s="466">
        <v>19.271000000000001</v>
      </c>
      <c r="BJ14" s="518">
        <v>230.5</v>
      </c>
      <c r="BK14" s="466" t="s">
        <v>571</v>
      </c>
      <c r="BL14" s="466">
        <v>-0.18474399999999999</v>
      </c>
      <c r="BM14" s="466">
        <v>-1.9675999999999999E-2</v>
      </c>
      <c r="BN14" s="466">
        <v>0</v>
      </c>
      <c r="BO14" s="466" t="s">
        <v>1</v>
      </c>
      <c r="BP14" s="466" t="s">
        <v>1</v>
      </c>
      <c r="BQ14" s="466">
        <v>0</v>
      </c>
      <c r="BR14" s="470">
        <v>4.8000000000000001E-2</v>
      </c>
      <c r="BS14" s="522">
        <v>0.60599999999999998</v>
      </c>
      <c r="BT14" s="522">
        <v>0.57199999999999995</v>
      </c>
      <c r="BU14" s="522">
        <v>0.60099999999999998</v>
      </c>
      <c r="BV14" s="522">
        <v>0.59599999999999997</v>
      </c>
      <c r="BW14" s="522" t="s">
        <v>1</v>
      </c>
      <c r="BX14" s="522" t="s">
        <v>1</v>
      </c>
      <c r="BY14" s="522" t="s">
        <v>1</v>
      </c>
      <c r="BZ14" s="522" t="s">
        <v>1</v>
      </c>
      <c r="CB14" s="466">
        <v>2</v>
      </c>
      <c r="CC14" s="53" t="s">
        <v>155</v>
      </c>
      <c r="CD14" s="53" t="s">
        <v>154</v>
      </c>
      <c r="CE14" s="468">
        <v>42582</v>
      </c>
    </row>
    <row r="15" spans="1:86" s="466" customFormat="1" ht="12.75">
      <c r="A15" s="467" t="s">
        <v>1924</v>
      </c>
      <c r="B15" s="517" t="s">
        <v>1925</v>
      </c>
      <c r="C15" s="467" t="s">
        <v>1926</v>
      </c>
      <c r="D15" s="467" t="s">
        <v>1927</v>
      </c>
      <c r="E15" s="516">
        <v>43100</v>
      </c>
      <c r="F15" s="516">
        <v>43190</v>
      </c>
      <c r="G15" s="516">
        <v>41727</v>
      </c>
      <c r="H15" s="518">
        <v>4474.8999999999996</v>
      </c>
      <c r="I15" s="518">
        <v>112.5</v>
      </c>
      <c r="J15" s="518">
        <v>5773</v>
      </c>
      <c r="K15" s="518" t="s">
        <v>1325</v>
      </c>
      <c r="L15" s="518" t="s">
        <v>2796</v>
      </c>
      <c r="M15" s="518" t="s">
        <v>2796</v>
      </c>
      <c r="N15" s="518">
        <v>1365.3</v>
      </c>
      <c r="O15" s="518">
        <v>63.1</v>
      </c>
      <c r="P15" s="518">
        <v>188.9</v>
      </c>
      <c r="Q15" s="518">
        <v>198.2</v>
      </c>
      <c r="R15" s="518">
        <v>160</v>
      </c>
      <c r="S15" s="518">
        <v>187.2</v>
      </c>
      <c r="T15" s="518">
        <v>209.4</v>
      </c>
      <c r="U15" s="518">
        <v>254.5</v>
      </c>
      <c r="V15" s="518">
        <v>295.3</v>
      </c>
      <c r="W15" s="518">
        <v>425.3</v>
      </c>
      <c r="X15" s="518">
        <v>-101.2</v>
      </c>
      <c r="Y15" s="518">
        <v>-2</v>
      </c>
      <c r="Z15" s="518">
        <v>-131.6</v>
      </c>
      <c r="AA15" s="518">
        <v>-8.6</v>
      </c>
      <c r="AB15" s="518">
        <v>-103.5</v>
      </c>
      <c r="AC15" s="518">
        <v>-182.6</v>
      </c>
      <c r="AD15" s="518">
        <v>-182.8</v>
      </c>
      <c r="AE15" s="518">
        <v>-175.6</v>
      </c>
      <c r="AF15" s="519">
        <v>8.3000000000000004E-2</v>
      </c>
      <c r="AG15" s="519">
        <v>-0.66400000000000003</v>
      </c>
      <c r="AH15" s="519">
        <v>-0.68700000000000006</v>
      </c>
      <c r="AI15" s="519">
        <v>-0.86599999999999999</v>
      </c>
      <c r="AJ15" s="518">
        <v>-85.8</v>
      </c>
      <c r="AK15" s="518">
        <v>-95.4</v>
      </c>
      <c r="AL15" s="518">
        <v>-241.6</v>
      </c>
      <c r="AM15" s="518">
        <v>-7.6</v>
      </c>
      <c r="AN15" s="518">
        <v>-4.7</v>
      </c>
      <c r="AO15" s="518">
        <v>-6.9</v>
      </c>
      <c r="AP15" s="520" t="s">
        <v>1928</v>
      </c>
      <c r="AQ15" s="521">
        <v>1.1200000000000001</v>
      </c>
      <c r="AR15" s="521">
        <v>1.03</v>
      </c>
      <c r="AS15" s="521">
        <v>1.83</v>
      </c>
      <c r="AT15" s="519">
        <v>0</v>
      </c>
      <c r="AU15" s="518">
        <v>-77.7</v>
      </c>
      <c r="AV15" s="518">
        <v>4.8</v>
      </c>
      <c r="AW15" s="518">
        <v>-171.7</v>
      </c>
      <c r="AX15" s="518">
        <v>57</v>
      </c>
      <c r="AY15" s="518">
        <v>-138.9</v>
      </c>
      <c r="AZ15" s="518">
        <v>829.7</v>
      </c>
      <c r="BA15" s="518">
        <v>800</v>
      </c>
      <c r="BB15" s="518">
        <v>1108</v>
      </c>
      <c r="BC15" s="518">
        <v>800.9</v>
      </c>
      <c r="BD15" s="518">
        <v>1215.2</v>
      </c>
      <c r="BE15" s="518">
        <v>64.2</v>
      </c>
      <c r="BF15" s="518">
        <v>2964.9</v>
      </c>
      <c r="BG15" s="518">
        <v>0.1</v>
      </c>
      <c r="BH15" s="466" t="s">
        <v>1</v>
      </c>
      <c r="BI15" s="466" t="s">
        <v>1</v>
      </c>
      <c r="BJ15" s="518">
        <v>1066.7</v>
      </c>
      <c r="BK15" s="466" t="s">
        <v>571</v>
      </c>
      <c r="BL15" s="466">
        <v>0.704573</v>
      </c>
      <c r="BM15" s="466">
        <v>0.22503200000000001</v>
      </c>
      <c r="BN15" s="466">
        <v>2.0511999999999999E-2</v>
      </c>
      <c r="BO15" s="466" t="s">
        <v>1</v>
      </c>
      <c r="BP15" s="466" t="s">
        <v>1</v>
      </c>
      <c r="BQ15" s="466" t="s">
        <v>1</v>
      </c>
      <c r="BR15" s="470">
        <v>2.4E-2</v>
      </c>
      <c r="BS15" s="522">
        <v>0.30599999999999999</v>
      </c>
      <c r="BT15" s="522">
        <v>0.30399999999999999</v>
      </c>
      <c r="BU15" s="522">
        <v>0.40200000000000002</v>
      </c>
      <c r="BV15" s="522">
        <v>0.42199999999999999</v>
      </c>
      <c r="BW15" s="522">
        <v>0.41599999999999998</v>
      </c>
      <c r="BX15" s="522" t="s">
        <v>1</v>
      </c>
      <c r="BY15" s="522" t="s">
        <v>1</v>
      </c>
      <c r="BZ15" s="522" t="s">
        <v>1</v>
      </c>
      <c r="CB15" s="466">
        <v>2</v>
      </c>
      <c r="CC15" s="53" t="s">
        <v>155</v>
      </c>
      <c r="CD15" s="53" t="s">
        <v>154</v>
      </c>
      <c r="CE15" s="468">
        <v>42582</v>
      </c>
    </row>
    <row r="16" spans="1:86" s="466" customFormat="1" ht="12.75">
      <c r="A16" s="467" t="s">
        <v>1921</v>
      </c>
      <c r="B16" s="517" t="s">
        <v>1922</v>
      </c>
      <c r="C16" s="467" t="s">
        <v>721</v>
      </c>
      <c r="D16" s="467" t="s">
        <v>600</v>
      </c>
      <c r="E16" s="516">
        <v>43100</v>
      </c>
      <c r="F16" s="516">
        <v>43190</v>
      </c>
      <c r="G16" s="516">
        <v>42576</v>
      </c>
      <c r="H16" s="518">
        <v>3781.5</v>
      </c>
      <c r="I16" s="518">
        <v>260.10000000000002</v>
      </c>
      <c r="J16" s="518">
        <v>3964.4</v>
      </c>
      <c r="K16" s="518" t="s">
        <v>1325</v>
      </c>
      <c r="L16" s="518" t="s">
        <v>2796</v>
      </c>
      <c r="M16" s="518" t="s">
        <v>2796</v>
      </c>
      <c r="N16" s="518">
        <v>182.8</v>
      </c>
      <c r="O16" s="518" t="s">
        <v>2796</v>
      </c>
      <c r="P16" s="518" t="s">
        <v>2796</v>
      </c>
      <c r="Q16" s="518" t="s">
        <v>2796</v>
      </c>
      <c r="R16" s="518" t="s">
        <v>2796</v>
      </c>
      <c r="S16" s="518" t="s">
        <v>2796</v>
      </c>
      <c r="T16" s="518" t="s">
        <v>2796</v>
      </c>
      <c r="U16" s="518" t="s">
        <v>2796</v>
      </c>
      <c r="V16" s="518" t="s">
        <v>2796</v>
      </c>
      <c r="W16" s="518">
        <v>2.1</v>
      </c>
      <c r="X16" s="518" t="s">
        <v>2796</v>
      </c>
      <c r="Y16" s="518" t="s">
        <v>2796</v>
      </c>
      <c r="Z16" s="518">
        <v>-33</v>
      </c>
      <c r="AA16" s="518">
        <v>-23.1</v>
      </c>
      <c r="AB16" s="518">
        <v>-32</v>
      </c>
      <c r="AC16" s="518">
        <v>-46.4</v>
      </c>
      <c r="AD16" s="518">
        <v>-90</v>
      </c>
      <c r="AE16" s="518">
        <v>-121.2</v>
      </c>
      <c r="AF16" s="519" t="s">
        <v>1</v>
      </c>
      <c r="AG16" s="519" t="s">
        <v>1</v>
      </c>
      <c r="AH16" s="519" t="s">
        <v>1</v>
      </c>
      <c r="AI16" s="519" t="s">
        <v>1</v>
      </c>
      <c r="AJ16" s="518">
        <v>-0.4</v>
      </c>
      <c r="AK16" s="518">
        <v>-5.7</v>
      </c>
      <c r="AL16" s="518">
        <v>-5.9</v>
      </c>
      <c r="AM16" s="518" t="s">
        <v>2796</v>
      </c>
      <c r="AN16" s="518">
        <v>0</v>
      </c>
      <c r="AO16" s="518">
        <v>-0.1</v>
      </c>
      <c r="AP16" s="520" t="s">
        <v>1923</v>
      </c>
      <c r="AQ16" s="521">
        <v>1.39</v>
      </c>
      <c r="AR16" s="521">
        <v>1.19</v>
      </c>
      <c r="AS16" s="521">
        <v>4.6500000000000004</v>
      </c>
      <c r="AT16" s="519">
        <v>0</v>
      </c>
      <c r="AU16" s="518">
        <v>-7.2</v>
      </c>
      <c r="AV16" s="518">
        <v>-30.7</v>
      </c>
      <c r="AW16" s="518">
        <v>-31.5</v>
      </c>
      <c r="AX16" s="518">
        <v>-26.4</v>
      </c>
      <c r="AY16" s="518">
        <v>-31.2</v>
      </c>
      <c r="AZ16" s="518">
        <v>-50.6</v>
      </c>
      <c r="BA16" s="518">
        <v>34.5</v>
      </c>
      <c r="BB16" s="518">
        <v>177.2</v>
      </c>
      <c r="BC16" s="518">
        <v>36.4</v>
      </c>
      <c r="BD16" s="518">
        <v>182.3</v>
      </c>
      <c r="BE16" s="518">
        <v>12.7</v>
      </c>
      <c r="BF16" s="518">
        <v>143.69999999999999</v>
      </c>
      <c r="BG16" s="518">
        <v>50.8</v>
      </c>
      <c r="BH16" s="466" t="s">
        <v>1</v>
      </c>
      <c r="BI16" s="466" t="s">
        <v>1</v>
      </c>
      <c r="BJ16" s="518">
        <v>0.6</v>
      </c>
      <c r="BK16" s="466" t="s">
        <v>1</v>
      </c>
      <c r="BL16" s="466">
        <v>0</v>
      </c>
      <c r="BM16" s="466">
        <v>0</v>
      </c>
      <c r="BN16" s="466">
        <v>0</v>
      </c>
      <c r="BO16" s="466">
        <v>0</v>
      </c>
      <c r="BP16" s="466">
        <v>0</v>
      </c>
      <c r="BQ16" s="466">
        <v>0</v>
      </c>
      <c r="BR16" s="470" t="s">
        <v>571</v>
      </c>
      <c r="BS16" s="522">
        <v>1.35</v>
      </c>
      <c r="BT16" s="522">
        <v>1.006</v>
      </c>
      <c r="BU16" s="522">
        <v>1.016</v>
      </c>
      <c r="BV16" s="522" t="s">
        <v>1</v>
      </c>
      <c r="BW16" s="522" t="s">
        <v>1</v>
      </c>
      <c r="BX16" s="522" t="s">
        <v>1</v>
      </c>
      <c r="BY16" s="522" t="s">
        <v>1</v>
      </c>
      <c r="BZ16" s="522" t="s">
        <v>1</v>
      </c>
      <c r="CB16" s="466">
        <v>2</v>
      </c>
      <c r="CC16" s="53" t="s">
        <v>155</v>
      </c>
      <c r="CD16" s="53" t="s">
        <v>154</v>
      </c>
      <c r="CE16" s="468">
        <v>42582</v>
      </c>
    </row>
    <row r="17" spans="1:83" s="466" customFormat="1" ht="12.75">
      <c r="A17" s="467" t="s">
        <v>1929</v>
      </c>
      <c r="B17" s="517" t="s">
        <v>1930</v>
      </c>
      <c r="C17" s="467" t="s">
        <v>1931</v>
      </c>
      <c r="D17" s="467" t="s">
        <v>572</v>
      </c>
      <c r="E17" s="516">
        <v>43100</v>
      </c>
      <c r="F17" s="516">
        <v>43190</v>
      </c>
      <c r="G17" s="516">
        <v>41193</v>
      </c>
      <c r="H17" s="518">
        <v>2663.9</v>
      </c>
      <c r="I17" s="518">
        <v>88.9</v>
      </c>
      <c r="J17" s="518">
        <v>2630.5</v>
      </c>
      <c r="K17" s="518">
        <v>359.4</v>
      </c>
      <c r="L17" s="518" t="s">
        <v>2796</v>
      </c>
      <c r="M17" s="518" t="s">
        <v>2796</v>
      </c>
      <c r="N17" s="518">
        <v>326.10000000000002</v>
      </c>
      <c r="O17" s="518">
        <v>1.8</v>
      </c>
      <c r="P17" s="518">
        <v>45.6</v>
      </c>
      <c r="Q17" s="518">
        <v>145.9</v>
      </c>
      <c r="R17" s="518">
        <v>25</v>
      </c>
      <c r="S17" s="518">
        <v>131</v>
      </c>
      <c r="T17" s="518">
        <v>179.4</v>
      </c>
      <c r="U17" s="518">
        <v>277.8</v>
      </c>
      <c r="V17" s="518">
        <v>326.89999999999998</v>
      </c>
      <c r="W17" s="518">
        <v>637.6</v>
      </c>
      <c r="X17" s="518">
        <v>-269.8</v>
      </c>
      <c r="Y17" s="518">
        <v>-355.2</v>
      </c>
      <c r="Z17" s="518">
        <v>-316.8</v>
      </c>
      <c r="AA17" s="518">
        <v>-353.7</v>
      </c>
      <c r="AB17" s="518">
        <v>-325.8</v>
      </c>
      <c r="AC17" s="518">
        <v>-278.8</v>
      </c>
      <c r="AD17" s="518">
        <v>-245.3</v>
      </c>
      <c r="AE17" s="518">
        <v>-492</v>
      </c>
      <c r="AF17" s="519">
        <v>0.98899999999999999</v>
      </c>
      <c r="AG17" s="519">
        <v>-2.1720000000000002</v>
      </c>
      <c r="AH17" s="519">
        <v>-2.2069999999999999</v>
      </c>
      <c r="AI17" s="519">
        <v>-2.4129999999999998</v>
      </c>
      <c r="AJ17" s="518">
        <v>-81.2</v>
      </c>
      <c r="AK17" s="518">
        <v>-45.7</v>
      </c>
      <c r="AL17" s="518">
        <v>-41.7</v>
      </c>
      <c r="AM17" s="518">
        <v>-6.4</v>
      </c>
      <c r="AN17" s="518">
        <v>-6.7</v>
      </c>
      <c r="AO17" s="518">
        <v>-6.5</v>
      </c>
      <c r="AP17" s="520" t="s">
        <v>1932</v>
      </c>
      <c r="AQ17" s="521">
        <v>1.33</v>
      </c>
      <c r="AR17" s="521">
        <v>1.94</v>
      </c>
      <c r="AS17" s="521">
        <v>-1.66</v>
      </c>
      <c r="AT17" s="519">
        <v>0</v>
      </c>
      <c r="AU17" s="518">
        <v>-313.7</v>
      </c>
      <c r="AV17" s="518">
        <v>-376.1</v>
      </c>
      <c r="AW17" s="518">
        <v>-352</v>
      </c>
      <c r="AX17" s="518">
        <v>-412.8</v>
      </c>
      <c r="AY17" s="518">
        <v>-360.4</v>
      </c>
      <c r="AZ17" s="518">
        <v>488.3</v>
      </c>
      <c r="BA17" s="518">
        <v>240.2</v>
      </c>
      <c r="BB17" s="518">
        <v>-52.3</v>
      </c>
      <c r="BC17" s="518">
        <v>314.89999999999998</v>
      </c>
      <c r="BD17" s="518">
        <v>16.399999999999999</v>
      </c>
      <c r="BE17" s="518">
        <v>164.6</v>
      </c>
      <c r="BF17" s="518">
        <v>4069.7</v>
      </c>
      <c r="BG17" s="518" t="s">
        <v>1325</v>
      </c>
      <c r="BH17" s="466" t="s">
        <v>1</v>
      </c>
      <c r="BI17" s="466" t="s">
        <v>1</v>
      </c>
      <c r="BJ17" s="518">
        <v>439.5</v>
      </c>
      <c r="BK17" s="466" t="s">
        <v>1</v>
      </c>
      <c r="BL17" s="466">
        <v>8.047542</v>
      </c>
      <c r="BM17" s="466">
        <v>2.7430439999999998</v>
      </c>
      <c r="BN17" s="466">
        <v>1.336954</v>
      </c>
      <c r="BO17" s="466" t="s">
        <v>1</v>
      </c>
      <c r="BP17" s="466" t="s">
        <v>1</v>
      </c>
      <c r="BQ17" s="466" t="s">
        <v>1</v>
      </c>
      <c r="BR17" s="470">
        <v>3.5000000000000003E-2</v>
      </c>
      <c r="BS17" s="522">
        <v>0.626</v>
      </c>
      <c r="BT17" s="522">
        <v>0.55000000000000004</v>
      </c>
      <c r="BU17" s="522">
        <v>0.6</v>
      </c>
      <c r="BV17" s="522">
        <v>0.627</v>
      </c>
      <c r="BW17" s="522">
        <v>0.91900000000000004</v>
      </c>
      <c r="BX17" s="522">
        <v>0.874</v>
      </c>
      <c r="BY17" s="522" t="s">
        <v>1</v>
      </c>
      <c r="BZ17" s="522" t="s">
        <v>1</v>
      </c>
      <c r="CB17" s="466">
        <v>2</v>
      </c>
      <c r="CC17" s="53" t="s">
        <v>155</v>
      </c>
      <c r="CD17" s="53" t="s">
        <v>154</v>
      </c>
      <c r="CE17" s="468">
        <v>42582</v>
      </c>
    </row>
    <row r="18" spans="1:83" s="466" customFormat="1" ht="12.75">
      <c r="A18" s="467" t="s">
        <v>1933</v>
      </c>
      <c r="B18" s="517" t="s">
        <v>1934</v>
      </c>
      <c r="C18" s="467" t="s">
        <v>1935</v>
      </c>
      <c r="D18" s="467" t="s">
        <v>572</v>
      </c>
      <c r="E18" s="516">
        <v>43100</v>
      </c>
      <c r="F18" s="516">
        <v>43190</v>
      </c>
      <c r="G18" s="516">
        <v>36678</v>
      </c>
      <c r="H18" s="518">
        <v>1479.6</v>
      </c>
      <c r="I18" s="518">
        <v>24.3</v>
      </c>
      <c r="J18" s="518">
        <v>1863.5</v>
      </c>
      <c r="K18" s="518">
        <v>302.7</v>
      </c>
      <c r="L18" s="518" t="s">
        <v>2796</v>
      </c>
      <c r="M18" s="518" t="s">
        <v>2796</v>
      </c>
      <c r="N18" s="518">
        <v>686.6</v>
      </c>
      <c r="O18" s="518" t="s">
        <v>2796</v>
      </c>
      <c r="P18" s="518" t="s">
        <v>2796</v>
      </c>
      <c r="Q18" s="518" t="s">
        <v>2796</v>
      </c>
      <c r="R18" s="518" t="s">
        <v>2796</v>
      </c>
      <c r="S18" s="518" t="s">
        <v>2796</v>
      </c>
      <c r="T18" s="518">
        <v>2</v>
      </c>
      <c r="U18" s="518">
        <v>67.900000000000006</v>
      </c>
      <c r="V18" s="518">
        <v>176.6</v>
      </c>
      <c r="W18" s="518">
        <v>497.2</v>
      </c>
      <c r="X18" s="518">
        <v>-121.8</v>
      </c>
      <c r="Y18" s="518">
        <v>-173.7</v>
      </c>
      <c r="Z18" s="518">
        <v>-212.7</v>
      </c>
      <c r="AA18" s="518">
        <v>-171</v>
      </c>
      <c r="AB18" s="518">
        <v>-186</v>
      </c>
      <c r="AC18" s="518">
        <v>-297.3</v>
      </c>
      <c r="AD18" s="518">
        <v>-256.5</v>
      </c>
      <c r="AE18" s="518">
        <v>-196.3</v>
      </c>
      <c r="AF18" s="519" t="s">
        <v>1</v>
      </c>
      <c r="AG18" s="519" t="s">
        <v>1</v>
      </c>
      <c r="AH18" s="519" t="s">
        <v>1</v>
      </c>
      <c r="AI18" s="519" t="s">
        <v>1</v>
      </c>
      <c r="AJ18" s="518">
        <v>-14.3</v>
      </c>
      <c r="AK18" s="518">
        <v>-17.5</v>
      </c>
      <c r="AL18" s="518">
        <v>-25</v>
      </c>
      <c r="AM18" s="518">
        <v>-2.8</v>
      </c>
      <c r="AN18" s="518">
        <v>-4</v>
      </c>
      <c r="AO18" s="518">
        <v>-7.9</v>
      </c>
      <c r="AP18" s="520" t="s">
        <v>1936</v>
      </c>
      <c r="AQ18" s="521">
        <v>1.05</v>
      </c>
      <c r="AR18" s="521">
        <v>1.66</v>
      </c>
      <c r="AS18" s="521">
        <v>1.07</v>
      </c>
      <c r="AT18" s="519">
        <v>0</v>
      </c>
      <c r="AU18" s="518">
        <v>-124.3</v>
      </c>
      <c r="AV18" s="518">
        <v>-180.2</v>
      </c>
      <c r="AW18" s="518">
        <v>-223.8</v>
      </c>
      <c r="AX18" s="518">
        <v>-176.3</v>
      </c>
      <c r="AY18" s="518">
        <v>-192.6</v>
      </c>
      <c r="AZ18" s="518">
        <v>282.5</v>
      </c>
      <c r="BA18" s="518">
        <v>121.7</v>
      </c>
      <c r="BB18" s="518">
        <v>434.9</v>
      </c>
      <c r="BC18" s="518">
        <v>154.5</v>
      </c>
      <c r="BD18" s="518">
        <v>361.1</v>
      </c>
      <c r="BE18" s="518">
        <v>14.5</v>
      </c>
      <c r="BF18" s="518">
        <v>898.5</v>
      </c>
      <c r="BG18" s="518">
        <v>24.8</v>
      </c>
      <c r="BH18" s="466" t="s">
        <v>1</v>
      </c>
      <c r="BI18" s="466" t="s">
        <v>1</v>
      </c>
      <c r="BJ18" s="518">
        <v>223.1</v>
      </c>
      <c r="BK18" s="466" t="s">
        <v>571</v>
      </c>
      <c r="BL18" s="466">
        <v>0</v>
      </c>
      <c r="BM18" s="466">
        <v>0</v>
      </c>
      <c r="BN18" s="466">
        <v>0</v>
      </c>
      <c r="BO18" s="466" t="s">
        <v>1</v>
      </c>
      <c r="BP18" s="466" t="s">
        <v>1</v>
      </c>
      <c r="BQ18" s="466" t="s">
        <v>1</v>
      </c>
      <c r="BR18" s="470" t="s">
        <v>571</v>
      </c>
      <c r="BS18" s="522">
        <v>0.94599999999999995</v>
      </c>
      <c r="BT18" s="522">
        <v>0.74299999999999999</v>
      </c>
      <c r="BU18" s="522">
        <v>0.69899999999999995</v>
      </c>
      <c r="BV18" s="522">
        <v>0.66200000000000003</v>
      </c>
      <c r="BW18" s="522">
        <v>0.66400000000000003</v>
      </c>
      <c r="BX18" s="522">
        <v>0.65100000000000002</v>
      </c>
      <c r="BY18" s="522">
        <v>0.76600000000000001</v>
      </c>
      <c r="BZ18" s="522">
        <v>0.73699999999999999</v>
      </c>
      <c r="CB18" s="466">
        <v>2</v>
      </c>
      <c r="CC18" s="53" t="s">
        <v>155</v>
      </c>
      <c r="CD18" s="53" t="s">
        <v>154</v>
      </c>
      <c r="CE18" s="468">
        <v>42582</v>
      </c>
    </row>
    <row r="19" spans="1:83" s="466" customFormat="1" ht="12.75">
      <c r="A19" s="467" t="s">
        <v>1937</v>
      </c>
      <c r="B19" s="517" t="s">
        <v>1938</v>
      </c>
      <c r="C19" s="467" t="s">
        <v>1939</v>
      </c>
      <c r="D19" s="467" t="s">
        <v>683</v>
      </c>
      <c r="E19" s="516">
        <v>43100</v>
      </c>
      <c r="F19" s="516">
        <v>43100</v>
      </c>
      <c r="G19" s="516">
        <v>39071</v>
      </c>
      <c r="H19" s="518">
        <v>753.6</v>
      </c>
      <c r="I19" s="518">
        <v>28.3</v>
      </c>
      <c r="J19" s="518">
        <v>882.5</v>
      </c>
      <c r="K19" s="518">
        <v>196.6</v>
      </c>
      <c r="L19" s="518" t="s">
        <v>2796</v>
      </c>
      <c r="M19" s="518" t="s">
        <v>2796</v>
      </c>
      <c r="N19" s="518">
        <v>328.8</v>
      </c>
      <c r="O19" s="518">
        <v>4.5999999999999996</v>
      </c>
      <c r="P19" s="518">
        <v>7</v>
      </c>
      <c r="Q19" s="518">
        <v>8</v>
      </c>
      <c r="R19" s="518">
        <v>7</v>
      </c>
      <c r="S19" s="518">
        <v>8</v>
      </c>
      <c r="T19" s="518">
        <v>7.9</v>
      </c>
      <c r="U19" s="518">
        <v>5.6</v>
      </c>
      <c r="V19" s="518">
        <v>63.3</v>
      </c>
      <c r="W19" s="518">
        <v>122.8</v>
      </c>
      <c r="X19" s="518">
        <v>-18.8</v>
      </c>
      <c r="Y19" s="518">
        <v>-35.4</v>
      </c>
      <c r="Z19" s="518">
        <v>-67</v>
      </c>
      <c r="AA19" s="518">
        <v>-35.4</v>
      </c>
      <c r="AB19" s="518">
        <v>-67</v>
      </c>
      <c r="AC19" s="518">
        <v>-54.4</v>
      </c>
      <c r="AD19" s="518">
        <v>31.7</v>
      </c>
      <c r="AE19" s="518">
        <v>-74.3</v>
      </c>
      <c r="AF19" s="519">
        <v>1</v>
      </c>
      <c r="AG19" s="519" t="s">
        <v>1</v>
      </c>
      <c r="AH19" s="519" t="s">
        <v>1</v>
      </c>
      <c r="AI19" s="519" t="s">
        <v>1</v>
      </c>
      <c r="AJ19" s="518">
        <v>-0.8</v>
      </c>
      <c r="AK19" s="518">
        <v>-7</v>
      </c>
      <c r="AL19" s="518">
        <v>-17</v>
      </c>
      <c r="AM19" s="518">
        <v>-0.9</v>
      </c>
      <c r="AN19" s="518">
        <v>-2.1</v>
      </c>
      <c r="AO19" s="518">
        <v>-3.4</v>
      </c>
      <c r="AP19" s="520" t="s">
        <v>1940</v>
      </c>
      <c r="AQ19" s="521">
        <v>1.19</v>
      </c>
      <c r="AR19" s="521">
        <v>1.88</v>
      </c>
      <c r="AS19" s="521">
        <v>1.36</v>
      </c>
      <c r="AT19" s="519">
        <v>0</v>
      </c>
      <c r="AU19" s="518">
        <v>-18.600000000000001</v>
      </c>
      <c r="AV19" s="518">
        <v>-35.5</v>
      </c>
      <c r="AW19" s="518">
        <v>-70.400000000000006</v>
      </c>
      <c r="AX19" s="518">
        <v>-35.5</v>
      </c>
      <c r="AY19" s="518">
        <v>-70.400000000000006</v>
      </c>
      <c r="AZ19" s="518">
        <v>60.2</v>
      </c>
      <c r="BA19" s="518">
        <v>150.69999999999999</v>
      </c>
      <c r="BB19" s="518">
        <v>125.2</v>
      </c>
      <c r="BC19" s="518">
        <v>150.69999999999999</v>
      </c>
      <c r="BD19" s="518">
        <v>125.2</v>
      </c>
      <c r="BE19" s="518">
        <v>26.3</v>
      </c>
      <c r="BF19" s="518">
        <v>693.8</v>
      </c>
      <c r="BG19" s="518">
        <v>6.6</v>
      </c>
      <c r="BH19" s="466" t="s">
        <v>1</v>
      </c>
      <c r="BI19" s="466" t="s">
        <v>1</v>
      </c>
      <c r="BJ19" s="518">
        <v>105.1</v>
      </c>
      <c r="BK19" s="466" t="s">
        <v>571</v>
      </c>
      <c r="BL19" s="466">
        <v>0.25505499999999998</v>
      </c>
      <c r="BM19" s="466">
        <v>1.4899999999999999E-4</v>
      </c>
      <c r="BN19" s="466">
        <v>2.2485000000000002E-2</v>
      </c>
      <c r="BO19" s="466" t="s">
        <v>1</v>
      </c>
      <c r="BP19" s="466" t="s">
        <v>1</v>
      </c>
      <c r="BQ19" s="466" t="s">
        <v>1</v>
      </c>
      <c r="BR19" s="470">
        <v>0.13900000000000001</v>
      </c>
      <c r="BS19" s="522">
        <v>0.36099999999999999</v>
      </c>
      <c r="BT19" s="522">
        <v>0.45200000000000001</v>
      </c>
      <c r="BU19" s="522">
        <v>0.48599999999999999</v>
      </c>
      <c r="BV19" s="522">
        <v>0.60399999999999998</v>
      </c>
      <c r="BW19" s="522">
        <v>0.67100000000000004</v>
      </c>
      <c r="BX19" s="522">
        <v>0.68200000000000005</v>
      </c>
      <c r="BY19" s="522">
        <v>0.71799999999999997</v>
      </c>
      <c r="BZ19" s="522">
        <v>0.68799999999999994</v>
      </c>
      <c r="CB19" s="466">
        <v>2</v>
      </c>
      <c r="CC19" s="53" t="s">
        <v>155</v>
      </c>
      <c r="CD19" s="53" t="s">
        <v>154</v>
      </c>
      <c r="CE19" s="468">
        <v>42582</v>
      </c>
    </row>
    <row r="20" spans="1:83" s="466" customFormat="1" ht="12.75">
      <c r="A20" s="467" t="s">
        <v>776</v>
      </c>
      <c r="B20" s="517" t="s">
        <v>778</v>
      </c>
      <c r="C20" s="467" t="s">
        <v>1945</v>
      </c>
      <c r="D20" s="467" t="s">
        <v>1946</v>
      </c>
      <c r="E20" s="516">
        <v>43100</v>
      </c>
      <c r="F20" s="516">
        <v>43190</v>
      </c>
      <c r="G20" s="516">
        <v>42578</v>
      </c>
      <c r="H20" s="518">
        <v>390.1</v>
      </c>
      <c r="I20" s="518">
        <v>3.4</v>
      </c>
      <c r="J20" s="518">
        <v>365.5</v>
      </c>
      <c r="K20" s="518">
        <v>33.1</v>
      </c>
      <c r="L20" s="518">
        <v>40.700000000000003</v>
      </c>
      <c r="M20" s="518" t="s">
        <v>2796</v>
      </c>
      <c r="N20" s="518">
        <v>49.2</v>
      </c>
      <c r="O20" s="518">
        <v>37.700000000000003</v>
      </c>
      <c r="P20" s="518">
        <v>22</v>
      </c>
      <c r="Q20" s="518">
        <v>7.1</v>
      </c>
      <c r="R20" s="518">
        <v>26.1</v>
      </c>
      <c r="S20" s="518">
        <v>12.3</v>
      </c>
      <c r="T20" s="518">
        <v>3.2</v>
      </c>
      <c r="U20" s="518">
        <v>5</v>
      </c>
      <c r="V20" s="518">
        <v>125.7</v>
      </c>
      <c r="W20" s="518">
        <v>374.8</v>
      </c>
      <c r="X20" s="518">
        <v>-69.599999999999994</v>
      </c>
      <c r="Y20" s="518">
        <v>-98.8</v>
      </c>
      <c r="Z20" s="518">
        <v>-71.400000000000006</v>
      </c>
      <c r="AA20" s="518">
        <v>-100.1</v>
      </c>
      <c r="AB20" s="518">
        <v>-67.3</v>
      </c>
      <c r="AC20" s="518" t="s">
        <v>2796</v>
      </c>
      <c r="AD20" s="518" t="s">
        <v>2796</v>
      </c>
      <c r="AE20" s="518" t="s">
        <v>2796</v>
      </c>
      <c r="AF20" s="519">
        <v>0.66400000000000003</v>
      </c>
      <c r="AG20" s="519" t="s">
        <v>1</v>
      </c>
      <c r="AH20" s="519" t="s">
        <v>1</v>
      </c>
      <c r="AI20" s="519" t="s">
        <v>1</v>
      </c>
      <c r="AJ20" s="518">
        <v>-34.799999999999997</v>
      </c>
      <c r="AK20" s="518">
        <v>-17.100000000000001</v>
      </c>
      <c r="AL20" s="518">
        <v>-14.8</v>
      </c>
      <c r="AM20" s="518">
        <v>-0.5</v>
      </c>
      <c r="AN20" s="518">
        <v>-0.3</v>
      </c>
      <c r="AO20" s="518">
        <v>-0.5</v>
      </c>
      <c r="AP20" s="520" t="s">
        <v>1947</v>
      </c>
      <c r="AQ20" s="521">
        <v>0.05</v>
      </c>
      <c r="AR20" s="521">
        <v>0.95</v>
      </c>
      <c r="AS20" s="521">
        <v>3.24</v>
      </c>
      <c r="AT20" s="519">
        <v>0</v>
      </c>
      <c r="AU20" s="518">
        <v>-152.19999999999999</v>
      </c>
      <c r="AV20" s="518">
        <v>-193.1</v>
      </c>
      <c r="AW20" s="518">
        <v>-82.6</v>
      </c>
      <c r="AX20" s="518">
        <v>-208.8</v>
      </c>
      <c r="AY20" s="518">
        <v>-79.8</v>
      </c>
      <c r="AZ20" s="518">
        <v>-302.7</v>
      </c>
      <c r="BA20" s="518">
        <v>-19.600000000000001</v>
      </c>
      <c r="BB20" s="518">
        <v>7.9</v>
      </c>
      <c r="BC20" s="518">
        <v>-25.2</v>
      </c>
      <c r="BD20" s="518">
        <v>1.8</v>
      </c>
      <c r="BE20" s="518">
        <v>7.3</v>
      </c>
      <c r="BF20" s="518">
        <v>330.9</v>
      </c>
      <c r="BG20" s="518">
        <v>229.3</v>
      </c>
      <c r="BH20" s="466" t="s">
        <v>1</v>
      </c>
      <c r="BI20" s="466" t="s">
        <v>1</v>
      </c>
      <c r="BJ20" s="518">
        <v>5.5</v>
      </c>
      <c r="BK20" s="466" t="s">
        <v>571</v>
      </c>
      <c r="BL20" s="466">
        <v>-0.56487799999999999</v>
      </c>
      <c r="BM20" s="466">
        <v>0</v>
      </c>
      <c r="BN20" s="466">
        <v>0</v>
      </c>
      <c r="BO20" s="471" t="s">
        <v>1</v>
      </c>
      <c r="BP20" s="466">
        <v>0</v>
      </c>
      <c r="BQ20" s="466">
        <v>0</v>
      </c>
      <c r="BR20" s="470">
        <v>0.16700000000000001</v>
      </c>
      <c r="BS20" s="522">
        <v>0.60399999999999998</v>
      </c>
      <c r="BT20" s="522">
        <v>0.67200000000000004</v>
      </c>
      <c r="BU20" s="522">
        <v>0.67200000000000004</v>
      </c>
      <c r="BV20" s="522" t="s">
        <v>1</v>
      </c>
      <c r="BW20" s="522" t="s">
        <v>1</v>
      </c>
      <c r="BX20" s="522" t="s">
        <v>1</v>
      </c>
      <c r="BY20" s="522" t="s">
        <v>1</v>
      </c>
      <c r="BZ20" s="522" t="s">
        <v>1</v>
      </c>
      <c r="CB20" s="466">
        <v>2</v>
      </c>
      <c r="CC20" s="53" t="s">
        <v>155</v>
      </c>
      <c r="CD20" s="53" t="s">
        <v>154</v>
      </c>
      <c r="CE20" s="468">
        <v>42582</v>
      </c>
    </row>
    <row r="21" spans="1:83" s="466" customFormat="1" ht="12.75">
      <c r="A21" s="467" t="s">
        <v>1956</v>
      </c>
      <c r="B21" s="517" t="s">
        <v>1957</v>
      </c>
      <c r="C21" s="467" t="s">
        <v>1958</v>
      </c>
      <c r="D21" s="467" t="s">
        <v>570</v>
      </c>
      <c r="E21" s="516">
        <v>43100</v>
      </c>
      <c r="F21" s="516">
        <v>43281</v>
      </c>
      <c r="G21" s="516">
        <v>39058</v>
      </c>
      <c r="H21" s="518">
        <v>334.5</v>
      </c>
      <c r="I21" s="518">
        <v>9.5</v>
      </c>
      <c r="J21" s="518">
        <v>398.7</v>
      </c>
      <c r="K21" s="518" t="s">
        <v>1325</v>
      </c>
      <c r="L21" s="518" t="s">
        <v>2796</v>
      </c>
      <c r="M21" s="518" t="s">
        <v>2796</v>
      </c>
      <c r="N21" s="518">
        <v>64.2</v>
      </c>
      <c r="O21" s="518" t="s">
        <v>2796</v>
      </c>
      <c r="P21" s="518" t="s">
        <v>2796</v>
      </c>
      <c r="Q21" s="518" t="s">
        <v>2796</v>
      </c>
      <c r="R21" s="518" t="s">
        <v>2796</v>
      </c>
      <c r="S21" s="518" t="s">
        <v>2796</v>
      </c>
      <c r="T21" s="518" t="s">
        <v>2796</v>
      </c>
      <c r="U21" s="518" t="s">
        <v>2796</v>
      </c>
      <c r="V21" s="518" t="s">
        <v>2796</v>
      </c>
      <c r="W21" s="518" t="s">
        <v>2796</v>
      </c>
      <c r="X21" s="518">
        <v>-10.9</v>
      </c>
      <c r="Y21" s="518">
        <v>-10.1</v>
      </c>
      <c r="Z21" s="518">
        <v>-15.2</v>
      </c>
      <c r="AA21" s="518">
        <v>-10.9</v>
      </c>
      <c r="AB21" s="518">
        <v>-13</v>
      </c>
      <c r="AC21" s="518">
        <v>-20</v>
      </c>
      <c r="AD21" s="518">
        <v>-29.5</v>
      </c>
      <c r="AE21" s="518">
        <v>-17.8</v>
      </c>
      <c r="AF21" s="519" t="s">
        <v>1</v>
      </c>
      <c r="AG21" s="519" t="s">
        <v>1</v>
      </c>
      <c r="AH21" s="519" t="s">
        <v>1</v>
      </c>
      <c r="AI21" s="519" t="s">
        <v>1</v>
      </c>
      <c r="AJ21" s="518">
        <v>-0.7</v>
      </c>
      <c r="AK21" s="518">
        <v>-0.9</v>
      </c>
      <c r="AL21" s="518">
        <v>-1.1000000000000001</v>
      </c>
      <c r="AM21" s="518">
        <v>0</v>
      </c>
      <c r="AN21" s="518">
        <v>-0.1</v>
      </c>
      <c r="AO21" s="518">
        <v>0</v>
      </c>
      <c r="AP21" s="520" t="s">
        <v>1959</v>
      </c>
      <c r="AQ21" s="521">
        <v>1.0900000000000001</v>
      </c>
      <c r="AR21" s="521">
        <v>1.49</v>
      </c>
      <c r="AS21" s="521">
        <v>0.32</v>
      </c>
      <c r="AT21" s="519">
        <v>0</v>
      </c>
      <c r="AU21" s="518">
        <v>-10.9</v>
      </c>
      <c r="AV21" s="518">
        <v>-10.1</v>
      </c>
      <c r="AW21" s="518">
        <v>-13</v>
      </c>
      <c r="AX21" s="518">
        <v>-10.9</v>
      </c>
      <c r="AY21" s="518">
        <v>-11.2</v>
      </c>
      <c r="AZ21" s="518">
        <v>37.4</v>
      </c>
      <c r="BA21" s="518">
        <v>33.4</v>
      </c>
      <c r="BB21" s="518">
        <v>75.599999999999994</v>
      </c>
      <c r="BC21" s="518">
        <v>34.5</v>
      </c>
      <c r="BD21" s="518">
        <v>38.6</v>
      </c>
      <c r="BE21" s="518">
        <v>7.5</v>
      </c>
      <c r="BF21" s="518">
        <v>258.2</v>
      </c>
      <c r="BG21" s="518" t="s">
        <v>1325</v>
      </c>
      <c r="BH21" s="466" t="s">
        <v>1</v>
      </c>
      <c r="BI21" s="466" t="s">
        <v>1</v>
      </c>
      <c r="BJ21" s="518">
        <v>26.6</v>
      </c>
      <c r="BK21" s="466" t="s">
        <v>571</v>
      </c>
      <c r="BL21" s="466">
        <v>0</v>
      </c>
      <c r="BM21" s="466">
        <v>0</v>
      </c>
      <c r="BN21" s="466">
        <v>0</v>
      </c>
      <c r="BO21" s="466" t="s">
        <v>1</v>
      </c>
      <c r="BP21" s="466" t="s">
        <v>1</v>
      </c>
      <c r="BQ21" s="466" t="s">
        <v>1</v>
      </c>
      <c r="BR21" s="470" t="s">
        <v>571</v>
      </c>
      <c r="BS21" s="522">
        <v>0.65900000000000003</v>
      </c>
      <c r="BT21" s="522">
        <v>0.53700000000000003</v>
      </c>
      <c r="BU21" s="522">
        <v>0.54200000000000004</v>
      </c>
      <c r="BV21" s="522">
        <v>0.62</v>
      </c>
      <c r="BW21" s="522">
        <v>0.60899999999999999</v>
      </c>
      <c r="BX21" s="522">
        <v>0.65500000000000003</v>
      </c>
      <c r="BY21" s="522">
        <v>0.70799999999999996</v>
      </c>
      <c r="BZ21" s="522">
        <v>0.72499999999999998</v>
      </c>
      <c r="CB21" s="466">
        <v>2</v>
      </c>
      <c r="CC21" s="53" t="s">
        <v>155</v>
      </c>
      <c r="CD21" s="53" t="s">
        <v>154</v>
      </c>
      <c r="CE21" s="468">
        <v>42582</v>
      </c>
    </row>
    <row r="22" spans="1:83" s="466" customFormat="1" ht="12.75">
      <c r="A22" s="467" t="s">
        <v>1952</v>
      </c>
      <c r="B22" s="517" t="s">
        <v>1953</v>
      </c>
      <c r="C22" s="467" t="s">
        <v>1954</v>
      </c>
      <c r="D22" s="467" t="s">
        <v>572</v>
      </c>
      <c r="E22" s="516">
        <v>43100</v>
      </c>
      <c r="F22" s="516">
        <v>43190</v>
      </c>
      <c r="G22" s="516">
        <v>42853</v>
      </c>
      <c r="H22" s="518">
        <v>323.39999999999998</v>
      </c>
      <c r="I22" s="518">
        <v>11.2</v>
      </c>
      <c r="J22" s="518">
        <v>393.3</v>
      </c>
      <c r="K22" s="518">
        <v>15.2</v>
      </c>
      <c r="L22" s="518" t="s">
        <v>2796</v>
      </c>
      <c r="M22" s="518" t="s">
        <v>2796</v>
      </c>
      <c r="N22" s="518">
        <v>85.2</v>
      </c>
      <c r="O22" s="518" t="s">
        <v>2796</v>
      </c>
      <c r="P22" s="518">
        <v>0.4</v>
      </c>
      <c r="Q22" s="518" t="s">
        <v>2796</v>
      </c>
      <c r="R22" s="518">
        <v>0.4</v>
      </c>
      <c r="S22" s="518" t="s">
        <v>2796</v>
      </c>
      <c r="T22" s="518" t="s">
        <v>2796</v>
      </c>
      <c r="U22" s="518">
        <v>0.2</v>
      </c>
      <c r="V22" s="518">
        <v>28.9</v>
      </c>
      <c r="W22" s="518">
        <v>150</v>
      </c>
      <c r="X22" s="518" t="s">
        <v>2796</v>
      </c>
      <c r="Y22" s="518">
        <v>-13.6</v>
      </c>
      <c r="Z22" s="518">
        <v>-31</v>
      </c>
      <c r="AA22" s="518">
        <v>-10.6</v>
      </c>
      <c r="AB22" s="518">
        <v>-25.2</v>
      </c>
      <c r="AC22" s="518">
        <v>-37.1</v>
      </c>
      <c r="AD22" s="518">
        <v>-54.6</v>
      </c>
      <c r="AE22" s="518">
        <v>-34.299999999999997</v>
      </c>
      <c r="AF22" s="519" t="s">
        <v>1</v>
      </c>
      <c r="AG22" s="519" t="s">
        <v>1</v>
      </c>
      <c r="AH22" s="519" t="s">
        <v>1</v>
      </c>
      <c r="AI22" s="519" t="s">
        <v>1</v>
      </c>
      <c r="AJ22" s="518" t="s">
        <v>2796</v>
      </c>
      <c r="AK22" s="518">
        <v>-3.3</v>
      </c>
      <c r="AL22" s="518">
        <v>-3</v>
      </c>
      <c r="AM22" s="518" t="s">
        <v>2796</v>
      </c>
      <c r="AN22" s="518">
        <v>-0.1</v>
      </c>
      <c r="AO22" s="518">
        <v>-0.5</v>
      </c>
      <c r="AP22" s="520" t="s">
        <v>1955</v>
      </c>
      <c r="AQ22" s="521">
        <v>0.59</v>
      </c>
      <c r="AR22" s="521">
        <v>0.52</v>
      </c>
      <c r="AS22" s="521" t="s">
        <v>1</v>
      </c>
      <c r="AT22" s="519">
        <v>0</v>
      </c>
      <c r="AU22" s="518" t="s">
        <v>2796</v>
      </c>
      <c r="AV22" s="518">
        <v>-14.2</v>
      </c>
      <c r="AW22" s="518">
        <v>-51.7</v>
      </c>
      <c r="AX22" s="518">
        <v>-10.9</v>
      </c>
      <c r="AY22" s="518">
        <v>-29.8</v>
      </c>
      <c r="AZ22" s="518" t="s">
        <v>2796</v>
      </c>
      <c r="BA22" s="518">
        <v>3.5</v>
      </c>
      <c r="BB22" s="518">
        <v>93.7</v>
      </c>
      <c r="BC22" s="518">
        <v>8.3000000000000007</v>
      </c>
      <c r="BD22" s="518">
        <v>119.3</v>
      </c>
      <c r="BE22" s="518" t="s">
        <v>2796</v>
      </c>
      <c r="BF22" s="518" t="s">
        <v>2796</v>
      </c>
      <c r="BG22" s="518" t="s">
        <v>2796</v>
      </c>
      <c r="BH22" s="466" t="s">
        <v>1</v>
      </c>
      <c r="BI22" s="466" t="s">
        <v>1</v>
      </c>
      <c r="BJ22" s="518" t="s">
        <v>2796</v>
      </c>
      <c r="BK22" s="466" t="s">
        <v>571</v>
      </c>
      <c r="BL22" s="466">
        <v>0</v>
      </c>
      <c r="BM22" s="466">
        <v>0</v>
      </c>
      <c r="BN22" s="466">
        <v>0</v>
      </c>
      <c r="BO22" s="466">
        <v>0</v>
      </c>
      <c r="BP22" s="466">
        <v>0</v>
      </c>
      <c r="BQ22" s="466">
        <v>0</v>
      </c>
      <c r="BR22" s="470" t="s">
        <v>571</v>
      </c>
      <c r="BS22" s="522">
        <v>0.59</v>
      </c>
      <c r="BT22" s="522">
        <v>0.628</v>
      </c>
      <c r="BU22" s="522" t="s">
        <v>1</v>
      </c>
      <c r="BV22" s="522" t="s">
        <v>1</v>
      </c>
      <c r="BW22" s="522" t="s">
        <v>1</v>
      </c>
      <c r="BX22" s="522" t="s">
        <v>1</v>
      </c>
      <c r="BY22" s="522" t="s">
        <v>1</v>
      </c>
      <c r="BZ22" s="522" t="s">
        <v>1</v>
      </c>
      <c r="CB22" s="466">
        <v>2</v>
      </c>
      <c r="CC22" s="53" t="s">
        <v>155</v>
      </c>
      <c r="CD22" s="53" t="s">
        <v>154</v>
      </c>
      <c r="CE22" s="468">
        <v>42582</v>
      </c>
    </row>
    <row r="23" spans="1:83" s="466" customFormat="1" ht="12.75">
      <c r="A23" s="467" t="s">
        <v>1049</v>
      </c>
      <c r="B23" s="517" t="s">
        <v>1964</v>
      </c>
      <c r="C23" s="467" t="s">
        <v>1965</v>
      </c>
      <c r="D23" s="467" t="s">
        <v>600</v>
      </c>
      <c r="E23" s="516">
        <v>43100</v>
      </c>
      <c r="F23" s="516">
        <v>43190</v>
      </c>
      <c r="G23" s="516">
        <v>41712</v>
      </c>
      <c r="H23" s="518">
        <v>274.2</v>
      </c>
      <c r="I23" s="518">
        <v>13.9</v>
      </c>
      <c r="J23" s="518">
        <v>289.7</v>
      </c>
      <c r="K23" s="518" t="s">
        <v>1325</v>
      </c>
      <c r="L23" s="518" t="s">
        <v>2796</v>
      </c>
      <c r="M23" s="518" t="s">
        <v>2796</v>
      </c>
      <c r="N23" s="518">
        <v>15.5</v>
      </c>
      <c r="O23" s="518" t="s">
        <v>2796</v>
      </c>
      <c r="P23" s="518">
        <v>0.7</v>
      </c>
      <c r="Q23" s="518">
        <v>1.1000000000000001</v>
      </c>
      <c r="R23" s="518">
        <v>0.5</v>
      </c>
      <c r="S23" s="518">
        <v>1.1000000000000001</v>
      </c>
      <c r="T23" s="518">
        <v>0.8</v>
      </c>
      <c r="U23" s="518">
        <v>0.9</v>
      </c>
      <c r="V23" s="518">
        <v>0.5</v>
      </c>
      <c r="W23" s="518">
        <v>16.8</v>
      </c>
      <c r="X23" s="518">
        <v>-12.4</v>
      </c>
      <c r="Y23" s="518">
        <v>-15.8</v>
      </c>
      <c r="Z23" s="518">
        <v>-11.4</v>
      </c>
      <c r="AA23" s="518">
        <v>-16.7</v>
      </c>
      <c r="AB23" s="518">
        <v>-12.1</v>
      </c>
      <c r="AC23" s="518" t="s">
        <v>2796</v>
      </c>
      <c r="AD23" s="518" t="s">
        <v>2796</v>
      </c>
      <c r="AE23" s="518" t="s">
        <v>2796</v>
      </c>
      <c r="AF23" s="519">
        <v>1</v>
      </c>
      <c r="AG23" s="519" t="s">
        <v>1</v>
      </c>
      <c r="AH23" s="519" t="s">
        <v>1</v>
      </c>
      <c r="AI23" s="519" t="s">
        <v>1</v>
      </c>
      <c r="AJ23" s="518">
        <v>-2.8</v>
      </c>
      <c r="AK23" s="518">
        <v>-3.5</v>
      </c>
      <c r="AL23" s="518">
        <v>-2.2999999999999998</v>
      </c>
      <c r="AM23" s="518">
        <v>-0.2</v>
      </c>
      <c r="AN23" s="518">
        <v>0</v>
      </c>
      <c r="AO23" s="518">
        <v>0</v>
      </c>
      <c r="AP23" s="520" t="s">
        <v>1966</v>
      </c>
      <c r="AQ23" s="521">
        <v>0.43</v>
      </c>
      <c r="AR23" s="521">
        <v>1.07</v>
      </c>
      <c r="AS23" s="521">
        <v>2.73</v>
      </c>
      <c r="AT23" s="519">
        <v>0</v>
      </c>
      <c r="AU23" s="518">
        <v>-12.1</v>
      </c>
      <c r="AV23" s="518">
        <v>-16.100000000000001</v>
      </c>
      <c r="AW23" s="518">
        <v>-11.6</v>
      </c>
      <c r="AX23" s="518">
        <v>-17</v>
      </c>
      <c r="AY23" s="518">
        <v>-12.3</v>
      </c>
      <c r="AZ23" s="518">
        <v>17.899999999999999</v>
      </c>
      <c r="BA23" s="518">
        <v>8.3000000000000007</v>
      </c>
      <c r="BB23" s="518">
        <v>13.6</v>
      </c>
      <c r="BC23" s="518">
        <v>11.1</v>
      </c>
      <c r="BD23" s="518">
        <v>15.8</v>
      </c>
      <c r="BE23" s="518">
        <v>4.4000000000000004</v>
      </c>
      <c r="BF23" s="518">
        <v>49.3</v>
      </c>
      <c r="BG23" s="518" t="s">
        <v>1325</v>
      </c>
      <c r="BH23" s="466" t="s">
        <v>1</v>
      </c>
      <c r="BI23" s="466" t="s">
        <v>1</v>
      </c>
      <c r="BJ23" s="518">
        <v>16.7</v>
      </c>
      <c r="BK23" s="466" t="s">
        <v>1</v>
      </c>
      <c r="BL23" s="466">
        <v>0</v>
      </c>
      <c r="BM23" s="466">
        <v>0</v>
      </c>
      <c r="BN23" s="466">
        <v>0</v>
      </c>
      <c r="BO23" s="466" t="s">
        <v>1</v>
      </c>
      <c r="BP23" s="466" t="s">
        <v>1</v>
      </c>
      <c r="BQ23" s="466">
        <v>0</v>
      </c>
      <c r="BR23" s="470">
        <v>0.219</v>
      </c>
      <c r="BS23" s="522">
        <v>1.2969999999999999</v>
      </c>
      <c r="BT23" s="522">
        <v>1.0269999999999999</v>
      </c>
      <c r="BU23" s="522">
        <v>0.97699999999999998</v>
      </c>
      <c r="BV23" s="522">
        <v>0.93500000000000005</v>
      </c>
      <c r="BW23" s="522">
        <v>0.92100000000000004</v>
      </c>
      <c r="BX23" s="522" t="s">
        <v>1</v>
      </c>
      <c r="BY23" s="522" t="s">
        <v>1</v>
      </c>
      <c r="BZ23" s="522" t="s">
        <v>1</v>
      </c>
      <c r="CB23" s="466">
        <v>2</v>
      </c>
      <c r="CC23" s="53" t="s">
        <v>155</v>
      </c>
      <c r="CD23" s="53" t="s">
        <v>154</v>
      </c>
      <c r="CE23" s="468">
        <v>42582</v>
      </c>
    </row>
    <row r="24" spans="1:83" s="466" customFormat="1" ht="12.75">
      <c r="A24" s="467" t="s">
        <v>1960</v>
      </c>
      <c r="B24" s="517" t="s">
        <v>1961</v>
      </c>
      <c r="C24" s="467" t="s">
        <v>1962</v>
      </c>
      <c r="D24" s="467" t="s">
        <v>600</v>
      </c>
      <c r="E24" s="516">
        <v>43100</v>
      </c>
      <c r="F24" s="516">
        <v>43190</v>
      </c>
      <c r="G24" s="516">
        <v>37503</v>
      </c>
      <c r="H24" s="518">
        <v>207.3</v>
      </c>
      <c r="I24" s="518">
        <v>5</v>
      </c>
      <c r="J24" s="518">
        <v>202.3</v>
      </c>
      <c r="K24" s="518" t="s">
        <v>1325</v>
      </c>
      <c r="L24" s="518">
        <v>9</v>
      </c>
      <c r="M24" s="518" t="s">
        <v>2796</v>
      </c>
      <c r="N24" s="518">
        <v>4</v>
      </c>
      <c r="O24" s="518" t="s">
        <v>2796</v>
      </c>
      <c r="P24" s="518" t="s">
        <v>2796</v>
      </c>
      <c r="Q24" s="518" t="s">
        <v>2796</v>
      </c>
      <c r="R24" s="518" t="s">
        <v>2796</v>
      </c>
      <c r="S24" s="518" t="s">
        <v>2796</v>
      </c>
      <c r="T24" s="518" t="s">
        <v>2796</v>
      </c>
      <c r="U24" s="518" t="s">
        <v>2796</v>
      </c>
      <c r="V24" s="518" t="s">
        <v>2796</v>
      </c>
      <c r="W24" s="518">
        <v>61</v>
      </c>
      <c r="X24" s="518">
        <v>-21.2</v>
      </c>
      <c r="Y24" s="518">
        <v>-20.5</v>
      </c>
      <c r="Z24" s="518">
        <v>-15.5</v>
      </c>
      <c r="AA24" s="518">
        <v>-21.5</v>
      </c>
      <c r="AB24" s="518">
        <v>-16.2</v>
      </c>
      <c r="AC24" s="518" t="s">
        <v>2796</v>
      </c>
      <c r="AD24" s="518" t="s">
        <v>2796</v>
      </c>
      <c r="AE24" s="518" t="s">
        <v>2796</v>
      </c>
      <c r="AF24" s="519" t="s">
        <v>1</v>
      </c>
      <c r="AG24" s="519" t="s">
        <v>1</v>
      </c>
      <c r="AH24" s="519" t="s">
        <v>1</v>
      </c>
      <c r="AI24" s="519" t="s">
        <v>1</v>
      </c>
      <c r="AJ24" s="518">
        <v>-2.8</v>
      </c>
      <c r="AK24" s="518">
        <v>-4</v>
      </c>
      <c r="AL24" s="518">
        <v>-1.6</v>
      </c>
      <c r="AM24" s="518" t="s">
        <v>2796</v>
      </c>
      <c r="AN24" s="518" t="s">
        <v>2796</v>
      </c>
      <c r="AO24" s="518" t="s">
        <v>2796</v>
      </c>
      <c r="AP24" s="520" t="s">
        <v>1963</v>
      </c>
      <c r="AQ24" s="521">
        <v>1.8</v>
      </c>
      <c r="AR24" s="521">
        <v>3.08</v>
      </c>
      <c r="AS24" s="521">
        <v>2.33</v>
      </c>
      <c r="AT24" s="519">
        <v>0</v>
      </c>
      <c r="AU24" s="518">
        <v>-22</v>
      </c>
      <c r="AV24" s="518">
        <v>-19.600000000000001</v>
      </c>
      <c r="AW24" s="518">
        <v>-15.6</v>
      </c>
      <c r="AX24" s="518">
        <v>-21.4</v>
      </c>
      <c r="AY24" s="518">
        <v>-16.2</v>
      </c>
      <c r="AZ24" s="518">
        <v>19.5</v>
      </c>
      <c r="BA24" s="518">
        <v>9.6</v>
      </c>
      <c r="BB24" s="518">
        <v>2.6</v>
      </c>
      <c r="BC24" s="518">
        <v>12</v>
      </c>
      <c r="BD24" s="518">
        <v>1.2</v>
      </c>
      <c r="BE24" s="518">
        <v>1.1000000000000001</v>
      </c>
      <c r="BF24" s="518">
        <v>33.1</v>
      </c>
      <c r="BG24" s="518" t="s">
        <v>1325</v>
      </c>
      <c r="BH24" s="466">
        <v>7.681</v>
      </c>
      <c r="BI24" s="466" t="s">
        <v>1</v>
      </c>
      <c r="BJ24" s="518">
        <v>18</v>
      </c>
      <c r="BK24" s="466" t="s">
        <v>1</v>
      </c>
      <c r="BL24" s="466">
        <v>0</v>
      </c>
      <c r="BM24" s="466">
        <v>0</v>
      </c>
      <c r="BN24" s="466">
        <v>0</v>
      </c>
      <c r="BO24" s="466" t="s">
        <v>1</v>
      </c>
      <c r="BP24" s="466" t="s">
        <v>1</v>
      </c>
      <c r="BQ24" s="466" t="s">
        <v>1</v>
      </c>
      <c r="BR24" s="470" t="s">
        <v>571</v>
      </c>
      <c r="BS24" s="522">
        <v>1.1259999999999999</v>
      </c>
      <c r="BT24" s="522">
        <v>1.17</v>
      </c>
      <c r="BU24" s="522">
        <v>1.0489999999999999</v>
      </c>
      <c r="BV24" s="522">
        <v>0.97699999999999998</v>
      </c>
      <c r="BW24" s="522">
        <v>1.075</v>
      </c>
      <c r="BX24" s="522">
        <v>1.0229999999999999</v>
      </c>
      <c r="BY24" s="522">
        <v>1.0109999999999999</v>
      </c>
      <c r="BZ24" s="522">
        <v>0.98299999999999998</v>
      </c>
      <c r="CB24" s="466">
        <v>2</v>
      </c>
      <c r="CC24" s="53" t="s">
        <v>155</v>
      </c>
      <c r="CD24" s="53" t="s">
        <v>154</v>
      </c>
      <c r="CE24" s="468">
        <v>42582</v>
      </c>
    </row>
    <row r="25" spans="1:83" s="466" customFormat="1" ht="12.75">
      <c r="A25" s="467" t="s">
        <v>1967</v>
      </c>
      <c r="B25" s="517" t="s">
        <v>1968</v>
      </c>
      <c r="C25" s="467" t="s">
        <v>1969</v>
      </c>
      <c r="D25" s="467" t="s">
        <v>570</v>
      </c>
      <c r="E25" s="516">
        <v>43100</v>
      </c>
      <c r="F25" s="516">
        <v>43190</v>
      </c>
      <c r="G25" s="516">
        <v>41939</v>
      </c>
      <c r="H25" s="518">
        <v>203.5</v>
      </c>
      <c r="I25" s="518">
        <v>4.8</v>
      </c>
      <c r="J25" s="518">
        <v>274.3</v>
      </c>
      <c r="K25" s="518">
        <v>0.2</v>
      </c>
      <c r="L25" s="518" t="s">
        <v>2796</v>
      </c>
      <c r="M25" s="518" t="s">
        <v>2796</v>
      </c>
      <c r="N25" s="518">
        <v>71</v>
      </c>
      <c r="O25" s="518">
        <v>1</v>
      </c>
      <c r="P25" s="518">
        <v>2.8</v>
      </c>
      <c r="Q25" s="518">
        <v>2.1</v>
      </c>
      <c r="R25" s="518">
        <v>1.9</v>
      </c>
      <c r="S25" s="518">
        <v>2.4</v>
      </c>
      <c r="T25" s="518">
        <v>4.3</v>
      </c>
      <c r="U25" s="518">
        <v>3.5</v>
      </c>
      <c r="V25" s="518">
        <v>1.9</v>
      </c>
      <c r="W25" s="518">
        <v>6.4</v>
      </c>
      <c r="X25" s="518">
        <v>-10.1</v>
      </c>
      <c r="Y25" s="518">
        <v>-24.4</v>
      </c>
      <c r="Z25" s="518">
        <v>-36.700000000000003</v>
      </c>
      <c r="AA25" s="518">
        <v>-19.899999999999999</v>
      </c>
      <c r="AB25" s="518">
        <v>-32.299999999999997</v>
      </c>
      <c r="AC25" s="518">
        <v>-47.7</v>
      </c>
      <c r="AD25" s="518">
        <v>-50.5</v>
      </c>
      <c r="AE25" s="518" t="s">
        <v>2796</v>
      </c>
      <c r="AF25" s="519" t="s">
        <v>1</v>
      </c>
      <c r="AG25" s="519" t="s">
        <v>1</v>
      </c>
      <c r="AH25" s="519" t="s">
        <v>1</v>
      </c>
      <c r="AI25" s="519" t="s">
        <v>1</v>
      </c>
      <c r="AJ25" s="518">
        <v>-3.5</v>
      </c>
      <c r="AK25" s="518">
        <v>-5.6</v>
      </c>
      <c r="AL25" s="518">
        <v>-6.5</v>
      </c>
      <c r="AM25" s="518">
        <v>-0.2</v>
      </c>
      <c r="AN25" s="518">
        <v>-0.3</v>
      </c>
      <c r="AO25" s="518">
        <v>-1.9</v>
      </c>
      <c r="AP25" s="520" t="s">
        <v>1970</v>
      </c>
      <c r="AQ25" s="521">
        <v>2.13</v>
      </c>
      <c r="AR25" s="521">
        <v>2.25</v>
      </c>
      <c r="AS25" s="521">
        <v>2.0499999999999998</v>
      </c>
      <c r="AT25" s="519">
        <v>0</v>
      </c>
      <c r="AU25" s="518">
        <v>-10.199999999999999</v>
      </c>
      <c r="AV25" s="518">
        <v>-24.6</v>
      </c>
      <c r="AW25" s="518">
        <v>-36.700000000000003</v>
      </c>
      <c r="AX25" s="518">
        <v>-20</v>
      </c>
      <c r="AY25" s="518">
        <v>-32.4</v>
      </c>
      <c r="AZ25" s="518">
        <v>6.4</v>
      </c>
      <c r="BA25" s="518">
        <v>43.6</v>
      </c>
      <c r="BB25" s="518">
        <v>65.5</v>
      </c>
      <c r="BC25" s="518">
        <v>8.9</v>
      </c>
      <c r="BD25" s="518">
        <v>57.8</v>
      </c>
      <c r="BE25" s="518">
        <v>6.8</v>
      </c>
      <c r="BF25" s="518">
        <v>297.10000000000002</v>
      </c>
      <c r="BG25" s="518">
        <v>0</v>
      </c>
      <c r="BH25" s="466" t="s">
        <v>1</v>
      </c>
      <c r="BI25" s="466" t="s">
        <v>1</v>
      </c>
      <c r="BJ25" s="518">
        <v>22</v>
      </c>
      <c r="BK25" s="466" t="s">
        <v>1</v>
      </c>
      <c r="BL25" s="466">
        <v>0.41657300000000003</v>
      </c>
      <c r="BM25" s="466">
        <v>0</v>
      </c>
      <c r="BN25" s="466">
        <v>0</v>
      </c>
      <c r="BO25" s="466" t="s">
        <v>1</v>
      </c>
      <c r="BP25" s="466">
        <v>0</v>
      </c>
      <c r="BQ25" s="466">
        <v>0</v>
      </c>
      <c r="BR25" s="470">
        <v>0.14599999999999999</v>
      </c>
      <c r="BS25" s="522">
        <v>0.56799999999999995</v>
      </c>
      <c r="BT25" s="522">
        <v>0.78400000000000003</v>
      </c>
      <c r="BU25" s="522">
        <v>0.79900000000000004</v>
      </c>
      <c r="BV25" s="522">
        <v>0.90400000000000003</v>
      </c>
      <c r="BW25" s="522" t="s">
        <v>1</v>
      </c>
      <c r="BX25" s="522" t="s">
        <v>1</v>
      </c>
      <c r="BY25" s="522" t="s">
        <v>1</v>
      </c>
      <c r="BZ25" s="522" t="s">
        <v>1</v>
      </c>
      <c r="CB25" s="466">
        <v>2</v>
      </c>
      <c r="CC25" s="53" t="s">
        <v>155</v>
      </c>
      <c r="CD25" s="53" t="s">
        <v>154</v>
      </c>
      <c r="CE25" s="468">
        <v>42582</v>
      </c>
    </row>
    <row r="26" spans="1:83" s="466" customFormat="1" ht="12.75">
      <c r="A26" s="467" t="s">
        <v>1971</v>
      </c>
      <c r="B26" s="517" t="s">
        <v>1972</v>
      </c>
      <c r="C26" s="467" t="s">
        <v>1973</v>
      </c>
      <c r="D26" s="467" t="s">
        <v>570</v>
      </c>
      <c r="E26" s="516">
        <v>43100</v>
      </c>
      <c r="F26" s="516">
        <v>43100</v>
      </c>
      <c r="G26" s="516">
        <v>41900</v>
      </c>
      <c r="H26" s="518">
        <v>174.9</v>
      </c>
      <c r="I26" s="518">
        <v>6.7</v>
      </c>
      <c r="J26" s="518">
        <v>212.3</v>
      </c>
      <c r="K26" s="518">
        <v>8.6999999999999993</v>
      </c>
      <c r="L26" s="518" t="s">
        <v>2796</v>
      </c>
      <c r="M26" s="518">
        <v>0</v>
      </c>
      <c r="N26" s="518">
        <v>57.8</v>
      </c>
      <c r="O26" s="518">
        <v>3.5</v>
      </c>
      <c r="P26" s="518">
        <v>1.7</v>
      </c>
      <c r="Q26" s="518">
        <v>1</v>
      </c>
      <c r="R26" s="518">
        <v>1.7</v>
      </c>
      <c r="S26" s="518">
        <v>1</v>
      </c>
      <c r="T26" s="518">
        <v>2.7</v>
      </c>
      <c r="U26" s="518">
        <v>4.7</v>
      </c>
      <c r="V26" s="518" t="s">
        <v>2796</v>
      </c>
      <c r="W26" s="518" t="s">
        <v>2796</v>
      </c>
      <c r="X26" s="518">
        <v>-28.8</v>
      </c>
      <c r="Y26" s="518">
        <v>-40.5</v>
      </c>
      <c r="Z26" s="518">
        <v>-47.4</v>
      </c>
      <c r="AA26" s="518">
        <v>-40.5</v>
      </c>
      <c r="AB26" s="518">
        <v>-47.4</v>
      </c>
      <c r="AC26" s="518" t="s">
        <v>2796</v>
      </c>
      <c r="AD26" s="518" t="s">
        <v>2796</v>
      </c>
      <c r="AE26" s="518" t="s">
        <v>2796</v>
      </c>
      <c r="AF26" s="519">
        <v>1</v>
      </c>
      <c r="AG26" s="519" t="s">
        <v>1</v>
      </c>
      <c r="AH26" s="519" t="s">
        <v>1</v>
      </c>
      <c r="AI26" s="519" t="s">
        <v>1</v>
      </c>
      <c r="AJ26" s="518">
        <v>-2.8</v>
      </c>
      <c r="AK26" s="518">
        <v>-4.0999999999999996</v>
      </c>
      <c r="AL26" s="518">
        <v>-4.9000000000000004</v>
      </c>
      <c r="AM26" s="518">
        <v>-1.4</v>
      </c>
      <c r="AN26" s="518">
        <v>-2.7</v>
      </c>
      <c r="AO26" s="518">
        <v>-0.1</v>
      </c>
      <c r="AP26" s="520" t="s">
        <v>1974</v>
      </c>
      <c r="AQ26" s="521">
        <v>1.51</v>
      </c>
      <c r="AR26" s="521">
        <v>1.89</v>
      </c>
      <c r="AS26" s="521">
        <v>0.55000000000000004</v>
      </c>
      <c r="AT26" s="519">
        <v>0</v>
      </c>
      <c r="AU26" s="518">
        <v>-22.6</v>
      </c>
      <c r="AV26" s="518">
        <v>-41.3</v>
      </c>
      <c r="AW26" s="518">
        <v>-52.4</v>
      </c>
      <c r="AX26" s="518">
        <v>-41.3</v>
      </c>
      <c r="AY26" s="518">
        <v>-52.4</v>
      </c>
      <c r="AZ26" s="518">
        <v>97.5</v>
      </c>
      <c r="BA26" s="518">
        <v>56.1</v>
      </c>
      <c r="BB26" s="518">
        <v>47.2</v>
      </c>
      <c r="BC26" s="518">
        <v>56.1</v>
      </c>
      <c r="BD26" s="518">
        <v>47.2</v>
      </c>
      <c r="BE26" s="518">
        <v>6.7</v>
      </c>
      <c r="BF26" s="518">
        <v>155.69999999999999</v>
      </c>
      <c r="BG26" s="518">
        <v>5.8</v>
      </c>
      <c r="BH26" s="466" t="s">
        <v>1</v>
      </c>
      <c r="BI26" s="466" t="s">
        <v>1</v>
      </c>
      <c r="BJ26" s="518">
        <v>84.7</v>
      </c>
      <c r="BK26" s="466" t="s">
        <v>571</v>
      </c>
      <c r="BL26" s="466">
        <v>-0.47760399999999997</v>
      </c>
      <c r="BM26" s="466">
        <v>0.40601999999999999</v>
      </c>
      <c r="BN26" s="466">
        <v>0.99398600000000004</v>
      </c>
      <c r="BO26" s="466" t="s">
        <v>1</v>
      </c>
      <c r="BP26" s="466" t="s">
        <v>1</v>
      </c>
      <c r="BQ26" s="466">
        <v>0</v>
      </c>
      <c r="BR26" s="470">
        <v>1.1659999999999999</v>
      </c>
      <c r="BS26" s="522">
        <v>0.63100000000000001</v>
      </c>
      <c r="BT26" s="522">
        <v>0.58099999999999996</v>
      </c>
      <c r="BU26" s="522">
        <v>0.73199999999999998</v>
      </c>
      <c r="BV26" s="522">
        <v>0.71199999999999997</v>
      </c>
      <c r="BW26" s="522" t="s">
        <v>1</v>
      </c>
      <c r="BX26" s="522" t="s">
        <v>1</v>
      </c>
      <c r="BY26" s="522" t="s">
        <v>1</v>
      </c>
      <c r="BZ26" s="522" t="s">
        <v>1</v>
      </c>
      <c r="CB26" s="466">
        <v>2</v>
      </c>
      <c r="CC26" s="53" t="s">
        <v>155</v>
      </c>
      <c r="CD26" s="53" t="s">
        <v>154</v>
      </c>
      <c r="CE26" s="468">
        <v>42582</v>
      </c>
    </row>
    <row r="27" spans="1:83" s="466" customFormat="1" ht="12.75">
      <c r="A27" s="467" t="s">
        <v>1975</v>
      </c>
      <c r="B27" s="517" t="s">
        <v>1976</v>
      </c>
      <c r="C27" s="467" t="s">
        <v>1977</v>
      </c>
      <c r="D27" s="467" t="s">
        <v>600</v>
      </c>
      <c r="E27" s="516">
        <v>43100</v>
      </c>
      <c r="F27" s="516">
        <v>43190</v>
      </c>
      <c r="G27" s="516">
        <v>42780</v>
      </c>
      <c r="H27" s="518">
        <v>126.7</v>
      </c>
      <c r="I27" s="518">
        <v>6.5</v>
      </c>
      <c r="J27" s="518">
        <v>194.7</v>
      </c>
      <c r="K27" s="518">
        <v>10</v>
      </c>
      <c r="L27" s="518" t="s">
        <v>2796</v>
      </c>
      <c r="M27" s="518" t="s">
        <v>2796</v>
      </c>
      <c r="N27" s="518">
        <v>78.099999999999994</v>
      </c>
      <c r="O27" s="518">
        <v>5</v>
      </c>
      <c r="P27" s="518">
        <v>3</v>
      </c>
      <c r="Q27" s="518">
        <v>8.3000000000000007</v>
      </c>
      <c r="R27" s="518">
        <v>3.5</v>
      </c>
      <c r="S27" s="518">
        <v>4</v>
      </c>
      <c r="T27" s="518">
        <v>5.9</v>
      </c>
      <c r="U27" s="518">
        <v>2.2999999999999998</v>
      </c>
      <c r="V27" s="518">
        <v>2.4</v>
      </c>
      <c r="W27" s="518">
        <v>18.100000000000001</v>
      </c>
      <c r="X27" s="518">
        <v>-11.9</v>
      </c>
      <c r="Y27" s="518">
        <v>-20.100000000000001</v>
      </c>
      <c r="Z27" s="518">
        <v>-23.9</v>
      </c>
      <c r="AA27" s="518">
        <v>-16.600000000000001</v>
      </c>
      <c r="AB27" s="518">
        <v>-26.2</v>
      </c>
      <c r="AC27" s="518" t="s">
        <v>2796</v>
      </c>
      <c r="AD27" s="518" t="s">
        <v>2796</v>
      </c>
      <c r="AE27" s="518" t="s">
        <v>2796</v>
      </c>
      <c r="AF27" s="519">
        <v>-1.633</v>
      </c>
      <c r="AG27" s="519">
        <v>-2.8719999999999999</v>
      </c>
      <c r="AH27" s="519">
        <v>-2.9079999999999999</v>
      </c>
      <c r="AI27" s="519">
        <v>-2.9060000000000001</v>
      </c>
      <c r="AJ27" s="518">
        <v>-1.7</v>
      </c>
      <c r="AK27" s="518">
        <v>-2.6</v>
      </c>
      <c r="AL27" s="518">
        <v>4.0999999999999996</v>
      </c>
      <c r="AM27" s="518">
        <v>-0.3</v>
      </c>
      <c r="AN27" s="518">
        <v>-0.2</v>
      </c>
      <c r="AO27" s="518">
        <v>-0.3</v>
      </c>
      <c r="AP27" s="520" t="s">
        <v>1978</v>
      </c>
      <c r="AQ27" s="521">
        <v>2.0699999999999998</v>
      </c>
      <c r="AR27" s="521">
        <v>2</v>
      </c>
      <c r="AS27" s="521" t="s">
        <v>1</v>
      </c>
      <c r="AT27" s="519">
        <v>0</v>
      </c>
      <c r="AU27" s="518">
        <v>-15.7</v>
      </c>
      <c r="AV27" s="518">
        <v>-20.6</v>
      </c>
      <c r="AW27" s="518">
        <v>-24.2</v>
      </c>
      <c r="AX27" s="518">
        <v>-17.3</v>
      </c>
      <c r="AY27" s="518">
        <v>-26.5</v>
      </c>
      <c r="AZ27" s="518">
        <v>15.6</v>
      </c>
      <c r="BA27" s="518">
        <v>48</v>
      </c>
      <c r="BB27" s="518">
        <v>72.7</v>
      </c>
      <c r="BC27" s="518">
        <v>15.1</v>
      </c>
      <c r="BD27" s="518">
        <v>38.5</v>
      </c>
      <c r="BE27" s="518" t="s">
        <v>2796</v>
      </c>
      <c r="BF27" s="518" t="s">
        <v>2796</v>
      </c>
      <c r="BG27" s="518" t="s">
        <v>2796</v>
      </c>
      <c r="BH27" s="466" t="s">
        <v>1</v>
      </c>
      <c r="BI27" s="466" t="s">
        <v>1</v>
      </c>
      <c r="BJ27" s="518" t="s">
        <v>2796</v>
      </c>
      <c r="BK27" s="466" t="s">
        <v>1</v>
      </c>
      <c r="BL27" s="466">
        <v>0</v>
      </c>
      <c r="BM27" s="466">
        <v>0</v>
      </c>
      <c r="BN27" s="466">
        <v>0</v>
      </c>
      <c r="BO27" s="466">
        <v>0</v>
      </c>
      <c r="BP27" s="466">
        <v>0</v>
      </c>
      <c r="BQ27" s="466">
        <v>0</v>
      </c>
      <c r="BR27" s="470">
        <v>3.6999999999999998E-2</v>
      </c>
      <c r="BS27" s="522">
        <v>0.64500000000000002</v>
      </c>
      <c r="BT27" s="522">
        <v>0.69599999999999995</v>
      </c>
      <c r="BU27" s="522" t="s">
        <v>1</v>
      </c>
      <c r="BV27" s="522" t="s">
        <v>1</v>
      </c>
      <c r="BW27" s="522" t="s">
        <v>1</v>
      </c>
      <c r="BX27" s="522" t="s">
        <v>1</v>
      </c>
      <c r="BY27" s="522" t="s">
        <v>1</v>
      </c>
      <c r="BZ27" s="522" t="s">
        <v>1</v>
      </c>
      <c r="CB27" s="466">
        <v>2</v>
      </c>
      <c r="CC27" s="53" t="s">
        <v>155</v>
      </c>
      <c r="CD27" s="53" t="s">
        <v>154</v>
      </c>
      <c r="CE27" s="468">
        <v>42582</v>
      </c>
    </row>
    <row r="28" spans="1:83" s="466" customFormat="1" ht="12.75">
      <c r="A28" s="467" t="s">
        <v>1979</v>
      </c>
      <c r="B28" s="517" t="s">
        <v>1980</v>
      </c>
      <c r="C28" s="467" t="s">
        <v>1981</v>
      </c>
      <c r="D28" s="467" t="s">
        <v>570</v>
      </c>
      <c r="E28" s="516">
        <v>43100</v>
      </c>
      <c r="F28" s="516">
        <v>43190</v>
      </c>
      <c r="G28" s="516">
        <v>41480</v>
      </c>
      <c r="H28" s="518">
        <v>62.3</v>
      </c>
      <c r="I28" s="518">
        <v>3.9</v>
      </c>
      <c r="J28" s="518">
        <v>115.7</v>
      </c>
      <c r="K28" s="518">
        <v>13.3</v>
      </c>
      <c r="L28" s="518" t="s">
        <v>2796</v>
      </c>
      <c r="M28" s="518" t="s">
        <v>2796</v>
      </c>
      <c r="N28" s="518">
        <v>66.8</v>
      </c>
      <c r="O28" s="518" t="s">
        <v>2796</v>
      </c>
      <c r="P28" s="518">
        <v>7.8</v>
      </c>
      <c r="Q28" s="518">
        <v>38.1</v>
      </c>
      <c r="R28" s="518">
        <v>0.8</v>
      </c>
      <c r="S28" s="518">
        <v>35.4</v>
      </c>
      <c r="T28" s="518">
        <v>40.299999999999997</v>
      </c>
      <c r="U28" s="518">
        <v>55.8</v>
      </c>
      <c r="V28" s="518">
        <v>34.799999999999997</v>
      </c>
      <c r="W28" s="518">
        <v>55.9</v>
      </c>
      <c r="X28" s="518">
        <v>-25.4</v>
      </c>
      <c r="Y28" s="518">
        <v>-26.1</v>
      </c>
      <c r="Z28" s="518">
        <v>-18.8</v>
      </c>
      <c r="AA28" s="518">
        <v>-29.7</v>
      </c>
      <c r="AB28" s="518">
        <v>-17.399999999999999</v>
      </c>
      <c r="AC28" s="518" t="s">
        <v>2796</v>
      </c>
      <c r="AD28" s="518" t="s">
        <v>2796</v>
      </c>
      <c r="AE28" s="518" t="s">
        <v>2796</v>
      </c>
      <c r="AF28" s="519">
        <v>-0.24299999999999999</v>
      </c>
      <c r="AG28" s="519">
        <v>-0.49299999999999999</v>
      </c>
      <c r="AH28" s="519">
        <v>-0.496</v>
      </c>
      <c r="AI28" s="519">
        <v>-0.49299999999999999</v>
      </c>
      <c r="AJ28" s="518">
        <v>-1.2</v>
      </c>
      <c r="AK28" s="518">
        <v>-33.200000000000003</v>
      </c>
      <c r="AL28" s="518">
        <v>-23.5</v>
      </c>
      <c r="AM28" s="518">
        <v>-0.2</v>
      </c>
      <c r="AN28" s="518">
        <v>0</v>
      </c>
      <c r="AO28" s="518">
        <v>0</v>
      </c>
      <c r="AP28" s="520" t="s">
        <v>1982</v>
      </c>
      <c r="AQ28" s="521">
        <v>1.63</v>
      </c>
      <c r="AR28" s="521">
        <v>2</v>
      </c>
      <c r="AS28" s="521">
        <v>1.25</v>
      </c>
      <c r="AT28" s="519">
        <v>0</v>
      </c>
      <c r="AU28" s="518">
        <v>-25.4</v>
      </c>
      <c r="AV28" s="518">
        <v>-26.1</v>
      </c>
      <c r="AW28" s="518">
        <v>-18.8</v>
      </c>
      <c r="AX28" s="518">
        <v>-29.7</v>
      </c>
      <c r="AY28" s="518">
        <v>-17.399999999999999</v>
      </c>
      <c r="AZ28" s="518">
        <v>31.4</v>
      </c>
      <c r="BA28" s="518">
        <v>19.5</v>
      </c>
      <c r="BB28" s="518">
        <v>23.4</v>
      </c>
      <c r="BC28" s="518">
        <v>21.8</v>
      </c>
      <c r="BD28" s="518">
        <v>28</v>
      </c>
      <c r="BE28" s="518">
        <v>2</v>
      </c>
      <c r="BF28" s="518">
        <v>44.2</v>
      </c>
      <c r="BG28" s="518">
        <v>1</v>
      </c>
      <c r="BH28" s="466" t="s">
        <v>1</v>
      </c>
      <c r="BI28" s="466" t="s">
        <v>1</v>
      </c>
      <c r="BJ28" s="518">
        <v>30.2</v>
      </c>
      <c r="BK28" s="466" t="s">
        <v>1</v>
      </c>
      <c r="BL28" s="466">
        <v>0</v>
      </c>
      <c r="BM28" s="466">
        <v>0</v>
      </c>
      <c r="BN28" s="466">
        <v>0</v>
      </c>
      <c r="BO28" s="466" t="s">
        <v>1</v>
      </c>
      <c r="BP28" s="466" t="s">
        <v>1</v>
      </c>
      <c r="BQ28" s="466" t="s">
        <v>1</v>
      </c>
      <c r="BR28" s="470">
        <v>3.0000000000000001E-3</v>
      </c>
      <c r="BS28" s="522">
        <v>0.70399999999999996</v>
      </c>
      <c r="BT28" s="522">
        <v>0.98499999999999999</v>
      </c>
      <c r="BU28" s="522">
        <v>0.93</v>
      </c>
      <c r="BV28" s="522">
        <v>0.90100000000000002</v>
      </c>
      <c r="BW28" s="522">
        <v>0.93400000000000005</v>
      </c>
      <c r="BX28" s="522">
        <v>0.93300000000000005</v>
      </c>
      <c r="BY28" s="522" t="s">
        <v>1</v>
      </c>
      <c r="BZ28" s="522" t="s">
        <v>1</v>
      </c>
      <c r="CB28" s="466">
        <v>2</v>
      </c>
      <c r="CC28" s="53" t="s">
        <v>155</v>
      </c>
      <c r="CD28" s="53" t="s">
        <v>154</v>
      </c>
      <c r="CE28" s="468">
        <v>42582</v>
      </c>
    </row>
    <row r="29" spans="1:83" s="466" customFormat="1" ht="12.75">
      <c r="A29" s="467" t="s">
        <v>1983</v>
      </c>
      <c r="B29" s="517" t="s">
        <v>1984</v>
      </c>
      <c r="C29" s="467" t="s">
        <v>1985</v>
      </c>
      <c r="D29" s="467" t="s">
        <v>697</v>
      </c>
      <c r="E29" s="516">
        <v>42916</v>
      </c>
      <c r="F29" s="516">
        <v>43100</v>
      </c>
      <c r="G29" s="516">
        <v>36280</v>
      </c>
      <c r="H29" s="518">
        <v>39.299999999999997</v>
      </c>
      <c r="I29" s="518">
        <v>0.3</v>
      </c>
      <c r="J29" s="518">
        <v>39.700000000000003</v>
      </c>
      <c r="K29" s="518">
        <v>0</v>
      </c>
      <c r="L29" s="518" t="s">
        <v>2796</v>
      </c>
      <c r="M29" s="518" t="s">
        <v>2796</v>
      </c>
      <c r="N29" s="518">
        <v>0.5</v>
      </c>
      <c r="O29" s="518">
        <v>0.7</v>
      </c>
      <c r="P29" s="518">
        <v>0.9</v>
      </c>
      <c r="Q29" s="518">
        <v>1.3</v>
      </c>
      <c r="R29" s="518">
        <v>0.9</v>
      </c>
      <c r="S29" s="518">
        <v>1.3</v>
      </c>
      <c r="T29" s="518" t="s">
        <v>2796</v>
      </c>
      <c r="U29" s="518" t="s">
        <v>2796</v>
      </c>
      <c r="V29" s="518" t="s">
        <v>2796</v>
      </c>
      <c r="W29" s="518" t="s">
        <v>2796</v>
      </c>
      <c r="X29" s="518">
        <v>-4.9000000000000004</v>
      </c>
      <c r="Y29" s="518">
        <v>-6.3</v>
      </c>
      <c r="Z29" s="518">
        <v>-5.8</v>
      </c>
      <c r="AA29" s="518">
        <v>-6.3</v>
      </c>
      <c r="AB29" s="518">
        <v>-5.8</v>
      </c>
      <c r="AC29" s="518" t="s">
        <v>2796</v>
      </c>
      <c r="AD29" s="518" t="s">
        <v>2796</v>
      </c>
      <c r="AE29" s="518" t="s">
        <v>2796</v>
      </c>
      <c r="AF29" s="519">
        <v>0.70599999999999996</v>
      </c>
      <c r="AG29" s="519" t="s">
        <v>1</v>
      </c>
      <c r="AH29" s="519" t="s">
        <v>1</v>
      </c>
      <c r="AI29" s="519" t="s">
        <v>1</v>
      </c>
      <c r="AJ29" s="518">
        <v>1.4</v>
      </c>
      <c r="AK29" s="518">
        <v>0.8</v>
      </c>
      <c r="AL29" s="518">
        <v>3.5</v>
      </c>
      <c r="AM29" s="518">
        <v>0</v>
      </c>
      <c r="AN29" s="518">
        <v>0</v>
      </c>
      <c r="AO29" s="518">
        <v>0</v>
      </c>
      <c r="AP29" s="520" t="s">
        <v>1986</v>
      </c>
      <c r="AQ29" s="521">
        <v>1.0900000000000001</v>
      </c>
      <c r="AR29" s="521">
        <v>0.51</v>
      </c>
      <c r="AS29" s="521">
        <v>0.95</v>
      </c>
      <c r="AT29" s="519">
        <v>0</v>
      </c>
      <c r="AU29" s="518">
        <v>-3.2</v>
      </c>
      <c r="AV29" s="518">
        <v>-4.3</v>
      </c>
      <c r="AW29" s="518">
        <v>-4.0999999999999996</v>
      </c>
      <c r="AX29" s="518">
        <v>-4.3</v>
      </c>
      <c r="AY29" s="518">
        <v>-4.0999999999999996</v>
      </c>
      <c r="AZ29" s="518">
        <v>1.4</v>
      </c>
      <c r="BA29" s="518">
        <v>2.6</v>
      </c>
      <c r="BB29" s="518">
        <v>3.9</v>
      </c>
      <c r="BC29" s="518">
        <v>2.6</v>
      </c>
      <c r="BD29" s="518">
        <v>3.9</v>
      </c>
      <c r="BE29" s="518">
        <v>0.2</v>
      </c>
      <c r="BF29" s="518">
        <v>19</v>
      </c>
      <c r="BG29" s="518">
        <v>1.4</v>
      </c>
      <c r="BH29" s="466" t="s">
        <v>1</v>
      </c>
      <c r="BI29" s="466" t="s">
        <v>1</v>
      </c>
      <c r="BJ29" s="518">
        <v>1.7</v>
      </c>
      <c r="BK29" s="466" t="s">
        <v>1</v>
      </c>
      <c r="BL29" s="466">
        <v>0.288995</v>
      </c>
      <c r="BM29" s="466">
        <v>0.105353</v>
      </c>
      <c r="BN29" s="466" t="s">
        <v>1</v>
      </c>
      <c r="BO29" s="466" t="s">
        <v>1</v>
      </c>
      <c r="BP29" s="466" t="s">
        <v>1</v>
      </c>
      <c r="BQ29" s="466" t="s">
        <v>1</v>
      </c>
      <c r="BR29" s="470">
        <v>3.0000000000000001E-3</v>
      </c>
      <c r="BS29" s="522">
        <v>0.89</v>
      </c>
      <c r="BT29" s="522">
        <v>0.97499999999999998</v>
      </c>
      <c r="BU29" s="522">
        <v>0.96199999999999997</v>
      </c>
      <c r="BV29" s="522">
        <v>1.012</v>
      </c>
      <c r="BW29" s="522">
        <v>1.3120000000000001</v>
      </c>
      <c r="BX29" s="522">
        <v>1.431</v>
      </c>
      <c r="BY29" s="522">
        <v>1.397</v>
      </c>
      <c r="BZ29" s="522">
        <v>1.35</v>
      </c>
      <c r="CB29" s="466">
        <v>2</v>
      </c>
      <c r="CC29" s="53" t="s">
        <v>155</v>
      </c>
      <c r="CD29" s="53" t="s">
        <v>154</v>
      </c>
      <c r="CE29" s="468">
        <v>42582</v>
      </c>
    </row>
    <row r="30" spans="1:83" s="466" customFormat="1" ht="12.75">
      <c r="A30" s="467" t="s">
        <v>2640</v>
      </c>
      <c r="B30" s="517" t="s">
        <v>2641</v>
      </c>
      <c r="C30" s="467" t="s">
        <v>2642</v>
      </c>
      <c r="D30" s="467" t="s">
        <v>697</v>
      </c>
      <c r="E30" s="516">
        <v>42916</v>
      </c>
      <c r="F30" s="516">
        <v>43100</v>
      </c>
      <c r="G30" s="516">
        <v>42604</v>
      </c>
      <c r="H30" s="518">
        <v>21.3</v>
      </c>
      <c r="I30" s="518">
        <v>0.2</v>
      </c>
      <c r="J30" s="518">
        <v>25.2</v>
      </c>
      <c r="K30" s="518" t="s">
        <v>1325</v>
      </c>
      <c r="L30" s="518" t="s">
        <v>2796</v>
      </c>
      <c r="M30" s="518" t="s">
        <v>2796</v>
      </c>
      <c r="N30" s="518">
        <v>4.0999999999999996</v>
      </c>
      <c r="O30" s="518">
        <v>0.7</v>
      </c>
      <c r="P30" s="518">
        <v>0.6</v>
      </c>
      <c r="Q30" s="518">
        <v>1.4</v>
      </c>
      <c r="R30" s="518">
        <v>0.6</v>
      </c>
      <c r="S30" s="518">
        <v>1.4</v>
      </c>
      <c r="T30" s="518" t="s">
        <v>2796</v>
      </c>
      <c r="U30" s="518" t="s">
        <v>2796</v>
      </c>
      <c r="V30" s="518" t="s">
        <v>2796</v>
      </c>
      <c r="W30" s="518" t="s">
        <v>2796</v>
      </c>
      <c r="X30" s="518">
        <v>-1.2</v>
      </c>
      <c r="Y30" s="518">
        <v>-2</v>
      </c>
      <c r="Z30" s="518">
        <v>-3.2</v>
      </c>
      <c r="AA30" s="518">
        <v>-2</v>
      </c>
      <c r="AB30" s="518">
        <v>-3.2</v>
      </c>
      <c r="AC30" s="518" t="s">
        <v>2796</v>
      </c>
      <c r="AD30" s="518" t="s">
        <v>2796</v>
      </c>
      <c r="AE30" s="518" t="s">
        <v>2796</v>
      </c>
      <c r="AF30" s="519">
        <v>-1.0369999999999999</v>
      </c>
      <c r="AG30" s="519">
        <v>-2.2970000000000002</v>
      </c>
      <c r="AH30" s="519">
        <v>-2.3010000000000002</v>
      </c>
      <c r="AI30" s="519">
        <v>-2.206</v>
      </c>
      <c r="AJ30" s="518">
        <v>-0.2</v>
      </c>
      <c r="AK30" s="518">
        <v>-0.3</v>
      </c>
      <c r="AL30" s="518">
        <v>-0.6</v>
      </c>
      <c r="AM30" s="518">
        <v>0</v>
      </c>
      <c r="AN30" s="518">
        <v>0</v>
      </c>
      <c r="AO30" s="518">
        <v>0</v>
      </c>
      <c r="AP30" s="520" t="s">
        <v>2643</v>
      </c>
      <c r="AQ30" s="521">
        <v>-0.56000000000000005</v>
      </c>
      <c r="AR30" s="521">
        <v>-1.26</v>
      </c>
      <c r="AS30" s="521" t="s">
        <v>1</v>
      </c>
      <c r="AT30" s="519">
        <v>0</v>
      </c>
      <c r="AU30" s="518">
        <v>-1.2</v>
      </c>
      <c r="AV30" s="518">
        <v>-2</v>
      </c>
      <c r="AW30" s="518">
        <v>-3.1</v>
      </c>
      <c r="AX30" s="518">
        <v>-2</v>
      </c>
      <c r="AY30" s="518">
        <v>-3.1</v>
      </c>
      <c r="AZ30" s="518">
        <v>0.2</v>
      </c>
      <c r="BA30" s="518">
        <v>6</v>
      </c>
      <c r="BB30" s="518">
        <v>3.5</v>
      </c>
      <c r="BC30" s="518">
        <v>6</v>
      </c>
      <c r="BD30" s="518">
        <v>3.5</v>
      </c>
      <c r="BE30" s="518">
        <v>0.2</v>
      </c>
      <c r="BF30" s="518">
        <v>18.899999999999999</v>
      </c>
      <c r="BG30" s="518" t="s">
        <v>1325</v>
      </c>
      <c r="BH30" s="466">
        <v>2.23489</v>
      </c>
      <c r="BI30" s="466" t="s">
        <v>1</v>
      </c>
      <c r="BJ30" s="518">
        <v>0.4</v>
      </c>
      <c r="BK30" s="466" t="s">
        <v>1</v>
      </c>
      <c r="BL30" s="466">
        <v>0</v>
      </c>
      <c r="BM30" s="466">
        <v>0</v>
      </c>
      <c r="BN30" s="466">
        <v>0</v>
      </c>
      <c r="BO30" s="466">
        <v>0</v>
      </c>
      <c r="BP30" s="466">
        <v>0</v>
      </c>
      <c r="BQ30" s="466">
        <v>0</v>
      </c>
      <c r="BR30" s="470">
        <v>3.0000000000000001E-3</v>
      </c>
      <c r="BS30" s="522">
        <v>0.64400000000000002</v>
      </c>
      <c r="BT30" s="522">
        <v>0.89800000000000002</v>
      </c>
      <c r="BU30" s="522" t="s">
        <v>1</v>
      </c>
      <c r="BV30" s="522" t="s">
        <v>1</v>
      </c>
      <c r="BW30" s="522" t="s">
        <v>1</v>
      </c>
      <c r="BX30" s="522" t="s">
        <v>1</v>
      </c>
      <c r="BY30" s="522" t="s">
        <v>1</v>
      </c>
      <c r="BZ30" s="522" t="s">
        <v>1</v>
      </c>
      <c r="CB30" s="466">
        <v>2</v>
      </c>
      <c r="CC30" s="53" t="s">
        <v>155</v>
      </c>
      <c r="CD30" s="53" t="s">
        <v>154</v>
      </c>
      <c r="CE30" s="468">
        <v>42582</v>
      </c>
    </row>
    <row r="31" spans="1:83" s="466" customFormat="1" ht="12.75">
      <c r="A31" s="467" t="s">
        <v>1987</v>
      </c>
      <c r="B31" s="517" t="s">
        <v>1988</v>
      </c>
      <c r="C31" s="467" t="s">
        <v>1989</v>
      </c>
      <c r="D31" s="467" t="s">
        <v>570</v>
      </c>
      <c r="E31" s="516">
        <v>43100</v>
      </c>
      <c r="F31" s="516">
        <v>43190</v>
      </c>
      <c r="G31" s="516">
        <v>42171</v>
      </c>
      <c r="H31" s="518">
        <v>20.3</v>
      </c>
      <c r="I31" s="518">
        <v>0.5</v>
      </c>
      <c r="J31" s="518">
        <v>19.3</v>
      </c>
      <c r="K31" s="518">
        <v>2.5</v>
      </c>
      <c r="L31" s="518" t="s">
        <v>2796</v>
      </c>
      <c r="M31" s="518" t="s">
        <v>2796</v>
      </c>
      <c r="N31" s="518">
        <v>1.6</v>
      </c>
      <c r="O31" s="518">
        <v>1.5</v>
      </c>
      <c r="P31" s="518">
        <v>0.4</v>
      </c>
      <c r="Q31" s="518">
        <v>0.5</v>
      </c>
      <c r="R31" s="518">
        <v>0.8</v>
      </c>
      <c r="S31" s="518">
        <v>0.3</v>
      </c>
      <c r="T31" s="518">
        <v>1.2</v>
      </c>
      <c r="U31" s="518" t="s">
        <v>2796</v>
      </c>
      <c r="V31" s="518">
        <v>39.5</v>
      </c>
      <c r="W31" s="518" t="s">
        <v>2796</v>
      </c>
      <c r="X31" s="518">
        <v>-18.100000000000001</v>
      </c>
      <c r="Y31" s="518">
        <v>-14.9</v>
      </c>
      <c r="Z31" s="518">
        <v>-19</v>
      </c>
      <c r="AA31" s="518">
        <v>-17.100000000000001</v>
      </c>
      <c r="AB31" s="518">
        <v>-17.2</v>
      </c>
      <c r="AC31" s="518" t="s">
        <v>2796</v>
      </c>
      <c r="AD31" s="518" t="s">
        <v>2796</v>
      </c>
      <c r="AE31" s="518" t="s">
        <v>2796</v>
      </c>
      <c r="AF31" s="519" t="s">
        <v>1</v>
      </c>
      <c r="AG31" s="519" t="s">
        <v>1</v>
      </c>
      <c r="AH31" s="519" t="s">
        <v>1</v>
      </c>
      <c r="AI31" s="519" t="s">
        <v>1</v>
      </c>
      <c r="AJ31" s="518">
        <v>-1.3</v>
      </c>
      <c r="AK31" s="518">
        <v>-1.3</v>
      </c>
      <c r="AL31" s="518">
        <v>-3.2</v>
      </c>
      <c r="AM31" s="518">
        <v>-0.3</v>
      </c>
      <c r="AN31" s="518">
        <v>-0.4</v>
      </c>
      <c r="AO31" s="518">
        <v>-0.1</v>
      </c>
      <c r="AP31" s="520" t="s">
        <v>1990</v>
      </c>
      <c r="AQ31" s="521">
        <v>1.73</v>
      </c>
      <c r="AR31" s="521">
        <v>2.31</v>
      </c>
      <c r="AS31" s="521">
        <v>3.67</v>
      </c>
      <c r="AT31" s="519">
        <v>0</v>
      </c>
      <c r="AU31" s="518">
        <v>-30</v>
      </c>
      <c r="AV31" s="518">
        <v>-25.7</v>
      </c>
      <c r="AW31" s="518">
        <v>-19.8</v>
      </c>
      <c r="AX31" s="518">
        <v>-27.8</v>
      </c>
      <c r="AY31" s="518">
        <v>-18.100000000000001</v>
      </c>
      <c r="AZ31" s="518">
        <v>28.2</v>
      </c>
      <c r="BA31" s="518">
        <v>15.9</v>
      </c>
      <c r="BB31" s="518">
        <v>7.5</v>
      </c>
      <c r="BC31" s="518">
        <v>8.8000000000000007</v>
      </c>
      <c r="BD31" s="518">
        <v>10.1</v>
      </c>
      <c r="BE31" s="518">
        <v>1.7</v>
      </c>
      <c r="BF31" s="518">
        <v>24.6</v>
      </c>
      <c r="BG31" s="518">
        <v>6.8</v>
      </c>
      <c r="BH31" s="466" t="s">
        <v>1</v>
      </c>
      <c r="BI31" s="466" t="s">
        <v>1</v>
      </c>
      <c r="BJ31" s="518">
        <v>10.8</v>
      </c>
      <c r="BK31" s="466" t="s">
        <v>1</v>
      </c>
      <c r="BL31" s="466">
        <v>-0.42809399999999997</v>
      </c>
      <c r="BM31" s="466">
        <v>2.8153000000000001E-2</v>
      </c>
      <c r="BN31" s="466">
        <v>0</v>
      </c>
      <c r="BO31" s="466" t="s">
        <v>1</v>
      </c>
      <c r="BP31" s="466" t="s">
        <v>1</v>
      </c>
      <c r="BQ31" s="466">
        <v>0</v>
      </c>
      <c r="BR31" s="470">
        <v>0.496</v>
      </c>
      <c r="BS31" s="522">
        <v>0.88200000000000001</v>
      </c>
      <c r="BT31" s="522">
        <v>1.339</v>
      </c>
      <c r="BU31" s="522">
        <v>1.226</v>
      </c>
      <c r="BV31" s="522">
        <v>1.212</v>
      </c>
      <c r="BW31" s="522" t="s">
        <v>1</v>
      </c>
      <c r="BX31" s="522" t="s">
        <v>1</v>
      </c>
      <c r="BY31" s="522" t="s">
        <v>1</v>
      </c>
      <c r="BZ31" s="522" t="s">
        <v>1</v>
      </c>
      <c r="CB31" s="466">
        <v>2</v>
      </c>
      <c r="CC31" s="53" t="s">
        <v>155</v>
      </c>
      <c r="CD31" s="53" t="s">
        <v>154</v>
      </c>
      <c r="CE31" s="468">
        <v>42582</v>
      </c>
    </row>
    <row r="32" spans="1:83" s="466" customFormat="1" ht="12.75">
      <c r="A32" s="467" t="s">
        <v>1991</v>
      </c>
      <c r="B32" s="517" t="s">
        <v>1992</v>
      </c>
      <c r="C32" s="467" t="s">
        <v>1993</v>
      </c>
      <c r="D32" s="467" t="s">
        <v>599</v>
      </c>
      <c r="E32" s="516">
        <v>43100</v>
      </c>
      <c r="F32" s="516">
        <v>43190</v>
      </c>
      <c r="G32" s="516">
        <v>34474</v>
      </c>
      <c r="H32" s="518">
        <v>8.3000000000000007</v>
      </c>
      <c r="I32" s="518">
        <v>1</v>
      </c>
      <c r="J32" s="518">
        <v>16.5</v>
      </c>
      <c r="K32" s="518" t="s">
        <v>1325</v>
      </c>
      <c r="L32" s="518" t="s">
        <v>2796</v>
      </c>
      <c r="M32" s="518" t="s">
        <v>2796</v>
      </c>
      <c r="N32" s="518">
        <v>8.1999999999999993</v>
      </c>
      <c r="O32" s="518">
        <v>0.5</v>
      </c>
      <c r="P32" s="518">
        <v>0.2</v>
      </c>
      <c r="Q32" s="518">
        <v>0.1</v>
      </c>
      <c r="R32" s="518">
        <v>0.3</v>
      </c>
      <c r="S32" s="518">
        <v>0.1</v>
      </c>
      <c r="T32" s="518">
        <v>0.2</v>
      </c>
      <c r="U32" s="518">
        <v>0.2</v>
      </c>
      <c r="V32" s="518">
        <v>8.9</v>
      </c>
      <c r="W32" s="518">
        <v>98.1</v>
      </c>
      <c r="X32" s="518">
        <v>-12.1</v>
      </c>
      <c r="Y32" s="518">
        <v>-12.3</v>
      </c>
      <c r="Z32" s="518">
        <v>-9.6999999999999993</v>
      </c>
      <c r="AA32" s="518">
        <v>-13.5</v>
      </c>
      <c r="AB32" s="518">
        <v>-10</v>
      </c>
      <c r="AC32" s="518">
        <v>-12.1</v>
      </c>
      <c r="AD32" s="518">
        <v>-14.6</v>
      </c>
      <c r="AE32" s="518">
        <v>-4.0999999999999996</v>
      </c>
      <c r="AF32" s="519" t="s">
        <v>1</v>
      </c>
      <c r="AG32" s="519" t="s">
        <v>1</v>
      </c>
      <c r="AH32" s="519" t="s">
        <v>1</v>
      </c>
      <c r="AI32" s="519" t="s">
        <v>1</v>
      </c>
      <c r="AJ32" s="518">
        <v>-2.1</v>
      </c>
      <c r="AK32" s="518">
        <v>-1.9</v>
      </c>
      <c r="AL32" s="518">
        <v>-1.2</v>
      </c>
      <c r="AM32" s="518">
        <v>-0.3</v>
      </c>
      <c r="AN32" s="518">
        <v>-0.2</v>
      </c>
      <c r="AO32" s="518">
        <v>-0.1</v>
      </c>
      <c r="AP32" s="520" t="s">
        <v>1994</v>
      </c>
      <c r="AQ32" s="521">
        <v>2.09</v>
      </c>
      <c r="AR32" s="521">
        <v>1.51</v>
      </c>
      <c r="AS32" s="521">
        <v>1.35</v>
      </c>
      <c r="AT32" s="519">
        <v>0</v>
      </c>
      <c r="AU32" s="518">
        <v>10.9</v>
      </c>
      <c r="AV32" s="518">
        <v>-19</v>
      </c>
      <c r="AW32" s="518">
        <v>-12.7</v>
      </c>
      <c r="AX32" s="518">
        <v>-18.8</v>
      </c>
      <c r="AY32" s="518">
        <v>-12.8</v>
      </c>
      <c r="AZ32" s="518">
        <v>22.6</v>
      </c>
      <c r="BA32" s="518">
        <v>6.6</v>
      </c>
      <c r="BB32" s="518">
        <v>11.3</v>
      </c>
      <c r="BC32" s="518">
        <v>9.6999999999999993</v>
      </c>
      <c r="BD32" s="518">
        <v>7.7</v>
      </c>
      <c r="BE32" s="518">
        <v>15.2</v>
      </c>
      <c r="BF32" s="518">
        <v>16.899999999999999</v>
      </c>
      <c r="BG32" s="518" t="s">
        <v>1325</v>
      </c>
      <c r="BH32" s="466" t="s">
        <v>1</v>
      </c>
      <c r="BI32" s="466" t="s">
        <v>1</v>
      </c>
      <c r="BJ32" s="518">
        <v>7.1</v>
      </c>
      <c r="BK32" s="466" t="s">
        <v>571</v>
      </c>
      <c r="BL32" s="466">
        <v>-0.57627799999999996</v>
      </c>
      <c r="BM32" s="466">
        <v>-0.40438200000000002</v>
      </c>
      <c r="BN32" s="466">
        <v>0</v>
      </c>
      <c r="BO32" s="466" t="s">
        <v>1</v>
      </c>
      <c r="BP32" s="466" t="s">
        <v>1</v>
      </c>
      <c r="BQ32" s="466">
        <v>0</v>
      </c>
      <c r="BR32" s="470">
        <v>4.3949999999999996</v>
      </c>
      <c r="BS32" s="522">
        <v>0.88100000000000001</v>
      </c>
      <c r="BT32" s="522">
        <v>1.214</v>
      </c>
      <c r="BU32" s="522">
        <v>1.2470000000000001</v>
      </c>
      <c r="BV32" s="522">
        <v>1.2</v>
      </c>
      <c r="BW32" s="522">
        <v>1.141</v>
      </c>
      <c r="BX32" s="522">
        <v>1.28</v>
      </c>
      <c r="BY32" s="522">
        <v>1.3959999999999999</v>
      </c>
      <c r="BZ32" s="522">
        <v>1.3540000000000001</v>
      </c>
      <c r="CB32" s="466">
        <v>2</v>
      </c>
      <c r="CC32" s="53" t="s">
        <v>155</v>
      </c>
      <c r="CD32" s="53" t="s">
        <v>154</v>
      </c>
      <c r="CE32" s="468">
        <v>42582</v>
      </c>
    </row>
    <row r="33" spans="1:83" s="466" customFormat="1" ht="12.75">
      <c r="A33" s="467" t="s">
        <v>2644</v>
      </c>
      <c r="B33" s="517" t="s">
        <v>2644</v>
      </c>
      <c r="C33" s="467" t="s">
        <v>2644</v>
      </c>
      <c r="D33" s="467" t="s">
        <v>2644</v>
      </c>
      <c r="E33" s="516" t="s">
        <v>2644</v>
      </c>
      <c r="F33" s="516" t="s">
        <v>2644</v>
      </c>
      <c r="G33" s="516" t="s">
        <v>2644</v>
      </c>
      <c r="H33" s="518" t="s">
        <v>2797</v>
      </c>
      <c r="I33" s="518" t="s">
        <v>2797</v>
      </c>
      <c r="J33" s="518" t="s">
        <v>2797</v>
      </c>
      <c r="K33" s="518" t="s">
        <v>2797</v>
      </c>
      <c r="L33" s="518" t="s">
        <v>2797</v>
      </c>
      <c r="M33" s="518" t="s">
        <v>2797</v>
      </c>
      <c r="N33" s="518" t="s">
        <v>2797</v>
      </c>
      <c r="O33" s="518" t="s">
        <v>2797</v>
      </c>
      <c r="P33" s="518" t="s">
        <v>2797</v>
      </c>
      <c r="Q33" s="518" t="s">
        <v>2797</v>
      </c>
      <c r="R33" s="518" t="s">
        <v>2797</v>
      </c>
      <c r="S33" s="518" t="s">
        <v>2797</v>
      </c>
      <c r="T33" s="518" t="s">
        <v>2797</v>
      </c>
      <c r="U33" s="518" t="s">
        <v>2797</v>
      </c>
      <c r="V33" s="518" t="s">
        <v>2797</v>
      </c>
      <c r="W33" s="518" t="s">
        <v>2797</v>
      </c>
      <c r="X33" s="518" t="s">
        <v>2797</v>
      </c>
      <c r="Y33" s="518" t="s">
        <v>2797</v>
      </c>
      <c r="Z33" s="518" t="s">
        <v>2797</v>
      </c>
      <c r="AA33" s="518" t="s">
        <v>2797</v>
      </c>
      <c r="AB33" s="518" t="s">
        <v>2797</v>
      </c>
      <c r="AC33" s="518" t="s">
        <v>2797</v>
      </c>
      <c r="AD33" s="518" t="s">
        <v>2797</v>
      </c>
      <c r="AE33" s="518" t="s">
        <v>2797</v>
      </c>
      <c r="AF33" s="519" t="s">
        <v>1</v>
      </c>
      <c r="AG33" s="519" t="s">
        <v>1</v>
      </c>
      <c r="AH33" s="519" t="s">
        <v>1</v>
      </c>
      <c r="AI33" s="519" t="s">
        <v>1</v>
      </c>
      <c r="AJ33" s="518" t="s">
        <v>2797</v>
      </c>
      <c r="AK33" s="518" t="s">
        <v>2797</v>
      </c>
      <c r="AL33" s="518" t="s">
        <v>2797</v>
      </c>
      <c r="AM33" s="518" t="s">
        <v>2797</v>
      </c>
      <c r="AN33" s="518" t="s">
        <v>2797</v>
      </c>
      <c r="AO33" s="518" t="s">
        <v>2797</v>
      </c>
      <c r="AP33" s="520" t="s">
        <v>2644</v>
      </c>
      <c r="AQ33" s="521" t="s">
        <v>2644</v>
      </c>
      <c r="AR33" s="521" t="s">
        <v>2644</v>
      </c>
      <c r="AS33" s="521" t="s">
        <v>2644</v>
      </c>
      <c r="AT33" s="519" t="s">
        <v>1</v>
      </c>
      <c r="AU33" s="518" t="s">
        <v>2797</v>
      </c>
      <c r="AV33" s="518" t="s">
        <v>2797</v>
      </c>
      <c r="AW33" s="518" t="s">
        <v>2797</v>
      </c>
      <c r="AX33" s="518" t="s">
        <v>2797</v>
      </c>
      <c r="AY33" s="518" t="s">
        <v>2797</v>
      </c>
      <c r="AZ33" s="518" t="s">
        <v>2797</v>
      </c>
      <c r="BA33" s="518" t="s">
        <v>2797</v>
      </c>
      <c r="BB33" s="518" t="s">
        <v>2797</v>
      </c>
      <c r="BC33" s="518" t="s">
        <v>2797</v>
      </c>
      <c r="BD33" s="518" t="s">
        <v>2797</v>
      </c>
      <c r="BE33" s="518" t="s">
        <v>2797</v>
      </c>
      <c r="BF33" s="518" t="s">
        <v>2797</v>
      </c>
      <c r="BG33" s="518" t="s">
        <v>2797</v>
      </c>
      <c r="BH33" s="466" t="s">
        <v>2644</v>
      </c>
      <c r="BI33" s="466" t="s">
        <v>2644</v>
      </c>
      <c r="BJ33" s="518" t="s">
        <v>2797</v>
      </c>
      <c r="BK33" s="466" t="s">
        <v>2644</v>
      </c>
      <c r="BL33" s="466" t="e">
        <v>#VALUE!</v>
      </c>
      <c r="BM33" s="466" t="e">
        <v>#VALUE!</v>
      </c>
      <c r="BN33" s="466" t="e">
        <v>#VALUE!</v>
      </c>
      <c r="BO33" s="466" t="e">
        <v>#VALUE!</v>
      </c>
      <c r="BP33" s="466" t="e">
        <v>#VALUE!</v>
      </c>
      <c r="BQ33" s="466" t="e">
        <v>#VALUE!</v>
      </c>
      <c r="BR33" s="470" t="s">
        <v>571</v>
      </c>
      <c r="BS33" s="522" t="e">
        <v>#VALUE!</v>
      </c>
      <c r="BT33" s="522" t="e">
        <v>#VALUE!</v>
      </c>
      <c r="BU33" s="522" t="e">
        <v>#VALUE!</v>
      </c>
      <c r="BV33" s="522" t="e">
        <v>#VALUE!</v>
      </c>
      <c r="BW33" s="522" t="e">
        <v>#VALUE!</v>
      </c>
      <c r="BX33" s="522" t="e">
        <v>#VALUE!</v>
      </c>
      <c r="BY33" s="522" t="e">
        <v>#VALUE!</v>
      </c>
      <c r="BZ33" s="522" t="e">
        <v>#VALUE!</v>
      </c>
      <c r="CB33" s="466">
        <v>2</v>
      </c>
      <c r="CC33" s="53" t="s">
        <v>155</v>
      </c>
      <c r="CD33" s="53" t="s">
        <v>154</v>
      </c>
      <c r="CE33" s="468">
        <v>42582</v>
      </c>
    </row>
    <row r="34" spans="1:83" s="466" customFormat="1" ht="12.75">
      <c r="A34" s="467" t="s">
        <v>2644</v>
      </c>
      <c r="B34" s="517" t="s">
        <v>2644</v>
      </c>
      <c r="C34" s="467" t="s">
        <v>2644</v>
      </c>
      <c r="D34" s="467" t="s">
        <v>2644</v>
      </c>
      <c r="E34" s="516" t="s">
        <v>2644</v>
      </c>
      <c r="F34" s="516" t="s">
        <v>2644</v>
      </c>
      <c r="G34" s="516" t="s">
        <v>2644</v>
      </c>
      <c r="H34" s="518" t="s">
        <v>2797</v>
      </c>
      <c r="I34" s="518" t="s">
        <v>2797</v>
      </c>
      <c r="J34" s="518" t="s">
        <v>2797</v>
      </c>
      <c r="K34" s="518" t="s">
        <v>2797</v>
      </c>
      <c r="L34" s="518" t="s">
        <v>2797</v>
      </c>
      <c r="M34" s="518" t="s">
        <v>2797</v>
      </c>
      <c r="N34" s="518" t="s">
        <v>2797</v>
      </c>
      <c r="O34" s="518" t="s">
        <v>2797</v>
      </c>
      <c r="P34" s="518" t="s">
        <v>2797</v>
      </c>
      <c r="Q34" s="518" t="s">
        <v>2797</v>
      </c>
      <c r="R34" s="518" t="s">
        <v>2797</v>
      </c>
      <c r="S34" s="518" t="s">
        <v>2797</v>
      </c>
      <c r="T34" s="518" t="s">
        <v>2797</v>
      </c>
      <c r="U34" s="518" t="s">
        <v>2797</v>
      </c>
      <c r="V34" s="518" t="s">
        <v>2797</v>
      </c>
      <c r="W34" s="518" t="s">
        <v>2797</v>
      </c>
      <c r="X34" s="518" t="s">
        <v>2797</v>
      </c>
      <c r="Y34" s="518" t="s">
        <v>2797</v>
      </c>
      <c r="Z34" s="518" t="s">
        <v>2797</v>
      </c>
      <c r="AA34" s="518" t="s">
        <v>2797</v>
      </c>
      <c r="AB34" s="518" t="s">
        <v>2797</v>
      </c>
      <c r="AC34" s="518" t="s">
        <v>2797</v>
      </c>
      <c r="AD34" s="518" t="s">
        <v>2797</v>
      </c>
      <c r="AE34" s="518" t="s">
        <v>2797</v>
      </c>
      <c r="AF34" s="519" t="s">
        <v>1</v>
      </c>
      <c r="AG34" s="519" t="s">
        <v>1</v>
      </c>
      <c r="AH34" s="519" t="s">
        <v>1</v>
      </c>
      <c r="AI34" s="519" t="s">
        <v>1</v>
      </c>
      <c r="AJ34" s="518" t="s">
        <v>2797</v>
      </c>
      <c r="AK34" s="518" t="s">
        <v>2797</v>
      </c>
      <c r="AL34" s="518" t="s">
        <v>2797</v>
      </c>
      <c r="AM34" s="518" t="s">
        <v>2797</v>
      </c>
      <c r="AN34" s="518" t="s">
        <v>2797</v>
      </c>
      <c r="AO34" s="518" t="s">
        <v>2797</v>
      </c>
      <c r="AP34" s="520" t="s">
        <v>2644</v>
      </c>
      <c r="AQ34" s="521" t="s">
        <v>2644</v>
      </c>
      <c r="AR34" s="521" t="s">
        <v>2644</v>
      </c>
      <c r="AS34" s="521" t="s">
        <v>2644</v>
      </c>
      <c r="AT34" s="519" t="s">
        <v>1</v>
      </c>
      <c r="AU34" s="518" t="s">
        <v>2797</v>
      </c>
      <c r="AV34" s="518" t="s">
        <v>2797</v>
      </c>
      <c r="AW34" s="518" t="s">
        <v>2797</v>
      </c>
      <c r="AX34" s="518" t="s">
        <v>2797</v>
      </c>
      <c r="AY34" s="518" t="s">
        <v>2797</v>
      </c>
      <c r="AZ34" s="518" t="s">
        <v>2797</v>
      </c>
      <c r="BA34" s="518" t="s">
        <v>2797</v>
      </c>
      <c r="BB34" s="518" t="s">
        <v>2797</v>
      </c>
      <c r="BC34" s="518" t="s">
        <v>2797</v>
      </c>
      <c r="BD34" s="518" t="s">
        <v>2797</v>
      </c>
      <c r="BE34" s="518" t="s">
        <v>2797</v>
      </c>
      <c r="BF34" s="518" t="s">
        <v>2797</v>
      </c>
      <c r="BG34" s="518" t="s">
        <v>2797</v>
      </c>
      <c r="BH34" s="466" t="s">
        <v>2644</v>
      </c>
      <c r="BI34" s="466" t="s">
        <v>2644</v>
      </c>
      <c r="BJ34" s="518" t="s">
        <v>2797</v>
      </c>
      <c r="BK34" s="466" t="s">
        <v>2644</v>
      </c>
      <c r="BL34" s="466" t="e">
        <v>#VALUE!</v>
      </c>
      <c r="BM34" s="466" t="e">
        <v>#VALUE!</v>
      </c>
      <c r="BN34" s="466" t="e">
        <v>#VALUE!</v>
      </c>
      <c r="BO34" s="466" t="e">
        <v>#VALUE!</v>
      </c>
      <c r="BP34" s="466" t="e">
        <v>#VALUE!</v>
      </c>
      <c r="BQ34" s="466" t="e">
        <v>#VALUE!</v>
      </c>
      <c r="BR34" s="470" t="s">
        <v>571</v>
      </c>
      <c r="BS34" s="522" t="e">
        <v>#VALUE!</v>
      </c>
      <c r="BT34" s="522" t="e">
        <v>#VALUE!</v>
      </c>
      <c r="BU34" s="522" t="e">
        <v>#VALUE!</v>
      </c>
      <c r="BV34" s="522" t="e">
        <v>#VALUE!</v>
      </c>
      <c r="BW34" s="522" t="e">
        <v>#VALUE!</v>
      </c>
      <c r="BX34" s="522" t="e">
        <v>#VALUE!</v>
      </c>
      <c r="BY34" s="522" t="e">
        <v>#VALUE!</v>
      </c>
      <c r="BZ34" s="522" t="e">
        <v>#VALUE!</v>
      </c>
      <c r="CB34" s="466">
        <v>2</v>
      </c>
      <c r="CC34" s="53" t="s">
        <v>155</v>
      </c>
      <c r="CD34" s="53" t="s">
        <v>154</v>
      </c>
      <c r="CE34" s="468">
        <v>42582</v>
      </c>
    </row>
    <row r="35" spans="1:83" s="466" customFormat="1" ht="12.75">
      <c r="A35" s="467" t="s">
        <v>2644</v>
      </c>
      <c r="B35" s="517" t="s">
        <v>2644</v>
      </c>
      <c r="C35" s="467" t="s">
        <v>2644</v>
      </c>
      <c r="D35" s="467" t="s">
        <v>2644</v>
      </c>
      <c r="E35" s="516" t="s">
        <v>2644</v>
      </c>
      <c r="F35" s="516" t="s">
        <v>2644</v>
      </c>
      <c r="G35" s="516" t="s">
        <v>2644</v>
      </c>
      <c r="H35" s="518" t="s">
        <v>2797</v>
      </c>
      <c r="I35" s="518" t="s">
        <v>2797</v>
      </c>
      <c r="J35" s="518" t="s">
        <v>2797</v>
      </c>
      <c r="K35" s="518" t="s">
        <v>2797</v>
      </c>
      <c r="L35" s="518" t="s">
        <v>2797</v>
      </c>
      <c r="M35" s="518" t="s">
        <v>2797</v>
      </c>
      <c r="N35" s="518" t="s">
        <v>2797</v>
      </c>
      <c r="O35" s="518" t="s">
        <v>2797</v>
      </c>
      <c r="P35" s="518" t="s">
        <v>2797</v>
      </c>
      <c r="Q35" s="518" t="s">
        <v>2797</v>
      </c>
      <c r="R35" s="518" t="s">
        <v>2797</v>
      </c>
      <c r="S35" s="518" t="s">
        <v>2797</v>
      </c>
      <c r="T35" s="518" t="s">
        <v>2797</v>
      </c>
      <c r="U35" s="518" t="s">
        <v>2797</v>
      </c>
      <c r="V35" s="518" t="s">
        <v>2797</v>
      </c>
      <c r="W35" s="518" t="s">
        <v>2797</v>
      </c>
      <c r="X35" s="518" t="s">
        <v>2797</v>
      </c>
      <c r="Y35" s="518" t="s">
        <v>2797</v>
      </c>
      <c r="Z35" s="518" t="s">
        <v>2797</v>
      </c>
      <c r="AA35" s="518" t="s">
        <v>2797</v>
      </c>
      <c r="AB35" s="518" t="s">
        <v>2797</v>
      </c>
      <c r="AC35" s="518" t="s">
        <v>2797</v>
      </c>
      <c r="AD35" s="518" t="s">
        <v>2797</v>
      </c>
      <c r="AE35" s="518" t="s">
        <v>2797</v>
      </c>
      <c r="AF35" s="519" t="s">
        <v>1</v>
      </c>
      <c r="AG35" s="519" t="s">
        <v>1</v>
      </c>
      <c r="AH35" s="519" t="s">
        <v>1</v>
      </c>
      <c r="AI35" s="519" t="s">
        <v>1</v>
      </c>
      <c r="AJ35" s="518" t="s">
        <v>2797</v>
      </c>
      <c r="AK35" s="518" t="s">
        <v>2797</v>
      </c>
      <c r="AL35" s="518" t="s">
        <v>2797</v>
      </c>
      <c r="AM35" s="518" t="s">
        <v>2797</v>
      </c>
      <c r="AN35" s="518" t="s">
        <v>2797</v>
      </c>
      <c r="AO35" s="518" t="s">
        <v>2797</v>
      </c>
      <c r="AP35" s="520" t="s">
        <v>2644</v>
      </c>
      <c r="AQ35" s="521" t="s">
        <v>2644</v>
      </c>
      <c r="AR35" s="521" t="s">
        <v>2644</v>
      </c>
      <c r="AS35" s="521" t="s">
        <v>2644</v>
      </c>
      <c r="AT35" s="519" t="s">
        <v>1</v>
      </c>
      <c r="AU35" s="518" t="s">
        <v>2797</v>
      </c>
      <c r="AV35" s="518" t="s">
        <v>2797</v>
      </c>
      <c r="AW35" s="518" t="s">
        <v>2797</v>
      </c>
      <c r="AX35" s="518" t="s">
        <v>2797</v>
      </c>
      <c r="AY35" s="518" t="s">
        <v>2797</v>
      </c>
      <c r="AZ35" s="518" t="s">
        <v>2797</v>
      </c>
      <c r="BA35" s="518" t="s">
        <v>2797</v>
      </c>
      <c r="BB35" s="518" t="s">
        <v>2797</v>
      </c>
      <c r="BC35" s="518" t="s">
        <v>2797</v>
      </c>
      <c r="BD35" s="518" t="s">
        <v>2797</v>
      </c>
      <c r="BE35" s="518" t="s">
        <v>2797</v>
      </c>
      <c r="BF35" s="518" t="s">
        <v>2797</v>
      </c>
      <c r="BG35" s="518" t="s">
        <v>2797</v>
      </c>
      <c r="BH35" s="466" t="s">
        <v>2644</v>
      </c>
      <c r="BI35" s="466" t="s">
        <v>2644</v>
      </c>
      <c r="BJ35" s="518" t="s">
        <v>2797</v>
      </c>
      <c r="BK35" s="466" t="s">
        <v>2644</v>
      </c>
      <c r="BL35" s="466" t="e">
        <v>#VALUE!</v>
      </c>
      <c r="BM35" s="466" t="e">
        <v>#VALUE!</v>
      </c>
      <c r="BN35" s="466" t="e">
        <v>#VALUE!</v>
      </c>
      <c r="BO35" s="466" t="e">
        <v>#VALUE!</v>
      </c>
      <c r="BP35" s="466" t="e">
        <v>#VALUE!</v>
      </c>
      <c r="BQ35" s="466" t="e">
        <v>#VALUE!</v>
      </c>
      <c r="BR35" s="466" t="s">
        <v>571</v>
      </c>
      <c r="BS35" s="522" t="e">
        <v>#VALUE!</v>
      </c>
      <c r="BT35" s="522" t="e">
        <v>#VALUE!</v>
      </c>
      <c r="BU35" s="522" t="e">
        <v>#VALUE!</v>
      </c>
      <c r="BV35" s="522" t="e">
        <v>#VALUE!</v>
      </c>
      <c r="BW35" s="522" t="e">
        <v>#VALUE!</v>
      </c>
      <c r="BX35" s="522" t="e">
        <v>#VALUE!</v>
      </c>
      <c r="BY35" s="522" t="e">
        <v>#VALUE!</v>
      </c>
      <c r="BZ35" s="522" t="e">
        <v>#VALUE!</v>
      </c>
      <c r="CB35" s="466">
        <v>2</v>
      </c>
      <c r="CC35" s="53" t="s">
        <v>155</v>
      </c>
      <c r="CD35" s="53" t="s">
        <v>154</v>
      </c>
      <c r="CE35" s="468">
        <v>42582</v>
      </c>
    </row>
    <row r="36" spans="1:83" s="466" customFormat="1" ht="12.75">
      <c r="A36" s="467" t="s">
        <v>2644</v>
      </c>
      <c r="B36" s="517" t="s">
        <v>2644</v>
      </c>
      <c r="C36" s="467" t="s">
        <v>2644</v>
      </c>
      <c r="D36" s="467" t="s">
        <v>2644</v>
      </c>
      <c r="E36" s="516" t="s">
        <v>2644</v>
      </c>
      <c r="F36" s="516" t="s">
        <v>2644</v>
      </c>
      <c r="G36" s="516" t="s">
        <v>2644</v>
      </c>
      <c r="H36" s="518" t="s">
        <v>2797</v>
      </c>
      <c r="I36" s="518" t="s">
        <v>2797</v>
      </c>
      <c r="J36" s="518" t="s">
        <v>2797</v>
      </c>
      <c r="K36" s="518" t="s">
        <v>2797</v>
      </c>
      <c r="L36" s="518" t="s">
        <v>2797</v>
      </c>
      <c r="M36" s="518" t="s">
        <v>2797</v>
      </c>
      <c r="N36" s="518" t="s">
        <v>2797</v>
      </c>
      <c r="O36" s="518" t="s">
        <v>2797</v>
      </c>
      <c r="P36" s="518" t="s">
        <v>2797</v>
      </c>
      <c r="Q36" s="518" t="s">
        <v>2797</v>
      </c>
      <c r="R36" s="518" t="s">
        <v>2797</v>
      </c>
      <c r="S36" s="518" t="s">
        <v>2797</v>
      </c>
      <c r="T36" s="518" t="s">
        <v>2797</v>
      </c>
      <c r="U36" s="518" t="s">
        <v>2797</v>
      </c>
      <c r="V36" s="518" t="s">
        <v>2797</v>
      </c>
      <c r="W36" s="518" t="s">
        <v>2797</v>
      </c>
      <c r="X36" s="518" t="s">
        <v>2797</v>
      </c>
      <c r="Y36" s="518" t="s">
        <v>2797</v>
      </c>
      <c r="Z36" s="518" t="s">
        <v>2797</v>
      </c>
      <c r="AA36" s="518" t="s">
        <v>2797</v>
      </c>
      <c r="AB36" s="518" t="s">
        <v>2797</v>
      </c>
      <c r="AC36" s="518" t="s">
        <v>2797</v>
      </c>
      <c r="AD36" s="518" t="s">
        <v>2797</v>
      </c>
      <c r="AE36" s="518" t="s">
        <v>2797</v>
      </c>
      <c r="AF36" s="519" t="s">
        <v>1</v>
      </c>
      <c r="AG36" s="519" t="s">
        <v>1</v>
      </c>
      <c r="AH36" s="519" t="s">
        <v>1</v>
      </c>
      <c r="AI36" s="519" t="s">
        <v>1</v>
      </c>
      <c r="AJ36" s="518" t="s">
        <v>2797</v>
      </c>
      <c r="AK36" s="518" t="s">
        <v>2797</v>
      </c>
      <c r="AL36" s="518" t="s">
        <v>2797</v>
      </c>
      <c r="AM36" s="518" t="s">
        <v>2797</v>
      </c>
      <c r="AN36" s="518" t="s">
        <v>2797</v>
      </c>
      <c r="AO36" s="518" t="s">
        <v>2797</v>
      </c>
      <c r="AP36" s="520" t="s">
        <v>2644</v>
      </c>
      <c r="AQ36" s="521" t="s">
        <v>2644</v>
      </c>
      <c r="AR36" s="521" t="s">
        <v>2644</v>
      </c>
      <c r="AS36" s="521" t="s">
        <v>2644</v>
      </c>
      <c r="AT36" s="519" t="s">
        <v>1</v>
      </c>
      <c r="AU36" s="518" t="s">
        <v>2797</v>
      </c>
      <c r="AV36" s="518" t="s">
        <v>2797</v>
      </c>
      <c r="AW36" s="518" t="s">
        <v>2797</v>
      </c>
      <c r="AX36" s="518" t="s">
        <v>2797</v>
      </c>
      <c r="AY36" s="518" t="s">
        <v>2797</v>
      </c>
      <c r="AZ36" s="518" t="s">
        <v>2797</v>
      </c>
      <c r="BA36" s="518" t="s">
        <v>2797</v>
      </c>
      <c r="BB36" s="518" t="s">
        <v>2797</v>
      </c>
      <c r="BC36" s="518" t="s">
        <v>2797</v>
      </c>
      <c r="BD36" s="518" t="s">
        <v>2797</v>
      </c>
      <c r="BE36" s="518" t="s">
        <v>2797</v>
      </c>
      <c r="BF36" s="518" t="s">
        <v>2797</v>
      </c>
      <c r="BG36" s="518" t="s">
        <v>2797</v>
      </c>
      <c r="BH36" s="466" t="s">
        <v>2644</v>
      </c>
      <c r="BI36" s="466" t="s">
        <v>2644</v>
      </c>
      <c r="BJ36" s="518" t="s">
        <v>2797</v>
      </c>
      <c r="BK36" s="466" t="s">
        <v>2644</v>
      </c>
      <c r="BL36" s="466" t="e">
        <v>#VALUE!</v>
      </c>
      <c r="BM36" s="466" t="e">
        <v>#VALUE!</v>
      </c>
      <c r="BN36" s="466" t="e">
        <v>#VALUE!</v>
      </c>
      <c r="BO36" s="466" t="e">
        <v>#VALUE!</v>
      </c>
      <c r="BP36" s="466" t="e">
        <v>#VALUE!</v>
      </c>
      <c r="BQ36" s="466" t="e">
        <v>#VALUE!</v>
      </c>
      <c r="BR36" s="466" t="s">
        <v>571</v>
      </c>
      <c r="BS36" s="522" t="e">
        <v>#VALUE!</v>
      </c>
      <c r="BT36" s="522" t="e">
        <v>#VALUE!</v>
      </c>
      <c r="BU36" s="522" t="e">
        <v>#VALUE!</v>
      </c>
      <c r="BV36" s="522" t="e">
        <v>#VALUE!</v>
      </c>
      <c r="BW36" s="522" t="e">
        <v>#VALUE!</v>
      </c>
      <c r="BX36" s="522" t="e">
        <v>#VALUE!</v>
      </c>
      <c r="BY36" s="522" t="e">
        <v>#VALUE!</v>
      </c>
      <c r="BZ36" s="522" t="e">
        <v>#VALUE!</v>
      </c>
      <c r="CB36" s="466">
        <v>2</v>
      </c>
      <c r="CC36" s="53" t="s">
        <v>155</v>
      </c>
      <c r="CD36" s="53" t="s">
        <v>154</v>
      </c>
      <c r="CE36" s="468">
        <v>42582</v>
      </c>
    </row>
    <row r="37" spans="1:83" s="466" customFormat="1" ht="12.75">
      <c r="A37" s="467" t="s">
        <v>2644</v>
      </c>
      <c r="B37" s="517" t="s">
        <v>2644</v>
      </c>
      <c r="C37" s="467" t="s">
        <v>2644</v>
      </c>
      <c r="D37" s="467" t="s">
        <v>2644</v>
      </c>
      <c r="E37" s="516" t="s">
        <v>2644</v>
      </c>
      <c r="F37" s="516" t="s">
        <v>2644</v>
      </c>
      <c r="G37" s="516" t="s">
        <v>2644</v>
      </c>
      <c r="H37" s="518" t="s">
        <v>2797</v>
      </c>
      <c r="I37" s="518" t="s">
        <v>2797</v>
      </c>
      <c r="J37" s="518" t="s">
        <v>2797</v>
      </c>
      <c r="K37" s="518" t="s">
        <v>2797</v>
      </c>
      <c r="L37" s="518" t="s">
        <v>2797</v>
      </c>
      <c r="M37" s="518" t="s">
        <v>2797</v>
      </c>
      <c r="N37" s="518" t="s">
        <v>2797</v>
      </c>
      <c r="O37" s="518" t="s">
        <v>2797</v>
      </c>
      <c r="P37" s="518" t="s">
        <v>2797</v>
      </c>
      <c r="Q37" s="518" t="s">
        <v>2797</v>
      </c>
      <c r="R37" s="518" t="s">
        <v>2797</v>
      </c>
      <c r="S37" s="518" t="s">
        <v>2797</v>
      </c>
      <c r="T37" s="518" t="s">
        <v>2797</v>
      </c>
      <c r="U37" s="518" t="s">
        <v>2797</v>
      </c>
      <c r="V37" s="518" t="s">
        <v>2797</v>
      </c>
      <c r="W37" s="518" t="s">
        <v>2797</v>
      </c>
      <c r="X37" s="518" t="s">
        <v>2797</v>
      </c>
      <c r="Y37" s="518" t="s">
        <v>2797</v>
      </c>
      <c r="Z37" s="518" t="s">
        <v>2797</v>
      </c>
      <c r="AA37" s="518" t="s">
        <v>2797</v>
      </c>
      <c r="AB37" s="518" t="s">
        <v>2797</v>
      </c>
      <c r="AC37" s="518" t="s">
        <v>2797</v>
      </c>
      <c r="AD37" s="518" t="s">
        <v>2797</v>
      </c>
      <c r="AE37" s="518" t="s">
        <v>2797</v>
      </c>
      <c r="AF37" s="519" t="s">
        <v>1</v>
      </c>
      <c r="AG37" s="519" t="s">
        <v>1</v>
      </c>
      <c r="AH37" s="519" t="s">
        <v>1</v>
      </c>
      <c r="AI37" s="519" t="s">
        <v>1</v>
      </c>
      <c r="AJ37" s="518" t="s">
        <v>2797</v>
      </c>
      <c r="AK37" s="518" t="s">
        <v>2797</v>
      </c>
      <c r="AL37" s="518" t="s">
        <v>2797</v>
      </c>
      <c r="AM37" s="518" t="s">
        <v>2797</v>
      </c>
      <c r="AN37" s="518" t="s">
        <v>2797</v>
      </c>
      <c r="AO37" s="518" t="s">
        <v>2797</v>
      </c>
      <c r="AP37" s="520" t="s">
        <v>2644</v>
      </c>
      <c r="AQ37" s="521" t="s">
        <v>2644</v>
      </c>
      <c r="AR37" s="521" t="s">
        <v>2644</v>
      </c>
      <c r="AS37" s="521" t="s">
        <v>2644</v>
      </c>
      <c r="AT37" s="519" t="s">
        <v>1</v>
      </c>
      <c r="AU37" s="518" t="s">
        <v>2797</v>
      </c>
      <c r="AV37" s="518" t="s">
        <v>2797</v>
      </c>
      <c r="AW37" s="518" t="s">
        <v>2797</v>
      </c>
      <c r="AX37" s="518" t="s">
        <v>2797</v>
      </c>
      <c r="AY37" s="518" t="s">
        <v>2797</v>
      </c>
      <c r="AZ37" s="518" t="s">
        <v>2797</v>
      </c>
      <c r="BA37" s="518" t="s">
        <v>2797</v>
      </c>
      <c r="BB37" s="518" t="s">
        <v>2797</v>
      </c>
      <c r="BC37" s="518" t="s">
        <v>2797</v>
      </c>
      <c r="BD37" s="518" t="s">
        <v>2797</v>
      </c>
      <c r="BE37" s="518" t="s">
        <v>2797</v>
      </c>
      <c r="BF37" s="518" t="s">
        <v>2797</v>
      </c>
      <c r="BG37" s="518" t="s">
        <v>2797</v>
      </c>
      <c r="BH37" s="466" t="s">
        <v>2644</v>
      </c>
      <c r="BI37" s="466" t="s">
        <v>2644</v>
      </c>
      <c r="BJ37" s="518" t="s">
        <v>2797</v>
      </c>
      <c r="BK37" s="466" t="s">
        <v>2644</v>
      </c>
      <c r="BL37" s="466" t="e">
        <v>#VALUE!</v>
      </c>
      <c r="BM37" s="466" t="e">
        <v>#VALUE!</v>
      </c>
      <c r="BN37" s="466" t="e">
        <v>#VALUE!</v>
      </c>
      <c r="BO37" s="466" t="e">
        <v>#VALUE!</v>
      </c>
      <c r="BP37" s="466" t="e">
        <v>#VALUE!</v>
      </c>
      <c r="BQ37" s="466" t="e">
        <v>#VALUE!</v>
      </c>
      <c r="BR37" s="466" t="s">
        <v>571</v>
      </c>
      <c r="BS37" s="470" t="e">
        <v>#VALUE!</v>
      </c>
      <c r="BT37" s="470" t="e">
        <v>#VALUE!</v>
      </c>
      <c r="BU37" s="470" t="e">
        <v>#VALUE!</v>
      </c>
      <c r="BV37" s="470" t="e">
        <v>#VALUE!</v>
      </c>
      <c r="BW37" s="470" t="e">
        <v>#VALUE!</v>
      </c>
      <c r="BX37" s="470" t="e">
        <v>#VALUE!</v>
      </c>
      <c r="BY37" s="470" t="e">
        <v>#VALUE!</v>
      </c>
      <c r="BZ37" s="470" t="e">
        <v>#VALUE!</v>
      </c>
      <c r="CB37" s="466">
        <v>2</v>
      </c>
      <c r="CC37" s="53" t="s">
        <v>155</v>
      </c>
      <c r="CD37" s="53" t="s">
        <v>154</v>
      </c>
      <c r="CE37" s="468">
        <v>42582</v>
      </c>
    </row>
    <row r="38" spans="1:83" s="466" customFormat="1" ht="12.75">
      <c r="A38" s="467" t="s">
        <v>2644</v>
      </c>
      <c r="B38" s="517" t="s">
        <v>2644</v>
      </c>
      <c r="C38" s="467" t="s">
        <v>2644</v>
      </c>
      <c r="D38" s="467" t="s">
        <v>2644</v>
      </c>
      <c r="E38" s="516" t="s">
        <v>2644</v>
      </c>
      <c r="F38" s="516" t="s">
        <v>2644</v>
      </c>
      <c r="G38" s="516" t="s">
        <v>2644</v>
      </c>
      <c r="H38" s="518" t="s">
        <v>2797</v>
      </c>
      <c r="I38" s="518" t="s">
        <v>2797</v>
      </c>
      <c r="J38" s="518" t="s">
        <v>2797</v>
      </c>
      <c r="K38" s="518" t="s">
        <v>2797</v>
      </c>
      <c r="L38" s="518" t="s">
        <v>2797</v>
      </c>
      <c r="M38" s="518" t="s">
        <v>2797</v>
      </c>
      <c r="N38" s="518" t="s">
        <v>2797</v>
      </c>
      <c r="O38" s="518" t="s">
        <v>2797</v>
      </c>
      <c r="P38" s="518" t="s">
        <v>2797</v>
      </c>
      <c r="Q38" s="518" t="s">
        <v>2797</v>
      </c>
      <c r="R38" s="518" t="s">
        <v>2797</v>
      </c>
      <c r="S38" s="518" t="s">
        <v>2797</v>
      </c>
      <c r="T38" s="518" t="s">
        <v>2797</v>
      </c>
      <c r="U38" s="518" t="s">
        <v>2797</v>
      </c>
      <c r="V38" s="518" t="s">
        <v>2797</v>
      </c>
      <c r="W38" s="518" t="s">
        <v>2797</v>
      </c>
      <c r="X38" s="518" t="s">
        <v>2797</v>
      </c>
      <c r="Y38" s="518" t="s">
        <v>2797</v>
      </c>
      <c r="Z38" s="518" t="s">
        <v>2797</v>
      </c>
      <c r="AA38" s="518" t="s">
        <v>2797</v>
      </c>
      <c r="AB38" s="518" t="s">
        <v>2797</v>
      </c>
      <c r="AC38" s="518" t="s">
        <v>2797</v>
      </c>
      <c r="AD38" s="518" t="s">
        <v>2797</v>
      </c>
      <c r="AE38" s="518" t="s">
        <v>2797</v>
      </c>
      <c r="AF38" s="519" t="s">
        <v>1</v>
      </c>
      <c r="AG38" s="519" t="s">
        <v>1</v>
      </c>
      <c r="AH38" s="519" t="s">
        <v>1</v>
      </c>
      <c r="AI38" s="519" t="s">
        <v>1</v>
      </c>
      <c r="AJ38" s="518" t="s">
        <v>2797</v>
      </c>
      <c r="AK38" s="518" t="s">
        <v>2797</v>
      </c>
      <c r="AL38" s="518" t="s">
        <v>2797</v>
      </c>
      <c r="AM38" s="518" t="s">
        <v>2797</v>
      </c>
      <c r="AN38" s="518" t="s">
        <v>2797</v>
      </c>
      <c r="AO38" s="518" t="s">
        <v>2797</v>
      </c>
      <c r="AP38" s="520" t="s">
        <v>2644</v>
      </c>
      <c r="AQ38" s="521" t="s">
        <v>2644</v>
      </c>
      <c r="AR38" s="521" t="s">
        <v>2644</v>
      </c>
      <c r="AS38" s="521" t="s">
        <v>2644</v>
      </c>
      <c r="AT38" s="519" t="s">
        <v>1</v>
      </c>
      <c r="AU38" s="518" t="s">
        <v>2797</v>
      </c>
      <c r="AV38" s="518" t="s">
        <v>2797</v>
      </c>
      <c r="AW38" s="518" t="s">
        <v>2797</v>
      </c>
      <c r="AX38" s="518" t="s">
        <v>2797</v>
      </c>
      <c r="AY38" s="518" t="s">
        <v>2797</v>
      </c>
      <c r="AZ38" s="518" t="s">
        <v>2797</v>
      </c>
      <c r="BA38" s="518" t="s">
        <v>2797</v>
      </c>
      <c r="BB38" s="518" t="s">
        <v>2797</v>
      </c>
      <c r="BC38" s="518" t="s">
        <v>2797</v>
      </c>
      <c r="BD38" s="518" t="s">
        <v>2797</v>
      </c>
      <c r="BE38" s="518" t="s">
        <v>2797</v>
      </c>
      <c r="BF38" s="518" t="s">
        <v>2797</v>
      </c>
      <c r="BG38" s="518" t="s">
        <v>2797</v>
      </c>
      <c r="BH38" s="466" t="s">
        <v>2644</v>
      </c>
      <c r="BI38" s="466" t="s">
        <v>2644</v>
      </c>
      <c r="BJ38" s="518" t="s">
        <v>2797</v>
      </c>
      <c r="BK38" s="466" t="s">
        <v>2644</v>
      </c>
      <c r="BL38" s="466" t="e">
        <v>#VALUE!</v>
      </c>
      <c r="BM38" s="466" t="e">
        <v>#VALUE!</v>
      </c>
      <c r="BN38" s="466" t="e">
        <v>#VALUE!</v>
      </c>
      <c r="BO38" s="466" t="e">
        <v>#VALUE!</v>
      </c>
      <c r="BP38" s="466" t="e">
        <v>#VALUE!</v>
      </c>
      <c r="BQ38" s="466" t="e">
        <v>#VALUE!</v>
      </c>
      <c r="BR38" s="466" t="s">
        <v>571</v>
      </c>
      <c r="BS38" s="470" t="e">
        <v>#VALUE!</v>
      </c>
      <c r="BT38" s="470" t="e">
        <v>#VALUE!</v>
      </c>
      <c r="BU38" s="470" t="e">
        <v>#VALUE!</v>
      </c>
      <c r="BV38" s="470" t="e">
        <v>#VALUE!</v>
      </c>
      <c r="BW38" s="470" t="e">
        <v>#VALUE!</v>
      </c>
      <c r="BX38" s="470" t="e">
        <v>#VALUE!</v>
      </c>
      <c r="BY38" s="470" t="e">
        <v>#VALUE!</v>
      </c>
      <c r="BZ38" s="470" t="e">
        <v>#VALUE!</v>
      </c>
      <c r="CB38" s="466">
        <v>2</v>
      </c>
      <c r="CC38" s="53" t="s">
        <v>155</v>
      </c>
      <c r="CD38" s="53" t="s">
        <v>154</v>
      </c>
      <c r="CE38" s="468">
        <v>42582</v>
      </c>
    </row>
    <row r="39" spans="1:83" s="466" customFormat="1" ht="12.75">
      <c r="A39" s="467" t="s">
        <v>2644</v>
      </c>
      <c r="B39" s="517" t="s">
        <v>2644</v>
      </c>
      <c r="C39" s="467" t="s">
        <v>2644</v>
      </c>
      <c r="D39" s="467" t="s">
        <v>2644</v>
      </c>
      <c r="E39" s="516" t="s">
        <v>2644</v>
      </c>
      <c r="F39" s="516" t="s">
        <v>2644</v>
      </c>
      <c r="G39" s="516" t="s">
        <v>2644</v>
      </c>
      <c r="H39" s="518" t="s">
        <v>2797</v>
      </c>
      <c r="I39" s="518" t="s">
        <v>2797</v>
      </c>
      <c r="J39" s="518" t="s">
        <v>2797</v>
      </c>
      <c r="K39" s="518" t="s">
        <v>2797</v>
      </c>
      <c r="L39" s="518" t="s">
        <v>2797</v>
      </c>
      <c r="M39" s="518" t="s">
        <v>2797</v>
      </c>
      <c r="N39" s="518" t="s">
        <v>2797</v>
      </c>
      <c r="O39" s="518" t="s">
        <v>2797</v>
      </c>
      <c r="P39" s="518" t="s">
        <v>2797</v>
      </c>
      <c r="Q39" s="518" t="s">
        <v>2797</v>
      </c>
      <c r="R39" s="518" t="s">
        <v>2797</v>
      </c>
      <c r="S39" s="518" t="s">
        <v>2797</v>
      </c>
      <c r="T39" s="518" t="s">
        <v>2797</v>
      </c>
      <c r="U39" s="518" t="s">
        <v>2797</v>
      </c>
      <c r="V39" s="518" t="s">
        <v>2797</v>
      </c>
      <c r="W39" s="518" t="s">
        <v>2797</v>
      </c>
      <c r="X39" s="518" t="s">
        <v>2797</v>
      </c>
      <c r="Y39" s="518" t="s">
        <v>2797</v>
      </c>
      <c r="Z39" s="518" t="s">
        <v>2797</v>
      </c>
      <c r="AA39" s="518" t="s">
        <v>2797</v>
      </c>
      <c r="AB39" s="518" t="s">
        <v>2797</v>
      </c>
      <c r="AC39" s="518" t="s">
        <v>2797</v>
      </c>
      <c r="AD39" s="518" t="s">
        <v>2797</v>
      </c>
      <c r="AE39" s="518" t="s">
        <v>2797</v>
      </c>
      <c r="AF39" s="519" t="s">
        <v>1</v>
      </c>
      <c r="AG39" s="519" t="s">
        <v>1</v>
      </c>
      <c r="AH39" s="519" t="s">
        <v>1</v>
      </c>
      <c r="AI39" s="519" t="s">
        <v>1</v>
      </c>
      <c r="AJ39" s="518" t="s">
        <v>2797</v>
      </c>
      <c r="AK39" s="518" t="s">
        <v>2797</v>
      </c>
      <c r="AL39" s="518" t="s">
        <v>2797</v>
      </c>
      <c r="AM39" s="518" t="s">
        <v>2797</v>
      </c>
      <c r="AN39" s="518" t="s">
        <v>2797</v>
      </c>
      <c r="AO39" s="518" t="s">
        <v>2797</v>
      </c>
      <c r="AP39" s="520" t="s">
        <v>2644</v>
      </c>
      <c r="AQ39" s="521" t="s">
        <v>2644</v>
      </c>
      <c r="AR39" s="521" t="s">
        <v>2644</v>
      </c>
      <c r="AS39" s="521" t="s">
        <v>2644</v>
      </c>
      <c r="AT39" s="519" t="s">
        <v>1</v>
      </c>
      <c r="AU39" s="518" t="s">
        <v>2797</v>
      </c>
      <c r="AV39" s="518" t="s">
        <v>2797</v>
      </c>
      <c r="AW39" s="518" t="s">
        <v>2797</v>
      </c>
      <c r="AX39" s="518" t="s">
        <v>2797</v>
      </c>
      <c r="AY39" s="518" t="s">
        <v>2797</v>
      </c>
      <c r="AZ39" s="518" t="s">
        <v>2797</v>
      </c>
      <c r="BA39" s="518" t="s">
        <v>2797</v>
      </c>
      <c r="BB39" s="518" t="s">
        <v>2797</v>
      </c>
      <c r="BC39" s="518" t="s">
        <v>2797</v>
      </c>
      <c r="BD39" s="518" t="s">
        <v>2797</v>
      </c>
      <c r="BE39" s="518" t="s">
        <v>2797</v>
      </c>
      <c r="BF39" s="518" t="s">
        <v>2797</v>
      </c>
      <c r="BG39" s="518" t="s">
        <v>2797</v>
      </c>
      <c r="BH39" s="466" t="s">
        <v>2644</v>
      </c>
      <c r="BI39" s="466" t="s">
        <v>2644</v>
      </c>
      <c r="BJ39" s="518" t="s">
        <v>2797</v>
      </c>
      <c r="BK39" s="466" t="s">
        <v>2644</v>
      </c>
      <c r="BL39" s="466" t="e">
        <v>#VALUE!</v>
      </c>
      <c r="BM39" s="466" t="e">
        <v>#VALUE!</v>
      </c>
      <c r="BN39" s="466" t="e">
        <v>#VALUE!</v>
      </c>
      <c r="BO39" s="466" t="e">
        <v>#VALUE!</v>
      </c>
      <c r="BP39" s="466" t="e">
        <v>#VALUE!</v>
      </c>
      <c r="BQ39" s="466" t="e">
        <v>#VALUE!</v>
      </c>
      <c r="BR39" s="466" t="s">
        <v>571</v>
      </c>
      <c r="BS39" s="470" t="e">
        <v>#VALUE!</v>
      </c>
      <c r="BT39" s="470" t="e">
        <v>#VALUE!</v>
      </c>
      <c r="BU39" s="470" t="e">
        <v>#VALUE!</v>
      </c>
      <c r="BV39" s="470" t="e">
        <v>#VALUE!</v>
      </c>
      <c r="BW39" s="470" t="e">
        <v>#VALUE!</v>
      </c>
      <c r="BX39" s="470" t="e">
        <v>#VALUE!</v>
      </c>
      <c r="BY39" s="470" t="e">
        <v>#VALUE!</v>
      </c>
      <c r="BZ39" s="470" t="e">
        <v>#VALUE!</v>
      </c>
      <c r="CB39" s="466">
        <v>2</v>
      </c>
      <c r="CC39" s="53" t="s">
        <v>155</v>
      </c>
      <c r="CD39" s="53" t="s">
        <v>154</v>
      </c>
      <c r="CE39" s="468">
        <v>42582</v>
      </c>
    </row>
    <row r="40" spans="1:83" s="466" customFormat="1" ht="12.75">
      <c r="A40" s="467" t="s">
        <v>2644</v>
      </c>
      <c r="B40" s="517" t="s">
        <v>2644</v>
      </c>
      <c r="C40" s="467" t="s">
        <v>2644</v>
      </c>
      <c r="D40" s="467" t="s">
        <v>2644</v>
      </c>
      <c r="E40" s="516" t="s">
        <v>2644</v>
      </c>
      <c r="F40" s="516" t="s">
        <v>2644</v>
      </c>
      <c r="G40" s="516" t="s">
        <v>2644</v>
      </c>
      <c r="H40" s="518" t="s">
        <v>2797</v>
      </c>
      <c r="I40" s="518" t="s">
        <v>2797</v>
      </c>
      <c r="J40" s="518" t="s">
        <v>2797</v>
      </c>
      <c r="K40" s="518" t="s">
        <v>2797</v>
      </c>
      <c r="L40" s="518" t="s">
        <v>2797</v>
      </c>
      <c r="M40" s="518" t="s">
        <v>2797</v>
      </c>
      <c r="N40" s="518" t="s">
        <v>2797</v>
      </c>
      <c r="O40" s="518" t="s">
        <v>2797</v>
      </c>
      <c r="P40" s="518" t="s">
        <v>2797</v>
      </c>
      <c r="Q40" s="518" t="s">
        <v>2797</v>
      </c>
      <c r="R40" s="518" t="s">
        <v>2797</v>
      </c>
      <c r="S40" s="518" t="s">
        <v>2797</v>
      </c>
      <c r="T40" s="518" t="s">
        <v>2797</v>
      </c>
      <c r="U40" s="518" t="s">
        <v>2797</v>
      </c>
      <c r="V40" s="518" t="s">
        <v>2797</v>
      </c>
      <c r="W40" s="518" t="s">
        <v>2797</v>
      </c>
      <c r="X40" s="518" t="s">
        <v>2797</v>
      </c>
      <c r="Y40" s="518" t="s">
        <v>2797</v>
      </c>
      <c r="Z40" s="518" t="s">
        <v>2797</v>
      </c>
      <c r="AA40" s="518" t="s">
        <v>2797</v>
      </c>
      <c r="AB40" s="518" t="s">
        <v>2797</v>
      </c>
      <c r="AC40" s="518" t="s">
        <v>2797</v>
      </c>
      <c r="AD40" s="518" t="s">
        <v>2797</v>
      </c>
      <c r="AE40" s="518" t="s">
        <v>2797</v>
      </c>
      <c r="AF40" s="519" t="s">
        <v>1</v>
      </c>
      <c r="AG40" s="519" t="s">
        <v>1</v>
      </c>
      <c r="AH40" s="519" t="s">
        <v>1</v>
      </c>
      <c r="AI40" s="519" t="s">
        <v>1</v>
      </c>
      <c r="AJ40" s="518" t="s">
        <v>2797</v>
      </c>
      <c r="AK40" s="518" t="s">
        <v>2797</v>
      </c>
      <c r="AL40" s="518" t="s">
        <v>2797</v>
      </c>
      <c r="AM40" s="518" t="s">
        <v>2797</v>
      </c>
      <c r="AN40" s="518" t="s">
        <v>2797</v>
      </c>
      <c r="AO40" s="518" t="s">
        <v>2797</v>
      </c>
      <c r="AP40" s="520" t="s">
        <v>2644</v>
      </c>
      <c r="AQ40" s="521" t="s">
        <v>2644</v>
      </c>
      <c r="AR40" s="521" t="s">
        <v>2644</v>
      </c>
      <c r="AS40" s="521" t="s">
        <v>2644</v>
      </c>
      <c r="AT40" s="519" t="s">
        <v>1</v>
      </c>
      <c r="AU40" s="518" t="s">
        <v>2797</v>
      </c>
      <c r="AV40" s="518" t="s">
        <v>2797</v>
      </c>
      <c r="AW40" s="518" t="s">
        <v>2797</v>
      </c>
      <c r="AX40" s="518" t="s">
        <v>2797</v>
      </c>
      <c r="AY40" s="518" t="s">
        <v>2797</v>
      </c>
      <c r="AZ40" s="518" t="s">
        <v>2797</v>
      </c>
      <c r="BA40" s="518" t="s">
        <v>2797</v>
      </c>
      <c r="BB40" s="518" t="s">
        <v>2797</v>
      </c>
      <c r="BC40" s="518" t="s">
        <v>2797</v>
      </c>
      <c r="BD40" s="518" t="s">
        <v>2797</v>
      </c>
      <c r="BE40" s="518" t="s">
        <v>2797</v>
      </c>
      <c r="BF40" s="518" t="s">
        <v>2797</v>
      </c>
      <c r="BG40" s="518" t="s">
        <v>2797</v>
      </c>
      <c r="BH40" s="466" t="s">
        <v>2644</v>
      </c>
      <c r="BI40" s="466" t="s">
        <v>2644</v>
      </c>
      <c r="BJ40" s="518" t="s">
        <v>2797</v>
      </c>
      <c r="BK40" s="466" t="s">
        <v>2644</v>
      </c>
      <c r="BL40" s="466" t="e">
        <v>#VALUE!</v>
      </c>
      <c r="BM40" s="466" t="e">
        <v>#VALUE!</v>
      </c>
      <c r="BN40" s="466" t="e">
        <v>#VALUE!</v>
      </c>
      <c r="BO40" s="466" t="e">
        <v>#VALUE!</v>
      </c>
      <c r="BP40" s="466" t="e">
        <v>#VALUE!</v>
      </c>
      <c r="BQ40" s="466" t="e">
        <v>#VALUE!</v>
      </c>
      <c r="BR40" s="466" t="s">
        <v>571</v>
      </c>
      <c r="BS40" s="470" t="e">
        <v>#VALUE!</v>
      </c>
      <c r="BT40" s="470" t="e">
        <v>#VALUE!</v>
      </c>
      <c r="BU40" s="470" t="e">
        <v>#VALUE!</v>
      </c>
      <c r="BV40" s="470" t="e">
        <v>#VALUE!</v>
      </c>
      <c r="BW40" s="470" t="e">
        <v>#VALUE!</v>
      </c>
      <c r="BX40" s="470" t="e">
        <v>#VALUE!</v>
      </c>
      <c r="BY40" s="470" t="e">
        <v>#VALUE!</v>
      </c>
      <c r="BZ40" s="470" t="e">
        <v>#VALUE!</v>
      </c>
      <c r="CB40" s="466">
        <v>2</v>
      </c>
      <c r="CC40" s="53" t="s">
        <v>155</v>
      </c>
      <c r="CD40" s="53" t="s">
        <v>154</v>
      </c>
      <c r="CE40" s="468">
        <v>42582</v>
      </c>
    </row>
    <row r="41" spans="1:83" s="466" customFormat="1" ht="12.75">
      <c r="A41" s="467" t="s">
        <v>2644</v>
      </c>
      <c r="B41" s="517" t="s">
        <v>2644</v>
      </c>
      <c r="C41" s="467" t="s">
        <v>2644</v>
      </c>
      <c r="D41" s="467" t="s">
        <v>2644</v>
      </c>
      <c r="E41" s="516" t="s">
        <v>2644</v>
      </c>
      <c r="F41" s="516" t="s">
        <v>2644</v>
      </c>
      <c r="G41" s="516" t="s">
        <v>2644</v>
      </c>
      <c r="H41" s="518" t="s">
        <v>2797</v>
      </c>
      <c r="I41" s="518" t="s">
        <v>2797</v>
      </c>
      <c r="J41" s="518" t="s">
        <v>2797</v>
      </c>
      <c r="K41" s="518" t="s">
        <v>2797</v>
      </c>
      <c r="L41" s="518" t="s">
        <v>2797</v>
      </c>
      <c r="M41" s="518" t="s">
        <v>2797</v>
      </c>
      <c r="N41" s="518" t="s">
        <v>2797</v>
      </c>
      <c r="O41" s="518" t="s">
        <v>2797</v>
      </c>
      <c r="P41" s="518" t="s">
        <v>2797</v>
      </c>
      <c r="Q41" s="518" t="s">
        <v>2797</v>
      </c>
      <c r="R41" s="518" t="s">
        <v>2797</v>
      </c>
      <c r="S41" s="518" t="s">
        <v>2797</v>
      </c>
      <c r="T41" s="518" t="s">
        <v>2797</v>
      </c>
      <c r="U41" s="518" t="s">
        <v>2797</v>
      </c>
      <c r="V41" s="518" t="s">
        <v>2797</v>
      </c>
      <c r="W41" s="518" t="s">
        <v>2797</v>
      </c>
      <c r="X41" s="518" t="s">
        <v>2797</v>
      </c>
      <c r="Y41" s="518" t="s">
        <v>2797</v>
      </c>
      <c r="Z41" s="518" t="s">
        <v>2797</v>
      </c>
      <c r="AA41" s="518" t="s">
        <v>2797</v>
      </c>
      <c r="AB41" s="518" t="s">
        <v>2797</v>
      </c>
      <c r="AC41" s="518" t="s">
        <v>2797</v>
      </c>
      <c r="AD41" s="518" t="s">
        <v>2797</v>
      </c>
      <c r="AE41" s="518" t="s">
        <v>2797</v>
      </c>
      <c r="AF41" s="519" t="s">
        <v>1</v>
      </c>
      <c r="AG41" s="519" t="s">
        <v>1</v>
      </c>
      <c r="AH41" s="519" t="s">
        <v>1</v>
      </c>
      <c r="AI41" s="519" t="s">
        <v>1</v>
      </c>
      <c r="AJ41" s="518" t="s">
        <v>2797</v>
      </c>
      <c r="AK41" s="518" t="s">
        <v>2797</v>
      </c>
      <c r="AL41" s="518" t="s">
        <v>2797</v>
      </c>
      <c r="AM41" s="518" t="s">
        <v>2797</v>
      </c>
      <c r="AN41" s="518" t="s">
        <v>2797</v>
      </c>
      <c r="AO41" s="518" t="s">
        <v>2797</v>
      </c>
      <c r="AP41" s="520" t="s">
        <v>2644</v>
      </c>
      <c r="AQ41" s="521" t="s">
        <v>2644</v>
      </c>
      <c r="AR41" s="521" t="s">
        <v>2644</v>
      </c>
      <c r="AS41" s="521" t="s">
        <v>2644</v>
      </c>
      <c r="AT41" s="519" t="s">
        <v>1</v>
      </c>
      <c r="AU41" s="518" t="s">
        <v>2797</v>
      </c>
      <c r="AV41" s="518" t="s">
        <v>2797</v>
      </c>
      <c r="AW41" s="518" t="s">
        <v>2797</v>
      </c>
      <c r="AX41" s="518" t="s">
        <v>2797</v>
      </c>
      <c r="AY41" s="518" t="s">
        <v>2797</v>
      </c>
      <c r="AZ41" s="518" t="s">
        <v>2797</v>
      </c>
      <c r="BA41" s="518" t="s">
        <v>2797</v>
      </c>
      <c r="BB41" s="518" t="s">
        <v>2797</v>
      </c>
      <c r="BC41" s="518" t="s">
        <v>2797</v>
      </c>
      <c r="BD41" s="518" t="s">
        <v>2797</v>
      </c>
      <c r="BE41" s="518" t="s">
        <v>2797</v>
      </c>
      <c r="BF41" s="518" t="s">
        <v>2797</v>
      </c>
      <c r="BG41" s="518" t="s">
        <v>2797</v>
      </c>
      <c r="BH41" s="466" t="s">
        <v>2644</v>
      </c>
      <c r="BI41" s="466" t="s">
        <v>2644</v>
      </c>
      <c r="BJ41" s="518" t="s">
        <v>2797</v>
      </c>
      <c r="BK41" s="466" t="s">
        <v>2644</v>
      </c>
      <c r="BL41" s="466" t="e">
        <v>#VALUE!</v>
      </c>
      <c r="BM41" s="466" t="e">
        <v>#VALUE!</v>
      </c>
      <c r="BN41" s="466" t="e">
        <v>#VALUE!</v>
      </c>
      <c r="BO41" s="466" t="e">
        <v>#VALUE!</v>
      </c>
      <c r="BP41" s="466" t="e">
        <v>#VALUE!</v>
      </c>
      <c r="BQ41" s="466" t="e">
        <v>#VALUE!</v>
      </c>
      <c r="BR41" s="466" t="s">
        <v>571</v>
      </c>
      <c r="BS41" s="470" t="e">
        <v>#VALUE!</v>
      </c>
      <c r="BT41" s="470" t="e">
        <v>#VALUE!</v>
      </c>
      <c r="BU41" s="470" t="e">
        <v>#VALUE!</v>
      </c>
      <c r="BV41" s="470" t="e">
        <v>#VALUE!</v>
      </c>
      <c r="BW41" s="470" t="e">
        <v>#VALUE!</v>
      </c>
      <c r="BX41" s="470" t="e">
        <v>#VALUE!</v>
      </c>
      <c r="BY41" s="470" t="e">
        <v>#VALUE!</v>
      </c>
      <c r="BZ41" s="470" t="e">
        <v>#VALUE!</v>
      </c>
      <c r="CB41" s="466">
        <v>2</v>
      </c>
      <c r="CC41" s="53" t="s">
        <v>155</v>
      </c>
      <c r="CD41" s="53" t="s">
        <v>154</v>
      </c>
      <c r="CE41" s="468">
        <v>42582</v>
      </c>
    </row>
    <row r="42" spans="1:83" s="466" customFormat="1" ht="12.75">
      <c r="A42" s="467" t="s">
        <v>2644</v>
      </c>
      <c r="B42" s="517" t="s">
        <v>2644</v>
      </c>
      <c r="C42" s="467" t="s">
        <v>2644</v>
      </c>
      <c r="D42" s="467" t="s">
        <v>2644</v>
      </c>
      <c r="E42" s="516" t="s">
        <v>2644</v>
      </c>
      <c r="F42" s="516" t="s">
        <v>2644</v>
      </c>
      <c r="G42" s="516" t="s">
        <v>2644</v>
      </c>
      <c r="H42" s="518" t="s">
        <v>2797</v>
      </c>
      <c r="I42" s="518" t="s">
        <v>2797</v>
      </c>
      <c r="J42" s="518" t="s">
        <v>2797</v>
      </c>
      <c r="K42" s="518" t="s">
        <v>2797</v>
      </c>
      <c r="L42" s="518" t="s">
        <v>2797</v>
      </c>
      <c r="M42" s="518" t="s">
        <v>2797</v>
      </c>
      <c r="N42" s="518" t="s">
        <v>2797</v>
      </c>
      <c r="O42" s="518" t="s">
        <v>2797</v>
      </c>
      <c r="P42" s="518" t="s">
        <v>2797</v>
      </c>
      <c r="Q42" s="518" t="s">
        <v>2797</v>
      </c>
      <c r="R42" s="518" t="s">
        <v>2797</v>
      </c>
      <c r="S42" s="518" t="s">
        <v>2797</v>
      </c>
      <c r="T42" s="518" t="s">
        <v>2797</v>
      </c>
      <c r="U42" s="518" t="s">
        <v>2797</v>
      </c>
      <c r="V42" s="518" t="s">
        <v>2797</v>
      </c>
      <c r="W42" s="518" t="s">
        <v>2797</v>
      </c>
      <c r="X42" s="518" t="s">
        <v>2797</v>
      </c>
      <c r="Y42" s="518" t="s">
        <v>2797</v>
      </c>
      <c r="Z42" s="518" t="s">
        <v>2797</v>
      </c>
      <c r="AA42" s="518" t="s">
        <v>2797</v>
      </c>
      <c r="AB42" s="518" t="s">
        <v>2797</v>
      </c>
      <c r="AC42" s="518" t="s">
        <v>2797</v>
      </c>
      <c r="AD42" s="518" t="s">
        <v>2797</v>
      </c>
      <c r="AE42" s="518" t="s">
        <v>2797</v>
      </c>
      <c r="AF42" s="519" t="s">
        <v>1</v>
      </c>
      <c r="AG42" s="519" t="s">
        <v>1</v>
      </c>
      <c r="AH42" s="519" t="s">
        <v>1</v>
      </c>
      <c r="AI42" s="519" t="s">
        <v>1</v>
      </c>
      <c r="AJ42" s="518" t="s">
        <v>2797</v>
      </c>
      <c r="AK42" s="518" t="s">
        <v>2797</v>
      </c>
      <c r="AL42" s="518" t="s">
        <v>2797</v>
      </c>
      <c r="AM42" s="518" t="s">
        <v>2797</v>
      </c>
      <c r="AN42" s="518" t="s">
        <v>2797</v>
      </c>
      <c r="AO42" s="518" t="s">
        <v>2797</v>
      </c>
      <c r="AP42" s="520" t="s">
        <v>2644</v>
      </c>
      <c r="AQ42" s="521" t="s">
        <v>2644</v>
      </c>
      <c r="AR42" s="521" t="s">
        <v>2644</v>
      </c>
      <c r="AS42" s="521" t="s">
        <v>2644</v>
      </c>
      <c r="AT42" s="519" t="s">
        <v>1</v>
      </c>
      <c r="AU42" s="518" t="s">
        <v>2797</v>
      </c>
      <c r="AV42" s="518" t="s">
        <v>2797</v>
      </c>
      <c r="AW42" s="518" t="s">
        <v>2797</v>
      </c>
      <c r="AX42" s="518" t="s">
        <v>2797</v>
      </c>
      <c r="AY42" s="518" t="s">
        <v>2797</v>
      </c>
      <c r="AZ42" s="518" t="s">
        <v>2797</v>
      </c>
      <c r="BA42" s="518" t="s">
        <v>2797</v>
      </c>
      <c r="BB42" s="518" t="s">
        <v>2797</v>
      </c>
      <c r="BC42" s="518" t="s">
        <v>2797</v>
      </c>
      <c r="BD42" s="518" t="s">
        <v>2797</v>
      </c>
      <c r="BE42" s="518" t="s">
        <v>2797</v>
      </c>
      <c r="BF42" s="518" t="s">
        <v>2797</v>
      </c>
      <c r="BG42" s="518" t="s">
        <v>2797</v>
      </c>
      <c r="BH42" s="466" t="s">
        <v>2644</v>
      </c>
      <c r="BI42" s="466" t="s">
        <v>2644</v>
      </c>
      <c r="BJ42" s="518" t="s">
        <v>2797</v>
      </c>
      <c r="BK42" s="466" t="s">
        <v>2644</v>
      </c>
      <c r="BL42" s="466" t="e">
        <v>#VALUE!</v>
      </c>
      <c r="BM42" s="466" t="e">
        <v>#VALUE!</v>
      </c>
      <c r="BN42" s="466" t="e">
        <v>#VALUE!</v>
      </c>
      <c r="BO42" s="466" t="e">
        <v>#VALUE!</v>
      </c>
      <c r="BP42" s="466" t="e">
        <v>#VALUE!</v>
      </c>
      <c r="BQ42" s="466" t="e">
        <v>#VALUE!</v>
      </c>
      <c r="BR42" s="466" t="s">
        <v>571</v>
      </c>
      <c r="BS42" s="470" t="e">
        <v>#VALUE!</v>
      </c>
      <c r="BT42" s="470" t="e">
        <v>#VALUE!</v>
      </c>
      <c r="BU42" s="470" t="e">
        <v>#VALUE!</v>
      </c>
      <c r="BV42" s="470" t="e">
        <v>#VALUE!</v>
      </c>
      <c r="BW42" s="470" t="e">
        <v>#VALUE!</v>
      </c>
      <c r="BX42" s="470" t="e">
        <v>#VALUE!</v>
      </c>
      <c r="BY42" s="470" t="e">
        <v>#VALUE!</v>
      </c>
      <c r="BZ42" s="470" t="e">
        <v>#VALUE!</v>
      </c>
      <c r="CB42" s="466">
        <v>2</v>
      </c>
      <c r="CC42" s="53" t="s">
        <v>155</v>
      </c>
      <c r="CD42" s="53" t="s">
        <v>154</v>
      </c>
      <c r="CE42" s="468">
        <v>42582</v>
      </c>
    </row>
    <row r="43" spans="1:83">
      <c r="A43" s="515" t="s">
        <v>573</v>
      </c>
      <c r="E43" s="516"/>
      <c r="F43" s="516"/>
      <c r="G43" s="516"/>
      <c r="H43" s="518"/>
      <c r="I43" s="518"/>
      <c r="K43" s="518"/>
      <c r="M43" s="518"/>
      <c r="N43" s="518"/>
      <c r="O43" s="518"/>
      <c r="P43" s="518"/>
      <c r="Q43" s="518"/>
      <c r="R43" s="518"/>
      <c r="S43" s="518"/>
      <c r="U43" s="518"/>
      <c r="V43" s="518"/>
      <c r="W43" s="518"/>
      <c r="X43" s="518"/>
      <c r="Y43" s="518"/>
      <c r="Z43" s="518"/>
      <c r="AA43" s="518"/>
      <c r="AB43" s="518"/>
      <c r="AC43" s="518"/>
      <c r="AE43" s="518"/>
      <c r="AF43" s="519"/>
      <c r="AG43" s="519"/>
      <c r="AH43" s="519"/>
      <c r="AI43" s="519"/>
      <c r="AJ43" s="518"/>
      <c r="AK43" s="518"/>
      <c r="AL43" s="518"/>
      <c r="AM43" s="518"/>
      <c r="AN43" s="518"/>
      <c r="AO43" s="518"/>
      <c r="AP43" s="520"/>
      <c r="AQ43" s="521"/>
      <c r="AR43" s="521"/>
      <c r="AS43" s="521"/>
      <c r="AU43" s="518"/>
      <c r="AV43" s="518"/>
      <c r="AW43" s="518"/>
      <c r="AX43" s="518"/>
      <c r="AY43" s="518"/>
      <c r="AZ43" s="518"/>
      <c r="BA43" s="518"/>
      <c r="BB43" s="518"/>
      <c r="BC43" s="518"/>
      <c r="BD43" s="518"/>
      <c r="BE43" s="518"/>
      <c r="BF43" s="518"/>
      <c r="BG43" s="518"/>
      <c r="BH43" s="463"/>
      <c r="BI43" s="463"/>
      <c r="BJ43" s="518"/>
      <c r="BK43" s="463"/>
      <c r="BL43" s="463"/>
      <c r="BM43" s="463"/>
      <c r="BN43" s="463"/>
      <c r="BO43" s="463"/>
      <c r="BP43" s="463"/>
      <c r="BQ43" s="463"/>
      <c r="BR43" s="463"/>
      <c r="BS43" s="463"/>
      <c r="BT43" s="463"/>
      <c r="BU43" s="463"/>
      <c r="BV43" s="463"/>
      <c r="BW43" s="463"/>
      <c r="BX43" s="463"/>
      <c r="BY43" s="463"/>
      <c r="BZ43" s="463"/>
    </row>
    <row r="44" spans="1:83">
      <c r="A44" s="467" t="s">
        <v>2644</v>
      </c>
      <c r="B44" s="517" t="s">
        <v>2644</v>
      </c>
      <c r="C44" s="467" t="s">
        <v>2644</v>
      </c>
      <c r="D44" s="467" t="s">
        <v>2644</v>
      </c>
      <c r="E44" s="516" t="s">
        <v>2644</v>
      </c>
      <c r="F44" s="516" t="s">
        <v>2644</v>
      </c>
      <c r="G44" s="516" t="s">
        <v>2644</v>
      </c>
      <c r="H44" s="518" t="s">
        <v>2797</v>
      </c>
      <c r="I44" s="518" t="s">
        <v>2797</v>
      </c>
      <c r="J44" s="516" t="s">
        <v>2797</v>
      </c>
      <c r="K44" s="518" t="s">
        <v>2797</v>
      </c>
      <c r="L44" s="518" t="s">
        <v>2797</v>
      </c>
      <c r="M44" s="518" t="s">
        <v>2797</v>
      </c>
      <c r="N44" s="518" t="s">
        <v>2797</v>
      </c>
      <c r="O44" s="518" t="s">
        <v>2797</v>
      </c>
      <c r="P44" s="518" t="s">
        <v>2797</v>
      </c>
      <c r="Q44" s="518" t="s">
        <v>2797</v>
      </c>
      <c r="R44" s="518" t="s">
        <v>2797</v>
      </c>
      <c r="S44" s="518" t="s">
        <v>2797</v>
      </c>
      <c r="T44" s="518" t="s">
        <v>2797</v>
      </c>
      <c r="U44" s="518" t="s">
        <v>2797</v>
      </c>
      <c r="V44" s="518" t="s">
        <v>2797</v>
      </c>
      <c r="W44" s="518" t="s">
        <v>2797</v>
      </c>
      <c r="X44" s="518" t="s">
        <v>2797</v>
      </c>
      <c r="Y44" s="518" t="s">
        <v>2797</v>
      </c>
      <c r="Z44" s="518" t="s">
        <v>2797</v>
      </c>
      <c r="AA44" s="518" t="s">
        <v>2797</v>
      </c>
      <c r="AB44" s="518" t="s">
        <v>2797</v>
      </c>
      <c r="AC44" s="518" t="s">
        <v>2797</v>
      </c>
      <c r="AD44" s="467" t="s">
        <v>2644</v>
      </c>
      <c r="AE44" s="518" t="s">
        <v>2797</v>
      </c>
      <c r="AF44" s="519" t="s">
        <v>1</v>
      </c>
      <c r="AG44" s="519" t="s">
        <v>1</v>
      </c>
      <c r="AH44" s="519" t="s">
        <v>1</v>
      </c>
      <c r="AI44" s="519" t="s">
        <v>1</v>
      </c>
      <c r="AJ44" s="518" t="s">
        <v>2797</v>
      </c>
      <c r="AK44" s="518" t="s">
        <v>2797</v>
      </c>
      <c r="AL44" s="518" t="s">
        <v>2797</v>
      </c>
      <c r="AM44" s="518" t="s">
        <v>2797</v>
      </c>
      <c r="AN44" s="518" t="s">
        <v>2797</v>
      </c>
      <c r="AO44" s="518" t="s">
        <v>2797</v>
      </c>
      <c r="AP44" s="520" t="s">
        <v>2644</v>
      </c>
      <c r="AQ44" s="521" t="s">
        <v>2644</v>
      </c>
      <c r="AR44" s="521" t="s">
        <v>2644</v>
      </c>
      <c r="AS44" s="521" t="s">
        <v>2644</v>
      </c>
      <c r="AT44" s="467" t="s">
        <v>1</v>
      </c>
      <c r="AU44" s="518" t="s">
        <v>2797</v>
      </c>
      <c r="AV44" s="518" t="s">
        <v>2797</v>
      </c>
      <c r="AW44" s="518" t="s">
        <v>2797</v>
      </c>
      <c r="AX44" s="518" t="s">
        <v>2797</v>
      </c>
      <c r="AY44" s="518" t="s">
        <v>2797</v>
      </c>
      <c r="AZ44" s="518" t="s">
        <v>2797</v>
      </c>
      <c r="BA44" s="518" t="s">
        <v>2797</v>
      </c>
      <c r="BB44" s="518" t="s">
        <v>2797</v>
      </c>
      <c r="BC44" s="518" t="s">
        <v>2797</v>
      </c>
      <c r="BD44" s="518" t="s">
        <v>2797</v>
      </c>
      <c r="BE44" s="518" t="s">
        <v>2797</v>
      </c>
      <c r="BF44" s="518" t="s">
        <v>2797</v>
      </c>
      <c r="BG44" s="518" t="s">
        <v>2797</v>
      </c>
      <c r="BH44" s="466" t="s">
        <v>2644</v>
      </c>
      <c r="BI44" s="466" t="s">
        <v>2644</v>
      </c>
      <c r="BJ44" s="518" t="s">
        <v>2797</v>
      </c>
      <c r="BK44" s="466" t="s">
        <v>2644</v>
      </c>
      <c r="BL44" s="466" t="e">
        <v>#VALUE!</v>
      </c>
      <c r="BM44" s="466" t="e">
        <v>#VALUE!</v>
      </c>
      <c r="BN44" s="466" t="e">
        <v>#VALUE!</v>
      </c>
      <c r="BO44" s="466" t="e">
        <v>#VALUE!</v>
      </c>
      <c r="BP44" s="466" t="e">
        <v>#VALUE!</v>
      </c>
      <c r="BQ44" s="466" t="e">
        <v>#VALUE!</v>
      </c>
      <c r="BR44" s="466" t="s">
        <v>571</v>
      </c>
      <c r="BS44" s="470" t="e">
        <v>#VALUE!</v>
      </c>
      <c r="BT44" s="470" t="e">
        <v>#VALUE!</v>
      </c>
      <c r="BU44" s="470" t="e">
        <v>#VALUE!</v>
      </c>
      <c r="BV44" s="470" t="e">
        <v>#VALUE!</v>
      </c>
      <c r="BW44" s="470" t="e">
        <v>#VALUE!</v>
      </c>
      <c r="BX44" s="470" t="e">
        <v>#VALUE!</v>
      </c>
      <c r="BY44" s="470" t="e">
        <v>#VALUE!</v>
      </c>
      <c r="BZ44" s="470" t="e">
        <v>#VALUE!</v>
      </c>
    </row>
    <row r="45" spans="1:83">
      <c r="A45" s="467" t="s">
        <v>2644</v>
      </c>
      <c r="B45" s="517" t="s">
        <v>2644</v>
      </c>
      <c r="C45" s="467" t="s">
        <v>2644</v>
      </c>
      <c r="D45" s="467" t="s">
        <v>2644</v>
      </c>
      <c r="E45" s="516" t="s">
        <v>2644</v>
      </c>
      <c r="F45" s="516" t="s">
        <v>2644</v>
      </c>
      <c r="G45" s="516" t="s">
        <v>2644</v>
      </c>
      <c r="H45" s="518" t="s">
        <v>2797</v>
      </c>
      <c r="I45" s="518" t="s">
        <v>2797</v>
      </c>
      <c r="J45" s="516" t="s">
        <v>2797</v>
      </c>
      <c r="K45" s="518" t="s">
        <v>2797</v>
      </c>
      <c r="L45" s="518" t="s">
        <v>2797</v>
      </c>
      <c r="M45" s="518" t="s">
        <v>2797</v>
      </c>
      <c r="N45" s="518" t="s">
        <v>2797</v>
      </c>
      <c r="O45" s="518" t="s">
        <v>2797</v>
      </c>
      <c r="P45" s="518" t="s">
        <v>2797</v>
      </c>
      <c r="Q45" s="518" t="s">
        <v>2797</v>
      </c>
      <c r="R45" s="518" t="s">
        <v>2797</v>
      </c>
      <c r="S45" s="518" t="s">
        <v>2797</v>
      </c>
      <c r="T45" s="518" t="s">
        <v>2797</v>
      </c>
      <c r="U45" s="518" t="s">
        <v>2797</v>
      </c>
      <c r="V45" s="518" t="s">
        <v>2797</v>
      </c>
      <c r="W45" s="518" t="s">
        <v>2797</v>
      </c>
      <c r="X45" s="518" t="s">
        <v>2797</v>
      </c>
      <c r="Y45" s="518" t="s">
        <v>2797</v>
      </c>
      <c r="Z45" s="518" t="s">
        <v>2797</v>
      </c>
      <c r="AA45" s="518" t="s">
        <v>2797</v>
      </c>
      <c r="AB45" s="518" t="s">
        <v>2797</v>
      </c>
      <c r="AC45" s="518" t="s">
        <v>2797</v>
      </c>
      <c r="AD45" s="467" t="s">
        <v>2644</v>
      </c>
      <c r="AE45" s="518" t="s">
        <v>2797</v>
      </c>
      <c r="AF45" s="519" t="s">
        <v>1</v>
      </c>
      <c r="AG45" s="519" t="s">
        <v>1</v>
      </c>
      <c r="AH45" s="519" t="s">
        <v>1</v>
      </c>
      <c r="AI45" s="519" t="s">
        <v>1</v>
      </c>
      <c r="AJ45" s="518" t="s">
        <v>2797</v>
      </c>
      <c r="AK45" s="518" t="s">
        <v>2797</v>
      </c>
      <c r="AL45" s="518" t="s">
        <v>2797</v>
      </c>
      <c r="AM45" s="518" t="s">
        <v>2797</v>
      </c>
      <c r="AN45" s="518" t="s">
        <v>2797</v>
      </c>
      <c r="AO45" s="518" t="s">
        <v>2797</v>
      </c>
      <c r="AP45" s="520" t="s">
        <v>2644</v>
      </c>
      <c r="AQ45" s="521" t="s">
        <v>2644</v>
      </c>
      <c r="AR45" s="521" t="s">
        <v>2644</v>
      </c>
      <c r="AS45" s="521" t="s">
        <v>2644</v>
      </c>
      <c r="AT45" s="467" t="s">
        <v>1</v>
      </c>
      <c r="AU45" s="518" t="s">
        <v>2797</v>
      </c>
      <c r="AV45" s="518" t="s">
        <v>2797</v>
      </c>
      <c r="AW45" s="518" t="s">
        <v>2797</v>
      </c>
      <c r="AX45" s="518" t="s">
        <v>2797</v>
      </c>
      <c r="AY45" s="518" t="s">
        <v>2797</v>
      </c>
      <c r="AZ45" s="518" t="s">
        <v>2797</v>
      </c>
      <c r="BA45" s="518" t="s">
        <v>2797</v>
      </c>
      <c r="BB45" s="518" t="s">
        <v>2797</v>
      </c>
      <c r="BC45" s="518" t="s">
        <v>2797</v>
      </c>
      <c r="BD45" s="518" t="s">
        <v>2797</v>
      </c>
      <c r="BE45" s="518" t="s">
        <v>2797</v>
      </c>
      <c r="BF45" s="518" t="s">
        <v>2797</v>
      </c>
      <c r="BG45" s="518" t="s">
        <v>2797</v>
      </c>
      <c r="BH45" s="466" t="s">
        <v>2644</v>
      </c>
      <c r="BI45" s="466" t="s">
        <v>2644</v>
      </c>
      <c r="BJ45" s="518" t="s">
        <v>2797</v>
      </c>
      <c r="BK45" s="466" t="s">
        <v>2644</v>
      </c>
      <c r="BL45" s="466" t="e">
        <v>#VALUE!</v>
      </c>
      <c r="BM45" s="466" t="e">
        <v>#VALUE!</v>
      </c>
      <c r="BN45" s="466" t="e">
        <v>#VALUE!</v>
      </c>
      <c r="BO45" s="466" t="e">
        <v>#VALUE!</v>
      </c>
      <c r="BP45" s="466" t="e">
        <v>#VALUE!</v>
      </c>
      <c r="BQ45" s="466" t="e">
        <v>#VALUE!</v>
      </c>
      <c r="BR45" s="466" t="s">
        <v>571</v>
      </c>
      <c r="BS45" s="470" t="e">
        <v>#VALUE!</v>
      </c>
      <c r="BT45" s="470" t="e">
        <v>#VALUE!</v>
      </c>
      <c r="BU45" s="470" t="e">
        <v>#VALUE!</v>
      </c>
      <c r="BV45" s="470" t="e">
        <v>#VALUE!</v>
      </c>
      <c r="BW45" s="470" t="e">
        <v>#VALUE!</v>
      </c>
      <c r="BX45" s="470" t="e">
        <v>#VALUE!</v>
      </c>
      <c r="BY45" s="470" t="e">
        <v>#VALUE!</v>
      </c>
      <c r="BZ45" s="470" t="e">
        <v>#VALUE!</v>
      </c>
    </row>
    <row r="46" spans="1:83">
      <c r="A46" s="467" t="s">
        <v>2644</v>
      </c>
      <c r="B46" s="517" t="s">
        <v>2644</v>
      </c>
      <c r="C46" s="467" t="s">
        <v>2644</v>
      </c>
      <c r="D46" s="467" t="s">
        <v>2644</v>
      </c>
      <c r="E46" s="516" t="s">
        <v>2644</v>
      </c>
      <c r="F46" s="516" t="s">
        <v>2644</v>
      </c>
      <c r="G46" s="516" t="s">
        <v>2644</v>
      </c>
      <c r="H46" s="518" t="s">
        <v>2797</v>
      </c>
      <c r="I46" s="518" t="s">
        <v>2797</v>
      </c>
      <c r="J46" s="516" t="s">
        <v>2797</v>
      </c>
      <c r="K46" s="518" t="s">
        <v>2797</v>
      </c>
      <c r="L46" s="518" t="s">
        <v>2797</v>
      </c>
      <c r="M46" s="518" t="s">
        <v>2797</v>
      </c>
      <c r="N46" s="518" t="s">
        <v>2797</v>
      </c>
      <c r="O46" s="518" t="s">
        <v>2797</v>
      </c>
      <c r="P46" s="518" t="s">
        <v>2797</v>
      </c>
      <c r="Q46" s="518" t="s">
        <v>2797</v>
      </c>
      <c r="R46" s="518" t="s">
        <v>2797</v>
      </c>
      <c r="S46" s="518" t="s">
        <v>2797</v>
      </c>
      <c r="T46" s="518" t="s">
        <v>2797</v>
      </c>
      <c r="U46" s="518" t="s">
        <v>2797</v>
      </c>
      <c r="V46" s="518" t="s">
        <v>2797</v>
      </c>
      <c r="W46" s="518" t="s">
        <v>2797</v>
      </c>
      <c r="X46" s="518" t="s">
        <v>2797</v>
      </c>
      <c r="Y46" s="518" t="s">
        <v>2797</v>
      </c>
      <c r="Z46" s="518" t="s">
        <v>2797</v>
      </c>
      <c r="AA46" s="518" t="s">
        <v>2797</v>
      </c>
      <c r="AB46" s="518" t="s">
        <v>2797</v>
      </c>
      <c r="AC46" s="518" t="s">
        <v>2797</v>
      </c>
      <c r="AD46" s="467" t="s">
        <v>2644</v>
      </c>
      <c r="AE46" s="518" t="s">
        <v>2797</v>
      </c>
      <c r="AF46" s="519" t="s">
        <v>1</v>
      </c>
      <c r="AG46" s="519" t="s">
        <v>1</v>
      </c>
      <c r="AH46" s="519" t="s">
        <v>1</v>
      </c>
      <c r="AI46" s="519" t="s">
        <v>1</v>
      </c>
      <c r="AJ46" s="518" t="s">
        <v>2797</v>
      </c>
      <c r="AK46" s="518" t="s">
        <v>2797</v>
      </c>
      <c r="AL46" s="518" t="s">
        <v>2797</v>
      </c>
      <c r="AM46" s="518" t="s">
        <v>2797</v>
      </c>
      <c r="AN46" s="518" t="s">
        <v>2797</v>
      </c>
      <c r="AO46" s="518" t="s">
        <v>2797</v>
      </c>
      <c r="AP46" s="520" t="s">
        <v>2644</v>
      </c>
      <c r="AQ46" s="521" t="s">
        <v>2644</v>
      </c>
      <c r="AR46" s="521" t="s">
        <v>2644</v>
      </c>
      <c r="AS46" s="521" t="s">
        <v>2644</v>
      </c>
      <c r="AT46" s="467" t="s">
        <v>1</v>
      </c>
      <c r="AU46" s="518" t="s">
        <v>2797</v>
      </c>
      <c r="AV46" s="518" t="s">
        <v>2797</v>
      </c>
      <c r="AW46" s="518" t="s">
        <v>2797</v>
      </c>
      <c r="AX46" s="518" t="s">
        <v>2797</v>
      </c>
      <c r="AY46" s="518" t="s">
        <v>2797</v>
      </c>
      <c r="AZ46" s="518" t="s">
        <v>2797</v>
      </c>
      <c r="BA46" s="518" t="s">
        <v>2797</v>
      </c>
      <c r="BB46" s="518" t="s">
        <v>2797</v>
      </c>
      <c r="BC46" s="518" t="s">
        <v>2797</v>
      </c>
      <c r="BD46" s="518" t="s">
        <v>2797</v>
      </c>
      <c r="BE46" s="518" t="s">
        <v>2797</v>
      </c>
      <c r="BF46" s="518" t="s">
        <v>2797</v>
      </c>
      <c r="BG46" s="518" t="s">
        <v>2797</v>
      </c>
      <c r="BH46" s="466" t="s">
        <v>2644</v>
      </c>
      <c r="BI46" s="466" t="s">
        <v>2644</v>
      </c>
      <c r="BJ46" s="518" t="s">
        <v>2797</v>
      </c>
      <c r="BK46" s="466" t="s">
        <v>2644</v>
      </c>
      <c r="BL46" s="466" t="e">
        <v>#VALUE!</v>
      </c>
      <c r="BM46" s="466" t="e">
        <v>#VALUE!</v>
      </c>
      <c r="BN46" s="466" t="e">
        <v>#VALUE!</v>
      </c>
      <c r="BO46" s="466" t="e">
        <v>#VALUE!</v>
      </c>
      <c r="BP46" s="466" t="e">
        <v>#VALUE!</v>
      </c>
      <c r="BQ46" s="466" t="e">
        <v>#VALUE!</v>
      </c>
      <c r="BR46" s="466" t="s">
        <v>571</v>
      </c>
      <c r="BS46" s="470" t="e">
        <v>#VALUE!</v>
      </c>
      <c r="BT46" s="470" t="e">
        <v>#VALUE!</v>
      </c>
      <c r="BU46" s="470" t="e">
        <v>#VALUE!</v>
      </c>
      <c r="BV46" s="470" t="e">
        <v>#VALUE!</v>
      </c>
      <c r="BW46" s="470" t="e">
        <v>#VALUE!</v>
      </c>
      <c r="BX46" s="470" t="e">
        <v>#VALUE!</v>
      </c>
      <c r="BY46" s="470" t="e">
        <v>#VALUE!</v>
      </c>
      <c r="BZ46" s="470" t="e">
        <v>#VALUE!</v>
      </c>
    </row>
    <row r="47" spans="1:83">
      <c r="A47" s="467" t="s">
        <v>2644</v>
      </c>
      <c r="B47" s="517" t="s">
        <v>2644</v>
      </c>
      <c r="C47" s="467" t="s">
        <v>2644</v>
      </c>
      <c r="D47" s="467" t="s">
        <v>2644</v>
      </c>
      <c r="E47" s="516" t="s">
        <v>2644</v>
      </c>
      <c r="F47" s="516" t="s">
        <v>2644</v>
      </c>
      <c r="G47" s="516" t="s">
        <v>2644</v>
      </c>
      <c r="H47" s="518" t="s">
        <v>2797</v>
      </c>
      <c r="I47" s="518" t="s">
        <v>2797</v>
      </c>
      <c r="J47" s="516" t="s">
        <v>2797</v>
      </c>
      <c r="K47" s="518" t="s">
        <v>2797</v>
      </c>
      <c r="L47" s="518" t="s">
        <v>2797</v>
      </c>
      <c r="M47" s="518" t="s">
        <v>2797</v>
      </c>
      <c r="N47" s="518" t="s">
        <v>2797</v>
      </c>
      <c r="O47" s="518" t="s">
        <v>2797</v>
      </c>
      <c r="P47" s="518" t="s">
        <v>2797</v>
      </c>
      <c r="Q47" s="518" t="s">
        <v>2797</v>
      </c>
      <c r="R47" s="518" t="s">
        <v>2797</v>
      </c>
      <c r="S47" s="518" t="s">
        <v>2797</v>
      </c>
      <c r="T47" s="518" t="s">
        <v>2797</v>
      </c>
      <c r="U47" s="518" t="s">
        <v>2797</v>
      </c>
      <c r="V47" s="518" t="s">
        <v>2797</v>
      </c>
      <c r="W47" s="518" t="s">
        <v>2797</v>
      </c>
      <c r="X47" s="518" t="s">
        <v>2797</v>
      </c>
      <c r="Y47" s="518" t="s">
        <v>2797</v>
      </c>
      <c r="Z47" s="518" t="s">
        <v>2797</v>
      </c>
      <c r="AA47" s="518" t="s">
        <v>2797</v>
      </c>
      <c r="AB47" s="518" t="s">
        <v>2797</v>
      </c>
      <c r="AC47" s="518" t="s">
        <v>2797</v>
      </c>
      <c r="AD47" s="467" t="s">
        <v>2644</v>
      </c>
      <c r="AE47" s="518" t="s">
        <v>2797</v>
      </c>
      <c r="AF47" s="519" t="s">
        <v>1</v>
      </c>
      <c r="AG47" s="519" t="s">
        <v>1</v>
      </c>
      <c r="AH47" s="519" t="s">
        <v>1</v>
      </c>
      <c r="AI47" s="519" t="s">
        <v>1</v>
      </c>
      <c r="AJ47" s="518" t="s">
        <v>2797</v>
      </c>
      <c r="AK47" s="518" t="s">
        <v>2797</v>
      </c>
      <c r="AL47" s="518" t="s">
        <v>2797</v>
      </c>
      <c r="AM47" s="518" t="s">
        <v>2797</v>
      </c>
      <c r="AN47" s="518" t="s">
        <v>2797</v>
      </c>
      <c r="AO47" s="518" t="s">
        <v>2797</v>
      </c>
      <c r="AP47" s="467" t="s">
        <v>2644</v>
      </c>
      <c r="AQ47" s="521" t="s">
        <v>2644</v>
      </c>
      <c r="AR47" s="521" t="s">
        <v>2644</v>
      </c>
      <c r="AS47" s="521" t="s">
        <v>2644</v>
      </c>
      <c r="AT47" s="467" t="s">
        <v>1</v>
      </c>
      <c r="AU47" s="518" t="s">
        <v>2797</v>
      </c>
      <c r="AV47" s="518" t="s">
        <v>2797</v>
      </c>
      <c r="AW47" s="518" t="s">
        <v>2797</v>
      </c>
      <c r="AX47" s="518" t="s">
        <v>2797</v>
      </c>
      <c r="AY47" s="518" t="s">
        <v>2797</v>
      </c>
      <c r="AZ47" s="518" t="s">
        <v>2797</v>
      </c>
      <c r="BA47" s="518" t="s">
        <v>2797</v>
      </c>
      <c r="BB47" s="518" t="s">
        <v>2797</v>
      </c>
      <c r="BC47" s="518" t="s">
        <v>2797</v>
      </c>
      <c r="BD47" s="518" t="s">
        <v>2797</v>
      </c>
      <c r="BE47" s="518" t="s">
        <v>2797</v>
      </c>
      <c r="BF47" s="518" t="s">
        <v>2797</v>
      </c>
      <c r="BG47" s="518" t="s">
        <v>2797</v>
      </c>
      <c r="BH47" s="466" t="s">
        <v>2644</v>
      </c>
      <c r="BI47" s="466" t="s">
        <v>2644</v>
      </c>
      <c r="BJ47" s="518" t="s">
        <v>2797</v>
      </c>
      <c r="BK47" s="466" t="s">
        <v>2644</v>
      </c>
      <c r="BL47" s="466" t="e">
        <v>#VALUE!</v>
      </c>
      <c r="BM47" s="466" t="e">
        <v>#VALUE!</v>
      </c>
      <c r="BN47" s="466" t="e">
        <v>#VALUE!</v>
      </c>
      <c r="BO47" s="466" t="e">
        <v>#VALUE!</v>
      </c>
      <c r="BP47" s="466" t="e">
        <v>#VALUE!</v>
      </c>
      <c r="BQ47" s="466" t="e">
        <v>#VALUE!</v>
      </c>
      <c r="BR47" s="466" t="s">
        <v>571</v>
      </c>
      <c r="BS47" s="470" t="e">
        <v>#VALUE!</v>
      </c>
      <c r="BT47" s="470" t="e">
        <v>#VALUE!</v>
      </c>
      <c r="BU47" s="470" t="e">
        <v>#VALUE!</v>
      </c>
      <c r="BV47" s="470" t="e">
        <v>#VALUE!</v>
      </c>
      <c r="BW47" s="470" t="e">
        <v>#VALUE!</v>
      </c>
      <c r="BX47" s="470" t="e">
        <v>#VALUE!</v>
      </c>
      <c r="BY47" s="470" t="e">
        <v>#VALUE!</v>
      </c>
      <c r="BZ47" s="470" t="e">
        <v>#VALUE!</v>
      </c>
    </row>
    <row r="48" spans="1:83">
      <c r="A48" s="467" t="s">
        <v>2644</v>
      </c>
      <c r="B48" s="517" t="s">
        <v>2644</v>
      </c>
      <c r="C48" s="467" t="s">
        <v>2644</v>
      </c>
      <c r="D48" s="467" t="s">
        <v>2644</v>
      </c>
      <c r="E48" s="516" t="s">
        <v>2644</v>
      </c>
      <c r="F48" s="516" t="s">
        <v>2644</v>
      </c>
      <c r="G48" s="516" t="s">
        <v>2644</v>
      </c>
      <c r="H48" s="518" t="s">
        <v>2797</v>
      </c>
      <c r="I48" s="518" t="s">
        <v>2797</v>
      </c>
      <c r="J48" s="516" t="s">
        <v>2797</v>
      </c>
      <c r="K48" s="518" t="s">
        <v>2797</v>
      </c>
      <c r="L48" s="518" t="s">
        <v>2797</v>
      </c>
      <c r="M48" s="518" t="s">
        <v>2797</v>
      </c>
      <c r="N48" s="518" t="s">
        <v>2797</v>
      </c>
      <c r="O48" s="518" t="s">
        <v>2797</v>
      </c>
      <c r="P48" s="518" t="s">
        <v>2797</v>
      </c>
      <c r="Q48" s="518" t="s">
        <v>2797</v>
      </c>
      <c r="R48" s="518" t="s">
        <v>2797</v>
      </c>
      <c r="S48" s="518" t="s">
        <v>2797</v>
      </c>
      <c r="T48" s="518" t="s">
        <v>2797</v>
      </c>
      <c r="U48" s="518" t="s">
        <v>2797</v>
      </c>
      <c r="V48" s="518" t="s">
        <v>2797</v>
      </c>
      <c r="W48" s="518" t="s">
        <v>2797</v>
      </c>
      <c r="X48" s="518" t="s">
        <v>2797</v>
      </c>
      <c r="Y48" s="518" t="s">
        <v>2797</v>
      </c>
      <c r="Z48" s="518" t="s">
        <v>2797</v>
      </c>
      <c r="AA48" s="518" t="s">
        <v>2797</v>
      </c>
      <c r="AB48" s="518" t="s">
        <v>2797</v>
      </c>
      <c r="AC48" s="518" t="s">
        <v>2797</v>
      </c>
      <c r="AD48" s="467" t="s">
        <v>2644</v>
      </c>
      <c r="AE48" s="518" t="s">
        <v>2797</v>
      </c>
      <c r="AF48" s="519" t="s">
        <v>1</v>
      </c>
      <c r="AG48" s="519" t="s">
        <v>1</v>
      </c>
      <c r="AH48" s="519" t="s">
        <v>1</v>
      </c>
      <c r="AI48" s="519" t="s">
        <v>1</v>
      </c>
      <c r="AJ48" s="518" t="s">
        <v>2797</v>
      </c>
      <c r="AK48" s="518" t="s">
        <v>2797</v>
      </c>
      <c r="AL48" s="518" t="s">
        <v>2797</v>
      </c>
      <c r="AM48" s="518" t="s">
        <v>2797</v>
      </c>
      <c r="AN48" s="518" t="s">
        <v>2797</v>
      </c>
      <c r="AO48" s="518" t="s">
        <v>2797</v>
      </c>
      <c r="AP48" s="467" t="s">
        <v>2644</v>
      </c>
      <c r="AQ48" s="521" t="s">
        <v>2644</v>
      </c>
      <c r="AR48" s="521" t="s">
        <v>2644</v>
      </c>
      <c r="AS48" s="521" t="s">
        <v>2644</v>
      </c>
      <c r="AT48" s="467" t="s">
        <v>1</v>
      </c>
      <c r="AU48" s="518" t="s">
        <v>2797</v>
      </c>
      <c r="AV48" s="518" t="s">
        <v>2797</v>
      </c>
      <c r="AW48" s="518" t="s">
        <v>2797</v>
      </c>
      <c r="AX48" s="518" t="s">
        <v>2797</v>
      </c>
      <c r="AY48" s="518" t="s">
        <v>2797</v>
      </c>
      <c r="AZ48" s="518" t="s">
        <v>2797</v>
      </c>
      <c r="BA48" s="518" t="s">
        <v>2797</v>
      </c>
      <c r="BB48" s="518" t="s">
        <v>2797</v>
      </c>
      <c r="BC48" s="518" t="s">
        <v>2797</v>
      </c>
      <c r="BD48" s="518" t="s">
        <v>2797</v>
      </c>
      <c r="BE48" s="518" t="s">
        <v>2797</v>
      </c>
      <c r="BF48" s="518" t="s">
        <v>2797</v>
      </c>
      <c r="BG48" s="518" t="s">
        <v>2797</v>
      </c>
      <c r="BH48" s="466" t="s">
        <v>2644</v>
      </c>
      <c r="BI48" s="466" t="s">
        <v>2644</v>
      </c>
      <c r="BJ48" s="518" t="s">
        <v>2797</v>
      </c>
      <c r="BK48" s="466" t="s">
        <v>2644</v>
      </c>
      <c r="BL48" s="466" t="e">
        <v>#VALUE!</v>
      </c>
      <c r="BM48" s="466" t="e">
        <v>#VALUE!</v>
      </c>
      <c r="BN48" s="466" t="e">
        <v>#VALUE!</v>
      </c>
      <c r="BO48" s="466" t="e">
        <v>#VALUE!</v>
      </c>
      <c r="BP48" s="466" t="e">
        <v>#VALUE!</v>
      </c>
      <c r="BQ48" s="466" t="e">
        <v>#VALUE!</v>
      </c>
      <c r="BR48" s="466" t="s">
        <v>571</v>
      </c>
      <c r="BS48" s="470" t="e">
        <v>#VALUE!</v>
      </c>
      <c r="BT48" s="470" t="e">
        <v>#VALUE!</v>
      </c>
      <c r="BU48" s="470" t="e">
        <v>#VALUE!</v>
      </c>
      <c r="BV48" s="470" t="e">
        <v>#VALUE!</v>
      </c>
      <c r="BW48" s="470" t="e">
        <v>#VALUE!</v>
      </c>
      <c r="BX48" s="470" t="e">
        <v>#VALUE!</v>
      </c>
      <c r="BY48" s="470" t="e">
        <v>#VALUE!</v>
      </c>
      <c r="BZ48" s="470" t="e">
        <v>#VALUE!</v>
      </c>
    </row>
    <row r="49" spans="1:83">
      <c r="A49" s="467" t="s">
        <v>2644</v>
      </c>
      <c r="B49" s="517" t="s">
        <v>2644</v>
      </c>
      <c r="C49" s="467" t="s">
        <v>2644</v>
      </c>
      <c r="D49" s="467" t="s">
        <v>2644</v>
      </c>
      <c r="E49" s="516" t="s">
        <v>2644</v>
      </c>
      <c r="F49" s="516" t="s">
        <v>2644</v>
      </c>
      <c r="G49" s="516" t="s">
        <v>2644</v>
      </c>
      <c r="H49" s="518" t="s">
        <v>2797</v>
      </c>
      <c r="I49" s="518" t="s">
        <v>2797</v>
      </c>
      <c r="J49" s="516" t="s">
        <v>2797</v>
      </c>
      <c r="K49" s="518" t="s">
        <v>2797</v>
      </c>
      <c r="L49" s="518" t="s">
        <v>2797</v>
      </c>
      <c r="M49" s="518" t="s">
        <v>2797</v>
      </c>
      <c r="N49" s="518" t="s">
        <v>2797</v>
      </c>
      <c r="O49" s="518" t="s">
        <v>2797</v>
      </c>
      <c r="P49" s="518" t="s">
        <v>2797</v>
      </c>
      <c r="Q49" s="518" t="s">
        <v>2797</v>
      </c>
      <c r="R49" s="518" t="s">
        <v>2797</v>
      </c>
      <c r="S49" s="518" t="s">
        <v>2797</v>
      </c>
      <c r="T49" s="518" t="s">
        <v>2797</v>
      </c>
      <c r="U49" s="518" t="s">
        <v>2797</v>
      </c>
      <c r="V49" s="518" t="s">
        <v>2797</v>
      </c>
      <c r="W49" s="518" t="s">
        <v>2797</v>
      </c>
      <c r="X49" s="518" t="s">
        <v>2797</v>
      </c>
      <c r="Y49" s="518" t="s">
        <v>2797</v>
      </c>
      <c r="Z49" s="518" t="s">
        <v>2797</v>
      </c>
      <c r="AA49" s="518" t="s">
        <v>2797</v>
      </c>
      <c r="AB49" s="518" t="s">
        <v>2797</v>
      </c>
      <c r="AC49" s="518" t="s">
        <v>2797</v>
      </c>
      <c r="AD49" s="467" t="s">
        <v>2644</v>
      </c>
      <c r="AE49" s="518" t="s">
        <v>2797</v>
      </c>
      <c r="AF49" s="519" t="s">
        <v>1</v>
      </c>
      <c r="AG49" s="519" t="s">
        <v>1</v>
      </c>
      <c r="AH49" s="519" t="s">
        <v>1</v>
      </c>
      <c r="AI49" s="519" t="s">
        <v>1</v>
      </c>
      <c r="AJ49" s="518" t="s">
        <v>2797</v>
      </c>
      <c r="AK49" s="518" t="s">
        <v>2797</v>
      </c>
      <c r="AL49" s="518" t="s">
        <v>2797</v>
      </c>
      <c r="AM49" s="518" t="s">
        <v>2797</v>
      </c>
      <c r="AN49" s="518" t="s">
        <v>2797</v>
      </c>
      <c r="AO49" s="518" t="s">
        <v>2797</v>
      </c>
      <c r="AP49" s="467" t="s">
        <v>2644</v>
      </c>
      <c r="AQ49" s="521" t="s">
        <v>2644</v>
      </c>
      <c r="AR49" s="521" t="s">
        <v>2644</v>
      </c>
      <c r="AS49" s="521" t="s">
        <v>2644</v>
      </c>
      <c r="AT49" s="467" t="s">
        <v>1</v>
      </c>
      <c r="AU49" s="518" t="s">
        <v>2797</v>
      </c>
      <c r="AV49" s="518" t="s">
        <v>2797</v>
      </c>
      <c r="AW49" s="518" t="s">
        <v>2797</v>
      </c>
      <c r="AX49" s="518" t="s">
        <v>2797</v>
      </c>
      <c r="AY49" s="518" t="s">
        <v>2797</v>
      </c>
      <c r="AZ49" s="518" t="s">
        <v>2797</v>
      </c>
      <c r="BA49" s="518" t="s">
        <v>2797</v>
      </c>
      <c r="BB49" s="518" t="s">
        <v>2797</v>
      </c>
      <c r="BC49" s="518" t="s">
        <v>2797</v>
      </c>
      <c r="BD49" s="518" t="s">
        <v>2797</v>
      </c>
      <c r="BE49" s="518" t="s">
        <v>2797</v>
      </c>
      <c r="BF49" s="518" t="s">
        <v>2797</v>
      </c>
      <c r="BG49" s="518" t="s">
        <v>2797</v>
      </c>
      <c r="BH49" s="466" t="s">
        <v>2644</v>
      </c>
      <c r="BI49" s="466" t="s">
        <v>2644</v>
      </c>
      <c r="BJ49" s="518" t="s">
        <v>2797</v>
      </c>
      <c r="BK49" s="466" t="s">
        <v>2644</v>
      </c>
      <c r="BL49" s="466" t="e">
        <v>#VALUE!</v>
      </c>
      <c r="BM49" s="466" t="e">
        <v>#VALUE!</v>
      </c>
      <c r="BN49" s="466" t="e">
        <v>#VALUE!</v>
      </c>
      <c r="BO49" s="466" t="e">
        <v>#VALUE!</v>
      </c>
      <c r="BP49" s="466" t="e">
        <v>#VALUE!</v>
      </c>
      <c r="BQ49" s="466" t="e">
        <v>#VALUE!</v>
      </c>
      <c r="BR49" s="466" t="s">
        <v>571</v>
      </c>
      <c r="BS49" s="470" t="e">
        <v>#VALUE!</v>
      </c>
      <c r="BT49" s="470" t="e">
        <v>#VALUE!</v>
      </c>
      <c r="BU49" s="470" t="e">
        <v>#VALUE!</v>
      </c>
      <c r="BV49" s="470" t="e">
        <v>#VALUE!</v>
      </c>
      <c r="BW49" s="470" t="e">
        <v>#VALUE!</v>
      </c>
      <c r="BX49" s="470" t="e">
        <v>#VALUE!</v>
      </c>
      <c r="BY49" s="470" t="e">
        <v>#VALUE!</v>
      </c>
      <c r="BZ49" s="470" t="e">
        <v>#VALUE!</v>
      </c>
    </row>
    <row r="50" spans="1:83">
      <c r="A50" s="467" t="s">
        <v>2644</v>
      </c>
      <c r="B50" s="517" t="s">
        <v>2644</v>
      </c>
      <c r="C50" s="467" t="s">
        <v>2644</v>
      </c>
      <c r="D50" s="467" t="s">
        <v>2644</v>
      </c>
      <c r="E50" s="516" t="s">
        <v>2644</v>
      </c>
      <c r="F50" s="516" t="s">
        <v>2644</v>
      </c>
      <c r="G50" s="516" t="s">
        <v>2644</v>
      </c>
      <c r="H50" s="518" t="s">
        <v>2797</v>
      </c>
      <c r="I50" s="518" t="s">
        <v>2797</v>
      </c>
      <c r="J50" s="516" t="s">
        <v>2797</v>
      </c>
      <c r="K50" s="518" t="s">
        <v>2797</v>
      </c>
      <c r="L50" s="518" t="s">
        <v>2797</v>
      </c>
      <c r="M50" s="518" t="s">
        <v>2797</v>
      </c>
      <c r="N50" s="518" t="s">
        <v>2797</v>
      </c>
      <c r="O50" s="518" t="s">
        <v>2797</v>
      </c>
      <c r="P50" s="518" t="s">
        <v>2797</v>
      </c>
      <c r="Q50" s="518" t="s">
        <v>2797</v>
      </c>
      <c r="R50" s="518" t="s">
        <v>2797</v>
      </c>
      <c r="S50" s="518" t="s">
        <v>2797</v>
      </c>
      <c r="T50" s="518" t="s">
        <v>2797</v>
      </c>
      <c r="U50" s="518" t="s">
        <v>2797</v>
      </c>
      <c r="V50" s="518" t="s">
        <v>2797</v>
      </c>
      <c r="W50" s="518" t="s">
        <v>2797</v>
      </c>
      <c r="X50" s="518" t="s">
        <v>2797</v>
      </c>
      <c r="Y50" s="518" t="s">
        <v>2797</v>
      </c>
      <c r="Z50" s="518" t="s">
        <v>2797</v>
      </c>
      <c r="AA50" s="518" t="s">
        <v>2797</v>
      </c>
      <c r="AB50" s="518" t="s">
        <v>2797</v>
      </c>
      <c r="AC50" s="518" t="s">
        <v>2797</v>
      </c>
      <c r="AD50" s="467" t="s">
        <v>2644</v>
      </c>
      <c r="AE50" s="518" t="s">
        <v>2797</v>
      </c>
      <c r="AF50" s="519" t="s">
        <v>1</v>
      </c>
      <c r="AG50" s="519" t="s">
        <v>1</v>
      </c>
      <c r="AH50" s="519" t="s">
        <v>1</v>
      </c>
      <c r="AI50" s="519" t="s">
        <v>1</v>
      </c>
      <c r="AJ50" s="518" t="s">
        <v>2797</v>
      </c>
      <c r="AK50" s="518" t="s">
        <v>2797</v>
      </c>
      <c r="AL50" s="518" t="s">
        <v>2797</v>
      </c>
      <c r="AM50" s="518" t="s">
        <v>2797</v>
      </c>
      <c r="AN50" s="518" t="s">
        <v>2797</v>
      </c>
      <c r="AO50" s="518" t="s">
        <v>2797</v>
      </c>
      <c r="AP50" s="467" t="s">
        <v>2644</v>
      </c>
      <c r="AQ50" s="521" t="s">
        <v>2644</v>
      </c>
      <c r="AR50" s="521" t="s">
        <v>2644</v>
      </c>
      <c r="AS50" s="521" t="s">
        <v>2644</v>
      </c>
      <c r="AT50" s="467" t="s">
        <v>1</v>
      </c>
      <c r="AU50" s="518" t="s">
        <v>2797</v>
      </c>
      <c r="AV50" s="518" t="s">
        <v>2797</v>
      </c>
      <c r="AW50" s="518" t="s">
        <v>2797</v>
      </c>
      <c r="AX50" s="518" t="s">
        <v>2797</v>
      </c>
      <c r="AY50" s="518" t="s">
        <v>2797</v>
      </c>
      <c r="AZ50" s="518" t="s">
        <v>2797</v>
      </c>
      <c r="BA50" s="518" t="s">
        <v>2797</v>
      </c>
      <c r="BB50" s="518" t="s">
        <v>2797</v>
      </c>
      <c r="BC50" s="518" t="s">
        <v>2797</v>
      </c>
      <c r="BD50" s="518" t="s">
        <v>2797</v>
      </c>
      <c r="BE50" s="518" t="s">
        <v>2797</v>
      </c>
      <c r="BF50" s="518" t="s">
        <v>2797</v>
      </c>
      <c r="BG50" s="518" t="s">
        <v>2797</v>
      </c>
      <c r="BH50" s="466" t="s">
        <v>2644</v>
      </c>
      <c r="BI50" s="466" t="s">
        <v>2644</v>
      </c>
      <c r="BJ50" s="518" t="s">
        <v>2797</v>
      </c>
      <c r="BK50" s="466" t="s">
        <v>2644</v>
      </c>
      <c r="BL50" s="466" t="e">
        <v>#VALUE!</v>
      </c>
      <c r="BM50" s="466" t="e">
        <v>#VALUE!</v>
      </c>
      <c r="BN50" s="466" t="e">
        <v>#VALUE!</v>
      </c>
      <c r="BO50" s="466" t="e">
        <v>#VALUE!</v>
      </c>
      <c r="BP50" s="466" t="e">
        <v>#VALUE!</v>
      </c>
      <c r="BQ50" s="466" t="e">
        <v>#VALUE!</v>
      </c>
      <c r="BR50" s="466" t="s">
        <v>571</v>
      </c>
      <c r="BS50" s="470" t="e">
        <v>#VALUE!</v>
      </c>
      <c r="BT50" s="470" t="e">
        <v>#VALUE!</v>
      </c>
      <c r="BU50" s="470" t="e">
        <v>#VALUE!</v>
      </c>
      <c r="BV50" s="470" t="e">
        <v>#VALUE!</v>
      </c>
      <c r="BW50" s="470" t="e">
        <v>#VALUE!</v>
      </c>
      <c r="BX50" s="470" t="e">
        <v>#VALUE!</v>
      </c>
      <c r="BY50" s="470" t="e">
        <v>#VALUE!</v>
      </c>
      <c r="BZ50" s="470" t="e">
        <v>#VALUE!</v>
      </c>
    </row>
    <row r="51" spans="1:83">
      <c r="A51" s="467" t="s">
        <v>2644</v>
      </c>
      <c r="B51" s="517" t="s">
        <v>2644</v>
      </c>
      <c r="C51" s="467" t="s">
        <v>2644</v>
      </c>
      <c r="D51" s="467" t="s">
        <v>2644</v>
      </c>
      <c r="E51" s="516" t="s">
        <v>2644</v>
      </c>
      <c r="F51" s="516" t="s">
        <v>2644</v>
      </c>
      <c r="G51" s="516" t="s">
        <v>2644</v>
      </c>
      <c r="H51" s="518" t="s">
        <v>2797</v>
      </c>
      <c r="I51" s="518" t="s">
        <v>2797</v>
      </c>
      <c r="J51" s="516" t="s">
        <v>2797</v>
      </c>
      <c r="K51" s="518" t="s">
        <v>2797</v>
      </c>
      <c r="L51" s="518" t="s">
        <v>2797</v>
      </c>
      <c r="M51" s="518" t="s">
        <v>2797</v>
      </c>
      <c r="N51" s="518" t="s">
        <v>2797</v>
      </c>
      <c r="O51" s="518" t="s">
        <v>2797</v>
      </c>
      <c r="P51" s="518" t="s">
        <v>2797</v>
      </c>
      <c r="Q51" s="518" t="s">
        <v>2797</v>
      </c>
      <c r="R51" s="518" t="s">
        <v>2797</v>
      </c>
      <c r="S51" s="518" t="s">
        <v>2797</v>
      </c>
      <c r="T51" s="518" t="s">
        <v>2797</v>
      </c>
      <c r="U51" s="518" t="s">
        <v>2797</v>
      </c>
      <c r="V51" s="518" t="s">
        <v>2797</v>
      </c>
      <c r="W51" s="518" t="s">
        <v>2797</v>
      </c>
      <c r="X51" s="518" t="s">
        <v>2797</v>
      </c>
      <c r="Y51" s="518" t="s">
        <v>2797</v>
      </c>
      <c r="Z51" s="518" t="s">
        <v>2797</v>
      </c>
      <c r="AA51" s="518" t="s">
        <v>2797</v>
      </c>
      <c r="AB51" s="518" t="s">
        <v>2797</v>
      </c>
      <c r="AC51" s="518" t="s">
        <v>2797</v>
      </c>
      <c r="AD51" s="467" t="s">
        <v>2644</v>
      </c>
      <c r="AE51" s="518" t="s">
        <v>2797</v>
      </c>
      <c r="AF51" s="519" t="s">
        <v>1</v>
      </c>
      <c r="AG51" s="519" t="s">
        <v>1</v>
      </c>
      <c r="AH51" s="519" t="s">
        <v>1</v>
      </c>
      <c r="AI51" s="519" t="s">
        <v>1</v>
      </c>
      <c r="AJ51" s="518" t="s">
        <v>2797</v>
      </c>
      <c r="AK51" s="518" t="s">
        <v>2797</v>
      </c>
      <c r="AL51" s="518" t="s">
        <v>2797</v>
      </c>
      <c r="AM51" s="518" t="s">
        <v>2797</v>
      </c>
      <c r="AN51" s="518" t="s">
        <v>2797</v>
      </c>
      <c r="AO51" s="518" t="s">
        <v>2797</v>
      </c>
      <c r="AP51" s="467" t="s">
        <v>2644</v>
      </c>
      <c r="AQ51" s="521" t="s">
        <v>2644</v>
      </c>
      <c r="AR51" s="521" t="s">
        <v>2644</v>
      </c>
      <c r="AS51" s="521" t="s">
        <v>2644</v>
      </c>
      <c r="AT51" s="467" t="s">
        <v>1</v>
      </c>
      <c r="AU51" s="518" t="s">
        <v>2797</v>
      </c>
      <c r="AV51" s="518" t="s">
        <v>2797</v>
      </c>
      <c r="AW51" s="518" t="s">
        <v>2797</v>
      </c>
      <c r="AX51" s="518" t="s">
        <v>2797</v>
      </c>
      <c r="AY51" s="518" t="s">
        <v>2797</v>
      </c>
      <c r="AZ51" s="518" t="s">
        <v>2797</v>
      </c>
      <c r="BA51" s="518" t="s">
        <v>2797</v>
      </c>
      <c r="BB51" s="518" t="s">
        <v>2797</v>
      </c>
      <c r="BC51" s="518" t="s">
        <v>2797</v>
      </c>
      <c r="BD51" s="518" t="s">
        <v>2797</v>
      </c>
      <c r="BE51" s="518" t="s">
        <v>2797</v>
      </c>
      <c r="BF51" s="518" t="s">
        <v>2797</v>
      </c>
      <c r="BG51" s="518" t="s">
        <v>2797</v>
      </c>
      <c r="BH51" s="466" t="s">
        <v>2644</v>
      </c>
      <c r="BI51" s="466" t="s">
        <v>2644</v>
      </c>
      <c r="BJ51" s="518" t="s">
        <v>2797</v>
      </c>
      <c r="BK51" s="466" t="s">
        <v>2644</v>
      </c>
      <c r="BL51" s="466" t="e">
        <v>#VALUE!</v>
      </c>
      <c r="BM51" s="466" t="e">
        <v>#VALUE!</v>
      </c>
      <c r="BN51" s="466" t="e">
        <v>#VALUE!</v>
      </c>
      <c r="BO51" s="466" t="e">
        <v>#VALUE!</v>
      </c>
      <c r="BP51" s="466" t="e">
        <v>#VALUE!</v>
      </c>
      <c r="BQ51" s="466" t="e">
        <v>#VALUE!</v>
      </c>
      <c r="BR51" s="466" t="s">
        <v>571</v>
      </c>
      <c r="BS51" s="470" t="e">
        <v>#VALUE!</v>
      </c>
      <c r="BT51" s="470" t="e">
        <v>#VALUE!</v>
      </c>
      <c r="BU51" s="470" t="e">
        <v>#VALUE!</v>
      </c>
      <c r="BV51" s="470" t="e">
        <v>#VALUE!</v>
      </c>
      <c r="BW51" s="470" t="e">
        <v>#VALUE!</v>
      </c>
      <c r="BX51" s="470" t="e">
        <v>#VALUE!</v>
      </c>
      <c r="BY51" s="470" t="e">
        <v>#VALUE!</v>
      </c>
      <c r="BZ51" s="470" t="e">
        <v>#VALUE!</v>
      </c>
    </row>
    <row r="52" spans="1:83">
      <c r="A52" s="467" t="s">
        <v>2644</v>
      </c>
      <c r="B52" s="517" t="s">
        <v>2644</v>
      </c>
      <c r="C52" s="467" t="s">
        <v>2644</v>
      </c>
      <c r="D52" s="467" t="s">
        <v>2644</v>
      </c>
      <c r="E52" s="516" t="s">
        <v>2644</v>
      </c>
      <c r="F52" s="516" t="s">
        <v>2644</v>
      </c>
      <c r="G52" s="516" t="s">
        <v>2644</v>
      </c>
      <c r="H52" s="518" t="s">
        <v>2797</v>
      </c>
      <c r="I52" s="518" t="s">
        <v>2797</v>
      </c>
      <c r="J52" s="516" t="s">
        <v>2797</v>
      </c>
      <c r="K52" s="518" t="s">
        <v>2797</v>
      </c>
      <c r="L52" s="518" t="s">
        <v>2797</v>
      </c>
      <c r="M52" s="518" t="s">
        <v>2797</v>
      </c>
      <c r="N52" s="518" t="s">
        <v>2797</v>
      </c>
      <c r="O52" s="518" t="s">
        <v>2797</v>
      </c>
      <c r="P52" s="518" t="s">
        <v>2797</v>
      </c>
      <c r="Q52" s="518" t="s">
        <v>2797</v>
      </c>
      <c r="R52" s="518" t="s">
        <v>2797</v>
      </c>
      <c r="S52" s="518" t="s">
        <v>2797</v>
      </c>
      <c r="T52" s="518" t="s">
        <v>2797</v>
      </c>
      <c r="U52" s="518" t="s">
        <v>2797</v>
      </c>
      <c r="V52" s="518" t="s">
        <v>2797</v>
      </c>
      <c r="W52" s="518" t="s">
        <v>2797</v>
      </c>
      <c r="X52" s="518" t="s">
        <v>2797</v>
      </c>
      <c r="Y52" s="518" t="s">
        <v>2797</v>
      </c>
      <c r="Z52" s="518" t="s">
        <v>2797</v>
      </c>
      <c r="AA52" s="518" t="s">
        <v>2797</v>
      </c>
      <c r="AB52" s="518" t="s">
        <v>2797</v>
      </c>
      <c r="AC52" s="518" t="s">
        <v>2797</v>
      </c>
      <c r="AD52" s="467" t="s">
        <v>2644</v>
      </c>
      <c r="AE52" s="518" t="s">
        <v>2797</v>
      </c>
      <c r="AF52" s="519" t="s">
        <v>1</v>
      </c>
      <c r="AG52" s="519" t="s">
        <v>1</v>
      </c>
      <c r="AH52" s="519" t="s">
        <v>1</v>
      </c>
      <c r="AI52" s="519" t="s">
        <v>1</v>
      </c>
      <c r="AJ52" s="518" t="s">
        <v>2797</v>
      </c>
      <c r="AK52" s="518" t="s">
        <v>2797</v>
      </c>
      <c r="AL52" s="518" t="s">
        <v>2797</v>
      </c>
      <c r="AM52" s="518" t="s">
        <v>2797</v>
      </c>
      <c r="AN52" s="518" t="s">
        <v>2797</v>
      </c>
      <c r="AO52" s="518" t="s">
        <v>2797</v>
      </c>
      <c r="AP52" s="467" t="s">
        <v>2644</v>
      </c>
      <c r="AQ52" s="521" t="s">
        <v>2644</v>
      </c>
      <c r="AR52" s="521" t="s">
        <v>2644</v>
      </c>
      <c r="AS52" s="521" t="s">
        <v>2644</v>
      </c>
      <c r="AT52" s="467" t="s">
        <v>1</v>
      </c>
      <c r="AU52" s="518" t="s">
        <v>2797</v>
      </c>
      <c r="AV52" s="518" t="s">
        <v>2797</v>
      </c>
      <c r="AW52" s="518" t="s">
        <v>2797</v>
      </c>
      <c r="AX52" s="518" t="s">
        <v>2797</v>
      </c>
      <c r="AY52" s="518" t="s">
        <v>2797</v>
      </c>
      <c r="AZ52" s="518" t="s">
        <v>2797</v>
      </c>
      <c r="BA52" s="518" t="s">
        <v>2797</v>
      </c>
      <c r="BB52" s="518" t="s">
        <v>2797</v>
      </c>
      <c r="BC52" s="518" t="s">
        <v>2797</v>
      </c>
      <c r="BD52" s="518" t="s">
        <v>2797</v>
      </c>
      <c r="BE52" s="518" t="s">
        <v>2797</v>
      </c>
      <c r="BF52" s="518" t="s">
        <v>2797</v>
      </c>
      <c r="BG52" s="518" t="s">
        <v>2797</v>
      </c>
      <c r="BH52" s="466" t="s">
        <v>2644</v>
      </c>
      <c r="BI52" s="466" t="s">
        <v>2644</v>
      </c>
      <c r="BJ52" s="518" t="s">
        <v>2797</v>
      </c>
      <c r="BK52" s="466" t="s">
        <v>2644</v>
      </c>
      <c r="BL52" s="466" t="e">
        <v>#VALUE!</v>
      </c>
      <c r="BM52" s="466" t="e">
        <v>#VALUE!</v>
      </c>
      <c r="BN52" s="466" t="e">
        <v>#VALUE!</v>
      </c>
      <c r="BO52" s="466" t="e">
        <v>#VALUE!</v>
      </c>
      <c r="BP52" s="466" t="e">
        <v>#VALUE!</v>
      </c>
      <c r="BQ52" s="466" t="e">
        <v>#VALUE!</v>
      </c>
      <c r="BR52" s="466" t="s">
        <v>571</v>
      </c>
      <c r="BS52" s="470" t="e">
        <v>#VALUE!</v>
      </c>
      <c r="BT52" s="470" t="e">
        <v>#VALUE!</v>
      </c>
      <c r="BU52" s="470" t="e">
        <v>#VALUE!</v>
      </c>
      <c r="BV52" s="470" t="e">
        <v>#VALUE!</v>
      </c>
      <c r="BW52" s="470" t="e">
        <v>#VALUE!</v>
      </c>
      <c r="BX52" s="470" t="e">
        <v>#VALUE!</v>
      </c>
      <c r="BY52" s="470" t="e">
        <v>#VALUE!</v>
      </c>
      <c r="BZ52" s="470" t="e">
        <v>#VALUE!</v>
      </c>
    </row>
    <row r="53" spans="1:83">
      <c r="A53" s="467" t="s">
        <v>2644</v>
      </c>
      <c r="B53" s="517" t="s">
        <v>2644</v>
      </c>
      <c r="C53" s="467" t="s">
        <v>2644</v>
      </c>
      <c r="D53" s="467" t="s">
        <v>2644</v>
      </c>
      <c r="E53" s="516" t="s">
        <v>2644</v>
      </c>
      <c r="F53" s="516" t="s">
        <v>2644</v>
      </c>
      <c r="G53" s="516" t="s">
        <v>2644</v>
      </c>
      <c r="H53" s="518" t="s">
        <v>2797</v>
      </c>
      <c r="I53" s="518" t="s">
        <v>2797</v>
      </c>
      <c r="J53" s="516" t="s">
        <v>2797</v>
      </c>
      <c r="K53" s="518" t="s">
        <v>2797</v>
      </c>
      <c r="L53" s="518" t="s">
        <v>2797</v>
      </c>
      <c r="M53" s="518" t="s">
        <v>2797</v>
      </c>
      <c r="N53" s="518" t="s">
        <v>2797</v>
      </c>
      <c r="O53" s="518" t="s">
        <v>2797</v>
      </c>
      <c r="P53" s="518" t="s">
        <v>2797</v>
      </c>
      <c r="Q53" s="518" t="s">
        <v>2797</v>
      </c>
      <c r="R53" s="518" t="s">
        <v>2797</v>
      </c>
      <c r="S53" s="518" t="s">
        <v>2797</v>
      </c>
      <c r="T53" s="518" t="s">
        <v>2797</v>
      </c>
      <c r="U53" s="518" t="s">
        <v>2797</v>
      </c>
      <c r="V53" s="518" t="s">
        <v>2797</v>
      </c>
      <c r="W53" s="518" t="s">
        <v>2797</v>
      </c>
      <c r="X53" s="518" t="s">
        <v>2797</v>
      </c>
      <c r="Y53" s="518" t="s">
        <v>2797</v>
      </c>
      <c r="Z53" s="518" t="s">
        <v>2797</v>
      </c>
      <c r="AA53" s="518" t="s">
        <v>2797</v>
      </c>
      <c r="AB53" s="518" t="s">
        <v>2797</v>
      </c>
      <c r="AC53" s="518" t="s">
        <v>2797</v>
      </c>
      <c r="AD53" s="467" t="s">
        <v>2644</v>
      </c>
      <c r="AE53" s="518" t="s">
        <v>2797</v>
      </c>
      <c r="AF53" s="519" t="s">
        <v>1</v>
      </c>
      <c r="AG53" s="519" t="s">
        <v>1</v>
      </c>
      <c r="AH53" s="519" t="s">
        <v>1</v>
      </c>
      <c r="AI53" s="519" t="s">
        <v>1</v>
      </c>
      <c r="AJ53" s="518" t="s">
        <v>2797</v>
      </c>
      <c r="AK53" s="518" t="s">
        <v>2797</v>
      </c>
      <c r="AL53" s="518" t="s">
        <v>2797</v>
      </c>
      <c r="AM53" s="518" t="s">
        <v>2797</v>
      </c>
      <c r="AN53" s="518" t="s">
        <v>2797</v>
      </c>
      <c r="AO53" s="518" t="s">
        <v>2797</v>
      </c>
      <c r="AP53" s="467" t="s">
        <v>2644</v>
      </c>
      <c r="AQ53" s="521" t="s">
        <v>2644</v>
      </c>
      <c r="AR53" s="521" t="s">
        <v>2644</v>
      </c>
      <c r="AS53" s="521" t="s">
        <v>2644</v>
      </c>
      <c r="AT53" s="467" t="s">
        <v>1</v>
      </c>
      <c r="AU53" s="518" t="s">
        <v>2797</v>
      </c>
      <c r="AV53" s="518" t="s">
        <v>2797</v>
      </c>
      <c r="AW53" s="518" t="s">
        <v>2797</v>
      </c>
      <c r="AX53" s="518" t="s">
        <v>2797</v>
      </c>
      <c r="AY53" s="518" t="s">
        <v>2797</v>
      </c>
      <c r="AZ53" s="518" t="s">
        <v>2797</v>
      </c>
      <c r="BA53" s="518" t="s">
        <v>2797</v>
      </c>
      <c r="BB53" s="518" t="s">
        <v>2797</v>
      </c>
      <c r="BC53" s="518" t="s">
        <v>2797</v>
      </c>
      <c r="BD53" s="518" t="s">
        <v>2797</v>
      </c>
      <c r="BE53" s="518" t="s">
        <v>2797</v>
      </c>
      <c r="BF53" s="518" t="s">
        <v>2797</v>
      </c>
      <c r="BG53" s="518" t="s">
        <v>2797</v>
      </c>
      <c r="BH53" s="466" t="s">
        <v>2644</v>
      </c>
      <c r="BI53" s="466" t="s">
        <v>2644</v>
      </c>
      <c r="BJ53" s="518" t="s">
        <v>2797</v>
      </c>
      <c r="BK53" s="466" t="s">
        <v>2644</v>
      </c>
      <c r="BL53" s="466" t="e">
        <v>#VALUE!</v>
      </c>
      <c r="BM53" s="466" t="e">
        <v>#VALUE!</v>
      </c>
      <c r="BN53" s="466" t="e">
        <v>#VALUE!</v>
      </c>
      <c r="BO53" s="466" t="e">
        <v>#VALUE!</v>
      </c>
      <c r="BP53" s="466" t="e">
        <v>#VALUE!</v>
      </c>
      <c r="BQ53" s="466" t="e">
        <v>#VALUE!</v>
      </c>
      <c r="BR53" s="466" t="s">
        <v>571</v>
      </c>
      <c r="BS53" s="470" t="e">
        <v>#VALUE!</v>
      </c>
      <c r="BT53" s="470" t="e">
        <v>#VALUE!</v>
      </c>
      <c r="BU53" s="470" t="e">
        <v>#VALUE!</v>
      </c>
      <c r="BV53" s="470" t="e">
        <v>#VALUE!</v>
      </c>
      <c r="BW53" s="470" t="e">
        <v>#VALUE!</v>
      </c>
      <c r="BX53" s="470" t="e">
        <v>#VALUE!</v>
      </c>
      <c r="BY53" s="470" t="e">
        <v>#VALUE!</v>
      </c>
      <c r="BZ53" s="470" t="e">
        <v>#VALUE!</v>
      </c>
    </row>
    <row r="54" spans="1:83">
      <c r="A54" s="465"/>
      <c r="J54" s="516"/>
      <c r="M54" s="469"/>
      <c r="N54" s="469"/>
      <c r="O54" s="469"/>
      <c r="P54" s="469"/>
      <c r="Q54" s="469"/>
      <c r="R54" s="469"/>
      <c r="S54" s="469"/>
      <c r="T54" s="469"/>
      <c r="U54" s="469"/>
      <c r="V54" s="469"/>
      <c r="W54" s="469"/>
      <c r="X54" s="469"/>
      <c r="Y54" s="469"/>
      <c r="Z54" s="469"/>
      <c r="AA54" s="469"/>
      <c r="AB54" s="469"/>
      <c r="AC54" s="469"/>
      <c r="AD54" s="469"/>
      <c r="AE54" s="469"/>
      <c r="AF54" s="469"/>
      <c r="AG54" s="469"/>
      <c r="AH54" s="469"/>
      <c r="AI54" s="469"/>
      <c r="AJ54" s="469"/>
      <c r="AK54" s="469"/>
      <c r="AL54" s="469"/>
      <c r="AM54" s="469"/>
      <c r="AN54" s="469"/>
      <c r="AO54" s="469"/>
      <c r="AP54" s="469"/>
      <c r="AQ54" s="465"/>
      <c r="AR54" s="469"/>
      <c r="AS54" s="465"/>
      <c r="AT54" s="469"/>
      <c r="AU54" s="465"/>
      <c r="AV54" s="465"/>
      <c r="AW54" s="465"/>
      <c r="AX54" s="465"/>
      <c r="AY54" s="465"/>
      <c r="AZ54" s="465"/>
      <c r="BA54" s="465"/>
      <c r="BB54" s="465"/>
      <c r="BC54" s="469"/>
      <c r="BD54" s="465"/>
      <c r="BE54" s="465"/>
      <c r="BF54" s="465"/>
      <c r="BG54" s="465"/>
      <c r="BH54" s="465"/>
      <c r="BI54" s="465"/>
      <c r="BJ54" s="465"/>
      <c r="BK54" s="465"/>
      <c r="BL54" s="465"/>
      <c r="BM54" s="465"/>
      <c r="BN54" s="465"/>
      <c r="BO54" s="465"/>
      <c r="BP54" s="465"/>
      <c r="BQ54" s="465"/>
      <c r="BR54" s="465"/>
      <c r="BS54" s="465"/>
      <c r="BT54" s="465"/>
      <c r="BU54" s="465"/>
      <c r="BV54" s="465"/>
      <c r="BW54" s="465"/>
      <c r="BX54" s="465"/>
      <c r="BY54" s="465"/>
      <c r="BZ54" s="465"/>
      <c r="CE54" s="465"/>
    </row>
    <row r="55" spans="1:83">
      <c r="A55" s="465"/>
      <c r="J55" s="516"/>
      <c r="L55" s="513"/>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469"/>
      <c r="AK55" s="469"/>
      <c r="AL55" s="469"/>
      <c r="AM55" s="469"/>
      <c r="AN55" s="469"/>
      <c r="AO55" s="469"/>
      <c r="AP55" s="469"/>
      <c r="AQ55" s="465"/>
      <c r="AR55" s="469"/>
      <c r="AS55" s="465"/>
      <c r="AT55" s="469"/>
      <c r="AU55" s="465"/>
      <c r="AV55" s="465"/>
      <c r="AW55" s="465"/>
      <c r="AX55" s="465"/>
      <c r="AY55" s="465"/>
      <c r="AZ55" s="465"/>
      <c r="BA55" s="465"/>
      <c r="BB55" s="465"/>
      <c r="BC55" s="469"/>
      <c r="BD55" s="465"/>
      <c r="BE55" s="465"/>
      <c r="BF55" s="465"/>
      <c r="BG55" s="465"/>
      <c r="BH55" s="465"/>
      <c r="BI55" s="465"/>
      <c r="BJ55" s="465"/>
      <c r="BK55" s="465"/>
      <c r="BL55" s="465"/>
      <c r="BM55" s="465"/>
      <c r="BN55" s="465"/>
      <c r="BO55" s="465"/>
      <c r="BP55" s="465"/>
      <c r="BQ55" s="465"/>
      <c r="BR55" s="465"/>
      <c r="BS55" s="465"/>
      <c r="BT55" s="465"/>
      <c r="BU55" s="465"/>
      <c r="BV55" s="465"/>
      <c r="BW55" s="465"/>
      <c r="BX55" s="465"/>
      <c r="BY55" s="465"/>
      <c r="BZ55" s="465"/>
      <c r="CE55" s="465"/>
    </row>
    <row r="56" spans="1:83" ht="12.75">
      <c r="A56" s="465"/>
      <c r="B56" s="524" t="s">
        <v>57</v>
      </c>
      <c r="C56" s="525" t="s">
        <v>555</v>
      </c>
      <c r="D56" s="526" t="s">
        <v>556</v>
      </c>
      <c r="E56" s="527" t="s">
        <v>56</v>
      </c>
      <c r="F56" s="528"/>
      <c r="G56" s="528"/>
      <c r="H56" s="528"/>
      <c r="I56" s="528"/>
      <c r="J56" s="529"/>
      <c r="K56" s="530"/>
      <c r="L56" s="513"/>
      <c r="M56" s="469"/>
      <c r="N56" s="469"/>
      <c r="O56" s="469"/>
      <c r="P56" s="469"/>
      <c r="Q56" s="469"/>
      <c r="R56" s="469"/>
      <c r="S56" s="469"/>
      <c r="T56" s="469"/>
      <c r="U56" s="469"/>
      <c r="V56" s="469"/>
      <c r="W56" s="469"/>
      <c r="X56" s="469"/>
      <c r="Y56" s="469"/>
      <c r="Z56" s="469"/>
      <c r="AA56" s="469"/>
      <c r="AB56" s="469"/>
      <c r="AC56" s="469"/>
      <c r="AD56" s="469"/>
      <c r="AE56" s="469"/>
      <c r="AF56" s="469"/>
      <c r="AG56" s="469"/>
      <c r="AH56" s="469"/>
      <c r="AI56" s="469"/>
      <c r="AJ56" s="469"/>
      <c r="AK56" s="469"/>
      <c r="AL56" s="469"/>
      <c r="AM56" s="469"/>
      <c r="AN56" s="469"/>
      <c r="AO56" s="469"/>
      <c r="AP56" s="469"/>
      <c r="AQ56" s="465"/>
      <c r="AR56" s="469"/>
      <c r="AS56" s="465"/>
      <c r="AT56" s="469"/>
      <c r="AU56" s="465"/>
      <c r="AV56" s="465"/>
      <c r="AW56" s="465"/>
      <c r="AX56" s="465"/>
      <c r="AY56" s="465"/>
      <c r="AZ56" s="465"/>
      <c r="BA56" s="465"/>
      <c r="BB56" s="465"/>
      <c r="BC56" s="469"/>
      <c r="BD56" s="465"/>
      <c r="BE56" s="465"/>
      <c r="BF56" s="465"/>
      <c r="BG56" s="465"/>
      <c r="BH56" s="465"/>
      <c r="BI56" s="465"/>
      <c r="BJ56" s="465"/>
      <c r="BK56" s="465"/>
      <c r="BL56" s="465"/>
      <c r="BM56" s="465"/>
      <c r="BN56" s="465"/>
      <c r="BO56" s="465"/>
      <c r="BP56" s="465"/>
      <c r="BQ56" s="465"/>
      <c r="BR56" s="465"/>
      <c r="BS56" s="465"/>
      <c r="BT56" s="465"/>
      <c r="BU56" s="465"/>
      <c r="BV56" s="465"/>
      <c r="BW56" s="465"/>
      <c r="BX56" s="465"/>
      <c r="BY56" s="465"/>
      <c r="BZ56" s="465"/>
      <c r="CE56" s="465"/>
    </row>
    <row r="57" spans="1:83" ht="12.75">
      <c r="A57" s="465"/>
      <c r="B57" s="531" t="s">
        <v>60</v>
      </c>
      <c r="C57" s="532">
        <v>0.08</v>
      </c>
      <c r="D57" s="533">
        <v>1.9099999999999999E-2</v>
      </c>
      <c r="E57" s="534" t="s">
        <v>574</v>
      </c>
      <c r="F57" s="535"/>
      <c r="G57" s="535"/>
      <c r="H57" s="535"/>
      <c r="I57" s="535"/>
      <c r="J57" s="536"/>
      <c r="K57" s="537"/>
      <c r="M57" s="469"/>
      <c r="N57" s="469"/>
      <c r="O57" s="469"/>
      <c r="P57" s="469"/>
      <c r="Q57" s="469"/>
      <c r="R57" s="469"/>
      <c r="S57" s="469"/>
      <c r="T57" s="469"/>
      <c r="U57" s="469"/>
      <c r="V57" s="469"/>
      <c r="W57" s="469"/>
      <c r="X57" s="469"/>
      <c r="Y57" s="469"/>
      <c r="Z57" s="469"/>
      <c r="AA57" s="469"/>
      <c r="AB57" s="469"/>
      <c r="AC57" s="469"/>
      <c r="AD57" s="469"/>
      <c r="AE57" s="469"/>
      <c r="AF57" s="469"/>
      <c r="AG57" s="469"/>
      <c r="AH57" s="469"/>
      <c r="AI57" s="469"/>
      <c r="AJ57" s="469"/>
      <c r="AK57" s="469"/>
      <c r="AL57" s="469"/>
      <c r="AM57" s="469"/>
      <c r="AN57" s="469"/>
      <c r="AO57" s="469"/>
      <c r="AP57" s="469"/>
      <c r="AQ57" s="465"/>
      <c r="AR57" s="469"/>
      <c r="AS57" s="465"/>
      <c r="AT57" s="469"/>
      <c r="AU57" s="465"/>
      <c r="AV57" s="465"/>
      <c r="AW57" s="465"/>
      <c r="AX57" s="465"/>
      <c r="AY57" s="465"/>
      <c r="AZ57" s="465"/>
      <c r="BA57" s="465"/>
      <c r="BB57" s="465"/>
      <c r="BC57" s="469"/>
      <c r="BD57" s="465"/>
      <c r="BE57" s="465"/>
      <c r="BF57" s="465"/>
      <c r="BG57" s="465"/>
      <c r="BH57" s="465"/>
      <c r="BI57" s="465"/>
      <c r="BJ57" s="465"/>
      <c r="BK57" s="465"/>
      <c r="BL57" s="465"/>
      <c r="BM57" s="465"/>
      <c r="BN57" s="465"/>
      <c r="BO57" s="465"/>
      <c r="BP57" s="465"/>
      <c r="BQ57" s="465"/>
      <c r="BR57" s="465"/>
      <c r="BS57" s="465"/>
      <c r="BT57" s="465"/>
      <c r="BU57" s="465"/>
      <c r="BV57" s="465"/>
      <c r="BW57" s="465"/>
      <c r="BX57" s="465"/>
      <c r="BY57" s="465"/>
      <c r="BZ57" s="465"/>
      <c r="CE57" s="465"/>
    </row>
    <row r="58" spans="1:83" ht="12.75">
      <c r="A58" s="465"/>
      <c r="B58" s="538" t="s">
        <v>61</v>
      </c>
      <c r="C58" s="539">
        <v>0.25</v>
      </c>
      <c r="D58" s="497">
        <v>2.0400000000000001E-2</v>
      </c>
      <c r="E58" s="534" t="s">
        <v>575</v>
      </c>
      <c r="F58" s="535"/>
      <c r="G58" s="535"/>
      <c r="H58" s="535"/>
      <c r="I58" s="535"/>
      <c r="J58" s="536"/>
      <c r="K58" s="537"/>
      <c r="M58" s="469"/>
      <c r="N58" s="469"/>
      <c r="O58" s="469"/>
      <c r="P58" s="469"/>
      <c r="Q58" s="469"/>
      <c r="R58" s="469"/>
      <c r="S58" s="469"/>
      <c r="T58" s="469"/>
      <c r="U58" s="469"/>
      <c r="V58" s="469"/>
      <c r="W58" s="469"/>
      <c r="X58" s="469"/>
      <c r="Y58" s="469"/>
      <c r="Z58" s="469"/>
      <c r="AA58" s="469"/>
      <c r="AB58" s="469"/>
      <c r="AC58" s="469"/>
      <c r="AD58" s="469"/>
      <c r="AE58" s="469"/>
      <c r="AF58" s="469"/>
      <c r="AG58" s="469"/>
      <c r="AH58" s="469"/>
      <c r="AI58" s="469"/>
      <c r="AJ58" s="469"/>
      <c r="AK58" s="469"/>
      <c r="AL58" s="469"/>
      <c r="AM58" s="469"/>
      <c r="AN58" s="469"/>
      <c r="AO58" s="469"/>
      <c r="AP58" s="469"/>
      <c r="AQ58" s="465"/>
      <c r="AR58" s="469"/>
      <c r="AS58" s="465"/>
      <c r="AT58" s="469"/>
      <c r="AU58" s="465"/>
      <c r="AV58" s="465"/>
      <c r="AW58" s="465"/>
      <c r="AX58" s="465"/>
      <c r="AY58" s="465"/>
      <c r="AZ58" s="465"/>
      <c r="BA58" s="465"/>
      <c r="BB58" s="465"/>
      <c r="BC58" s="469"/>
      <c r="BD58" s="465"/>
      <c r="BE58" s="465"/>
      <c r="BF58" s="465"/>
      <c r="BG58" s="465"/>
      <c r="BH58" s="465"/>
      <c r="BI58" s="465"/>
      <c r="BJ58" s="465"/>
      <c r="BK58" s="465"/>
      <c r="BL58" s="465"/>
      <c r="BM58" s="465"/>
      <c r="BN58" s="465"/>
      <c r="BO58" s="465"/>
      <c r="BP58" s="465"/>
      <c r="BQ58" s="465"/>
      <c r="BR58" s="465"/>
      <c r="BS58" s="465"/>
      <c r="BT58" s="465"/>
      <c r="BU58" s="465"/>
      <c r="BV58" s="465"/>
      <c r="BW58" s="465"/>
      <c r="BX58" s="465"/>
      <c r="BY58" s="465"/>
      <c r="BZ58" s="465"/>
      <c r="CE58" s="465"/>
    </row>
    <row r="59" spans="1:83" ht="12.75">
      <c r="A59" s="465"/>
      <c r="B59" s="538" t="s">
        <v>62</v>
      </c>
      <c r="C59" s="539">
        <v>0.5</v>
      </c>
      <c r="D59" s="497">
        <v>2.2100000000000002E-2</v>
      </c>
      <c r="E59" s="534" t="s">
        <v>576</v>
      </c>
      <c r="F59" s="535"/>
      <c r="G59" s="535"/>
      <c r="H59" s="535"/>
      <c r="I59" s="535"/>
      <c r="J59" s="536"/>
      <c r="K59" s="537"/>
      <c r="M59" s="469"/>
      <c r="N59" s="469"/>
      <c r="O59" s="469"/>
      <c r="P59" s="469"/>
      <c r="Q59" s="469"/>
      <c r="R59" s="469"/>
      <c r="S59" s="469"/>
      <c r="T59" s="469"/>
      <c r="U59" s="469"/>
      <c r="V59" s="469"/>
      <c r="W59" s="469"/>
      <c r="X59" s="469"/>
      <c r="Y59" s="469"/>
      <c r="Z59" s="469"/>
      <c r="AA59" s="469"/>
      <c r="AB59" s="469"/>
      <c r="AC59" s="469"/>
      <c r="AD59" s="469"/>
      <c r="AE59" s="469"/>
      <c r="AF59" s="469"/>
      <c r="AG59" s="469"/>
      <c r="AH59" s="469"/>
      <c r="AI59" s="469"/>
      <c r="AJ59" s="469"/>
      <c r="AK59" s="469"/>
      <c r="AL59" s="469"/>
      <c r="AM59" s="469"/>
      <c r="AN59" s="469"/>
      <c r="AO59" s="469"/>
      <c r="AP59" s="469"/>
      <c r="AQ59" s="465"/>
      <c r="AR59" s="469"/>
      <c r="AS59" s="465"/>
      <c r="AT59" s="469"/>
      <c r="AU59" s="465"/>
      <c r="AV59" s="465"/>
      <c r="AW59" s="465"/>
      <c r="AX59" s="465"/>
      <c r="AY59" s="465"/>
      <c r="AZ59" s="465"/>
      <c r="BA59" s="465"/>
      <c r="BB59" s="465"/>
      <c r="BC59" s="469"/>
      <c r="BD59" s="465"/>
      <c r="BE59" s="465"/>
      <c r="BF59" s="465"/>
      <c r="BG59" s="465"/>
      <c r="BH59" s="465"/>
      <c r="BI59" s="465"/>
      <c r="BJ59" s="465"/>
      <c r="BK59" s="465"/>
      <c r="BL59" s="465"/>
      <c r="BM59" s="465"/>
      <c r="BN59" s="465"/>
      <c r="BO59" s="465"/>
      <c r="BP59" s="465"/>
      <c r="BQ59" s="465"/>
      <c r="BR59" s="465"/>
      <c r="BS59" s="465"/>
      <c r="BT59" s="465"/>
      <c r="BU59" s="465"/>
      <c r="BV59" s="465"/>
      <c r="BW59" s="465"/>
      <c r="BX59" s="465"/>
      <c r="BY59" s="465"/>
      <c r="BZ59" s="465"/>
      <c r="CE59" s="465"/>
    </row>
    <row r="60" spans="1:83" ht="12.75">
      <c r="A60" s="465"/>
      <c r="B60" s="538" t="s">
        <v>63</v>
      </c>
      <c r="C60" s="539">
        <v>1</v>
      </c>
      <c r="D60" s="497">
        <v>2.4299999999999999E-2</v>
      </c>
      <c r="E60" s="534" t="s">
        <v>577</v>
      </c>
      <c r="F60" s="535"/>
      <c r="G60" s="535"/>
      <c r="H60" s="535"/>
      <c r="I60" s="535"/>
      <c r="J60" s="536"/>
      <c r="K60" s="537"/>
      <c r="M60" s="469"/>
      <c r="N60" s="469"/>
      <c r="O60" s="469"/>
      <c r="P60" s="469"/>
      <c r="Q60" s="469"/>
      <c r="R60" s="469"/>
      <c r="S60" s="469"/>
      <c r="T60" s="469"/>
      <c r="U60" s="469"/>
      <c r="V60" s="469"/>
      <c r="W60" s="469"/>
      <c r="X60" s="469"/>
      <c r="Y60" s="469"/>
      <c r="Z60" s="469"/>
      <c r="AA60" s="469"/>
      <c r="AB60" s="469"/>
      <c r="AC60" s="469"/>
      <c r="AD60" s="469"/>
      <c r="AE60" s="469"/>
      <c r="AF60" s="469"/>
      <c r="AG60" s="469"/>
      <c r="AH60" s="469"/>
      <c r="AI60" s="469"/>
      <c r="AJ60" s="469"/>
      <c r="AK60" s="469"/>
      <c r="AL60" s="469"/>
      <c r="AM60" s="469"/>
      <c r="AN60" s="469"/>
      <c r="AO60" s="469"/>
      <c r="AP60" s="469"/>
      <c r="AQ60" s="465"/>
      <c r="AR60" s="469"/>
      <c r="AS60" s="465"/>
      <c r="AT60" s="469"/>
      <c r="AU60" s="465"/>
      <c r="AV60" s="465"/>
      <c r="AW60" s="465"/>
      <c r="AX60" s="465"/>
      <c r="AY60" s="465"/>
      <c r="AZ60" s="465"/>
      <c r="BA60" s="465"/>
      <c r="BB60" s="465"/>
      <c r="BC60" s="469"/>
      <c r="BD60" s="465"/>
      <c r="BE60" s="465"/>
      <c r="BF60" s="465"/>
      <c r="BG60" s="465"/>
      <c r="BH60" s="465"/>
      <c r="BI60" s="465"/>
      <c r="BJ60" s="465"/>
      <c r="BK60" s="465"/>
      <c r="BL60" s="465"/>
      <c r="BM60" s="465"/>
      <c r="BN60" s="465"/>
      <c r="BO60" s="465"/>
      <c r="BP60" s="465"/>
      <c r="BQ60" s="465"/>
      <c r="BR60" s="465"/>
      <c r="BS60" s="465"/>
      <c r="BT60" s="465"/>
      <c r="BU60" s="465"/>
      <c r="BV60" s="465"/>
      <c r="BW60" s="465"/>
      <c r="BX60" s="465"/>
      <c r="BY60" s="465"/>
      <c r="BZ60" s="465"/>
      <c r="CE60" s="465"/>
    </row>
    <row r="61" spans="1:83" ht="12.75">
      <c r="A61" s="465"/>
      <c r="B61" s="538" t="s">
        <v>64</v>
      </c>
      <c r="C61" s="539">
        <v>2</v>
      </c>
      <c r="D61" s="497">
        <v>2.6599999999999999E-2</v>
      </c>
      <c r="E61" s="534" t="s">
        <v>578</v>
      </c>
      <c r="F61" s="535"/>
      <c r="G61" s="535"/>
      <c r="H61" s="535"/>
      <c r="I61" s="535"/>
      <c r="J61" s="536"/>
      <c r="K61" s="537"/>
      <c r="M61" s="469"/>
      <c r="N61" s="469"/>
      <c r="O61" s="469"/>
      <c r="P61" s="469"/>
      <c r="Q61" s="469"/>
      <c r="R61" s="469"/>
      <c r="S61" s="469"/>
      <c r="T61" s="469"/>
      <c r="U61" s="469"/>
      <c r="V61" s="469"/>
      <c r="W61" s="469"/>
      <c r="X61" s="469"/>
      <c r="Y61" s="469"/>
      <c r="Z61" s="469"/>
      <c r="AA61" s="469"/>
      <c r="AB61" s="469"/>
      <c r="AC61" s="469"/>
      <c r="AD61" s="469"/>
      <c r="AE61" s="469"/>
      <c r="AF61" s="469"/>
      <c r="AG61" s="469"/>
      <c r="AH61" s="469"/>
      <c r="AI61" s="469"/>
      <c r="AJ61" s="469"/>
      <c r="AK61" s="469"/>
      <c r="AL61" s="469"/>
      <c r="AM61" s="469"/>
      <c r="AN61" s="469"/>
      <c r="AO61" s="469"/>
      <c r="AP61" s="469"/>
      <c r="AQ61" s="465"/>
      <c r="AR61" s="469"/>
      <c r="AS61" s="465"/>
      <c r="AT61" s="469"/>
      <c r="AU61" s="465"/>
      <c r="AV61" s="465"/>
      <c r="AW61" s="465"/>
      <c r="AX61" s="465"/>
      <c r="AY61" s="465"/>
      <c r="AZ61" s="465"/>
      <c r="BA61" s="465"/>
      <c r="BB61" s="465"/>
      <c r="BC61" s="469"/>
      <c r="BD61" s="465"/>
      <c r="BE61" s="465"/>
      <c r="BF61" s="465"/>
      <c r="BG61" s="465"/>
      <c r="BH61" s="465"/>
      <c r="BI61" s="465"/>
      <c r="BJ61" s="465"/>
      <c r="BK61" s="465"/>
      <c r="BL61" s="465"/>
      <c r="BM61" s="465"/>
      <c r="BN61" s="465"/>
      <c r="BO61" s="465"/>
      <c r="BP61" s="465"/>
      <c r="BQ61" s="465"/>
      <c r="BR61" s="465"/>
      <c r="BS61" s="465"/>
      <c r="BT61" s="465"/>
      <c r="BU61" s="465"/>
      <c r="BV61" s="465"/>
      <c r="BW61" s="465"/>
      <c r="BX61" s="465"/>
      <c r="BY61" s="465"/>
      <c r="BZ61" s="465"/>
      <c r="CE61" s="465"/>
    </row>
    <row r="62" spans="1:83" ht="12.75">
      <c r="A62" s="465"/>
      <c r="B62" s="538" t="s">
        <v>65</v>
      </c>
      <c r="C62" s="539">
        <v>3</v>
      </c>
      <c r="D62" s="497">
        <v>2.7699999999999999E-2</v>
      </c>
      <c r="E62" s="534" t="s">
        <v>579</v>
      </c>
      <c r="F62" s="535"/>
      <c r="G62" s="535"/>
      <c r="H62" s="535"/>
      <c r="I62" s="535"/>
      <c r="J62" s="536"/>
      <c r="K62" s="537"/>
      <c r="M62" s="469"/>
      <c r="N62" s="469"/>
      <c r="O62" s="469"/>
      <c r="P62" s="469"/>
      <c r="Q62" s="469"/>
      <c r="R62" s="469"/>
      <c r="S62" s="469"/>
      <c r="T62" s="469"/>
      <c r="U62" s="469"/>
      <c r="V62" s="469"/>
      <c r="W62" s="469"/>
      <c r="X62" s="469"/>
      <c r="Y62" s="469"/>
      <c r="Z62" s="469"/>
      <c r="AA62" s="469"/>
      <c r="AB62" s="469"/>
      <c r="AC62" s="469"/>
      <c r="AD62" s="469"/>
      <c r="AE62" s="469"/>
      <c r="AF62" s="469"/>
      <c r="AG62" s="469"/>
      <c r="AH62" s="469"/>
      <c r="AI62" s="469"/>
      <c r="AJ62" s="469"/>
      <c r="AK62" s="469"/>
      <c r="AL62" s="469"/>
      <c r="AM62" s="469"/>
      <c r="AN62" s="469"/>
      <c r="AO62" s="469"/>
      <c r="AP62" s="469"/>
      <c r="AQ62" s="465"/>
      <c r="AR62" s="469"/>
      <c r="AS62" s="465"/>
      <c r="AT62" s="469"/>
      <c r="AU62" s="465"/>
      <c r="AV62" s="465"/>
      <c r="AW62" s="465"/>
      <c r="AX62" s="465"/>
      <c r="AY62" s="465"/>
      <c r="AZ62" s="465"/>
      <c r="BA62" s="465"/>
      <c r="BB62" s="465"/>
      <c r="BC62" s="469"/>
      <c r="BD62" s="465"/>
      <c r="BE62" s="465"/>
      <c r="BF62" s="465"/>
      <c r="BG62" s="465"/>
      <c r="BH62" s="465"/>
      <c r="BI62" s="465"/>
      <c r="BJ62" s="465"/>
      <c r="BK62" s="465"/>
      <c r="BL62" s="465"/>
      <c r="BM62" s="465"/>
      <c r="BN62" s="465"/>
      <c r="BO62" s="465"/>
      <c r="BP62" s="465"/>
      <c r="BQ62" s="465"/>
      <c r="BR62" s="465"/>
      <c r="BS62" s="465"/>
      <c r="BT62" s="465"/>
      <c r="BU62" s="465"/>
      <c r="BV62" s="465"/>
      <c r="BW62" s="465"/>
      <c r="BX62" s="465"/>
      <c r="BY62" s="465"/>
      <c r="BZ62" s="465"/>
      <c r="CE62" s="465"/>
    </row>
    <row r="63" spans="1:83" ht="12.75">
      <c r="A63" s="465"/>
      <c r="B63" s="538" t="s">
        <v>66</v>
      </c>
      <c r="C63" s="539">
        <v>5</v>
      </c>
      <c r="D63" s="497">
        <v>2.8500000000000001E-2</v>
      </c>
      <c r="E63" s="534" t="s">
        <v>580</v>
      </c>
      <c r="F63" s="535"/>
      <c r="G63" s="535"/>
      <c r="H63" s="535"/>
      <c r="I63" s="535"/>
      <c r="J63" s="536"/>
      <c r="K63" s="537"/>
      <c r="M63" s="469"/>
      <c r="N63" s="469"/>
      <c r="O63" s="469"/>
      <c r="P63" s="469"/>
      <c r="Q63" s="469"/>
      <c r="R63" s="469"/>
      <c r="S63" s="469"/>
      <c r="T63" s="469"/>
      <c r="U63" s="469"/>
      <c r="V63" s="469"/>
      <c r="W63" s="469"/>
      <c r="X63" s="469"/>
      <c r="Y63" s="469"/>
      <c r="Z63" s="469"/>
      <c r="AA63" s="469"/>
      <c r="AB63" s="469"/>
      <c r="AC63" s="469"/>
      <c r="AD63" s="469"/>
      <c r="AE63" s="469"/>
      <c r="AF63" s="469"/>
      <c r="AG63" s="469"/>
      <c r="AH63" s="469"/>
      <c r="AI63" s="469"/>
      <c r="AJ63" s="469"/>
      <c r="AK63" s="469"/>
      <c r="AL63" s="469"/>
      <c r="AM63" s="469"/>
      <c r="AN63" s="469"/>
      <c r="AO63" s="469"/>
      <c r="AP63" s="469"/>
      <c r="AQ63" s="465"/>
      <c r="AR63" s="469"/>
      <c r="AS63" s="465"/>
      <c r="AT63" s="469"/>
      <c r="AU63" s="465"/>
      <c r="AV63" s="465"/>
      <c r="AW63" s="465"/>
      <c r="AX63" s="465"/>
      <c r="AY63" s="465"/>
      <c r="AZ63" s="465"/>
      <c r="BA63" s="465"/>
      <c r="BB63" s="465"/>
      <c r="BC63" s="469"/>
      <c r="BD63" s="465"/>
      <c r="BE63" s="465"/>
      <c r="BF63" s="465"/>
      <c r="BG63" s="465"/>
      <c r="BH63" s="465"/>
      <c r="BI63" s="465"/>
      <c r="BJ63" s="465"/>
      <c r="BK63" s="465"/>
      <c r="BL63" s="465"/>
      <c r="BM63" s="465"/>
      <c r="BN63" s="465"/>
      <c r="BO63" s="465"/>
      <c r="BP63" s="465"/>
      <c r="BQ63" s="465"/>
      <c r="BR63" s="465"/>
      <c r="BS63" s="465"/>
      <c r="BT63" s="465"/>
      <c r="BU63" s="465"/>
      <c r="BV63" s="465"/>
      <c r="BW63" s="465"/>
      <c r="BX63" s="465"/>
      <c r="BY63" s="465"/>
      <c r="BZ63" s="465"/>
      <c r="CE63" s="465"/>
    </row>
    <row r="64" spans="1:83" ht="12.75">
      <c r="A64" s="465"/>
      <c r="B64" s="538" t="s">
        <v>67</v>
      </c>
      <c r="C64" s="539">
        <v>7</v>
      </c>
      <c r="D64" s="497">
        <v>2.9399999999999999E-2</v>
      </c>
      <c r="E64" s="534" t="s">
        <v>581</v>
      </c>
      <c r="F64" s="535"/>
      <c r="G64" s="535"/>
      <c r="H64" s="535"/>
      <c r="I64" s="535"/>
      <c r="J64" s="536"/>
      <c r="K64" s="537"/>
      <c r="M64" s="469"/>
      <c r="N64" s="469"/>
      <c r="O64" s="469"/>
      <c r="P64" s="469"/>
      <c r="Q64" s="469"/>
      <c r="R64" s="469"/>
      <c r="S64" s="469"/>
      <c r="T64" s="469"/>
      <c r="U64" s="469"/>
      <c r="V64" s="469"/>
      <c r="W64" s="469"/>
      <c r="X64" s="469"/>
      <c r="Y64" s="469"/>
      <c r="Z64" s="469"/>
      <c r="AA64" s="469"/>
      <c r="AB64" s="469"/>
      <c r="AC64" s="469"/>
      <c r="AD64" s="469"/>
      <c r="AE64" s="469"/>
      <c r="AF64" s="469"/>
      <c r="AG64" s="469"/>
      <c r="AH64" s="469"/>
      <c r="AI64" s="469"/>
      <c r="AJ64" s="469"/>
      <c r="AK64" s="469"/>
      <c r="AL64" s="469"/>
      <c r="AM64" s="469"/>
      <c r="AN64" s="469"/>
      <c r="AO64" s="469"/>
      <c r="AP64" s="469"/>
      <c r="AQ64" s="465"/>
      <c r="AR64" s="469"/>
      <c r="AS64" s="465"/>
      <c r="AT64" s="469"/>
      <c r="AU64" s="465"/>
      <c r="AV64" s="465"/>
      <c r="AW64" s="465"/>
      <c r="AX64" s="465"/>
      <c r="AY64" s="465"/>
      <c r="AZ64" s="465"/>
      <c r="BA64" s="465"/>
      <c r="BB64" s="465"/>
      <c r="BC64" s="469"/>
      <c r="BD64" s="465"/>
      <c r="BE64" s="465"/>
      <c r="BF64" s="465"/>
      <c r="BG64" s="465"/>
      <c r="BH64" s="465"/>
      <c r="BI64" s="465"/>
      <c r="BJ64" s="465"/>
      <c r="BK64" s="465"/>
      <c r="BL64" s="465"/>
      <c r="BM64" s="465"/>
      <c r="BN64" s="465"/>
      <c r="BO64" s="465"/>
      <c r="BP64" s="465"/>
      <c r="BQ64" s="465"/>
      <c r="BR64" s="465"/>
      <c r="BS64" s="465"/>
      <c r="BT64" s="465"/>
      <c r="BU64" s="465"/>
      <c r="BV64" s="465"/>
      <c r="BW64" s="465"/>
      <c r="BX64" s="465"/>
      <c r="BY64" s="465"/>
      <c r="BZ64" s="465"/>
      <c r="CE64" s="465"/>
    </row>
    <row r="65" spans="1:83" ht="12.75">
      <c r="A65" s="465"/>
      <c r="B65" s="538" t="s">
        <v>68</v>
      </c>
      <c r="C65" s="539">
        <v>10</v>
      </c>
      <c r="D65" s="497">
        <v>2.98E-2</v>
      </c>
      <c r="E65" s="534" t="s">
        <v>582</v>
      </c>
      <c r="F65" s="535"/>
      <c r="G65" s="535"/>
      <c r="H65" s="535"/>
      <c r="I65" s="535"/>
      <c r="J65" s="536"/>
      <c r="K65" s="537"/>
      <c r="M65" s="469"/>
      <c r="N65" s="469"/>
      <c r="O65" s="469"/>
      <c r="P65" s="469"/>
      <c r="Q65" s="469"/>
      <c r="R65" s="469"/>
      <c r="S65" s="469"/>
      <c r="T65" s="469"/>
      <c r="U65" s="469"/>
      <c r="V65" s="469"/>
      <c r="W65" s="469"/>
      <c r="X65" s="469"/>
      <c r="Y65" s="469"/>
      <c r="Z65" s="469"/>
      <c r="AA65" s="469"/>
      <c r="AB65" s="469"/>
      <c r="AC65" s="469"/>
      <c r="AD65" s="469"/>
      <c r="AE65" s="469"/>
      <c r="AF65" s="469"/>
      <c r="AG65" s="469"/>
      <c r="AH65" s="469"/>
      <c r="AI65" s="469"/>
      <c r="AJ65" s="469"/>
      <c r="AK65" s="469"/>
      <c r="AL65" s="469"/>
      <c r="AM65" s="469"/>
      <c r="AN65" s="469"/>
      <c r="AO65" s="469"/>
      <c r="AP65" s="469"/>
      <c r="AQ65" s="465"/>
      <c r="AR65" s="469"/>
      <c r="AS65" s="465"/>
      <c r="AT65" s="469"/>
      <c r="AU65" s="465"/>
      <c r="AV65" s="465"/>
      <c r="AW65" s="465"/>
      <c r="AX65" s="465"/>
      <c r="AY65" s="465"/>
      <c r="AZ65" s="465"/>
      <c r="BA65" s="465"/>
      <c r="BB65" s="465"/>
      <c r="BC65" s="469"/>
      <c r="BD65" s="465"/>
      <c r="BE65" s="465"/>
      <c r="BF65" s="465"/>
      <c r="BG65" s="465"/>
      <c r="BH65" s="465"/>
      <c r="BI65" s="465"/>
      <c r="BJ65" s="465"/>
      <c r="BK65" s="465"/>
      <c r="BL65" s="465"/>
      <c r="BM65" s="465"/>
      <c r="BN65" s="465"/>
      <c r="BO65" s="465"/>
      <c r="BP65" s="465"/>
      <c r="BQ65" s="465"/>
      <c r="BR65" s="465"/>
      <c r="BS65" s="465"/>
      <c r="BT65" s="465"/>
      <c r="BU65" s="465"/>
      <c r="BV65" s="465"/>
      <c r="BW65" s="465"/>
      <c r="BX65" s="465"/>
      <c r="BY65" s="465"/>
      <c r="BZ65" s="465"/>
      <c r="CE65" s="465"/>
    </row>
    <row r="66" spans="1:83" ht="12.75">
      <c r="A66" s="465"/>
      <c r="B66" s="538" t="s">
        <v>69</v>
      </c>
      <c r="C66" s="539">
        <v>20</v>
      </c>
      <c r="D66" s="497">
        <v>3.0499999999999999E-2</v>
      </c>
      <c r="E66" s="534" t="s">
        <v>583</v>
      </c>
      <c r="F66" s="535"/>
      <c r="G66" s="535"/>
      <c r="H66" s="535"/>
      <c r="I66" s="535"/>
      <c r="J66" s="536"/>
      <c r="K66" s="537"/>
      <c r="M66" s="469"/>
      <c r="N66" s="469"/>
      <c r="O66" s="469"/>
      <c r="P66" s="469"/>
      <c r="Q66" s="469"/>
      <c r="R66" s="469"/>
      <c r="S66" s="469"/>
      <c r="T66" s="469"/>
      <c r="U66" s="469"/>
      <c r="V66" s="469"/>
      <c r="W66" s="469"/>
      <c r="X66" s="469"/>
      <c r="Y66" s="469"/>
      <c r="Z66" s="469"/>
      <c r="AA66" s="469"/>
      <c r="AB66" s="469"/>
      <c r="AC66" s="469"/>
      <c r="AD66" s="469"/>
      <c r="AE66" s="469"/>
      <c r="AF66" s="469"/>
      <c r="AG66" s="469"/>
      <c r="AH66" s="469"/>
      <c r="AI66" s="469"/>
      <c r="AJ66" s="469"/>
      <c r="AK66" s="469"/>
      <c r="AL66" s="469"/>
      <c r="AM66" s="469"/>
      <c r="AN66" s="469"/>
      <c r="AO66" s="469"/>
      <c r="AP66" s="469"/>
      <c r="AQ66" s="465"/>
      <c r="AR66" s="469"/>
      <c r="AS66" s="465"/>
      <c r="AT66" s="469"/>
      <c r="AU66" s="465"/>
      <c r="AV66" s="465"/>
      <c r="AW66" s="465"/>
      <c r="AX66" s="465"/>
      <c r="AY66" s="465"/>
      <c r="AZ66" s="465"/>
      <c r="BA66" s="465"/>
      <c r="BB66" s="465"/>
      <c r="BC66" s="469"/>
      <c r="BD66" s="465"/>
      <c r="BE66" s="465"/>
      <c r="BF66" s="465"/>
      <c r="BG66" s="465"/>
      <c r="BH66" s="465"/>
      <c r="BI66" s="465"/>
      <c r="BJ66" s="465"/>
      <c r="BK66" s="465"/>
      <c r="BL66" s="465"/>
      <c r="BM66" s="465"/>
      <c r="BN66" s="465"/>
      <c r="BO66" s="465"/>
      <c r="BP66" s="465"/>
      <c r="BQ66" s="465"/>
      <c r="BR66" s="465"/>
      <c r="BS66" s="465"/>
      <c r="BT66" s="465"/>
      <c r="BU66" s="465"/>
      <c r="BV66" s="465"/>
      <c r="BW66" s="465"/>
      <c r="BX66" s="465"/>
      <c r="BY66" s="465"/>
      <c r="BZ66" s="465"/>
      <c r="CE66" s="465"/>
    </row>
    <row r="67" spans="1:83" ht="12.75">
      <c r="A67" s="465"/>
      <c r="B67" s="540" t="s">
        <v>70</v>
      </c>
      <c r="C67" s="541">
        <v>30</v>
      </c>
      <c r="D67" s="472">
        <v>3.1099999999999999E-2</v>
      </c>
      <c r="E67" s="542" t="s">
        <v>584</v>
      </c>
      <c r="F67" s="543"/>
      <c r="G67" s="543"/>
      <c r="H67" s="543"/>
      <c r="I67" s="543"/>
      <c r="J67" s="544"/>
      <c r="K67" s="545"/>
      <c r="M67" s="469"/>
      <c r="N67" s="469"/>
      <c r="O67" s="469"/>
      <c r="P67" s="469"/>
      <c r="Q67" s="469"/>
      <c r="R67" s="469"/>
      <c r="S67" s="469"/>
      <c r="T67" s="469"/>
      <c r="U67" s="469"/>
      <c r="V67" s="469"/>
      <c r="W67" s="469"/>
      <c r="X67" s="469"/>
      <c r="Y67" s="469"/>
      <c r="Z67" s="469"/>
      <c r="AA67" s="469"/>
      <c r="AB67" s="469"/>
      <c r="AC67" s="469"/>
      <c r="AD67" s="469"/>
      <c r="AE67" s="469"/>
      <c r="AF67" s="469"/>
      <c r="AG67" s="469"/>
      <c r="AH67" s="469"/>
      <c r="AI67" s="469"/>
      <c r="AJ67" s="469"/>
      <c r="AK67" s="469"/>
      <c r="AL67" s="469"/>
      <c r="AM67" s="469"/>
      <c r="AN67" s="469"/>
      <c r="AO67" s="469"/>
      <c r="AP67" s="469"/>
      <c r="AQ67" s="465"/>
      <c r="AR67" s="469"/>
      <c r="AS67" s="465"/>
      <c r="AT67" s="469"/>
      <c r="AU67" s="465"/>
      <c r="AV67" s="465"/>
      <c r="AW67" s="465"/>
      <c r="AX67" s="465"/>
      <c r="AY67" s="465"/>
      <c r="AZ67" s="465"/>
      <c r="BA67" s="465"/>
      <c r="BB67" s="465"/>
      <c r="BC67" s="469"/>
      <c r="BD67" s="465"/>
      <c r="BE67" s="465"/>
      <c r="BF67" s="465"/>
      <c r="BG67" s="465"/>
      <c r="BH67" s="465"/>
      <c r="BI67" s="465"/>
      <c r="BJ67" s="465"/>
      <c r="BK67" s="465"/>
      <c r="BL67" s="465"/>
      <c r="BM67" s="465"/>
      <c r="BN67" s="465"/>
      <c r="BO67" s="465"/>
      <c r="BP67" s="465"/>
      <c r="BQ67" s="465"/>
      <c r="BR67" s="465"/>
      <c r="BS67" s="465"/>
      <c r="BT67" s="465"/>
      <c r="BU67" s="465"/>
      <c r="BV67" s="465"/>
      <c r="BW67" s="465"/>
      <c r="BX67" s="465"/>
      <c r="BY67" s="465"/>
      <c r="BZ67" s="465"/>
      <c r="CE67" s="465"/>
    </row>
    <row r="70" spans="1:83">
      <c r="A70" s="465"/>
      <c r="B70" s="546" t="s">
        <v>557</v>
      </c>
      <c r="K70" s="469"/>
      <c r="L70" s="469"/>
      <c r="M70" s="469"/>
      <c r="N70" s="469"/>
      <c r="O70" s="469"/>
      <c r="P70" s="469"/>
      <c r="Q70" s="469"/>
      <c r="R70" s="469"/>
      <c r="S70" s="469"/>
      <c r="T70" s="469"/>
      <c r="U70" s="469"/>
      <c r="V70" s="469"/>
      <c r="W70" s="469"/>
      <c r="X70" s="469"/>
      <c r="Y70" s="469"/>
      <c r="Z70" s="469"/>
      <c r="AA70" s="469"/>
      <c r="AB70" s="469"/>
      <c r="AC70" s="469"/>
      <c r="AD70" s="469"/>
      <c r="AE70" s="469"/>
      <c r="AF70" s="469"/>
      <c r="AG70" s="469"/>
      <c r="AH70" s="469"/>
      <c r="AI70" s="469"/>
      <c r="AJ70" s="469"/>
      <c r="AK70" s="469"/>
      <c r="AL70" s="469"/>
      <c r="AM70" s="469"/>
      <c r="AN70" s="469"/>
      <c r="AO70" s="469"/>
      <c r="AP70" s="469"/>
      <c r="AQ70" s="465"/>
      <c r="AR70" s="469"/>
      <c r="AS70" s="465"/>
      <c r="AT70" s="469"/>
      <c r="AU70" s="465"/>
      <c r="AV70" s="465"/>
      <c r="AW70" s="465"/>
      <c r="AX70" s="465"/>
      <c r="AY70" s="465"/>
      <c r="AZ70" s="465"/>
      <c r="BA70" s="465"/>
      <c r="BB70" s="465"/>
      <c r="BC70" s="469"/>
      <c r="BD70" s="465"/>
      <c r="BE70" s="465"/>
      <c r="BF70" s="465"/>
      <c r="BG70" s="465"/>
      <c r="BH70" s="465"/>
      <c r="BI70" s="465"/>
      <c r="BJ70" s="465"/>
      <c r="BK70" s="465"/>
      <c r="BL70" s="465"/>
      <c r="BM70" s="465"/>
      <c r="BN70" s="465"/>
      <c r="BO70" s="465"/>
      <c r="BP70" s="465"/>
      <c r="BQ70" s="465"/>
      <c r="BR70" s="465"/>
      <c r="BS70" s="465"/>
      <c r="BT70" s="465"/>
      <c r="BU70" s="465"/>
      <c r="BV70" s="465"/>
      <c r="BW70" s="465"/>
      <c r="BX70" s="465"/>
      <c r="BY70" s="465"/>
      <c r="BZ70" s="465"/>
      <c r="CE70" s="465"/>
    </row>
    <row r="71" spans="1:83" ht="12.75">
      <c r="A71" s="465"/>
      <c r="B71" s="547" t="s">
        <v>558</v>
      </c>
      <c r="C71" s="548">
        <v>4.3099999999999999E-2</v>
      </c>
      <c r="D71" s="549" t="s">
        <v>634</v>
      </c>
      <c r="E71" s="550"/>
      <c r="F71" s="550"/>
      <c r="G71" s="550"/>
      <c r="H71" s="550"/>
      <c r="I71" s="550"/>
      <c r="J71" s="551"/>
      <c r="K71" s="469"/>
      <c r="L71" s="469"/>
      <c r="M71" s="469"/>
      <c r="N71" s="469"/>
      <c r="O71" s="469"/>
      <c r="P71" s="469"/>
      <c r="Q71" s="469"/>
      <c r="R71" s="469"/>
      <c r="S71" s="469"/>
      <c r="T71" s="469"/>
      <c r="U71" s="469"/>
      <c r="V71" s="469"/>
      <c r="W71" s="469"/>
      <c r="X71" s="469"/>
      <c r="Y71" s="469"/>
      <c r="Z71" s="469"/>
      <c r="AA71" s="469"/>
      <c r="AB71" s="469"/>
      <c r="AC71" s="469"/>
      <c r="AD71" s="469"/>
      <c r="AE71" s="469"/>
      <c r="AF71" s="469"/>
      <c r="AG71" s="469"/>
      <c r="AH71" s="469"/>
      <c r="AI71" s="469"/>
      <c r="AJ71" s="469"/>
      <c r="AK71" s="469"/>
      <c r="AL71" s="469"/>
      <c r="AM71" s="469"/>
      <c r="AN71" s="469"/>
      <c r="AO71" s="469"/>
      <c r="AP71" s="469"/>
      <c r="AQ71" s="465"/>
      <c r="AR71" s="469"/>
      <c r="AS71" s="465"/>
      <c r="AT71" s="469"/>
      <c r="AU71" s="465"/>
      <c r="AV71" s="465"/>
      <c r="AW71" s="465"/>
      <c r="AX71" s="465"/>
      <c r="AY71" s="465"/>
      <c r="AZ71" s="465"/>
      <c r="BA71" s="465"/>
      <c r="BB71" s="465"/>
      <c r="BC71" s="469"/>
      <c r="BD71" s="465"/>
      <c r="BE71" s="465"/>
      <c r="BF71" s="465"/>
      <c r="BG71" s="465"/>
      <c r="BH71" s="465"/>
      <c r="BI71" s="465"/>
      <c r="BJ71" s="465"/>
      <c r="BK71" s="465"/>
      <c r="BL71" s="465"/>
      <c r="BM71" s="465"/>
      <c r="BN71" s="465"/>
      <c r="BO71" s="465"/>
      <c r="BP71" s="465"/>
      <c r="BQ71" s="465"/>
      <c r="BR71" s="465"/>
      <c r="BS71" s="465"/>
      <c r="BT71" s="465"/>
      <c r="BU71" s="465"/>
      <c r="BV71" s="465"/>
      <c r="BW71" s="465"/>
      <c r="BX71" s="465"/>
      <c r="BY71" s="465"/>
      <c r="BZ71" s="465"/>
      <c r="CE71" s="465"/>
    </row>
    <row r="73" spans="1:83">
      <c r="A73" s="465"/>
      <c r="B73" s="546" t="s">
        <v>559</v>
      </c>
      <c r="K73" s="469"/>
      <c r="L73" s="469"/>
      <c r="M73" s="469"/>
      <c r="N73" s="469"/>
      <c r="O73" s="469"/>
      <c r="P73" s="469"/>
      <c r="Q73" s="469"/>
      <c r="R73" s="469"/>
      <c r="S73" s="469"/>
      <c r="T73" s="469"/>
      <c r="U73" s="469"/>
      <c r="V73" s="469"/>
      <c r="W73" s="469"/>
      <c r="X73" s="469"/>
      <c r="Y73" s="469"/>
      <c r="Z73" s="469"/>
      <c r="AA73" s="469"/>
      <c r="AB73" s="469"/>
      <c r="AC73" s="469"/>
      <c r="AD73" s="469"/>
      <c r="AE73" s="469"/>
      <c r="AF73" s="469"/>
      <c r="AG73" s="469"/>
      <c r="AH73" s="469"/>
      <c r="AI73" s="469"/>
      <c r="AJ73" s="469"/>
      <c r="AK73" s="469"/>
      <c r="AL73" s="469"/>
      <c r="AM73" s="469"/>
      <c r="AN73" s="469"/>
      <c r="AO73" s="469"/>
      <c r="AP73" s="469"/>
      <c r="AQ73" s="465"/>
      <c r="AR73" s="469"/>
      <c r="AS73" s="465"/>
      <c r="AT73" s="469"/>
      <c r="AU73" s="465"/>
      <c r="AV73" s="465"/>
      <c r="AW73" s="465"/>
      <c r="AX73" s="465"/>
      <c r="AY73" s="465"/>
      <c r="AZ73" s="465"/>
      <c r="BA73" s="465"/>
      <c r="BB73" s="465"/>
      <c r="BC73" s="469"/>
      <c r="BD73" s="465"/>
      <c r="BE73" s="465"/>
      <c r="BF73" s="465"/>
      <c r="BG73" s="465"/>
      <c r="BH73" s="465"/>
      <c r="BI73" s="465"/>
      <c r="BJ73" s="465"/>
      <c r="BK73" s="465"/>
      <c r="BL73" s="465"/>
      <c r="BM73" s="465"/>
      <c r="BN73" s="465"/>
      <c r="BO73" s="465"/>
      <c r="BP73" s="465"/>
      <c r="BQ73" s="465"/>
      <c r="BR73" s="465"/>
      <c r="BS73" s="465"/>
      <c r="BT73" s="465"/>
      <c r="BU73" s="465"/>
      <c r="BV73" s="465"/>
      <c r="BW73" s="465"/>
      <c r="BX73" s="465"/>
      <c r="BY73" s="465"/>
      <c r="BZ73" s="465"/>
      <c r="CE73" s="465"/>
    </row>
    <row r="74" spans="1:83" ht="12.75">
      <c r="A74" s="465"/>
      <c r="B74" s="547" t="s">
        <v>560</v>
      </c>
      <c r="C74" s="548">
        <v>0.05</v>
      </c>
      <c r="D74" s="549"/>
      <c r="E74" s="550"/>
      <c r="F74" s="550"/>
      <c r="G74" s="550"/>
      <c r="H74" s="550"/>
      <c r="I74" s="550"/>
      <c r="J74" s="551"/>
      <c r="K74" s="469"/>
      <c r="L74" s="469"/>
      <c r="M74" s="469"/>
      <c r="N74" s="469"/>
      <c r="O74" s="469"/>
      <c r="P74" s="469"/>
      <c r="Q74" s="469"/>
      <c r="R74" s="469"/>
      <c r="S74" s="469"/>
      <c r="T74" s="469"/>
      <c r="U74" s="469"/>
      <c r="V74" s="469"/>
      <c r="W74" s="469"/>
      <c r="X74" s="469"/>
      <c r="Y74" s="469"/>
      <c r="Z74" s="469"/>
      <c r="AA74" s="469"/>
      <c r="AB74" s="469"/>
      <c r="AC74" s="469"/>
      <c r="AD74" s="469"/>
      <c r="AE74" s="469"/>
      <c r="AF74" s="469"/>
      <c r="AG74" s="469"/>
      <c r="AH74" s="469"/>
      <c r="AI74" s="469"/>
      <c r="AJ74" s="469"/>
      <c r="AK74" s="469"/>
      <c r="AL74" s="469"/>
      <c r="AM74" s="469"/>
      <c r="AN74" s="469"/>
      <c r="AO74" s="469"/>
      <c r="AP74" s="469"/>
      <c r="AQ74" s="465"/>
      <c r="AR74" s="469"/>
      <c r="AS74" s="465"/>
      <c r="AT74" s="469"/>
      <c r="AU74" s="465"/>
      <c r="AV74" s="465"/>
      <c r="AW74" s="465"/>
      <c r="AX74" s="465"/>
      <c r="AY74" s="465"/>
      <c r="AZ74" s="465"/>
      <c r="BA74" s="465"/>
      <c r="BB74" s="465"/>
      <c r="BC74" s="469"/>
      <c r="BD74" s="465"/>
      <c r="BE74" s="465"/>
      <c r="BF74" s="465"/>
      <c r="BG74" s="465"/>
      <c r="BH74" s="465"/>
      <c r="BI74" s="465"/>
      <c r="BJ74" s="465"/>
      <c r="BK74" s="465"/>
      <c r="BL74" s="465"/>
      <c r="BM74" s="465"/>
      <c r="BN74" s="465"/>
      <c r="BO74" s="465"/>
      <c r="BP74" s="465"/>
      <c r="BQ74" s="465"/>
      <c r="BR74" s="465"/>
      <c r="BS74" s="465"/>
      <c r="BT74" s="465"/>
      <c r="BU74" s="465"/>
      <c r="BV74" s="465"/>
      <c r="BW74" s="465"/>
      <c r="BX74" s="465"/>
      <c r="BY74" s="465"/>
      <c r="BZ74" s="465"/>
      <c r="CE74" s="465"/>
    </row>
  </sheetData>
  <pageMargins left="0.7" right="0.7" top="0.75" bottom="0.75" header="0.3" footer="0.3"/>
  <pageSetup paperSize="9" orientation="portrait" horizontalDpi="90" verticalDpi="90" r:id="rId1"/>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B1:AM71"/>
  <sheetViews>
    <sheetView showGridLines="0" view="pageBreakPreview" zoomScale="60" zoomScaleNormal="100" workbookViewId="0">
      <selection activeCell="AH15" sqref="AH15"/>
    </sheetView>
  </sheetViews>
  <sheetFormatPr defaultRowHeight="12.75" outlineLevelCol="1"/>
  <cols>
    <col min="1" max="1" width="2.83203125" style="385" customWidth="1"/>
    <col min="2" max="2" width="11.83203125" style="385" customWidth="1"/>
    <col min="3" max="4" width="26.33203125" style="385" customWidth="1"/>
    <col min="5" max="5" width="26.33203125" style="385" customWidth="1" outlineLevel="1"/>
    <col min="6" max="6" width="13.83203125" style="385" bestFit="1" customWidth="1"/>
    <col min="7" max="7" width="10" style="385" customWidth="1" outlineLevel="1"/>
    <col min="8" max="8" width="2.83203125" style="385" customWidth="1"/>
    <col min="9" max="11" width="16.33203125" style="385" customWidth="1"/>
    <col min="12" max="12" width="15.6640625" style="385" customWidth="1"/>
    <col min="13" max="13" width="2.83203125" style="385" customWidth="1"/>
    <col min="14" max="16" width="19.1640625" style="385" customWidth="1"/>
    <col min="17" max="17" width="2.83203125" style="385" customWidth="1"/>
    <col min="18" max="20" width="11.33203125" style="385" customWidth="1"/>
    <col min="21" max="22" width="11.33203125" style="385" hidden="1" customWidth="1" outlineLevel="1"/>
    <col min="23" max="23" width="2.83203125" style="385" customWidth="1" collapsed="1"/>
    <col min="24" max="24" width="11.33203125" customWidth="1"/>
    <col min="25" max="25" width="4.1640625" customWidth="1"/>
    <col min="26" max="28" width="11.33203125" style="385" hidden="1" customWidth="1" outlineLevel="1"/>
    <col min="29" max="29" width="2.83203125" style="385" hidden="1" customWidth="1" outlineLevel="1"/>
    <col min="30" max="32" width="11.33203125" style="385" hidden="1" customWidth="1" outlineLevel="1"/>
    <col min="33" max="33" width="2.83203125" customWidth="1" collapsed="1"/>
    <col min="34" max="34" width="12.1640625" style="385" customWidth="1"/>
    <col min="35" max="35" width="11.6640625" style="385" customWidth="1"/>
    <col min="36" max="36" width="2.83203125" style="385" customWidth="1"/>
    <col min="37" max="37" width="24.6640625" style="385" customWidth="1"/>
    <col min="38" max="38" width="10.33203125" style="385" customWidth="1"/>
    <col min="39" max="16384" width="9.33203125" style="385"/>
  </cols>
  <sheetData>
    <row r="1" spans="2:39" ht="10.7" customHeight="1" thickBot="1">
      <c r="X1" s="385"/>
      <c r="Y1" s="385"/>
      <c r="AG1" s="385"/>
    </row>
    <row r="2" spans="2:39" ht="16.5" customHeight="1" thickTop="1">
      <c r="B2" s="10" t="s">
        <v>472</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K2" s="270" t="s">
        <v>22</v>
      </c>
      <c r="AL2" s="271">
        <v>42704</v>
      </c>
    </row>
    <row r="3" spans="2:39" ht="15.75" customHeight="1">
      <c r="B3" s="11" t="s">
        <v>595</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K3" s="194" t="s">
        <v>299</v>
      </c>
      <c r="AL3" s="275" t="s">
        <v>301</v>
      </c>
    </row>
    <row r="4" spans="2:39" ht="16.5" customHeight="1" thickBot="1">
      <c r="B4" s="12" t="s">
        <v>527</v>
      </c>
      <c r="C4" s="12"/>
      <c r="D4" s="12"/>
      <c r="E4" s="12"/>
      <c r="F4" s="12"/>
      <c r="G4" s="12"/>
      <c r="H4" s="12"/>
      <c r="I4" s="12"/>
      <c r="J4" s="12"/>
      <c r="K4" s="12"/>
      <c r="L4" s="12"/>
      <c r="M4" s="12"/>
      <c r="N4" s="13"/>
      <c r="O4" s="13"/>
      <c r="P4" s="13"/>
      <c r="Q4" s="13" t="s">
        <v>23</v>
      </c>
      <c r="R4" s="13"/>
      <c r="S4" s="13"/>
      <c r="T4" s="13"/>
      <c r="U4" s="13"/>
      <c r="V4" s="13"/>
      <c r="W4" s="13"/>
      <c r="X4" s="13"/>
      <c r="Y4" s="13"/>
      <c r="Z4" s="13"/>
      <c r="AA4" s="13"/>
      <c r="AB4" s="13"/>
      <c r="AC4" s="13"/>
      <c r="AD4" s="13"/>
      <c r="AE4" s="13"/>
      <c r="AF4" s="13"/>
      <c r="AG4" s="13"/>
      <c r="AH4" s="13"/>
      <c r="AI4" s="13"/>
      <c r="AK4" s="194" t="s">
        <v>300</v>
      </c>
      <c r="AL4" s="275" t="s">
        <v>302</v>
      </c>
    </row>
    <row r="5" spans="2:39" s="16" customFormat="1" ht="12.75" customHeight="1" thickTop="1">
      <c r="B5" s="385"/>
      <c r="C5" s="385"/>
      <c r="D5" s="385"/>
      <c r="E5" s="385"/>
      <c r="F5" s="385"/>
      <c r="G5" s="385"/>
      <c r="H5" s="385"/>
      <c r="I5" s="385"/>
      <c r="J5" s="385"/>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78" t="s">
        <v>24</v>
      </c>
      <c r="AL5" s="274" t="s">
        <v>25</v>
      </c>
    </row>
    <row r="6" spans="2:39" ht="12.75" customHeight="1">
      <c r="X6" s="385"/>
      <c r="Y6" s="385"/>
      <c r="AG6" s="385"/>
    </row>
    <row r="7" spans="2:39" ht="12.75" customHeight="1">
      <c r="I7" s="33" t="s">
        <v>313</v>
      </c>
      <c r="J7" s="935"/>
      <c r="K7" s="935"/>
      <c r="L7" s="35"/>
      <c r="N7" s="33" t="s">
        <v>196</v>
      </c>
      <c r="O7" s="34"/>
      <c r="P7" s="35"/>
      <c r="R7" s="330" t="s">
        <v>195</v>
      </c>
      <c r="S7" s="337"/>
      <c r="T7" s="394"/>
      <c r="U7" s="337"/>
      <c r="V7" s="338"/>
      <c r="X7" s="2324" t="s">
        <v>416</v>
      </c>
      <c r="Y7" s="1365"/>
      <c r="Z7" s="33" t="s">
        <v>197</v>
      </c>
      <c r="AA7" s="34"/>
      <c r="AB7" s="35"/>
      <c r="AD7" s="33" t="s">
        <v>198</v>
      </c>
      <c r="AE7" s="34"/>
      <c r="AF7" s="35"/>
      <c r="AG7" s="385"/>
      <c r="AH7" s="33" t="s">
        <v>201</v>
      </c>
      <c r="AI7" s="388"/>
    </row>
    <row r="8" spans="2:39" s="6" customFormat="1" ht="30.75" customHeight="1">
      <c r="B8" s="124" t="s">
        <v>190</v>
      </c>
      <c r="C8" s="122" t="s">
        <v>628</v>
      </c>
      <c r="D8" s="122" t="s">
        <v>191</v>
      </c>
      <c r="E8" s="122" t="s">
        <v>317</v>
      </c>
      <c r="F8" s="395" t="s">
        <v>192</v>
      </c>
      <c r="G8" s="123" t="s">
        <v>194</v>
      </c>
      <c r="I8" s="124" t="s">
        <v>75</v>
      </c>
      <c r="J8" s="987" t="s">
        <v>1291</v>
      </c>
      <c r="K8" s="987" t="s">
        <v>1292</v>
      </c>
      <c r="L8" s="123" t="s">
        <v>314</v>
      </c>
      <c r="M8" s="114"/>
      <c r="N8" s="124" t="s">
        <v>85</v>
      </c>
      <c r="O8" s="122" t="s">
        <v>93</v>
      </c>
      <c r="P8" s="123" t="s">
        <v>94</v>
      </c>
      <c r="R8" s="124" t="s">
        <v>85</v>
      </c>
      <c r="S8" s="122" t="s">
        <v>93</v>
      </c>
      <c r="T8" s="395" t="s">
        <v>94</v>
      </c>
      <c r="U8" s="122" t="s">
        <v>315</v>
      </c>
      <c r="V8" s="123" t="s">
        <v>316</v>
      </c>
      <c r="X8" s="2325"/>
      <c r="Y8" s="1366"/>
      <c r="Z8" s="124" t="s">
        <v>85</v>
      </c>
      <c r="AA8" s="122" t="s">
        <v>93</v>
      </c>
      <c r="AB8" s="123" t="s">
        <v>94</v>
      </c>
      <c r="AD8" s="124" t="s">
        <v>85</v>
      </c>
      <c r="AE8" s="122" t="s">
        <v>93</v>
      </c>
      <c r="AF8" s="123" t="s">
        <v>94</v>
      </c>
      <c r="AH8" s="106" t="s">
        <v>199</v>
      </c>
      <c r="AI8" s="109" t="s">
        <v>200</v>
      </c>
      <c r="AK8" s="504" t="s">
        <v>193</v>
      </c>
    </row>
    <row r="9" spans="2:39" ht="12.75" customHeight="1">
      <c r="X9" s="385"/>
      <c r="Y9" s="385"/>
      <c r="AG9" s="385"/>
    </row>
    <row r="10" spans="2:39" s="145" customFormat="1" ht="12.75" customHeight="1">
      <c r="B10" s="484" t="s">
        <v>1</v>
      </c>
      <c r="C10" s="479" t="s">
        <v>1995</v>
      </c>
      <c r="D10" s="479" t="s">
        <v>1996</v>
      </c>
      <c r="E10" s="479" t="s">
        <v>1997</v>
      </c>
      <c r="F10" s="483">
        <v>1</v>
      </c>
      <c r="G10" s="482" t="s">
        <v>596</v>
      </c>
      <c r="I10" s="481">
        <v>1200</v>
      </c>
      <c r="J10" s="481">
        <v>400</v>
      </c>
      <c r="K10" s="481">
        <v>800</v>
      </c>
      <c r="L10" s="481">
        <v>1200</v>
      </c>
      <c r="M10" s="149"/>
      <c r="N10" s="481" t="s">
        <v>2796</v>
      </c>
      <c r="O10" s="481" t="s">
        <v>2796</v>
      </c>
      <c r="P10" s="481" t="s">
        <v>2796</v>
      </c>
      <c r="Q10" s="149"/>
      <c r="R10" s="150" t="s">
        <v>1</v>
      </c>
      <c r="S10" s="150" t="s">
        <v>1</v>
      </c>
      <c r="T10" s="150" t="s">
        <v>1</v>
      </c>
      <c r="U10" s="478" t="s">
        <v>1</v>
      </c>
      <c r="V10" s="478" t="s">
        <v>1</v>
      </c>
      <c r="W10" s="149"/>
      <c r="X10" s="150"/>
      <c r="Y10" s="150"/>
      <c r="Z10" s="481" t="s">
        <v>2796</v>
      </c>
      <c r="AA10" s="481" t="s">
        <v>2796</v>
      </c>
      <c r="AB10" s="148" t="s">
        <v>2796</v>
      </c>
      <c r="AC10" s="149"/>
      <c r="AD10" s="150" t="s">
        <v>1</v>
      </c>
      <c r="AE10" s="150" t="s">
        <v>1</v>
      </c>
      <c r="AF10" s="478" t="s">
        <v>1</v>
      </c>
      <c r="AG10" s="149"/>
      <c r="AH10" s="480" t="s">
        <v>571</v>
      </c>
      <c r="AI10" s="480" t="s">
        <v>571</v>
      </c>
      <c r="AK10" s="293" t="s">
        <v>1998</v>
      </c>
      <c r="AL10" s="145" t="s">
        <v>1999</v>
      </c>
      <c r="AM10" s="145" t="s">
        <v>2000</v>
      </c>
    </row>
    <row r="11" spans="2:39" s="145" customFormat="1" ht="12.75" customHeight="1">
      <c r="B11" s="144">
        <v>43159</v>
      </c>
      <c r="C11" s="145" t="s">
        <v>724</v>
      </c>
      <c r="D11" s="145" t="s">
        <v>2001</v>
      </c>
      <c r="E11" s="145" t="s">
        <v>1997</v>
      </c>
      <c r="F11" s="146">
        <v>1</v>
      </c>
      <c r="G11" s="147" t="s">
        <v>596</v>
      </c>
      <c r="I11" s="148">
        <v>7000</v>
      </c>
      <c r="J11" s="148">
        <v>1100</v>
      </c>
      <c r="K11" s="148">
        <v>5900</v>
      </c>
      <c r="L11" s="148">
        <v>7000</v>
      </c>
      <c r="M11" s="149"/>
      <c r="N11" s="148" t="s">
        <v>2796</v>
      </c>
      <c r="O11" s="148" t="s">
        <v>2796</v>
      </c>
      <c r="P11" s="148" t="s">
        <v>2796</v>
      </c>
      <c r="Q11" s="149"/>
      <c r="R11" s="150" t="s">
        <v>1</v>
      </c>
      <c r="S11" s="150" t="s">
        <v>1</v>
      </c>
      <c r="T11" s="150" t="s">
        <v>1</v>
      </c>
      <c r="U11" s="150" t="s">
        <v>1</v>
      </c>
      <c r="V11" s="150" t="s">
        <v>1</v>
      </c>
      <c r="W11" s="149"/>
      <c r="X11" s="150"/>
      <c r="Y11" s="150"/>
      <c r="Z11" s="148" t="s">
        <v>2796</v>
      </c>
      <c r="AA11" s="148" t="s">
        <v>2796</v>
      </c>
      <c r="AB11" s="148" t="s">
        <v>2796</v>
      </c>
      <c r="AC11" s="149"/>
      <c r="AD11" s="150" t="s">
        <v>1</v>
      </c>
      <c r="AE11" s="150" t="s">
        <v>1</v>
      </c>
      <c r="AF11" s="150" t="s">
        <v>1</v>
      </c>
      <c r="AG11" s="149"/>
      <c r="AH11" s="151" t="s">
        <v>571</v>
      </c>
      <c r="AI11" s="151" t="s">
        <v>571</v>
      </c>
      <c r="AK11" s="293" t="s">
        <v>2002</v>
      </c>
      <c r="AL11" s="145" t="s">
        <v>2003</v>
      </c>
      <c r="AM11" s="145" t="s">
        <v>2004</v>
      </c>
    </row>
    <row r="12" spans="2:39" s="145" customFormat="1" ht="12.75" customHeight="1">
      <c r="B12" s="144">
        <v>42941</v>
      </c>
      <c r="C12" s="145" t="s">
        <v>2006</v>
      </c>
      <c r="D12" s="145" t="s">
        <v>2007</v>
      </c>
      <c r="E12" s="145" t="s">
        <v>2008</v>
      </c>
      <c r="F12" s="146">
        <v>1</v>
      </c>
      <c r="G12" s="147" t="s">
        <v>596</v>
      </c>
      <c r="I12" s="148">
        <v>250</v>
      </c>
      <c r="J12" s="148">
        <v>144</v>
      </c>
      <c r="K12" s="148">
        <v>106</v>
      </c>
      <c r="L12" s="148">
        <v>250</v>
      </c>
      <c r="M12" s="149"/>
      <c r="N12" s="148" t="s">
        <v>2796</v>
      </c>
      <c r="O12" s="148" t="s">
        <v>2796</v>
      </c>
      <c r="P12" s="148" t="s">
        <v>2796</v>
      </c>
      <c r="Q12" s="149"/>
      <c r="R12" s="150" t="s">
        <v>1</v>
      </c>
      <c r="S12" s="150" t="s">
        <v>1</v>
      </c>
      <c r="T12" s="150" t="s">
        <v>1</v>
      </c>
      <c r="U12" s="150" t="s">
        <v>1</v>
      </c>
      <c r="V12" s="150" t="s">
        <v>1</v>
      </c>
      <c r="W12" s="149"/>
      <c r="X12" s="150"/>
      <c r="Y12" s="150"/>
      <c r="Z12" s="148" t="s">
        <v>2796</v>
      </c>
      <c r="AA12" s="148" t="s">
        <v>2796</v>
      </c>
      <c r="AB12" s="148" t="s">
        <v>2796</v>
      </c>
      <c r="AC12" s="149"/>
      <c r="AD12" s="150" t="s">
        <v>1</v>
      </c>
      <c r="AE12" s="150" t="s">
        <v>1</v>
      </c>
      <c r="AF12" s="150" t="s">
        <v>1</v>
      </c>
      <c r="AG12" s="149"/>
      <c r="AH12" s="151" t="s">
        <v>571</v>
      </c>
      <c r="AI12" s="151" t="s">
        <v>571</v>
      </c>
      <c r="AK12" s="293" t="s">
        <v>2009</v>
      </c>
      <c r="AL12" s="145" t="s">
        <v>2010</v>
      </c>
      <c r="AM12" s="145" t="s">
        <v>2011</v>
      </c>
    </row>
    <row r="13" spans="2:39" s="145" customFormat="1" ht="12.75" customHeight="1">
      <c r="B13" s="144">
        <v>42940</v>
      </c>
      <c r="C13" s="145" t="s">
        <v>2012</v>
      </c>
      <c r="D13" s="145" t="s">
        <v>923</v>
      </c>
      <c r="E13" s="145" t="s">
        <v>601</v>
      </c>
      <c r="F13" s="146">
        <v>1</v>
      </c>
      <c r="G13" s="147" t="s">
        <v>596</v>
      </c>
      <c r="I13" s="148" t="s">
        <v>2796</v>
      </c>
      <c r="J13" s="148" t="s">
        <v>2798</v>
      </c>
      <c r="K13" s="148" t="s">
        <v>2796</v>
      </c>
      <c r="L13" s="148" t="s">
        <v>2796</v>
      </c>
      <c r="M13" s="149"/>
      <c r="N13" s="148" t="s">
        <v>2796</v>
      </c>
      <c r="O13" s="148">
        <v>-29.3</v>
      </c>
      <c r="P13" s="148">
        <v>-29.5</v>
      </c>
      <c r="Q13" s="149"/>
      <c r="R13" s="150" t="s">
        <v>1</v>
      </c>
      <c r="S13" s="150" t="s">
        <v>1</v>
      </c>
      <c r="T13" s="150" t="s">
        <v>1</v>
      </c>
      <c r="U13" s="150" t="s">
        <v>1</v>
      </c>
      <c r="V13" s="150" t="s">
        <v>1</v>
      </c>
      <c r="W13" s="149"/>
      <c r="X13" s="150"/>
      <c r="Y13" s="150"/>
      <c r="Z13" s="148" t="s">
        <v>2796</v>
      </c>
      <c r="AA13" s="148" t="s">
        <v>2796</v>
      </c>
      <c r="AB13" s="148" t="s">
        <v>2796</v>
      </c>
      <c r="AC13" s="149"/>
      <c r="AD13" s="150" t="s">
        <v>1</v>
      </c>
      <c r="AE13" s="150" t="s">
        <v>1</v>
      </c>
      <c r="AF13" s="150" t="s">
        <v>1</v>
      </c>
      <c r="AG13" s="149"/>
      <c r="AH13" s="151" t="s">
        <v>571</v>
      </c>
      <c r="AI13" s="151" t="s">
        <v>571</v>
      </c>
      <c r="AK13" s="457" t="s">
        <v>2013</v>
      </c>
      <c r="AL13" s="145" t="s">
        <v>2014</v>
      </c>
      <c r="AM13" s="145" t="s">
        <v>2015</v>
      </c>
    </row>
    <row r="14" spans="2:39" s="145" customFormat="1" ht="12.75" customHeight="1">
      <c r="B14" s="144">
        <v>42852</v>
      </c>
      <c r="C14" s="145" t="s">
        <v>1954</v>
      </c>
      <c r="D14" s="145" t="s">
        <v>2048</v>
      </c>
      <c r="E14" s="145" t="s">
        <v>601</v>
      </c>
      <c r="F14" s="146">
        <v>1</v>
      </c>
      <c r="G14" s="147" t="s">
        <v>596</v>
      </c>
      <c r="I14" s="148" t="s">
        <v>2796</v>
      </c>
      <c r="J14" s="148" t="s">
        <v>2798</v>
      </c>
      <c r="K14" s="148" t="s">
        <v>2796</v>
      </c>
      <c r="L14" s="148" t="s">
        <v>2796</v>
      </c>
      <c r="M14" s="149"/>
      <c r="N14" s="148">
        <v>0.1</v>
      </c>
      <c r="O14" s="148">
        <v>-29.2</v>
      </c>
      <c r="P14" s="148">
        <v>-29.3</v>
      </c>
      <c r="Q14" s="149"/>
      <c r="R14" s="150" t="s">
        <v>1</v>
      </c>
      <c r="S14" s="150" t="s">
        <v>1</v>
      </c>
      <c r="T14" s="150" t="s">
        <v>1</v>
      </c>
      <c r="U14" s="150" t="s">
        <v>1</v>
      </c>
      <c r="V14" s="150" t="s">
        <v>1</v>
      </c>
      <c r="W14" s="149"/>
      <c r="X14" s="150"/>
      <c r="Y14" s="150"/>
      <c r="Z14" s="148" t="s">
        <v>2796</v>
      </c>
      <c r="AA14" s="148" t="s">
        <v>2796</v>
      </c>
      <c r="AB14" s="148" t="s">
        <v>2796</v>
      </c>
      <c r="AC14" s="149"/>
      <c r="AD14" s="150" t="s">
        <v>1</v>
      </c>
      <c r="AE14" s="150" t="s">
        <v>1</v>
      </c>
      <c r="AF14" s="150" t="s">
        <v>1</v>
      </c>
      <c r="AG14" s="149"/>
      <c r="AH14" s="151" t="s">
        <v>571</v>
      </c>
      <c r="AI14" s="151" t="s">
        <v>571</v>
      </c>
      <c r="AK14" s="457" t="s">
        <v>2230</v>
      </c>
      <c r="AL14" s="145" t="s">
        <v>2231</v>
      </c>
      <c r="AM14" s="145" t="s">
        <v>2232</v>
      </c>
    </row>
    <row r="15" spans="2:39" s="145" customFormat="1" ht="12.75" customHeight="1">
      <c r="B15" s="144">
        <v>42675</v>
      </c>
      <c r="C15" s="145" t="s">
        <v>2016</v>
      </c>
      <c r="D15" s="145" t="s">
        <v>728</v>
      </c>
      <c r="E15" s="145" t="s">
        <v>601</v>
      </c>
      <c r="F15" s="146">
        <v>1</v>
      </c>
      <c r="G15" s="147" t="s">
        <v>596</v>
      </c>
      <c r="I15" s="148">
        <v>1661.6</v>
      </c>
      <c r="J15" s="148">
        <v>533.6</v>
      </c>
      <c r="K15" s="148">
        <v>938.1</v>
      </c>
      <c r="L15" s="148">
        <v>1702.3</v>
      </c>
      <c r="M15" s="149"/>
      <c r="N15" s="148">
        <v>1.2</v>
      </c>
      <c r="O15" s="148">
        <v>-41.2</v>
      </c>
      <c r="P15" s="148">
        <v>-41.3</v>
      </c>
      <c r="Q15" s="149"/>
      <c r="R15" s="150">
        <v>1426.28</v>
      </c>
      <c r="S15" s="150">
        <v>-40.299999999999997</v>
      </c>
      <c r="T15" s="150">
        <v>-40.19</v>
      </c>
      <c r="U15" s="150" t="s">
        <v>2799</v>
      </c>
      <c r="V15" s="150" t="s">
        <v>571</v>
      </c>
      <c r="W15" s="149"/>
      <c r="X15" s="150"/>
      <c r="Y15" s="150"/>
      <c r="Z15" s="148">
        <v>0.1</v>
      </c>
      <c r="AA15" s="148" t="s">
        <v>2796</v>
      </c>
      <c r="AB15" s="148" t="s">
        <v>2800</v>
      </c>
      <c r="AC15" s="149"/>
      <c r="AD15" s="150" t="s">
        <v>2801</v>
      </c>
      <c r="AE15" s="150" t="s">
        <v>1</v>
      </c>
      <c r="AF15" s="150" t="s">
        <v>1</v>
      </c>
      <c r="AG15" s="149"/>
      <c r="AH15" s="151">
        <v>5.2439999999999998</v>
      </c>
      <c r="AI15" s="151">
        <v>4.8209999999999997</v>
      </c>
      <c r="AK15" s="457" t="s">
        <v>2021</v>
      </c>
      <c r="AL15" s="145" t="s">
        <v>2022</v>
      </c>
      <c r="AM15" s="145" t="s">
        <v>2023</v>
      </c>
    </row>
    <row r="16" spans="2:39" s="145" customFormat="1" ht="12.75" customHeight="1">
      <c r="B16" s="144">
        <v>42633</v>
      </c>
      <c r="C16" s="145" t="s">
        <v>2016</v>
      </c>
      <c r="D16" s="145" t="s">
        <v>2017</v>
      </c>
      <c r="E16" s="145" t="s">
        <v>601</v>
      </c>
      <c r="F16" s="146">
        <v>1</v>
      </c>
      <c r="G16" s="147" t="s">
        <v>596</v>
      </c>
      <c r="I16" s="148">
        <v>50</v>
      </c>
      <c r="J16" s="148">
        <v>50</v>
      </c>
      <c r="K16" s="148" t="s">
        <v>2796</v>
      </c>
      <c r="L16" s="148">
        <v>50</v>
      </c>
      <c r="M16" s="149"/>
      <c r="N16" s="148" t="s">
        <v>2796</v>
      </c>
      <c r="O16" s="148" t="s">
        <v>2796</v>
      </c>
      <c r="P16" s="148" t="s">
        <v>2796</v>
      </c>
      <c r="Q16" s="149"/>
      <c r="R16" s="150" t="s">
        <v>1</v>
      </c>
      <c r="S16" s="150" t="s">
        <v>1</v>
      </c>
      <c r="T16" s="150" t="s">
        <v>1</v>
      </c>
      <c r="U16" s="150" t="s">
        <v>1</v>
      </c>
      <c r="V16" s="150" t="s">
        <v>1</v>
      </c>
      <c r="W16" s="149"/>
      <c r="X16" s="150"/>
      <c r="Y16" s="150"/>
      <c r="Z16" s="148" t="s">
        <v>2796</v>
      </c>
      <c r="AA16" s="148" t="s">
        <v>2796</v>
      </c>
      <c r="AB16" s="148" t="s">
        <v>2796</v>
      </c>
      <c r="AC16" s="149"/>
      <c r="AD16" s="150" t="s">
        <v>1</v>
      </c>
      <c r="AE16" s="150" t="s">
        <v>1</v>
      </c>
      <c r="AF16" s="150" t="s">
        <v>1</v>
      </c>
      <c r="AG16" s="149"/>
      <c r="AH16" s="151" t="s">
        <v>571</v>
      </c>
      <c r="AI16" s="151" t="s">
        <v>571</v>
      </c>
      <c r="AK16" s="457" t="s">
        <v>2018</v>
      </c>
      <c r="AL16" s="145" t="s">
        <v>2019</v>
      </c>
      <c r="AM16" s="145" t="s">
        <v>2020</v>
      </c>
    </row>
    <row r="17" spans="2:39" s="145" customFormat="1" ht="12.75" customHeight="1">
      <c r="B17" s="144">
        <v>42577</v>
      </c>
      <c r="C17" s="145" t="s">
        <v>723</v>
      </c>
      <c r="D17" s="145" t="s">
        <v>2233</v>
      </c>
      <c r="E17" s="145" t="s">
        <v>601</v>
      </c>
      <c r="F17" s="146">
        <v>1</v>
      </c>
      <c r="G17" s="147" t="s">
        <v>596</v>
      </c>
      <c r="I17" s="148">
        <v>1250</v>
      </c>
      <c r="J17" s="148">
        <v>500</v>
      </c>
      <c r="K17" s="148">
        <v>750</v>
      </c>
      <c r="L17" s="148">
        <v>1250</v>
      </c>
      <c r="M17" s="149"/>
      <c r="N17" s="148" t="s">
        <v>2796</v>
      </c>
      <c r="O17" s="148" t="s">
        <v>2796</v>
      </c>
      <c r="P17" s="148" t="s">
        <v>2796</v>
      </c>
      <c r="Q17" s="149"/>
      <c r="R17" s="150" t="s">
        <v>1</v>
      </c>
      <c r="S17" s="150" t="s">
        <v>1</v>
      </c>
      <c r="T17" s="150" t="s">
        <v>1</v>
      </c>
      <c r="U17" s="150" t="s">
        <v>1</v>
      </c>
      <c r="V17" s="150" t="s">
        <v>1</v>
      </c>
      <c r="W17" s="149"/>
      <c r="X17" s="150"/>
      <c r="Y17" s="150"/>
      <c r="Z17" s="148" t="s">
        <v>2796</v>
      </c>
      <c r="AA17" s="148" t="s">
        <v>2796</v>
      </c>
      <c r="AB17" s="148" t="s">
        <v>2796</v>
      </c>
      <c r="AC17" s="149"/>
      <c r="AD17" s="150" t="s">
        <v>1</v>
      </c>
      <c r="AE17" s="150" t="s">
        <v>1</v>
      </c>
      <c r="AF17" s="150" t="s">
        <v>1</v>
      </c>
      <c r="AG17" s="149"/>
      <c r="AH17" s="151" t="s">
        <v>571</v>
      </c>
      <c r="AI17" s="151" t="s">
        <v>571</v>
      </c>
      <c r="AK17" s="457" t="s">
        <v>2234</v>
      </c>
      <c r="AL17" s="145" t="s">
        <v>2235</v>
      </c>
      <c r="AM17" s="145" t="s">
        <v>2236</v>
      </c>
    </row>
    <row r="18" spans="2:39" s="145" customFormat="1" ht="12.75" customHeight="1">
      <c r="B18" s="144">
        <v>42308</v>
      </c>
      <c r="C18" s="145" t="s">
        <v>2024</v>
      </c>
      <c r="D18" s="145" t="s">
        <v>2025</v>
      </c>
      <c r="E18" s="145" t="s">
        <v>2008</v>
      </c>
      <c r="F18" s="146">
        <v>1</v>
      </c>
      <c r="G18" s="147" t="s">
        <v>596</v>
      </c>
      <c r="I18" s="148">
        <v>580</v>
      </c>
      <c r="J18" s="148">
        <v>105</v>
      </c>
      <c r="K18" s="148">
        <v>475</v>
      </c>
      <c r="L18" s="148">
        <v>580</v>
      </c>
      <c r="M18" s="149"/>
      <c r="N18" s="148" t="s">
        <v>2796</v>
      </c>
      <c r="O18" s="148" t="s">
        <v>2796</v>
      </c>
      <c r="P18" s="148" t="s">
        <v>2796</v>
      </c>
      <c r="Q18" s="149"/>
      <c r="R18" s="150" t="s">
        <v>1</v>
      </c>
      <c r="S18" s="150" t="s">
        <v>1</v>
      </c>
      <c r="T18" s="150" t="s">
        <v>1</v>
      </c>
      <c r="U18" s="150" t="s">
        <v>1</v>
      </c>
      <c r="V18" s="150" t="s">
        <v>1</v>
      </c>
      <c r="W18" s="149"/>
      <c r="X18" s="150"/>
      <c r="Y18" s="150"/>
      <c r="Z18" s="148" t="s">
        <v>2796</v>
      </c>
      <c r="AA18" s="148" t="s">
        <v>2796</v>
      </c>
      <c r="AB18" s="148" t="s">
        <v>2796</v>
      </c>
      <c r="AC18" s="149"/>
      <c r="AD18" s="150" t="s">
        <v>1</v>
      </c>
      <c r="AE18" s="150" t="s">
        <v>1</v>
      </c>
      <c r="AF18" s="150" t="s">
        <v>1</v>
      </c>
      <c r="AG18" s="149"/>
      <c r="AH18" s="151" t="s">
        <v>571</v>
      </c>
      <c r="AI18" s="151" t="s">
        <v>571</v>
      </c>
      <c r="AK18" s="457" t="s">
        <v>2026</v>
      </c>
      <c r="AL18" s="145" t="s">
        <v>2027</v>
      </c>
      <c r="AM18" s="145" t="s">
        <v>2028</v>
      </c>
    </row>
    <row r="19" spans="2:39" s="145" customFormat="1" ht="12.75" customHeight="1">
      <c r="B19" s="144">
        <v>42004</v>
      </c>
      <c r="C19" s="145" t="s">
        <v>2029</v>
      </c>
      <c r="D19" s="145" t="s">
        <v>2030</v>
      </c>
      <c r="E19" s="145" t="s">
        <v>601</v>
      </c>
      <c r="F19" s="146">
        <v>1</v>
      </c>
      <c r="G19" s="147" t="s">
        <v>596</v>
      </c>
      <c r="I19" s="148" t="s">
        <v>2796</v>
      </c>
      <c r="J19" s="148" t="s">
        <v>2798</v>
      </c>
      <c r="K19" s="148" t="s">
        <v>2796</v>
      </c>
      <c r="L19" s="148" t="s">
        <v>2796</v>
      </c>
      <c r="M19" s="149"/>
      <c r="N19" s="148" t="s">
        <v>2796</v>
      </c>
      <c r="O19" s="148" t="s">
        <v>2796</v>
      </c>
      <c r="P19" s="148" t="s">
        <v>2796</v>
      </c>
      <c r="Q19" s="149"/>
      <c r="R19" s="150" t="s">
        <v>1</v>
      </c>
      <c r="S19" s="150" t="s">
        <v>1</v>
      </c>
      <c r="T19" s="150" t="s">
        <v>1</v>
      </c>
      <c r="U19" s="150" t="s">
        <v>1</v>
      </c>
      <c r="V19" s="150" t="s">
        <v>1</v>
      </c>
      <c r="W19" s="149"/>
      <c r="X19" s="150"/>
      <c r="Y19" s="150"/>
      <c r="Z19" s="148" t="s">
        <v>2796</v>
      </c>
      <c r="AA19" s="148" t="s">
        <v>2796</v>
      </c>
      <c r="AB19" s="148" t="s">
        <v>2796</v>
      </c>
      <c r="AC19" s="149"/>
      <c r="AD19" s="150" t="s">
        <v>1</v>
      </c>
      <c r="AE19" s="150" t="s">
        <v>1</v>
      </c>
      <c r="AF19" s="150" t="s">
        <v>1</v>
      </c>
      <c r="AG19" s="149"/>
      <c r="AH19" s="151" t="s">
        <v>571</v>
      </c>
      <c r="AI19" s="151" t="s">
        <v>571</v>
      </c>
      <c r="AK19" s="457" t="s">
        <v>2031</v>
      </c>
      <c r="AL19" s="145" t="s">
        <v>2032</v>
      </c>
      <c r="AM19" s="145" t="s">
        <v>2033</v>
      </c>
    </row>
    <row r="20" spans="2:39" s="145" customFormat="1" ht="12.75" customHeight="1">
      <c r="B20" s="144">
        <v>41911</v>
      </c>
      <c r="C20" s="145" t="s">
        <v>2024</v>
      </c>
      <c r="D20" s="145" t="s">
        <v>2034</v>
      </c>
      <c r="E20" s="145" t="s">
        <v>601</v>
      </c>
      <c r="F20" s="146">
        <v>1</v>
      </c>
      <c r="G20" s="147" t="s">
        <v>596</v>
      </c>
      <c r="I20" s="148">
        <v>8369</v>
      </c>
      <c r="J20" s="148">
        <v>8120.5</v>
      </c>
      <c r="K20" s="148" t="s">
        <v>2796</v>
      </c>
      <c r="L20" s="148">
        <v>8929.1</v>
      </c>
      <c r="M20" s="149"/>
      <c r="N20" s="148">
        <v>111.4</v>
      </c>
      <c r="O20" s="148">
        <v>-207.5</v>
      </c>
      <c r="P20" s="148">
        <v>-210.5</v>
      </c>
      <c r="Q20" s="149"/>
      <c r="R20" s="150">
        <v>75.11</v>
      </c>
      <c r="S20" s="150">
        <v>-40.340000000000003</v>
      </c>
      <c r="T20" s="150">
        <v>-39.770000000000003</v>
      </c>
      <c r="U20" s="150" t="s">
        <v>2802</v>
      </c>
      <c r="V20" s="150" t="s">
        <v>571</v>
      </c>
      <c r="W20" s="149"/>
      <c r="X20" s="150"/>
      <c r="Y20" s="150"/>
      <c r="Z20" s="148">
        <v>244.1</v>
      </c>
      <c r="AA20" s="148">
        <v>-199</v>
      </c>
      <c r="AB20" s="148" t="s">
        <v>2800</v>
      </c>
      <c r="AC20" s="149"/>
      <c r="AD20" s="150" t="s">
        <v>2803</v>
      </c>
      <c r="AE20" s="150" t="s">
        <v>2804</v>
      </c>
      <c r="AF20" s="150" t="s">
        <v>1</v>
      </c>
      <c r="AG20" s="149"/>
      <c r="AH20" s="151">
        <v>0.44</v>
      </c>
      <c r="AI20" s="151">
        <v>0.626</v>
      </c>
      <c r="AK20" s="457" t="s">
        <v>2035</v>
      </c>
      <c r="AL20" s="145" t="s">
        <v>2036</v>
      </c>
      <c r="AM20" s="145" t="s">
        <v>2037</v>
      </c>
    </row>
    <row r="21" spans="2:39" s="145" customFormat="1" ht="12.75" customHeight="1">
      <c r="B21" s="144">
        <v>41859</v>
      </c>
      <c r="C21" s="145" t="s">
        <v>2038</v>
      </c>
      <c r="D21" s="145" t="s">
        <v>2039</v>
      </c>
      <c r="E21" s="145" t="s">
        <v>601</v>
      </c>
      <c r="F21" s="146">
        <v>1</v>
      </c>
      <c r="G21" s="147" t="s">
        <v>596</v>
      </c>
      <c r="I21" s="148">
        <v>26.2</v>
      </c>
      <c r="J21" s="148">
        <v>27.1</v>
      </c>
      <c r="K21" s="148" t="s">
        <v>2796</v>
      </c>
      <c r="L21" s="148">
        <v>27.1</v>
      </c>
      <c r="M21" s="149"/>
      <c r="N21" s="148" t="s">
        <v>2796</v>
      </c>
      <c r="O21" s="148" t="s">
        <v>2796</v>
      </c>
      <c r="P21" s="148">
        <v>-1.1000000000000001</v>
      </c>
      <c r="Q21" s="149"/>
      <c r="R21" s="150" t="s">
        <v>1</v>
      </c>
      <c r="S21" s="150" t="s">
        <v>1</v>
      </c>
      <c r="T21" s="150">
        <v>-22.98</v>
      </c>
      <c r="U21" s="150" t="s">
        <v>571</v>
      </c>
      <c r="V21" s="150" t="s">
        <v>571</v>
      </c>
      <c r="W21" s="149"/>
      <c r="X21" s="150"/>
      <c r="Y21" s="150"/>
      <c r="Z21" s="148" t="s">
        <v>2796</v>
      </c>
      <c r="AA21" s="148" t="s">
        <v>2796</v>
      </c>
      <c r="AB21" s="148" t="s">
        <v>2796</v>
      </c>
      <c r="AC21" s="149"/>
      <c r="AD21" s="150" t="s">
        <v>1</v>
      </c>
      <c r="AE21" s="150" t="s">
        <v>1</v>
      </c>
      <c r="AF21" s="150" t="s">
        <v>1</v>
      </c>
      <c r="AG21" s="149"/>
      <c r="AH21" s="151" t="s">
        <v>571</v>
      </c>
      <c r="AI21" s="151" t="s">
        <v>571</v>
      </c>
      <c r="AK21" s="457" t="s">
        <v>2040</v>
      </c>
      <c r="AL21" s="145" t="s">
        <v>2041</v>
      </c>
      <c r="AM21" s="145" t="s">
        <v>2042</v>
      </c>
    </row>
    <row r="22" spans="2:39" s="145" customFormat="1" ht="12.75" customHeight="1">
      <c r="B22" s="144">
        <v>41801</v>
      </c>
      <c r="C22" s="145" t="s">
        <v>2237</v>
      </c>
      <c r="D22" s="145" t="s">
        <v>2238</v>
      </c>
      <c r="E22" s="145" t="s">
        <v>601</v>
      </c>
      <c r="F22" s="146">
        <v>1</v>
      </c>
      <c r="G22" s="147" t="s">
        <v>596</v>
      </c>
      <c r="I22" s="148">
        <v>586.9</v>
      </c>
      <c r="J22" s="148">
        <v>300.3</v>
      </c>
      <c r="K22" s="148">
        <v>265</v>
      </c>
      <c r="L22" s="148">
        <v>600.79999999999995</v>
      </c>
      <c r="M22" s="149"/>
      <c r="N22" s="148" t="s">
        <v>2796</v>
      </c>
      <c r="O22" s="148">
        <v>-15</v>
      </c>
      <c r="P22" s="148">
        <v>-15.1</v>
      </c>
      <c r="Q22" s="149"/>
      <c r="R22" s="150" t="s">
        <v>1</v>
      </c>
      <c r="S22" s="150">
        <v>-39.01</v>
      </c>
      <c r="T22" s="150">
        <v>-38.99</v>
      </c>
      <c r="U22" s="150" t="s">
        <v>571</v>
      </c>
      <c r="V22" s="150" t="s">
        <v>571</v>
      </c>
      <c r="W22" s="149"/>
      <c r="X22" s="150"/>
      <c r="Y22" s="150"/>
      <c r="Z22" s="148" t="s">
        <v>2796</v>
      </c>
      <c r="AA22" s="148" t="s">
        <v>2796</v>
      </c>
      <c r="AB22" s="148" t="s">
        <v>2796</v>
      </c>
      <c r="AC22" s="149"/>
      <c r="AD22" s="150" t="s">
        <v>1</v>
      </c>
      <c r="AE22" s="150" t="s">
        <v>1</v>
      </c>
      <c r="AF22" s="150" t="s">
        <v>1</v>
      </c>
      <c r="AG22" s="149"/>
      <c r="AH22" s="151" t="s">
        <v>571</v>
      </c>
      <c r="AI22" s="151" t="s">
        <v>571</v>
      </c>
      <c r="AK22" s="457" t="s">
        <v>2239</v>
      </c>
      <c r="AL22" s="145" t="s">
        <v>2240</v>
      </c>
      <c r="AM22" s="145" t="s">
        <v>2241</v>
      </c>
    </row>
    <row r="23" spans="2:39" s="145" customFormat="1" ht="12.75" customHeight="1">
      <c r="B23" s="144">
        <v>41726</v>
      </c>
      <c r="C23" s="145" t="s">
        <v>2043</v>
      </c>
      <c r="D23" s="145" t="s">
        <v>2044</v>
      </c>
      <c r="E23" s="145" t="s">
        <v>2008</v>
      </c>
      <c r="F23" s="146">
        <v>1</v>
      </c>
      <c r="G23" s="147" t="s">
        <v>596</v>
      </c>
      <c r="I23" s="148">
        <v>16.3</v>
      </c>
      <c r="J23" s="148">
        <v>302.2</v>
      </c>
      <c r="K23" s="148">
        <v>322.8</v>
      </c>
      <c r="L23" s="148">
        <v>625.70000000000005</v>
      </c>
      <c r="M23" s="149"/>
      <c r="N23" s="148" t="s">
        <v>2796</v>
      </c>
      <c r="O23" s="148">
        <v>-0.5</v>
      </c>
      <c r="P23" s="148">
        <v>-0.5</v>
      </c>
      <c r="Q23" s="149"/>
      <c r="R23" s="150" t="s">
        <v>1</v>
      </c>
      <c r="S23" s="150">
        <v>-34.630000000000003</v>
      </c>
      <c r="T23" s="150">
        <v>-34.25</v>
      </c>
      <c r="U23" s="150" t="s">
        <v>571</v>
      </c>
      <c r="V23" s="150" t="s">
        <v>571</v>
      </c>
      <c r="W23" s="149"/>
      <c r="X23" s="150"/>
      <c r="Y23" s="150"/>
      <c r="Z23" s="148" t="s">
        <v>2796</v>
      </c>
      <c r="AA23" s="148" t="s">
        <v>2796</v>
      </c>
      <c r="AB23" s="148" t="s">
        <v>2796</v>
      </c>
      <c r="AC23" s="149"/>
      <c r="AD23" s="150" t="s">
        <v>1</v>
      </c>
      <c r="AE23" s="150" t="s">
        <v>1</v>
      </c>
      <c r="AF23" s="150" t="s">
        <v>1</v>
      </c>
      <c r="AG23" s="149"/>
      <c r="AH23" s="151" t="s">
        <v>571</v>
      </c>
      <c r="AI23" s="151" t="s">
        <v>571</v>
      </c>
      <c r="AK23" s="457" t="s">
        <v>2045</v>
      </c>
      <c r="AL23" s="145" t="s">
        <v>2046</v>
      </c>
      <c r="AM23" s="145" t="s">
        <v>2047</v>
      </c>
    </row>
    <row r="24" spans="2:39" s="145" customFormat="1" ht="12.75" customHeight="1">
      <c r="B24" s="144">
        <v>41697</v>
      </c>
      <c r="C24" s="145" t="s">
        <v>2048</v>
      </c>
      <c r="D24" s="145" t="s">
        <v>2049</v>
      </c>
      <c r="E24" s="145" t="s">
        <v>2008</v>
      </c>
      <c r="F24" s="146">
        <v>1</v>
      </c>
      <c r="G24" s="147" t="s">
        <v>596</v>
      </c>
      <c r="I24" s="148">
        <v>4.5</v>
      </c>
      <c r="J24" s="148" t="s">
        <v>2798</v>
      </c>
      <c r="K24" s="148">
        <v>4.5</v>
      </c>
      <c r="L24" s="148">
        <v>4.5</v>
      </c>
      <c r="M24" s="149"/>
      <c r="N24" s="148" t="s">
        <v>2796</v>
      </c>
      <c r="O24" s="148" t="s">
        <v>2796</v>
      </c>
      <c r="P24" s="148" t="s">
        <v>2796</v>
      </c>
      <c r="Q24" s="149"/>
      <c r="R24" s="150" t="s">
        <v>1</v>
      </c>
      <c r="S24" s="150" t="s">
        <v>1</v>
      </c>
      <c r="T24" s="150" t="s">
        <v>1</v>
      </c>
      <c r="U24" s="150" t="s">
        <v>1</v>
      </c>
      <c r="V24" s="150" t="s">
        <v>1</v>
      </c>
      <c r="W24" s="149"/>
      <c r="X24" s="150"/>
      <c r="Y24" s="150"/>
      <c r="Z24" s="148" t="s">
        <v>2796</v>
      </c>
      <c r="AA24" s="148" t="s">
        <v>2796</v>
      </c>
      <c r="AB24" s="148" t="s">
        <v>2796</v>
      </c>
      <c r="AC24" s="149"/>
      <c r="AD24" s="150" t="s">
        <v>1</v>
      </c>
      <c r="AE24" s="150" t="s">
        <v>1</v>
      </c>
      <c r="AF24" s="150" t="s">
        <v>1</v>
      </c>
      <c r="AG24" s="149"/>
      <c r="AH24" s="151" t="s">
        <v>571</v>
      </c>
      <c r="AI24" s="151" t="s">
        <v>571</v>
      </c>
      <c r="AK24" s="457" t="s">
        <v>2050</v>
      </c>
      <c r="AL24" s="145" t="s">
        <v>2051</v>
      </c>
      <c r="AM24" s="145" t="s">
        <v>2052</v>
      </c>
    </row>
    <row r="25" spans="2:39" s="145" customFormat="1" ht="12.75" customHeight="1">
      <c r="B25" s="144">
        <v>41670</v>
      </c>
      <c r="C25" s="145" t="s">
        <v>2053</v>
      </c>
      <c r="D25" s="145" t="s">
        <v>2054</v>
      </c>
      <c r="E25" s="145" t="s">
        <v>2008</v>
      </c>
      <c r="F25" s="146">
        <v>1</v>
      </c>
      <c r="G25" s="147" t="s">
        <v>596</v>
      </c>
      <c r="I25" s="148">
        <v>2900</v>
      </c>
      <c r="J25" s="148" t="s">
        <v>2798</v>
      </c>
      <c r="K25" s="148" t="s">
        <v>2796</v>
      </c>
      <c r="L25" s="148">
        <v>2900</v>
      </c>
      <c r="M25" s="149"/>
      <c r="N25" s="148">
        <v>700.2</v>
      </c>
      <c r="O25" s="148">
        <v>275.60000000000002</v>
      </c>
      <c r="P25" s="148">
        <v>186.1</v>
      </c>
      <c r="Q25" s="149"/>
      <c r="R25" s="150">
        <v>4.1399999999999997</v>
      </c>
      <c r="S25" s="150">
        <v>10.52</v>
      </c>
      <c r="T25" s="150">
        <v>15.58</v>
      </c>
      <c r="U25" s="150" t="s">
        <v>1</v>
      </c>
      <c r="V25" s="150" t="s">
        <v>1</v>
      </c>
      <c r="W25" s="149"/>
      <c r="X25" s="150"/>
      <c r="Y25" s="150"/>
      <c r="Z25" s="148" t="s">
        <v>2796</v>
      </c>
      <c r="AA25" s="148" t="s">
        <v>2796</v>
      </c>
      <c r="AB25" s="148" t="s">
        <v>2796</v>
      </c>
      <c r="AC25" s="149"/>
      <c r="AD25" s="150" t="s">
        <v>1</v>
      </c>
      <c r="AE25" s="150" t="s">
        <v>1</v>
      </c>
      <c r="AF25" s="150" t="s">
        <v>1</v>
      </c>
      <c r="AG25" s="149"/>
      <c r="AH25" s="151" t="s">
        <v>571</v>
      </c>
      <c r="AI25" s="151" t="s">
        <v>571</v>
      </c>
      <c r="AK25" s="457" t="s">
        <v>2055</v>
      </c>
      <c r="AL25" s="145" t="s">
        <v>2056</v>
      </c>
      <c r="AM25" s="145" t="s">
        <v>2057</v>
      </c>
    </row>
    <row r="26" spans="2:39" s="145" customFormat="1" ht="12.75" customHeight="1">
      <c r="B26" s="144">
        <v>40976</v>
      </c>
      <c r="C26" s="145" t="s">
        <v>2058</v>
      </c>
      <c r="D26" s="145" t="s">
        <v>2059</v>
      </c>
      <c r="E26" s="145" t="s">
        <v>601</v>
      </c>
      <c r="F26" s="146">
        <v>0.95</v>
      </c>
      <c r="G26" s="147" t="s">
        <v>596</v>
      </c>
      <c r="I26" s="148">
        <v>566.4</v>
      </c>
      <c r="J26" s="148">
        <v>75</v>
      </c>
      <c r="K26" s="148">
        <v>487.5</v>
      </c>
      <c r="L26" s="148">
        <v>562.5</v>
      </c>
      <c r="M26" s="149"/>
      <c r="N26" s="148" t="s">
        <v>2796</v>
      </c>
      <c r="O26" s="148" t="s">
        <v>2796</v>
      </c>
      <c r="P26" s="148" t="s">
        <v>2796</v>
      </c>
      <c r="Q26" s="149"/>
      <c r="R26" s="150" t="s">
        <v>1</v>
      </c>
      <c r="S26" s="150" t="s">
        <v>1</v>
      </c>
      <c r="T26" s="150" t="s">
        <v>1</v>
      </c>
      <c r="U26" s="150" t="s">
        <v>1</v>
      </c>
      <c r="V26" s="150" t="s">
        <v>1</v>
      </c>
      <c r="W26" s="149"/>
      <c r="X26" s="150"/>
      <c r="Y26" s="150"/>
      <c r="Z26" s="148" t="s">
        <v>2796</v>
      </c>
      <c r="AA26" s="148" t="s">
        <v>2796</v>
      </c>
      <c r="AB26" s="148" t="s">
        <v>2796</v>
      </c>
      <c r="AC26" s="149"/>
      <c r="AD26" s="150" t="s">
        <v>1</v>
      </c>
      <c r="AE26" s="150" t="s">
        <v>1</v>
      </c>
      <c r="AF26" s="150" t="s">
        <v>1</v>
      </c>
      <c r="AG26" s="149"/>
      <c r="AH26" s="151" t="s">
        <v>571</v>
      </c>
      <c r="AI26" s="151" t="s">
        <v>571</v>
      </c>
      <c r="AK26" s="457" t="s">
        <v>2060</v>
      </c>
      <c r="AL26" s="145" t="s">
        <v>2061</v>
      </c>
      <c r="AM26" s="145" t="s">
        <v>2062</v>
      </c>
    </row>
    <row r="27" spans="2:39" s="145" customFormat="1" ht="12.75" customHeight="1">
      <c r="B27" s="144">
        <v>40793</v>
      </c>
      <c r="C27" s="145" t="s">
        <v>2005</v>
      </c>
      <c r="D27" s="145" t="s">
        <v>2063</v>
      </c>
      <c r="E27" s="145" t="s">
        <v>2008</v>
      </c>
      <c r="F27" s="146">
        <v>1</v>
      </c>
      <c r="G27" s="147" t="s">
        <v>596</v>
      </c>
      <c r="I27" s="148">
        <v>475</v>
      </c>
      <c r="J27" s="148">
        <v>325</v>
      </c>
      <c r="K27" s="148">
        <v>150</v>
      </c>
      <c r="L27" s="148">
        <v>475</v>
      </c>
      <c r="M27" s="149"/>
      <c r="N27" s="148" t="s">
        <v>2796</v>
      </c>
      <c r="O27" s="148" t="s">
        <v>2796</v>
      </c>
      <c r="P27" s="148" t="s">
        <v>2796</v>
      </c>
      <c r="Q27" s="149"/>
      <c r="R27" s="150" t="s">
        <v>1</v>
      </c>
      <c r="S27" s="150" t="s">
        <v>1</v>
      </c>
      <c r="T27" s="150" t="s">
        <v>1</v>
      </c>
      <c r="U27" s="150" t="s">
        <v>1</v>
      </c>
      <c r="V27" s="150" t="s">
        <v>1</v>
      </c>
      <c r="W27" s="149"/>
      <c r="X27" s="150"/>
      <c r="Y27" s="150"/>
      <c r="Z27" s="148" t="s">
        <v>2796</v>
      </c>
      <c r="AA27" s="148" t="s">
        <v>2796</v>
      </c>
      <c r="AB27" s="148" t="s">
        <v>2796</v>
      </c>
      <c r="AC27" s="149"/>
      <c r="AD27" s="150" t="s">
        <v>1</v>
      </c>
      <c r="AE27" s="150" t="s">
        <v>1</v>
      </c>
      <c r="AF27" s="150" t="s">
        <v>1</v>
      </c>
      <c r="AG27" s="149"/>
      <c r="AH27" s="151" t="s">
        <v>571</v>
      </c>
      <c r="AI27" s="151" t="s">
        <v>571</v>
      </c>
      <c r="AK27" s="457" t="s">
        <v>2064</v>
      </c>
      <c r="AL27" s="145" t="s">
        <v>2065</v>
      </c>
      <c r="AM27" s="145" t="s">
        <v>2066</v>
      </c>
    </row>
    <row r="28" spans="2:39" s="145" customFormat="1" ht="12.75" customHeight="1">
      <c r="B28" s="144">
        <v>40557</v>
      </c>
      <c r="C28" s="145" t="s">
        <v>1995</v>
      </c>
      <c r="D28" s="145" t="s">
        <v>2067</v>
      </c>
      <c r="E28" s="145" t="s">
        <v>2008</v>
      </c>
      <c r="F28" s="146">
        <v>1</v>
      </c>
      <c r="G28" s="147" t="s">
        <v>596</v>
      </c>
      <c r="I28" s="148">
        <v>225</v>
      </c>
      <c r="J28" s="148">
        <v>225</v>
      </c>
      <c r="K28" s="148" t="s">
        <v>2796</v>
      </c>
      <c r="L28" s="148">
        <v>225</v>
      </c>
      <c r="M28" s="149"/>
      <c r="N28" s="148" t="s">
        <v>2796</v>
      </c>
      <c r="O28" s="148" t="s">
        <v>2796</v>
      </c>
      <c r="P28" s="148" t="s">
        <v>2796</v>
      </c>
      <c r="Q28" s="149"/>
      <c r="R28" s="150" t="s">
        <v>1</v>
      </c>
      <c r="S28" s="150" t="s">
        <v>1</v>
      </c>
      <c r="T28" s="150" t="s">
        <v>1</v>
      </c>
      <c r="U28" s="150" t="s">
        <v>1</v>
      </c>
      <c r="V28" s="150" t="s">
        <v>1</v>
      </c>
      <c r="W28" s="149"/>
      <c r="X28" s="150"/>
      <c r="Y28" s="150"/>
      <c r="Z28" s="148" t="s">
        <v>2796</v>
      </c>
      <c r="AA28" s="148" t="s">
        <v>2796</v>
      </c>
      <c r="AB28" s="148" t="s">
        <v>2796</v>
      </c>
      <c r="AC28" s="149"/>
      <c r="AD28" s="150" t="s">
        <v>1</v>
      </c>
      <c r="AE28" s="150" t="s">
        <v>1</v>
      </c>
      <c r="AF28" s="150" t="s">
        <v>1</v>
      </c>
      <c r="AG28" s="149"/>
      <c r="AH28" s="151" t="s">
        <v>571</v>
      </c>
      <c r="AI28" s="151" t="s">
        <v>571</v>
      </c>
      <c r="AK28" s="457" t="s">
        <v>2068</v>
      </c>
      <c r="AL28" s="145" t="s">
        <v>2734</v>
      </c>
      <c r="AM28" s="145" t="s">
        <v>2736</v>
      </c>
    </row>
    <row r="29" spans="2:39" s="145" customFormat="1" ht="12.75" customHeight="1">
      <c r="B29" s="144" t="s">
        <v>2805</v>
      </c>
      <c r="C29" s="145" t="s">
        <v>2805</v>
      </c>
      <c r="D29" s="145" t="s">
        <v>2805</v>
      </c>
      <c r="E29" s="145" t="s">
        <v>1</v>
      </c>
      <c r="F29" s="146" t="e">
        <v>#VALUE!</v>
      </c>
      <c r="G29" s="147" t="s">
        <v>2805</v>
      </c>
      <c r="I29" s="148" t="s">
        <v>2806</v>
      </c>
      <c r="J29" s="148" t="e">
        <v>#VALUE!</v>
      </c>
      <c r="K29" s="148" t="s">
        <v>2806</v>
      </c>
      <c r="L29" s="148" t="s">
        <v>2806</v>
      </c>
      <c r="M29" s="149"/>
      <c r="N29" s="148" t="s">
        <v>2806</v>
      </c>
      <c r="O29" s="148" t="s">
        <v>2806</v>
      </c>
      <c r="P29" s="148" t="s">
        <v>2806</v>
      </c>
      <c r="Q29" s="149"/>
      <c r="R29" s="150" t="s">
        <v>1</v>
      </c>
      <c r="S29" s="150" t="s">
        <v>1</v>
      </c>
      <c r="T29" s="150" t="s">
        <v>1</v>
      </c>
      <c r="U29" s="150" t="s">
        <v>2805</v>
      </c>
      <c r="V29" s="150" t="s">
        <v>2805</v>
      </c>
      <c r="W29" s="149"/>
      <c r="X29" s="150"/>
      <c r="Y29" s="150"/>
      <c r="Z29" s="148" t="s">
        <v>2806</v>
      </c>
      <c r="AA29" s="148" t="s">
        <v>2806</v>
      </c>
      <c r="AB29" s="148" t="s">
        <v>2806</v>
      </c>
      <c r="AC29" s="149"/>
      <c r="AD29" s="150" t="s">
        <v>1</v>
      </c>
      <c r="AE29" s="150" t="s">
        <v>1</v>
      </c>
      <c r="AF29" s="150" t="s">
        <v>1</v>
      </c>
      <c r="AG29" s="149"/>
      <c r="AH29" s="151" t="e">
        <v>#VALUE!</v>
      </c>
      <c r="AI29" s="151" t="e">
        <v>#VALUE!</v>
      </c>
      <c r="AK29" s="457">
        <v>0</v>
      </c>
      <c r="AL29" s="145" t="s">
        <v>1</v>
      </c>
      <c r="AM29" s="145" t="s">
        <v>2805</v>
      </c>
    </row>
    <row r="30" spans="2:39" s="145" customFormat="1" ht="12.75" customHeight="1">
      <c r="B30" s="144" t="s">
        <v>2805</v>
      </c>
      <c r="C30" s="145" t="s">
        <v>2805</v>
      </c>
      <c r="D30" s="145" t="s">
        <v>2805</v>
      </c>
      <c r="E30" s="145" t="s">
        <v>1</v>
      </c>
      <c r="F30" s="146" t="e">
        <v>#VALUE!</v>
      </c>
      <c r="G30" s="147" t="s">
        <v>2805</v>
      </c>
      <c r="I30" s="148" t="s">
        <v>2806</v>
      </c>
      <c r="J30" s="148" t="e">
        <v>#VALUE!</v>
      </c>
      <c r="K30" s="148" t="s">
        <v>2806</v>
      </c>
      <c r="L30" s="148" t="s">
        <v>2806</v>
      </c>
      <c r="M30" s="149"/>
      <c r="N30" s="148" t="s">
        <v>2806</v>
      </c>
      <c r="O30" s="148" t="s">
        <v>2806</v>
      </c>
      <c r="P30" s="148" t="s">
        <v>2806</v>
      </c>
      <c r="Q30" s="149"/>
      <c r="R30" s="150" t="s">
        <v>1</v>
      </c>
      <c r="S30" s="150" t="s">
        <v>1</v>
      </c>
      <c r="T30" s="150" t="s">
        <v>1</v>
      </c>
      <c r="U30" s="150" t="s">
        <v>2805</v>
      </c>
      <c r="V30" s="150" t="s">
        <v>2805</v>
      </c>
      <c r="W30" s="149"/>
      <c r="X30" s="150"/>
      <c r="Y30" s="150"/>
      <c r="Z30" s="148" t="s">
        <v>2806</v>
      </c>
      <c r="AA30" s="148" t="s">
        <v>2806</v>
      </c>
      <c r="AB30" s="148" t="s">
        <v>2806</v>
      </c>
      <c r="AC30" s="149"/>
      <c r="AD30" s="150" t="s">
        <v>1</v>
      </c>
      <c r="AE30" s="150" t="s">
        <v>1</v>
      </c>
      <c r="AF30" s="150" t="s">
        <v>1</v>
      </c>
      <c r="AG30" s="149"/>
      <c r="AH30" s="151" t="e">
        <v>#VALUE!</v>
      </c>
      <c r="AI30" s="151" t="e">
        <v>#VALUE!</v>
      </c>
      <c r="AK30" s="457">
        <v>0</v>
      </c>
      <c r="AL30" s="145" t="s">
        <v>1</v>
      </c>
      <c r="AM30" s="145" t="s">
        <v>2805</v>
      </c>
    </row>
    <row r="31" spans="2:39" s="145" customFormat="1" ht="12.75" customHeight="1">
      <c r="B31" s="144" t="s">
        <v>2805</v>
      </c>
      <c r="C31" s="145" t="s">
        <v>2805</v>
      </c>
      <c r="D31" s="145" t="s">
        <v>2805</v>
      </c>
      <c r="E31" s="145" t="s">
        <v>1</v>
      </c>
      <c r="F31" s="146" t="e">
        <v>#VALUE!</v>
      </c>
      <c r="G31" s="147" t="s">
        <v>2805</v>
      </c>
      <c r="I31" s="148" t="s">
        <v>2806</v>
      </c>
      <c r="J31" s="148" t="e">
        <v>#VALUE!</v>
      </c>
      <c r="K31" s="148" t="s">
        <v>2806</v>
      </c>
      <c r="L31" s="148" t="s">
        <v>2806</v>
      </c>
      <c r="M31" s="149"/>
      <c r="N31" s="148" t="s">
        <v>2806</v>
      </c>
      <c r="O31" s="148" t="s">
        <v>2806</v>
      </c>
      <c r="P31" s="148" t="s">
        <v>2806</v>
      </c>
      <c r="Q31" s="149"/>
      <c r="R31" s="150" t="s">
        <v>1</v>
      </c>
      <c r="S31" s="150" t="s">
        <v>1</v>
      </c>
      <c r="T31" s="150" t="s">
        <v>1</v>
      </c>
      <c r="U31" s="150" t="s">
        <v>2805</v>
      </c>
      <c r="V31" s="150" t="s">
        <v>2805</v>
      </c>
      <c r="W31" s="149"/>
      <c r="X31" s="150"/>
      <c r="Y31" s="150"/>
      <c r="Z31" s="148" t="s">
        <v>2806</v>
      </c>
      <c r="AA31" s="148" t="s">
        <v>2806</v>
      </c>
      <c r="AB31" s="148" t="s">
        <v>2806</v>
      </c>
      <c r="AC31" s="149"/>
      <c r="AD31" s="150" t="s">
        <v>1</v>
      </c>
      <c r="AE31" s="150" t="s">
        <v>1</v>
      </c>
      <c r="AF31" s="150" t="s">
        <v>1</v>
      </c>
      <c r="AG31" s="149"/>
      <c r="AH31" s="151" t="e">
        <v>#VALUE!</v>
      </c>
      <c r="AI31" s="151" t="e">
        <v>#VALUE!</v>
      </c>
      <c r="AK31" s="457">
        <v>0</v>
      </c>
      <c r="AL31" s="145" t="s">
        <v>1</v>
      </c>
      <c r="AM31" s="145" t="s">
        <v>2805</v>
      </c>
    </row>
    <row r="32" spans="2:39" s="145" customFormat="1" ht="12.75" customHeight="1">
      <c r="B32" s="144" t="s">
        <v>2805</v>
      </c>
      <c r="C32" s="145" t="s">
        <v>2805</v>
      </c>
      <c r="D32" s="145" t="s">
        <v>2805</v>
      </c>
      <c r="E32" s="145" t="s">
        <v>1</v>
      </c>
      <c r="F32" s="146" t="e">
        <v>#VALUE!</v>
      </c>
      <c r="G32" s="147" t="s">
        <v>2805</v>
      </c>
      <c r="I32" s="148" t="s">
        <v>2806</v>
      </c>
      <c r="J32" s="148" t="e">
        <v>#VALUE!</v>
      </c>
      <c r="K32" s="148" t="s">
        <v>2806</v>
      </c>
      <c r="L32" s="148" t="s">
        <v>2806</v>
      </c>
      <c r="M32" s="149"/>
      <c r="N32" s="148" t="s">
        <v>2806</v>
      </c>
      <c r="O32" s="148" t="s">
        <v>2806</v>
      </c>
      <c r="P32" s="148" t="s">
        <v>2806</v>
      </c>
      <c r="Q32" s="149"/>
      <c r="R32" s="150" t="s">
        <v>1</v>
      </c>
      <c r="S32" s="150" t="s">
        <v>1</v>
      </c>
      <c r="T32" s="150" t="s">
        <v>1</v>
      </c>
      <c r="U32" s="150" t="s">
        <v>2805</v>
      </c>
      <c r="V32" s="150" t="s">
        <v>2805</v>
      </c>
      <c r="W32" s="149"/>
      <c r="X32" s="150"/>
      <c r="Y32" s="150"/>
      <c r="Z32" s="148" t="s">
        <v>2806</v>
      </c>
      <c r="AA32" s="148" t="s">
        <v>2806</v>
      </c>
      <c r="AB32" s="148" t="s">
        <v>2806</v>
      </c>
      <c r="AC32" s="149"/>
      <c r="AD32" s="150" t="s">
        <v>1</v>
      </c>
      <c r="AE32" s="150" t="s">
        <v>1</v>
      </c>
      <c r="AF32" s="150" t="s">
        <v>1</v>
      </c>
      <c r="AG32" s="149"/>
      <c r="AH32" s="151" t="e">
        <v>#VALUE!</v>
      </c>
      <c r="AI32" s="151" t="e">
        <v>#VALUE!</v>
      </c>
      <c r="AK32" s="457">
        <v>0</v>
      </c>
      <c r="AL32" s="145" t="s">
        <v>1</v>
      </c>
      <c r="AM32" s="145" t="s">
        <v>2805</v>
      </c>
    </row>
    <row r="33" spans="2:39" s="145" customFormat="1" ht="12.75" customHeight="1">
      <c r="B33" s="144" t="s">
        <v>2805</v>
      </c>
      <c r="C33" s="145" t="s">
        <v>2805</v>
      </c>
      <c r="D33" s="145" t="s">
        <v>2805</v>
      </c>
      <c r="E33" s="145" t="s">
        <v>1</v>
      </c>
      <c r="F33" s="146" t="e">
        <v>#VALUE!</v>
      </c>
      <c r="G33" s="147" t="s">
        <v>2805</v>
      </c>
      <c r="I33" s="148" t="s">
        <v>2806</v>
      </c>
      <c r="J33" s="148" t="e">
        <v>#VALUE!</v>
      </c>
      <c r="K33" s="148" t="s">
        <v>2806</v>
      </c>
      <c r="L33" s="148" t="s">
        <v>2806</v>
      </c>
      <c r="M33" s="149"/>
      <c r="N33" s="148" t="s">
        <v>2806</v>
      </c>
      <c r="O33" s="148" t="s">
        <v>2806</v>
      </c>
      <c r="P33" s="148" t="s">
        <v>2806</v>
      </c>
      <c r="Q33" s="149"/>
      <c r="R33" s="150" t="s">
        <v>1</v>
      </c>
      <c r="S33" s="150" t="s">
        <v>1</v>
      </c>
      <c r="T33" s="150" t="s">
        <v>1</v>
      </c>
      <c r="U33" s="150" t="s">
        <v>2805</v>
      </c>
      <c r="V33" s="150" t="s">
        <v>2805</v>
      </c>
      <c r="W33" s="149"/>
      <c r="X33" s="150"/>
      <c r="Y33" s="150"/>
      <c r="Z33" s="148" t="s">
        <v>2806</v>
      </c>
      <c r="AA33" s="148" t="s">
        <v>2806</v>
      </c>
      <c r="AB33" s="148" t="s">
        <v>2806</v>
      </c>
      <c r="AC33" s="149"/>
      <c r="AD33" s="150" t="s">
        <v>1</v>
      </c>
      <c r="AE33" s="150" t="s">
        <v>1</v>
      </c>
      <c r="AF33" s="150" t="s">
        <v>1</v>
      </c>
      <c r="AG33" s="149"/>
      <c r="AH33" s="151" t="e">
        <v>#VALUE!</v>
      </c>
      <c r="AI33" s="151" t="e">
        <v>#VALUE!</v>
      </c>
      <c r="AK33" s="457">
        <v>0</v>
      </c>
      <c r="AL33" s="145" t="s">
        <v>1</v>
      </c>
      <c r="AM33" s="145" t="s">
        <v>2805</v>
      </c>
    </row>
    <row r="34" spans="2:39" s="145" customFormat="1" ht="12.75" customHeight="1">
      <c r="B34" s="144"/>
      <c r="F34" s="146"/>
      <c r="G34" s="147"/>
      <c r="I34" s="148"/>
      <c r="J34" s="148"/>
      <c r="K34" s="148"/>
      <c r="L34" s="148"/>
      <c r="M34" s="149"/>
      <c r="N34" s="148"/>
      <c r="O34" s="148"/>
      <c r="P34" s="148"/>
      <c r="Q34" s="149"/>
      <c r="R34" s="150"/>
      <c r="S34" s="150"/>
      <c r="T34" s="150"/>
      <c r="U34" s="150"/>
      <c r="V34" s="150"/>
      <c r="W34" s="149"/>
      <c r="X34" s="150"/>
      <c r="Y34" s="150"/>
      <c r="Z34" s="148"/>
      <c r="AA34" s="148"/>
      <c r="AB34" s="148"/>
      <c r="AC34" s="149"/>
      <c r="AD34" s="150"/>
      <c r="AE34" s="150"/>
      <c r="AF34" s="150"/>
      <c r="AG34" s="149"/>
      <c r="AH34" s="151"/>
      <c r="AI34" s="151"/>
      <c r="AK34" s="457"/>
    </row>
    <row r="35" spans="2:39" s="145" customFormat="1" ht="12.75" customHeight="1">
      <c r="B35" s="144"/>
      <c r="F35" s="146"/>
      <c r="G35" s="147"/>
      <c r="I35" s="148"/>
      <c r="J35" s="148"/>
      <c r="K35" s="148"/>
      <c r="L35" s="148"/>
      <c r="M35" s="149"/>
      <c r="N35" s="148"/>
      <c r="O35" s="148"/>
      <c r="P35" s="148"/>
      <c r="Q35" s="149"/>
      <c r="R35" s="150"/>
      <c r="S35" s="150"/>
      <c r="T35" s="150"/>
      <c r="U35" s="150"/>
      <c r="V35" s="150"/>
      <c r="W35" s="149"/>
      <c r="X35" s="150"/>
      <c r="Y35" s="150"/>
      <c r="Z35" s="148"/>
      <c r="AA35" s="148"/>
      <c r="AB35" s="148"/>
      <c r="AC35" s="149"/>
      <c r="AD35" s="150"/>
      <c r="AE35" s="150"/>
      <c r="AF35" s="150"/>
      <c r="AG35" s="149"/>
      <c r="AH35" s="151"/>
      <c r="AI35" s="151"/>
      <c r="AK35" s="457"/>
    </row>
    <row r="36" spans="2:39" s="145" customFormat="1" ht="12.75" customHeight="1">
      <c r="B36" s="144"/>
      <c r="F36" s="146"/>
      <c r="G36" s="147"/>
      <c r="I36" s="148"/>
      <c r="J36" s="148"/>
      <c r="K36" s="148"/>
      <c r="L36" s="148"/>
      <c r="M36" s="149"/>
      <c r="N36" s="148"/>
      <c r="O36" s="148"/>
      <c r="P36" s="148"/>
      <c r="Q36" s="149"/>
      <c r="R36" s="150"/>
      <c r="S36" s="150"/>
      <c r="T36" s="150"/>
      <c r="U36" s="150"/>
      <c r="V36" s="150"/>
      <c r="W36" s="149"/>
      <c r="X36" s="150"/>
      <c r="Y36" s="150"/>
      <c r="Z36" s="148"/>
      <c r="AA36" s="148"/>
      <c r="AB36" s="148"/>
      <c r="AC36" s="149"/>
      <c r="AD36" s="150"/>
      <c r="AE36" s="150"/>
      <c r="AF36" s="150"/>
      <c r="AG36" s="149"/>
      <c r="AH36" s="151"/>
      <c r="AI36" s="151"/>
      <c r="AK36" s="457"/>
    </row>
    <row r="37" spans="2:39" s="145" customFormat="1" ht="12.75" customHeight="1">
      <c r="B37" s="144"/>
      <c r="F37" s="146"/>
      <c r="G37" s="147"/>
      <c r="I37" s="148"/>
      <c r="J37" s="148"/>
      <c r="K37" s="148"/>
      <c r="L37" s="148"/>
      <c r="M37" s="149"/>
      <c r="N37" s="148"/>
      <c r="O37" s="148"/>
      <c r="P37" s="148"/>
      <c r="Q37" s="149"/>
      <c r="R37" s="150"/>
      <c r="S37" s="150"/>
      <c r="T37" s="150"/>
      <c r="U37" s="150"/>
      <c r="V37" s="150"/>
      <c r="W37" s="149"/>
      <c r="X37" s="150"/>
      <c r="Y37" s="150"/>
      <c r="Z37" s="148"/>
      <c r="AA37" s="148"/>
      <c r="AB37" s="148"/>
      <c r="AC37" s="149"/>
      <c r="AD37" s="150"/>
      <c r="AE37" s="150"/>
      <c r="AF37" s="150"/>
      <c r="AG37" s="149"/>
      <c r="AH37" s="151"/>
      <c r="AI37" s="151"/>
      <c r="AK37" s="457"/>
    </row>
    <row r="38" spans="2:39" s="145" customFormat="1" ht="12.75" customHeight="1">
      <c r="B38" s="144"/>
      <c r="F38" s="146"/>
      <c r="G38" s="147"/>
      <c r="I38" s="148"/>
      <c r="J38" s="148"/>
      <c r="K38" s="148"/>
      <c r="L38" s="148"/>
      <c r="M38" s="149"/>
      <c r="N38" s="148"/>
      <c r="O38" s="148"/>
      <c r="P38" s="148"/>
      <c r="Q38" s="149"/>
      <c r="R38" s="150"/>
      <c r="S38" s="150"/>
      <c r="T38" s="150"/>
      <c r="U38" s="150"/>
      <c r="V38" s="150"/>
      <c r="W38" s="149"/>
      <c r="X38" s="150"/>
      <c r="Y38" s="150"/>
      <c r="Z38" s="148"/>
      <c r="AA38" s="148"/>
      <c r="AB38" s="148"/>
      <c r="AC38" s="149"/>
      <c r="AD38" s="150"/>
      <c r="AE38" s="150"/>
      <c r="AF38" s="150"/>
      <c r="AG38" s="149"/>
      <c r="AH38" s="151"/>
      <c r="AI38" s="151"/>
      <c r="AK38" s="457"/>
    </row>
    <row r="39" spans="2:39" s="145" customFormat="1" ht="12.75" customHeight="1">
      <c r="B39" s="144"/>
      <c r="F39" s="146"/>
      <c r="G39" s="147"/>
      <c r="I39" s="148"/>
      <c r="J39" s="148"/>
      <c r="K39" s="148"/>
      <c r="L39" s="148"/>
      <c r="M39" s="149"/>
      <c r="N39" s="148"/>
      <c r="O39" s="148"/>
      <c r="P39" s="148"/>
      <c r="Q39" s="149"/>
      <c r="R39" s="150"/>
      <c r="S39" s="150"/>
      <c r="T39" s="150"/>
      <c r="U39" s="150"/>
      <c r="V39" s="150"/>
      <c r="W39" s="149"/>
      <c r="X39" s="150"/>
      <c r="Y39" s="150"/>
      <c r="Z39" s="148"/>
      <c r="AA39" s="148"/>
      <c r="AB39" s="148"/>
      <c r="AC39" s="149"/>
      <c r="AD39" s="150"/>
      <c r="AE39" s="150"/>
      <c r="AF39" s="150"/>
      <c r="AG39" s="149"/>
      <c r="AH39" s="151"/>
      <c r="AI39" s="151"/>
      <c r="AK39" s="457"/>
    </row>
    <row r="40" spans="2:39" s="145" customFormat="1" ht="12.75" customHeight="1">
      <c r="B40" s="144"/>
      <c r="F40" s="146"/>
      <c r="G40" s="147"/>
      <c r="I40" s="148"/>
      <c r="J40" s="148"/>
      <c r="K40" s="148"/>
      <c r="L40" s="148"/>
      <c r="M40" s="149"/>
      <c r="N40" s="148"/>
      <c r="O40" s="148"/>
      <c r="P40" s="148"/>
      <c r="Q40" s="149"/>
      <c r="R40" s="150"/>
      <c r="S40" s="150"/>
      <c r="T40" s="150"/>
      <c r="U40" s="150"/>
      <c r="V40" s="150"/>
      <c r="W40" s="149"/>
      <c r="X40" s="150"/>
      <c r="Y40" s="150"/>
      <c r="Z40" s="148"/>
      <c r="AA40" s="148"/>
      <c r="AB40" s="148"/>
      <c r="AC40" s="149"/>
      <c r="AD40" s="150"/>
      <c r="AE40" s="150"/>
      <c r="AF40" s="150"/>
      <c r="AG40" s="149"/>
      <c r="AH40" s="151"/>
      <c r="AI40" s="151"/>
      <c r="AK40" s="457"/>
    </row>
    <row r="41" spans="2:39" s="145" customFormat="1" ht="12.75" customHeight="1">
      <c r="B41" s="144"/>
      <c r="F41" s="146"/>
      <c r="G41" s="147"/>
      <c r="I41" s="148"/>
      <c r="J41" s="148"/>
      <c r="K41" s="148"/>
      <c r="L41" s="148"/>
      <c r="M41" s="149"/>
      <c r="N41" s="148"/>
      <c r="O41" s="148"/>
      <c r="P41" s="148"/>
      <c r="Q41" s="149"/>
      <c r="R41" s="150"/>
      <c r="S41" s="150"/>
      <c r="T41" s="150"/>
      <c r="U41" s="150"/>
      <c r="V41" s="150"/>
      <c r="W41" s="149"/>
      <c r="X41" s="150"/>
      <c r="Y41" s="150"/>
      <c r="Z41" s="148"/>
      <c r="AA41" s="148"/>
      <c r="AB41" s="148"/>
      <c r="AC41" s="149"/>
      <c r="AD41" s="150"/>
      <c r="AE41" s="150"/>
      <c r="AF41" s="150"/>
      <c r="AG41" s="149"/>
      <c r="AH41" s="151"/>
      <c r="AI41" s="151"/>
      <c r="AK41" s="457"/>
    </row>
    <row r="42" spans="2:39" s="145" customFormat="1" ht="12.75" customHeight="1">
      <c r="B42" s="144"/>
      <c r="F42" s="146"/>
      <c r="G42" s="147"/>
      <c r="I42" s="148"/>
      <c r="J42" s="148"/>
      <c r="K42" s="148"/>
      <c r="L42" s="148"/>
      <c r="M42" s="149"/>
      <c r="N42" s="148"/>
      <c r="O42" s="148"/>
      <c r="P42" s="148"/>
      <c r="Q42" s="149"/>
      <c r="R42" s="150"/>
      <c r="S42" s="150"/>
      <c r="T42" s="150"/>
      <c r="U42" s="150"/>
      <c r="V42" s="150"/>
      <c r="W42" s="149"/>
      <c r="X42" s="150"/>
      <c r="Y42" s="150"/>
      <c r="Z42" s="148"/>
      <c r="AA42" s="148"/>
      <c r="AB42" s="148"/>
      <c r="AC42" s="149"/>
      <c r="AD42" s="150"/>
      <c r="AE42" s="150"/>
      <c r="AF42" s="150"/>
      <c r="AG42" s="149"/>
      <c r="AH42" s="151"/>
      <c r="AI42" s="151"/>
      <c r="AK42" s="457"/>
    </row>
    <row r="43" spans="2:39" s="145" customFormat="1" ht="12.75" customHeight="1">
      <c r="B43" s="144"/>
      <c r="F43" s="146"/>
      <c r="G43" s="147"/>
      <c r="I43" s="148"/>
      <c r="J43" s="148"/>
      <c r="K43" s="148"/>
      <c r="L43" s="148"/>
      <c r="M43" s="149"/>
      <c r="N43" s="148"/>
      <c r="O43" s="148"/>
      <c r="P43" s="148"/>
      <c r="Q43" s="149"/>
      <c r="R43" s="150"/>
      <c r="S43" s="150"/>
      <c r="T43" s="150"/>
      <c r="U43" s="150"/>
      <c r="V43" s="150"/>
      <c r="W43" s="149"/>
      <c r="X43" s="150"/>
      <c r="Y43" s="150"/>
      <c r="Z43" s="148"/>
      <c r="AA43" s="148"/>
      <c r="AB43" s="148"/>
      <c r="AC43" s="149"/>
      <c r="AD43" s="150"/>
      <c r="AE43" s="150"/>
      <c r="AF43" s="150"/>
      <c r="AG43" s="149"/>
      <c r="AH43" s="151"/>
      <c r="AI43" s="151"/>
      <c r="AK43" s="457"/>
    </row>
    <row r="44" spans="2:39" s="145" customFormat="1" ht="12.75" customHeight="1">
      <c r="B44" s="144"/>
      <c r="F44" s="146"/>
      <c r="G44" s="147"/>
      <c r="I44" s="148"/>
      <c r="J44" s="148"/>
      <c r="K44" s="148"/>
      <c r="L44" s="148"/>
      <c r="M44" s="149"/>
      <c r="N44" s="148"/>
      <c r="O44" s="148"/>
      <c r="P44" s="148"/>
      <c r="Q44" s="149"/>
      <c r="R44" s="150"/>
      <c r="S44" s="150"/>
      <c r="T44" s="150"/>
      <c r="U44" s="150"/>
      <c r="V44" s="150"/>
      <c r="W44" s="149"/>
      <c r="X44" s="150"/>
      <c r="Y44" s="150"/>
      <c r="Z44" s="148"/>
      <c r="AA44" s="148"/>
      <c r="AB44" s="148"/>
      <c r="AC44" s="149"/>
      <c r="AD44" s="150"/>
      <c r="AE44" s="150"/>
      <c r="AF44" s="150"/>
      <c r="AG44" s="149"/>
      <c r="AH44" s="151"/>
      <c r="AI44" s="151"/>
      <c r="AK44" s="457"/>
    </row>
    <row r="45" spans="2:39" s="145" customFormat="1" ht="12.75" customHeight="1">
      <c r="B45" s="144"/>
      <c r="F45" s="146"/>
      <c r="G45" s="147"/>
      <c r="I45" s="148"/>
      <c r="J45" s="148"/>
      <c r="K45" s="148"/>
      <c r="L45" s="148"/>
      <c r="M45" s="149"/>
      <c r="N45" s="148"/>
      <c r="O45" s="148"/>
      <c r="P45" s="148"/>
      <c r="Q45" s="149"/>
      <c r="R45" s="150"/>
      <c r="S45" s="150"/>
      <c r="T45" s="150"/>
      <c r="U45" s="150"/>
      <c r="V45" s="150"/>
      <c r="W45" s="149"/>
      <c r="X45" s="385"/>
      <c r="Y45" s="385"/>
      <c r="Z45" s="148"/>
      <c r="AA45" s="148"/>
      <c r="AB45" s="148"/>
      <c r="AC45" s="149"/>
      <c r="AD45" s="150"/>
      <c r="AE45" s="150"/>
      <c r="AF45" s="150"/>
      <c r="AG45" s="385"/>
      <c r="AH45" s="151"/>
      <c r="AI45" s="151"/>
      <c r="AK45" s="457"/>
    </row>
    <row r="46" spans="2:39" s="145" customFormat="1" ht="12.75" customHeight="1">
      <c r="B46" s="144"/>
      <c r="F46" s="146"/>
      <c r="G46" s="147"/>
      <c r="I46" s="148"/>
      <c r="J46" s="148"/>
      <c r="K46" s="148"/>
      <c r="L46" s="148"/>
      <c r="M46" s="149"/>
      <c r="N46" s="148"/>
      <c r="O46" s="148"/>
      <c r="P46" s="148"/>
      <c r="Q46" s="149"/>
      <c r="R46" s="150"/>
      <c r="S46" s="150"/>
      <c r="T46" s="150"/>
      <c r="U46" s="150"/>
      <c r="V46" s="150"/>
      <c r="W46" s="149"/>
      <c r="X46" s="385"/>
      <c r="Y46" s="385"/>
      <c r="Z46" s="148"/>
      <c r="AA46" s="148"/>
      <c r="AB46" s="148"/>
      <c r="AC46" s="149"/>
      <c r="AD46" s="150"/>
      <c r="AE46" s="150"/>
      <c r="AF46" s="150"/>
      <c r="AG46" s="385"/>
      <c r="AH46" s="151"/>
      <c r="AI46" s="151"/>
      <c r="AK46" s="457"/>
    </row>
    <row r="47" spans="2:39" s="145" customFormat="1" ht="12.75" customHeight="1">
      <c r="B47" s="144" t="s">
        <v>46</v>
      </c>
      <c r="F47" s="146"/>
      <c r="G47" s="147"/>
      <c r="I47" s="148">
        <v>8368.9627299999993</v>
      </c>
      <c r="J47" s="148"/>
      <c r="K47" s="148"/>
      <c r="L47" s="148"/>
      <c r="M47" s="149"/>
      <c r="N47" s="148">
        <v>738.03922</v>
      </c>
      <c r="O47" s="148">
        <v>275.60000000000002</v>
      </c>
      <c r="P47" s="148">
        <v>186.096</v>
      </c>
      <c r="Q47" s="149"/>
      <c r="R47" s="150">
        <v>1426.2816566523604</v>
      </c>
      <c r="S47" s="150">
        <v>14.437514549381584</v>
      </c>
      <c r="T47" s="150">
        <v>16.946381544358946</v>
      </c>
      <c r="U47" s="150">
        <v>27.005870000000002</v>
      </c>
      <c r="V47" s="150">
        <v>29.40212</v>
      </c>
      <c r="W47" s="149"/>
      <c r="X47" s="990"/>
      <c r="Y47" s="98"/>
      <c r="Z47" s="148">
        <v>773.25905</v>
      </c>
      <c r="AA47" s="148">
        <v>222.37209999999999</v>
      </c>
      <c r="AB47" s="148">
        <v>16.28877</v>
      </c>
      <c r="AC47" s="149"/>
      <c r="AD47" s="150">
        <v>14769.938933333333</v>
      </c>
      <c r="AE47" s="150">
        <v>12.712235842536002</v>
      </c>
      <c r="AF47" s="150">
        <v>173.54573611144366</v>
      </c>
      <c r="AG47" s="989"/>
      <c r="AH47" s="151">
        <v>5.2444930000000003</v>
      </c>
      <c r="AI47" s="151">
        <v>4.8213549999999996</v>
      </c>
      <c r="AK47" s="457"/>
    </row>
    <row r="48" spans="2:39" s="145" customFormat="1" ht="12.75" customHeight="1">
      <c r="B48" s="144" t="s">
        <v>50</v>
      </c>
      <c r="F48" s="146"/>
      <c r="G48" s="147"/>
      <c r="I48" s="148">
        <v>1352.9045325</v>
      </c>
      <c r="J48" s="148"/>
      <c r="K48" s="148"/>
      <c r="L48" s="148"/>
      <c r="M48" s="149"/>
      <c r="N48" s="148">
        <v>552.98974999999996</v>
      </c>
      <c r="O48" s="148">
        <v>-0.47099000000000002</v>
      </c>
      <c r="P48" s="148">
        <v>-0.64232249999999991</v>
      </c>
      <c r="Q48" s="149"/>
      <c r="R48" s="150">
        <v>75.11050537595807</v>
      </c>
      <c r="S48" s="150">
        <v>-4.2035097854566672</v>
      </c>
      <c r="T48" s="150">
        <v>-9.655230381517697</v>
      </c>
      <c r="U48" s="150">
        <v>24.661872500000001</v>
      </c>
      <c r="V48" s="150">
        <v>29.40212</v>
      </c>
      <c r="W48" s="149"/>
      <c r="X48" s="98"/>
      <c r="Y48" s="98"/>
      <c r="Z48" s="148">
        <v>376.38541250000003</v>
      </c>
      <c r="AA48" s="148">
        <v>117.02330000000001</v>
      </c>
      <c r="AB48" s="148">
        <v>16.28877</v>
      </c>
      <c r="AC48" s="149"/>
      <c r="AD48" s="150">
        <v>3718.1990765971227</v>
      </c>
      <c r="AE48" s="150">
        <v>-0.97837509070821227</v>
      </c>
      <c r="AF48" s="150">
        <v>173.54573611144366</v>
      </c>
      <c r="AG48" s="62"/>
      <c r="AH48" s="151">
        <v>2.8420910000000004</v>
      </c>
      <c r="AI48" s="151">
        <v>2.7238644999999995</v>
      </c>
      <c r="AK48" s="457"/>
    </row>
    <row r="49" spans="2:37" s="145" customFormat="1" ht="12.75" customHeight="1">
      <c r="B49" s="144" t="s">
        <v>48</v>
      </c>
      <c r="F49" s="146"/>
      <c r="G49" s="147"/>
      <c r="I49" s="148">
        <v>1466.339021</v>
      </c>
      <c r="J49" s="148"/>
      <c r="K49" s="148"/>
      <c r="L49" s="148"/>
      <c r="M49" s="149"/>
      <c r="N49" s="148">
        <v>276.81720333333334</v>
      </c>
      <c r="O49" s="148">
        <v>12.097190000000003</v>
      </c>
      <c r="P49" s="148">
        <v>-1.6042729999999978</v>
      </c>
      <c r="Q49" s="149"/>
      <c r="R49" s="150">
        <v>303.24191502476225</v>
      </c>
      <c r="S49" s="150">
        <v>-21.178858960449599</v>
      </c>
      <c r="T49" s="150">
        <v>-20.214856706971187</v>
      </c>
      <c r="U49" s="150">
        <v>16.429675</v>
      </c>
      <c r="V49" s="150">
        <v>29.40212</v>
      </c>
      <c r="W49" s="149"/>
      <c r="X49" s="98"/>
      <c r="Y49" s="98"/>
      <c r="Z49" s="148">
        <v>291.59538750000002</v>
      </c>
      <c r="AA49" s="148">
        <v>11.674499999999995</v>
      </c>
      <c r="AB49" s="148">
        <v>16.28877</v>
      </c>
      <c r="AC49" s="149"/>
      <c r="AD49" s="150">
        <v>3703.2339030821322</v>
      </c>
      <c r="AE49" s="150">
        <v>-14.668986023952424</v>
      </c>
      <c r="AF49" s="150">
        <v>173.54573611144366</v>
      </c>
      <c r="AG49" s="62"/>
      <c r="AH49" s="151">
        <v>1.973482</v>
      </c>
      <c r="AI49" s="151">
        <v>1.9250543333333334</v>
      </c>
      <c r="AK49" s="457"/>
    </row>
    <row r="50" spans="2:37" s="145" customFormat="1" ht="12.75" customHeight="1">
      <c r="B50" s="144" t="s">
        <v>3</v>
      </c>
      <c r="F50" s="146"/>
      <c r="G50" s="147"/>
      <c r="I50" s="148">
        <v>573.22368499999993</v>
      </c>
      <c r="J50" s="148"/>
      <c r="K50" s="148"/>
      <c r="L50" s="148"/>
      <c r="M50" s="149"/>
      <c r="N50" s="148">
        <v>110.696</v>
      </c>
      <c r="O50" s="148">
        <v>-29.207000000000001</v>
      </c>
      <c r="P50" s="148">
        <v>-22.1785</v>
      </c>
      <c r="Q50" s="149"/>
      <c r="R50" s="150">
        <v>6.8454032008729655</v>
      </c>
      <c r="S50" s="150">
        <v>-34.629397651754807</v>
      </c>
      <c r="T50" s="150">
        <v>-28.618412647113836</v>
      </c>
      <c r="U50" s="150">
        <v>17.698515</v>
      </c>
      <c r="V50" s="150">
        <v>29.40212</v>
      </c>
      <c r="W50" s="149"/>
      <c r="X50" s="98"/>
      <c r="Y50" s="98"/>
      <c r="Z50" s="148">
        <v>196.505</v>
      </c>
      <c r="AA50" s="148">
        <v>11.674499999999995</v>
      </c>
      <c r="AB50" s="148">
        <v>16.28877</v>
      </c>
      <c r="AC50" s="149"/>
      <c r="AD50" s="150">
        <v>19.670461388703195</v>
      </c>
      <c r="AE50" s="150">
        <v>-14.668986023952424</v>
      </c>
      <c r="AF50" s="150">
        <v>173.54573611144366</v>
      </c>
      <c r="AG50" s="62"/>
      <c r="AH50" s="151">
        <v>0.439689</v>
      </c>
      <c r="AI50" s="151">
        <v>0.62637399999999999</v>
      </c>
      <c r="AK50" s="457"/>
    </row>
    <row r="51" spans="2:37" s="145" customFormat="1" ht="12.75" customHeight="1">
      <c r="B51" s="144" t="s">
        <v>49</v>
      </c>
      <c r="F51" s="146"/>
      <c r="G51" s="147"/>
      <c r="I51" s="148">
        <v>181.25</v>
      </c>
      <c r="J51" s="148"/>
      <c r="K51" s="148"/>
      <c r="L51" s="148"/>
      <c r="M51" s="149"/>
      <c r="N51" s="148">
        <v>28.366249999999997</v>
      </c>
      <c r="O51" s="148">
        <v>-39.768000000000001</v>
      </c>
      <c r="P51" s="148">
        <v>-38.387749999999997</v>
      </c>
      <c r="Q51" s="149"/>
      <c r="R51" s="150">
        <v>4.1417980259333689</v>
      </c>
      <c r="S51" s="150">
        <v>-39.657366543759643</v>
      </c>
      <c r="T51" s="150">
        <v>-39.185287292389127</v>
      </c>
      <c r="U51" s="150">
        <v>9.4663174999999988</v>
      </c>
      <c r="V51" s="150">
        <v>29.40212</v>
      </c>
      <c r="W51" s="149"/>
      <c r="X51" s="98"/>
      <c r="Y51" s="98"/>
      <c r="Z51" s="148">
        <v>111.71497499999998</v>
      </c>
      <c r="AA51" s="148">
        <v>-93.674300000000002</v>
      </c>
      <c r="AB51" s="148">
        <v>16.28877</v>
      </c>
      <c r="AC51" s="149"/>
      <c r="AD51" s="150">
        <v>4.7052878737131882</v>
      </c>
      <c r="AE51" s="150">
        <v>-28.359596957196636</v>
      </c>
      <c r="AF51" s="150">
        <v>173.54573611144366</v>
      </c>
      <c r="AG51" s="62"/>
      <c r="AH51" s="151">
        <v>0.33797650000000001</v>
      </c>
      <c r="AI51" s="151">
        <v>0.47690399999999999</v>
      </c>
      <c r="AK51" s="457"/>
    </row>
    <row r="52" spans="2:37" s="145" customFormat="1" ht="12.75" customHeight="1">
      <c r="B52" s="144" t="s">
        <v>47</v>
      </c>
      <c r="F52" s="146"/>
      <c r="G52" s="147"/>
      <c r="I52" s="148">
        <v>4.4507599999999998</v>
      </c>
      <c r="J52" s="148"/>
      <c r="K52" s="148"/>
      <c r="L52" s="148"/>
      <c r="M52" s="149"/>
      <c r="N52" s="148">
        <v>0.128</v>
      </c>
      <c r="O52" s="148">
        <v>-207.46899999999999</v>
      </c>
      <c r="P52" s="148">
        <v>-210.45699999999999</v>
      </c>
      <c r="Q52" s="149"/>
      <c r="R52" s="150">
        <v>3.830211868686328</v>
      </c>
      <c r="S52" s="150">
        <v>-40.338376962341357</v>
      </c>
      <c r="T52" s="150">
        <v>-40.18617901712296</v>
      </c>
      <c r="U52" s="150">
        <v>3.3157999999999999</v>
      </c>
      <c r="V52" s="150">
        <v>29.40212</v>
      </c>
      <c r="W52" s="149"/>
      <c r="X52" s="103"/>
      <c r="Y52" s="98"/>
      <c r="Z52" s="148">
        <v>0.1125</v>
      </c>
      <c r="AA52" s="148">
        <v>-199.0231</v>
      </c>
      <c r="AB52" s="148">
        <v>16.28877</v>
      </c>
      <c r="AC52" s="149"/>
      <c r="AD52" s="150">
        <v>3.6557562177901439</v>
      </c>
      <c r="AE52" s="150">
        <v>-42.050207890440852</v>
      </c>
      <c r="AF52" s="150">
        <v>173.54573611144366</v>
      </c>
      <c r="AG52" s="153"/>
      <c r="AH52" s="151">
        <v>0.236264</v>
      </c>
      <c r="AI52" s="151">
        <v>0.327434</v>
      </c>
      <c r="AK52" s="457"/>
    </row>
    <row r="53" spans="2:37" s="145" customFormat="1" ht="12.75" customHeight="1">
      <c r="B53" s="144"/>
      <c r="F53" s="146"/>
      <c r="G53" s="147"/>
      <c r="I53" s="148"/>
      <c r="J53" s="148"/>
      <c r="K53" s="148"/>
      <c r="L53" s="148"/>
      <c r="M53" s="149"/>
      <c r="N53" s="148"/>
      <c r="O53" s="148"/>
      <c r="P53" s="148"/>
      <c r="Q53" s="149"/>
      <c r="R53" s="150"/>
      <c r="S53" s="150"/>
      <c r="T53" s="150"/>
      <c r="U53" s="150"/>
      <c r="V53" s="150"/>
      <c r="W53" s="149"/>
      <c r="X53" s="385"/>
      <c r="Y53" s="385"/>
      <c r="Z53" s="148"/>
      <c r="AA53" s="148"/>
      <c r="AB53" s="148"/>
      <c r="AC53" s="149"/>
      <c r="AD53" s="150"/>
      <c r="AE53" s="150"/>
      <c r="AF53" s="150"/>
      <c r="AG53" s="385"/>
      <c r="AH53" s="151"/>
      <c r="AI53" s="151"/>
      <c r="AK53" s="457"/>
    </row>
    <row r="54" spans="2:37" s="145" customFormat="1" ht="12.75" customHeight="1">
      <c r="B54" s="144"/>
      <c r="F54" s="146"/>
      <c r="G54" s="147"/>
      <c r="I54" s="148"/>
      <c r="J54" s="148"/>
      <c r="K54" s="148"/>
      <c r="L54" s="148"/>
      <c r="M54" s="149"/>
      <c r="N54" s="148"/>
      <c r="O54" s="148"/>
      <c r="P54" s="148"/>
      <c r="Q54" s="149"/>
      <c r="R54" s="150"/>
      <c r="S54" s="150"/>
      <c r="T54" s="150"/>
      <c r="U54" s="150"/>
      <c r="V54" s="150"/>
      <c r="W54" s="149"/>
      <c r="X54" s="385"/>
      <c r="Y54" s="385"/>
      <c r="Z54" s="148"/>
      <c r="AA54" s="148"/>
      <c r="AB54" s="148"/>
      <c r="AC54" s="149"/>
      <c r="AD54" s="150"/>
      <c r="AE54" s="150"/>
      <c r="AF54" s="150"/>
      <c r="AG54" s="385"/>
      <c r="AH54" s="151"/>
      <c r="AI54" s="151"/>
      <c r="AK54" s="457"/>
    </row>
    <row r="55" spans="2:37" s="145" customFormat="1" ht="12.75" customHeight="1">
      <c r="B55" s="144" t="s">
        <v>51</v>
      </c>
      <c r="F55" s="146"/>
      <c r="G55" s="147"/>
      <c r="I55" s="148"/>
      <c r="J55" s="148"/>
      <c r="K55" s="148"/>
      <c r="L55" s="148"/>
      <c r="M55" s="149"/>
      <c r="N55" s="148"/>
      <c r="O55" s="148"/>
      <c r="P55" s="148"/>
      <c r="Q55" s="149"/>
      <c r="R55" s="150"/>
      <c r="S55" s="150"/>
      <c r="T55" s="150"/>
      <c r="U55" s="150"/>
      <c r="V55" s="150"/>
      <c r="W55" s="149"/>
      <c r="X55" s="385"/>
      <c r="Y55" s="385"/>
      <c r="Z55" s="148"/>
      <c r="AA55" s="148"/>
      <c r="AB55" s="148"/>
      <c r="AC55" s="149"/>
      <c r="AD55" s="150"/>
      <c r="AE55" s="150"/>
      <c r="AF55" s="150"/>
      <c r="AG55" s="385"/>
      <c r="AH55" s="151"/>
      <c r="AI55" s="151"/>
      <c r="AK55" s="457"/>
    </row>
    <row r="56" spans="2:37" s="145" customFormat="1" ht="12.75" customHeight="1">
      <c r="B56" s="144"/>
      <c r="F56" s="146"/>
      <c r="G56" s="147"/>
      <c r="I56" s="148"/>
      <c r="J56" s="148"/>
      <c r="K56" s="148"/>
      <c r="L56" s="148"/>
      <c r="M56" s="149"/>
      <c r="N56" s="148"/>
      <c r="O56" s="148"/>
      <c r="P56" s="148"/>
      <c r="Q56" s="149"/>
      <c r="R56" s="150"/>
      <c r="S56" s="150"/>
      <c r="T56" s="150"/>
      <c r="U56" s="150"/>
      <c r="V56" s="150"/>
      <c r="W56" s="149"/>
      <c r="X56" s="385"/>
      <c r="Y56" s="385"/>
      <c r="Z56" s="148"/>
      <c r="AA56" s="148"/>
      <c r="AB56" s="148"/>
      <c r="AC56" s="149"/>
      <c r="AD56" s="150"/>
      <c r="AE56" s="150"/>
      <c r="AF56" s="150"/>
      <c r="AG56" s="385"/>
      <c r="AH56" s="151"/>
      <c r="AI56" s="151"/>
      <c r="AK56" s="457"/>
    </row>
    <row r="57" spans="2:37" s="145" customFormat="1" ht="12.75" customHeight="1">
      <c r="B57" s="144"/>
      <c r="F57" s="146"/>
      <c r="G57" s="147"/>
      <c r="I57" s="148"/>
      <c r="J57" s="148"/>
      <c r="K57" s="148"/>
      <c r="L57" s="148"/>
      <c r="M57" s="149"/>
      <c r="N57" s="148"/>
      <c r="O57" s="148"/>
      <c r="P57" s="148"/>
      <c r="Q57" s="149"/>
      <c r="R57" s="150"/>
      <c r="S57" s="150"/>
      <c r="T57" s="150"/>
      <c r="U57" s="150"/>
      <c r="V57" s="150"/>
      <c r="W57" s="149"/>
      <c r="X57" s="385"/>
      <c r="Y57" s="385"/>
      <c r="Z57" s="148"/>
      <c r="AA57" s="148"/>
      <c r="AB57" s="148"/>
      <c r="AC57" s="149"/>
      <c r="AD57" s="150"/>
      <c r="AE57" s="150"/>
      <c r="AF57" s="150"/>
      <c r="AG57" s="385"/>
      <c r="AH57" s="151"/>
      <c r="AI57" s="151"/>
      <c r="AK57" s="457"/>
    </row>
    <row r="58" spans="2:37" s="145" customFormat="1" ht="12.75" customHeight="1">
      <c r="B58" s="144"/>
      <c r="F58" s="146"/>
      <c r="G58" s="147"/>
      <c r="I58" s="148"/>
      <c r="J58" s="148"/>
      <c r="K58" s="148"/>
      <c r="L58" s="148"/>
      <c r="M58" s="149"/>
      <c r="N58" s="148"/>
      <c r="O58" s="148"/>
      <c r="P58" s="148"/>
      <c r="Q58" s="149"/>
      <c r="R58" s="150"/>
      <c r="S58" s="150"/>
      <c r="T58" s="150"/>
      <c r="U58" s="150"/>
      <c r="V58" s="150"/>
      <c r="W58" s="149"/>
      <c r="X58"/>
      <c r="Y58"/>
      <c r="Z58" s="148"/>
      <c r="AA58" s="148"/>
      <c r="AB58" s="148"/>
      <c r="AC58" s="149"/>
      <c r="AD58" s="150"/>
      <c r="AE58" s="150"/>
      <c r="AF58" s="150"/>
      <c r="AG58"/>
      <c r="AH58" s="151"/>
      <c r="AI58" s="151"/>
      <c r="AK58" s="457"/>
    </row>
    <row r="59" spans="2:37" ht="12.75" customHeight="1"/>
    <row r="60" spans="2:37" ht="12.75" customHeight="1"/>
    <row r="61" spans="2:37" ht="12.75" customHeight="1">
      <c r="B61" s="69"/>
      <c r="C61" s="152"/>
      <c r="D61" s="152"/>
      <c r="E61" s="64"/>
      <c r="F61" s="152"/>
      <c r="G61" s="152"/>
      <c r="H61" s="152"/>
      <c r="I61" s="125"/>
      <c r="J61" s="988"/>
      <c r="K61" s="988"/>
      <c r="L61" s="280"/>
      <c r="M61" s="152"/>
      <c r="N61" s="125"/>
      <c r="O61" s="125"/>
      <c r="P61" s="125"/>
      <c r="Q61" s="398"/>
      <c r="R61" s="96"/>
      <c r="S61" s="96"/>
      <c r="T61" s="96"/>
      <c r="U61" s="96"/>
      <c r="V61" s="96"/>
      <c r="W61" s="152"/>
      <c r="Z61" s="125"/>
      <c r="AA61" s="125"/>
      <c r="AB61" s="125"/>
      <c r="AC61" s="152"/>
      <c r="AD61" s="96"/>
      <c r="AE61" s="96"/>
      <c r="AF61" s="96"/>
      <c r="AH61" s="137"/>
      <c r="AI61" s="138"/>
    </row>
    <row r="62" spans="2:37" ht="12.75" customHeight="1">
      <c r="B62" s="97"/>
      <c r="C62" s="62"/>
      <c r="D62" s="62"/>
      <c r="E62" s="62"/>
      <c r="F62" s="62"/>
      <c r="G62" s="62"/>
      <c r="H62" s="62"/>
      <c r="I62" s="99"/>
      <c r="J62" s="99"/>
      <c r="K62" s="99"/>
      <c r="L62" s="99"/>
      <c r="M62" s="62"/>
      <c r="N62" s="99"/>
      <c r="O62" s="99"/>
      <c r="P62" s="99"/>
      <c r="Q62" s="67"/>
      <c r="R62" s="98"/>
      <c r="S62" s="98"/>
      <c r="T62" s="98"/>
      <c r="U62" s="98"/>
      <c r="V62" s="98"/>
      <c r="W62" s="62"/>
      <c r="Z62" s="99"/>
      <c r="AA62" s="99"/>
      <c r="AB62" s="99"/>
      <c r="AC62" s="62"/>
      <c r="AD62" s="98"/>
      <c r="AE62" s="98"/>
      <c r="AF62" s="98"/>
      <c r="AH62" s="139"/>
      <c r="AI62" s="140"/>
    </row>
    <row r="63" spans="2:37" ht="12.75" customHeight="1">
      <c r="B63" s="97"/>
      <c r="C63" s="62"/>
      <c r="D63" s="62"/>
      <c r="E63" s="62"/>
      <c r="F63" s="62"/>
      <c r="G63" s="62"/>
      <c r="H63" s="62"/>
      <c r="I63" s="99"/>
      <c r="J63" s="99"/>
      <c r="K63" s="99"/>
      <c r="L63" s="99"/>
      <c r="M63" s="62"/>
      <c r="N63" s="99"/>
      <c r="O63" s="99"/>
      <c r="P63" s="99"/>
      <c r="Q63" s="67"/>
      <c r="R63" s="98"/>
      <c r="S63" s="98"/>
      <c r="T63" s="98"/>
      <c r="U63" s="98"/>
      <c r="V63" s="98"/>
      <c r="W63" s="62"/>
      <c r="Z63" s="99"/>
      <c r="AA63" s="99"/>
      <c r="AB63" s="99"/>
      <c r="AC63" s="62"/>
      <c r="AD63" s="98"/>
      <c r="AE63" s="98"/>
      <c r="AF63" s="98"/>
      <c r="AH63" s="139"/>
      <c r="AI63" s="140"/>
    </row>
    <row r="64" spans="2:37" ht="12.75" customHeight="1">
      <c r="B64" s="97"/>
      <c r="C64" s="62"/>
      <c r="D64" s="62"/>
      <c r="E64" s="62"/>
      <c r="F64" s="62"/>
      <c r="G64" s="62"/>
      <c r="H64" s="62"/>
      <c r="I64" s="99"/>
      <c r="J64" s="99"/>
      <c r="K64" s="99"/>
      <c r="L64" s="99"/>
      <c r="M64" s="62"/>
      <c r="N64" s="99"/>
      <c r="O64" s="99"/>
      <c r="P64" s="99"/>
      <c r="Q64" s="67"/>
      <c r="R64" s="98"/>
      <c r="S64" s="98"/>
      <c r="T64" s="98"/>
      <c r="U64" s="98"/>
      <c r="V64" s="98"/>
      <c r="W64" s="62"/>
      <c r="Z64" s="99"/>
      <c r="AA64" s="99"/>
      <c r="AB64" s="99"/>
      <c r="AC64" s="62"/>
      <c r="AD64" s="98"/>
      <c r="AE64" s="98"/>
      <c r="AF64" s="98"/>
      <c r="AH64" s="139"/>
      <c r="AI64" s="140"/>
    </row>
    <row r="65" spans="2:35" ht="12.75" customHeight="1">
      <c r="B65" s="97"/>
      <c r="C65" s="62"/>
      <c r="D65" s="62"/>
      <c r="E65" s="62"/>
      <c r="F65" s="62"/>
      <c r="G65" s="62"/>
      <c r="H65" s="62"/>
      <c r="I65" s="99"/>
      <c r="J65" s="99"/>
      <c r="K65" s="99"/>
      <c r="L65" s="99"/>
      <c r="M65" s="62"/>
      <c r="N65" s="99"/>
      <c r="O65" s="99"/>
      <c r="P65" s="99"/>
      <c r="Q65" s="67"/>
      <c r="R65" s="98"/>
      <c r="S65" s="98"/>
      <c r="T65" s="98"/>
      <c r="U65" s="98"/>
      <c r="V65" s="98"/>
      <c r="W65" s="62"/>
      <c r="Z65" s="99"/>
      <c r="AA65" s="99"/>
      <c r="AB65" s="99"/>
      <c r="AC65" s="62"/>
      <c r="AD65" s="98"/>
      <c r="AE65" s="98"/>
      <c r="AF65" s="98"/>
      <c r="AH65" s="139"/>
      <c r="AI65" s="140"/>
    </row>
    <row r="66" spans="2:35" ht="12.75" customHeight="1">
      <c r="B66" s="101"/>
      <c r="C66" s="153"/>
      <c r="D66" s="153"/>
      <c r="E66" s="153"/>
      <c r="F66" s="153"/>
      <c r="G66" s="153"/>
      <c r="H66" s="153"/>
      <c r="I66" s="71"/>
      <c r="J66" s="71"/>
      <c r="K66" s="71"/>
      <c r="L66" s="71"/>
      <c r="M66" s="153"/>
      <c r="N66" s="71"/>
      <c r="O66" s="71"/>
      <c r="P66" s="71"/>
      <c r="Q66" s="399"/>
      <c r="R66" s="103"/>
      <c r="S66" s="103"/>
      <c r="T66" s="103"/>
      <c r="U66" s="103"/>
      <c r="V66" s="103"/>
      <c r="W66" s="153"/>
      <c r="Z66" s="71"/>
      <c r="AA66" s="71"/>
      <c r="AB66" s="71"/>
      <c r="AC66" s="153"/>
      <c r="AD66" s="103"/>
      <c r="AE66" s="103"/>
      <c r="AF66" s="103"/>
      <c r="AH66" s="141"/>
      <c r="AI66" s="142"/>
    </row>
    <row r="67" spans="2:35" ht="12.75" customHeight="1"/>
    <row r="68" spans="2:35" ht="12.75" customHeight="1"/>
    <row r="69" spans="2:35" ht="12.75" customHeight="1">
      <c r="B69" s="8"/>
    </row>
    <row r="70" spans="2:35" ht="12.75" customHeight="1"/>
    <row r="71" spans="2:35" ht="12.75" customHeight="1"/>
  </sheetData>
  <mergeCells count="1">
    <mergeCell ref="X7:X8"/>
  </mergeCells>
  <conditionalFormatting sqref="AI4 AG4 X4:Y4">
    <cfRule type="cellIs" dxfId="81" priority="3" stopIfTrue="1" operator="equal">
      <formula>"input"</formula>
    </cfRule>
  </conditionalFormatting>
  <conditionalFormatting sqref="R4">
    <cfRule type="cellIs" dxfId="80" priority="7" stopIfTrue="1" operator="equal">
      <formula>"input"</formula>
    </cfRule>
  </conditionalFormatting>
  <conditionalFormatting sqref="B4:M4">
    <cfRule type="cellIs" dxfId="79" priority="13" stopIfTrue="1" operator="equal">
      <formula>"input"</formula>
    </cfRule>
  </conditionalFormatting>
  <conditionalFormatting sqref="N4">
    <cfRule type="cellIs" dxfId="78" priority="11" stopIfTrue="1" operator="equal">
      <formula>"input"</formula>
    </cfRule>
  </conditionalFormatting>
  <conditionalFormatting sqref="N4">
    <cfRule type="cellIs" dxfId="77" priority="12" stopIfTrue="1" operator="equal">
      <formula>"input"</formula>
    </cfRule>
  </conditionalFormatting>
  <conditionalFormatting sqref="O4:Q4">
    <cfRule type="cellIs" dxfId="76" priority="9" stopIfTrue="1" operator="equal">
      <formula>"input"</formula>
    </cfRule>
  </conditionalFormatting>
  <conditionalFormatting sqref="O4:Q4">
    <cfRule type="cellIs" dxfId="75" priority="10" stopIfTrue="1" operator="equal">
      <formula>"input"</formula>
    </cfRule>
  </conditionalFormatting>
  <conditionalFormatting sqref="R4">
    <cfRule type="cellIs" dxfId="74" priority="8" stopIfTrue="1" operator="equal">
      <formula>"input"</formula>
    </cfRule>
  </conditionalFormatting>
  <conditionalFormatting sqref="S4:AF4 AH4">
    <cfRule type="cellIs" dxfId="73" priority="5" stopIfTrue="1" operator="equal">
      <formula>"input"</formula>
    </cfRule>
  </conditionalFormatting>
  <conditionalFormatting sqref="S4:AF4 AH4">
    <cfRule type="cellIs" dxfId="72" priority="6" stopIfTrue="1" operator="equal">
      <formula>"input"</formula>
    </cfRule>
  </conditionalFormatting>
  <conditionalFormatting sqref="AI4">
    <cfRule type="cellIs" dxfId="71" priority="4"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H74"/>
  <sheetViews>
    <sheetView showGridLines="0" view="pageBreakPreview" topLeftCell="H13" zoomScaleNormal="100" zoomScaleSheetLayoutView="100" workbookViewId="0">
      <selection activeCell="T14" sqref="T13:T42"/>
    </sheetView>
  </sheetViews>
  <sheetFormatPr defaultRowHeight="11.25" outlineLevelCol="1"/>
  <cols>
    <col min="1" max="1" width="40.1640625" style="469" bestFit="1" customWidth="1"/>
    <col min="2" max="2" width="14.83203125" style="469" bestFit="1" customWidth="1"/>
    <col min="3" max="3" width="25.1640625" style="467" bestFit="1" customWidth="1"/>
    <col min="4" max="4" width="19" style="467" bestFit="1" customWidth="1"/>
    <col min="5" max="9" width="17.83203125" style="467" customWidth="1"/>
    <col min="10" max="10" width="15.33203125" style="467" customWidth="1"/>
    <col min="11" max="11" width="14" style="467" customWidth="1"/>
    <col min="12" max="12" width="15.6640625" style="467" bestFit="1" customWidth="1"/>
    <col min="13" max="13" width="16.1640625" style="467" customWidth="1"/>
    <col min="14" max="16" width="14.83203125" style="467" bestFit="1" customWidth="1"/>
    <col min="17" max="18" width="14.83203125" style="467" customWidth="1"/>
    <col min="19" max="23" width="14.83203125" style="467" bestFit="1" customWidth="1"/>
    <col min="24" max="24" width="14.83203125" style="467" customWidth="1"/>
    <col min="25" max="29" width="14.83203125" style="467" bestFit="1" customWidth="1"/>
    <col min="30" max="30" width="17" style="467" bestFit="1" customWidth="1"/>
    <col min="31" max="31" width="14.83203125" style="467" bestFit="1" customWidth="1"/>
    <col min="32" max="32" width="19.1640625" style="467" customWidth="1"/>
    <col min="33" max="33" width="19.5" style="467" customWidth="1"/>
    <col min="34" max="34" width="21.1640625" style="467" customWidth="1"/>
    <col min="35" max="35" width="19" style="467" bestFit="1" customWidth="1"/>
    <col min="36" max="36" width="12.83203125" style="467" customWidth="1"/>
    <col min="37" max="37" width="15.33203125" style="467" customWidth="1"/>
    <col min="38" max="38" width="13.1640625" style="467" customWidth="1"/>
    <col min="39" max="39" width="18.5" style="467" bestFit="1" customWidth="1"/>
    <col min="40" max="40" width="14.83203125" style="467" bestFit="1" customWidth="1"/>
    <col min="41" max="42" width="14.83203125" style="467" customWidth="1"/>
    <col min="43" max="43" width="14.83203125" style="466" customWidth="1"/>
    <col min="44" max="44" width="14.83203125" style="467" customWidth="1"/>
    <col min="45" max="45" width="11.1640625" style="466" customWidth="1"/>
    <col min="46" max="46" width="14.83203125" style="467" bestFit="1" customWidth="1"/>
    <col min="47" max="50" width="14.83203125" style="466" customWidth="1"/>
    <col min="51" max="51" width="16" style="466" customWidth="1"/>
    <col min="52" max="54" width="14.83203125" style="466" customWidth="1"/>
    <col min="55" max="55" width="14.83203125" style="467" customWidth="1"/>
    <col min="56" max="69" width="14.83203125" style="466" customWidth="1"/>
    <col min="70" max="70" width="17" style="466" customWidth="1" outlineLevel="1"/>
    <col min="71" max="78" width="9.33203125" style="466"/>
    <col min="79" max="82" width="9.33203125" style="465"/>
    <col min="83" max="83" width="9.33203125" style="523"/>
    <col min="84" max="16384" width="9.33203125" style="465"/>
  </cols>
  <sheetData>
    <row r="1" spans="1:86" s="462" customFormat="1">
      <c r="A1" s="469" t="s">
        <v>531</v>
      </c>
      <c r="B1" s="505">
        <f>'MASTER PubCo Inputs'!C6</f>
        <v>43312</v>
      </c>
      <c r="C1" s="467"/>
      <c r="D1" s="467"/>
      <c r="E1" s="467"/>
      <c r="F1" s="467"/>
      <c r="G1" s="467"/>
      <c r="H1" s="467"/>
      <c r="I1" s="467"/>
      <c r="J1" s="467"/>
      <c r="K1" s="467"/>
      <c r="L1" s="467"/>
      <c r="M1" s="467"/>
      <c r="N1" s="467"/>
      <c r="O1" s="467"/>
      <c r="P1" s="467"/>
      <c r="Q1" s="467"/>
      <c r="R1" s="467"/>
      <c r="S1" s="467"/>
      <c r="T1" s="467"/>
      <c r="U1" s="467"/>
      <c r="V1" s="467"/>
      <c r="W1" s="467"/>
      <c r="X1" s="467"/>
      <c r="Y1" s="467"/>
      <c r="Z1" s="467"/>
      <c r="AA1" s="467"/>
      <c r="AB1" s="467"/>
      <c r="AC1" s="467"/>
      <c r="AD1" s="467"/>
      <c r="AE1" s="467"/>
      <c r="AF1" s="467"/>
      <c r="AG1" s="467"/>
      <c r="AH1" s="467"/>
      <c r="AI1" s="467"/>
      <c r="AJ1" s="467"/>
      <c r="AK1" s="467"/>
      <c r="AL1" s="467"/>
      <c r="AM1" s="467"/>
      <c r="AN1" s="467"/>
      <c r="AO1" s="467"/>
      <c r="AP1" s="467"/>
      <c r="AQ1" s="463"/>
      <c r="AR1" s="467"/>
      <c r="AS1" s="464"/>
      <c r="AT1" s="467"/>
      <c r="AU1" s="463"/>
      <c r="AV1" s="463"/>
      <c r="AW1" s="463"/>
      <c r="AX1" s="463"/>
      <c r="AY1" s="463"/>
      <c r="AZ1" s="463"/>
      <c r="BA1" s="463"/>
      <c r="BB1" s="463"/>
      <c r="BC1" s="463"/>
      <c r="BD1" s="463"/>
      <c r="BE1" s="463"/>
      <c r="BF1" s="463"/>
      <c r="BG1" s="463"/>
      <c r="BH1" s="463"/>
      <c r="BI1" s="463"/>
      <c r="BJ1" s="463"/>
      <c r="BK1" s="463"/>
      <c r="BL1" s="463"/>
      <c r="BM1" s="463"/>
      <c r="BN1" s="463"/>
      <c r="BO1" s="463"/>
      <c r="BP1" s="463"/>
      <c r="BQ1" s="463"/>
      <c r="BR1" s="463"/>
      <c r="BS1" s="463"/>
      <c r="BT1" s="463"/>
      <c r="BU1" s="463"/>
      <c r="BV1" s="463"/>
      <c r="BW1" s="463"/>
      <c r="BX1" s="463"/>
      <c r="BY1" s="463"/>
      <c r="BZ1" s="463"/>
    </row>
    <row r="2" spans="1:86" s="462" customFormat="1">
      <c r="A2" s="469" t="s">
        <v>532</v>
      </c>
      <c r="B2" s="505" t="str">
        <f>'Capital IQ Sheet-GPC'!B2</f>
        <v>CY2016</v>
      </c>
      <c r="C2" s="467"/>
      <c r="D2" s="467"/>
      <c r="E2" s="467"/>
      <c r="F2" s="467"/>
      <c r="G2" s="467"/>
      <c r="H2" s="467"/>
      <c r="I2" s="467"/>
      <c r="J2" s="467"/>
      <c r="K2" s="605" t="s">
        <v>22</v>
      </c>
      <c r="L2" s="606">
        <f>B1</f>
        <v>43312</v>
      </c>
      <c r="M2" s="467"/>
      <c r="N2" s="467"/>
      <c r="O2" s="467"/>
      <c r="P2" s="467"/>
      <c r="Q2" s="467"/>
      <c r="R2" s="467"/>
      <c r="S2" s="467"/>
      <c r="T2" s="467"/>
      <c r="U2" s="467"/>
      <c r="V2" s="467"/>
      <c r="W2" s="467"/>
      <c r="X2" s="467"/>
      <c r="Y2" s="467"/>
      <c r="Z2" s="467"/>
      <c r="AA2" s="467"/>
      <c r="AB2" s="467"/>
      <c r="AC2" s="467"/>
      <c r="AD2" s="467"/>
      <c r="AE2" s="467"/>
      <c r="AF2" s="467"/>
      <c r="AG2" s="467"/>
      <c r="AH2" s="467"/>
      <c r="AI2" s="467"/>
      <c r="AJ2" s="467"/>
      <c r="AK2" s="467"/>
      <c r="AL2" s="467"/>
      <c r="AM2" s="467"/>
      <c r="AN2" s="467"/>
      <c r="AO2" s="467"/>
      <c r="AP2" s="467"/>
      <c r="AQ2" s="463"/>
      <c r="AR2" s="467"/>
      <c r="AS2" s="464"/>
      <c r="AT2" s="467"/>
      <c r="AU2" s="463"/>
      <c r="AV2" s="463"/>
      <c r="AW2" s="463"/>
      <c r="AX2" s="463"/>
      <c r="AY2" s="463"/>
      <c r="AZ2" s="463"/>
      <c r="BA2" s="463"/>
      <c r="BB2" s="463"/>
      <c r="BC2" s="463"/>
      <c r="BD2" s="463"/>
      <c r="BE2" s="463"/>
      <c r="BF2" s="463"/>
      <c r="BG2" s="463"/>
      <c r="BH2" s="463"/>
      <c r="BI2" s="463"/>
      <c r="BJ2" s="463"/>
      <c r="BK2" s="463"/>
      <c r="BL2" s="463"/>
      <c r="BM2" s="463"/>
      <c r="BN2" s="463"/>
      <c r="BO2" s="463"/>
      <c r="BP2" s="463"/>
      <c r="BQ2" s="463"/>
      <c r="BR2" s="463"/>
      <c r="BS2" s="463"/>
      <c r="BT2" s="463"/>
      <c r="BU2" s="463"/>
      <c r="BV2" s="463"/>
      <c r="BW2" s="463"/>
      <c r="BX2" s="463"/>
      <c r="BY2" s="463"/>
      <c r="BZ2" s="463"/>
    </row>
    <row r="3" spans="1:86" s="462" customFormat="1">
      <c r="A3" s="469" t="s">
        <v>533</v>
      </c>
      <c r="B3" s="505" t="str">
        <f>'Capital IQ Sheet-GPC'!B3</f>
        <v>CY2017</v>
      </c>
      <c r="C3" s="467"/>
      <c r="D3" s="467"/>
      <c r="E3" s="467"/>
      <c r="F3" s="467"/>
      <c r="G3" s="467"/>
      <c r="H3" s="467"/>
      <c r="I3" s="467"/>
      <c r="J3" s="467"/>
      <c r="K3" s="509" t="s">
        <v>299</v>
      </c>
      <c r="L3" s="510" t="str">
        <f>'Capital IQ Sheet-GPC'!L3</f>
        <v>F</v>
      </c>
      <c r="M3" s="467"/>
      <c r="N3" s="467"/>
      <c r="O3" s="467"/>
      <c r="P3" s="467"/>
      <c r="Q3" s="467"/>
      <c r="R3" s="467"/>
      <c r="S3" s="467"/>
      <c r="T3" s="467"/>
      <c r="U3" s="467"/>
      <c r="V3" s="467"/>
      <c r="W3" s="467"/>
      <c r="X3" s="467"/>
      <c r="Y3" s="467"/>
      <c r="Z3" s="467"/>
      <c r="AA3" s="467"/>
      <c r="AB3" s="467"/>
      <c r="AC3" s="467"/>
      <c r="AD3" s="467"/>
      <c r="AE3" s="467"/>
      <c r="AF3" s="467"/>
      <c r="AG3" s="467"/>
      <c r="AH3" s="467"/>
      <c r="AI3" s="467"/>
      <c r="AJ3" s="467"/>
      <c r="AK3" s="467"/>
      <c r="AL3" s="467"/>
      <c r="AM3" s="467"/>
      <c r="AN3" s="467"/>
      <c r="AO3" s="467"/>
      <c r="AP3" s="467"/>
      <c r="AQ3" s="463"/>
      <c r="AR3" s="467"/>
      <c r="AS3" s="464"/>
      <c r="AT3" s="467"/>
      <c r="AU3" s="463"/>
      <c r="AV3" s="463"/>
      <c r="AW3" s="463"/>
      <c r="AX3" s="463"/>
      <c r="AY3" s="463"/>
      <c r="AZ3" s="463"/>
      <c r="BA3" s="463"/>
      <c r="BB3" s="463"/>
      <c r="BC3" s="463"/>
      <c r="BD3" s="463"/>
      <c r="BE3" s="463"/>
      <c r="BF3" s="463"/>
      <c r="BG3" s="463"/>
      <c r="BH3" s="463"/>
      <c r="BI3" s="463"/>
      <c r="BJ3" s="463"/>
      <c r="BK3" s="463"/>
      <c r="BL3" s="463"/>
      <c r="BM3" s="463"/>
      <c r="BN3" s="463"/>
      <c r="BO3" s="463"/>
      <c r="BP3" s="463"/>
      <c r="BQ3" s="463"/>
      <c r="BR3" s="463"/>
      <c r="BS3" s="463"/>
      <c r="BT3" s="463"/>
      <c r="BU3" s="463"/>
      <c r="BV3" s="463"/>
      <c r="BW3" s="463"/>
      <c r="BX3" s="463"/>
      <c r="BY3" s="463"/>
      <c r="BZ3" s="463"/>
    </row>
    <row r="4" spans="1:86" s="462" customFormat="1">
      <c r="A4" s="469" t="s">
        <v>534</v>
      </c>
      <c r="B4" s="505" t="str">
        <f>'Capital IQ Sheet-GPC'!B4</f>
        <v>CY2018</v>
      </c>
      <c r="C4" s="467"/>
      <c r="D4" s="467"/>
      <c r="E4" s="467"/>
      <c r="F4" s="467"/>
      <c r="G4" s="467"/>
      <c r="H4" s="467"/>
      <c r="I4" s="467"/>
      <c r="J4" s="467"/>
      <c r="K4" s="509" t="s">
        <v>610</v>
      </c>
      <c r="L4" s="510" t="str">
        <f>'Capital IQ Sheet-GPC'!L4</f>
        <v>LFR</v>
      </c>
      <c r="M4" s="467"/>
      <c r="N4" s="467"/>
      <c r="O4" s="467"/>
      <c r="P4" s="467"/>
      <c r="Q4" s="467"/>
      <c r="R4" s="467"/>
      <c r="S4" s="467"/>
      <c r="T4" s="467"/>
      <c r="U4" s="467"/>
      <c r="V4" s="467"/>
      <c r="W4" s="467"/>
      <c r="X4" s="467"/>
      <c r="Y4" s="467"/>
      <c r="Z4" s="467"/>
      <c r="AA4" s="467"/>
      <c r="AB4" s="467"/>
      <c r="AC4" s="467"/>
      <c r="AD4" s="467"/>
      <c r="AE4" s="467"/>
      <c r="AF4" s="467"/>
      <c r="AG4" s="467"/>
      <c r="AH4" s="467"/>
      <c r="AI4" s="467"/>
      <c r="AJ4" s="467"/>
      <c r="AK4" s="467"/>
      <c r="AL4" s="467"/>
      <c r="AM4" s="467"/>
      <c r="AN4" s="467"/>
      <c r="AO4" s="467"/>
      <c r="AP4" s="467"/>
      <c r="AQ4" s="463"/>
      <c r="AR4" s="467"/>
      <c r="AS4" s="463"/>
      <c r="AT4" s="467"/>
      <c r="AU4" s="463"/>
      <c r="AV4" s="463"/>
      <c r="AW4" s="463"/>
      <c r="AX4" s="463"/>
      <c r="AY4" s="463"/>
      <c r="AZ4" s="463"/>
      <c r="BA4" s="463"/>
      <c r="BB4" s="463"/>
      <c r="BC4" s="463"/>
      <c r="BD4" s="463"/>
      <c r="BE4" s="463"/>
      <c r="BF4" s="463"/>
      <c r="BG4" s="463"/>
      <c r="BH4" s="463"/>
      <c r="BI4" s="463"/>
      <c r="BJ4" s="463"/>
      <c r="BK4" s="463"/>
      <c r="BL4" s="463"/>
      <c r="BM4" s="463"/>
      <c r="BN4" s="463"/>
      <c r="BO4" s="463"/>
      <c r="BP4" s="463"/>
      <c r="BQ4" s="463"/>
      <c r="BR4" s="463"/>
      <c r="BS4" s="463"/>
      <c r="BT4" s="463"/>
      <c r="BU4" s="463"/>
      <c r="BV4" s="463"/>
      <c r="BW4" s="463"/>
      <c r="BX4" s="463"/>
      <c r="BY4" s="463"/>
      <c r="BZ4" s="463"/>
    </row>
    <row r="5" spans="1:86" s="462" customFormat="1">
      <c r="A5" s="469" t="s">
        <v>535</v>
      </c>
      <c r="B5" s="505" t="str">
        <f>'Capital IQ Sheet-GPC'!B5</f>
        <v>CY2019</v>
      </c>
      <c r="C5" s="467"/>
      <c r="D5" s="467"/>
      <c r="E5" s="467"/>
      <c r="F5" s="467"/>
      <c r="G5" s="467"/>
      <c r="H5" s="467"/>
      <c r="I5" s="467"/>
      <c r="J5" s="467"/>
      <c r="K5" s="509" t="s">
        <v>300</v>
      </c>
      <c r="L5" s="510" t="str">
        <f>'Capital IQ Sheet-GPC'!L5</f>
        <v>USD</v>
      </c>
      <c r="M5" s="467"/>
      <c r="N5" s="467"/>
      <c r="O5" s="467"/>
      <c r="P5" s="467"/>
      <c r="Q5" s="467"/>
      <c r="R5" s="467"/>
      <c r="S5" s="467"/>
      <c r="T5" s="467"/>
      <c r="U5" s="467"/>
      <c r="V5" s="467"/>
      <c r="W5" s="467"/>
      <c r="X5" s="467"/>
      <c r="Y5" s="467"/>
      <c r="Z5" s="467"/>
      <c r="AA5" s="467"/>
      <c r="AB5" s="467"/>
      <c r="AC5" s="467"/>
      <c r="AD5" s="467"/>
      <c r="AE5" s="467"/>
      <c r="AF5" s="467"/>
      <c r="AG5" s="467"/>
      <c r="AH5" s="467"/>
      <c r="AI5" s="467"/>
      <c r="AJ5" s="467"/>
      <c r="AK5" s="467"/>
      <c r="AL5" s="467"/>
      <c r="AM5" s="467"/>
      <c r="AN5" s="467"/>
      <c r="AO5" s="467"/>
      <c r="AP5" s="467"/>
      <c r="AQ5" s="463"/>
      <c r="AR5" s="467"/>
      <c r="AS5" s="463"/>
      <c r="AT5" s="467"/>
      <c r="AU5" s="463"/>
      <c r="AV5" s="463"/>
      <c r="AW5" s="463"/>
      <c r="AX5" s="463"/>
      <c r="AY5" s="463"/>
      <c r="AZ5" s="463"/>
      <c r="BA5" s="463"/>
      <c r="BB5" s="463"/>
      <c r="BC5" s="463"/>
      <c r="BD5" s="463"/>
      <c r="BE5" s="463"/>
      <c r="BF5" s="463"/>
      <c r="BG5" s="463"/>
      <c r="BH5" s="463"/>
      <c r="BI5" s="463"/>
      <c r="BJ5" s="463"/>
      <c r="BK5" s="463"/>
      <c r="BL5" s="463"/>
      <c r="BM5" s="463"/>
      <c r="BN5" s="463"/>
      <c r="BO5" s="463"/>
      <c r="BP5" s="463"/>
      <c r="BQ5" s="463"/>
      <c r="BR5" s="463"/>
      <c r="BS5" s="463"/>
      <c r="BT5" s="463"/>
      <c r="BU5" s="463"/>
      <c r="BV5" s="463"/>
      <c r="BW5" s="463"/>
      <c r="BX5" s="463"/>
      <c r="BY5" s="463"/>
      <c r="BZ5" s="463"/>
    </row>
    <row r="6" spans="1:86" s="462" customFormat="1">
      <c r="A6" s="469" t="s">
        <v>536</v>
      </c>
      <c r="B6" s="505" t="str">
        <f>'Capital IQ Sheet-GPC'!B6</f>
        <v>CY2020</v>
      </c>
      <c r="C6" s="467"/>
      <c r="D6" s="467"/>
      <c r="E6" s="467"/>
      <c r="F6" s="467"/>
      <c r="G6" s="467"/>
      <c r="H6" s="467"/>
      <c r="I6" s="467"/>
      <c r="J6" s="467"/>
      <c r="K6" s="511" t="s">
        <v>24</v>
      </c>
      <c r="L6" s="512" t="str">
        <f>'Capital IQ Sheet-GPC'!L6</f>
        <v>H</v>
      </c>
      <c r="M6" s="467"/>
      <c r="N6" s="467"/>
      <c r="O6" s="467"/>
      <c r="P6" s="467"/>
      <c r="Q6" s="467"/>
      <c r="R6" s="467"/>
      <c r="S6" s="467"/>
      <c r="T6" s="467"/>
      <c r="U6" s="467"/>
      <c r="V6" s="467"/>
      <c r="W6" s="467"/>
      <c r="X6" s="467"/>
      <c r="Y6" s="467"/>
      <c r="Z6" s="467"/>
      <c r="AA6" s="467"/>
      <c r="AB6" s="467"/>
      <c r="AC6" s="467"/>
      <c r="AD6" s="467"/>
      <c r="AE6" s="513"/>
      <c r="AF6" s="467"/>
      <c r="AG6" s="467"/>
      <c r="AH6" s="467"/>
      <c r="AI6" s="467"/>
      <c r="AJ6" s="467"/>
      <c r="AK6" s="467"/>
      <c r="AL6" s="467"/>
      <c r="AM6" s="467"/>
      <c r="AN6" s="467"/>
      <c r="AO6" s="467"/>
      <c r="AP6" s="467"/>
      <c r="AQ6" s="463"/>
      <c r="AR6" s="467"/>
      <c r="AS6" s="463"/>
      <c r="AT6" s="467"/>
      <c r="AU6" s="463"/>
      <c r="AV6" s="463"/>
      <c r="AW6" s="463"/>
      <c r="AX6" s="463"/>
      <c r="AY6" s="463"/>
      <c r="AZ6" s="463"/>
      <c r="BA6" s="463"/>
      <c r="BB6" s="463"/>
      <c r="BC6" s="463"/>
      <c r="BD6" s="463"/>
      <c r="BE6" s="463"/>
      <c r="BF6" s="463"/>
      <c r="BG6" s="463"/>
      <c r="BH6" s="463"/>
      <c r="BI6" s="463"/>
      <c r="BJ6" s="463"/>
      <c r="BK6" s="463"/>
      <c r="BL6" s="463"/>
      <c r="BM6" s="463"/>
      <c r="BN6" s="463"/>
      <c r="BO6" s="463"/>
      <c r="BP6" s="463"/>
      <c r="BQ6" s="463"/>
      <c r="BR6" s="463"/>
      <c r="BS6" s="463"/>
      <c r="BT6" s="463"/>
      <c r="BU6" s="463"/>
      <c r="BV6" s="463"/>
      <c r="BW6" s="463"/>
      <c r="BX6" s="463"/>
      <c r="BY6" s="463"/>
      <c r="BZ6" s="463"/>
    </row>
    <row r="7" spans="1:86" s="462" customFormat="1">
      <c r="A7" s="469" t="s">
        <v>612</v>
      </c>
      <c r="B7" s="505" t="str">
        <f>'Capital IQ Sheet-GPC'!B7</f>
        <v>CY2021</v>
      </c>
      <c r="C7" s="467"/>
      <c r="D7" s="467"/>
      <c r="E7" s="467"/>
      <c r="F7" s="467"/>
      <c r="G7" s="467"/>
      <c r="H7" s="467"/>
      <c r="I7" s="467"/>
      <c r="J7" s="467"/>
      <c r="K7" s="513"/>
      <c r="L7" s="513"/>
      <c r="M7" s="467"/>
      <c r="N7" s="467"/>
      <c r="O7" s="467"/>
      <c r="P7" s="467"/>
      <c r="Q7" s="467"/>
      <c r="R7" s="467"/>
      <c r="S7" s="467"/>
      <c r="T7" s="467"/>
      <c r="U7" s="467"/>
      <c r="V7" s="467"/>
      <c r="W7" s="467"/>
      <c r="X7" s="467"/>
      <c r="Y7" s="467"/>
      <c r="Z7" s="467"/>
      <c r="AA7" s="467"/>
      <c r="AB7" s="467"/>
      <c r="AC7" s="467"/>
      <c r="AD7" s="467"/>
      <c r="AE7" s="513"/>
      <c r="AF7" s="514"/>
      <c r="AG7" s="514"/>
      <c r="AH7" s="467"/>
      <c r="AI7" s="467"/>
      <c r="AJ7" s="467"/>
      <c r="AK7" s="467"/>
      <c r="AL7" s="467"/>
      <c r="AM7" s="467"/>
      <c r="AN7" s="467"/>
      <c r="AO7" s="467"/>
      <c r="AP7" s="467"/>
      <c r="AQ7" s="463"/>
      <c r="AR7" s="467"/>
      <c r="AS7" s="463"/>
      <c r="AT7" s="467"/>
      <c r="AU7" s="463"/>
      <c r="AV7" s="463"/>
      <c r="AW7" s="463"/>
      <c r="AX7" s="463"/>
      <c r="AY7" s="463"/>
      <c r="AZ7" s="463"/>
      <c r="BA7" s="463"/>
      <c r="BB7" s="463"/>
      <c r="BC7" s="463"/>
      <c r="BD7" s="463"/>
      <c r="BE7" s="463"/>
      <c r="BF7" s="463"/>
      <c r="BG7" s="463"/>
      <c r="BH7" s="463"/>
      <c r="BI7" s="463"/>
      <c r="BJ7" s="463"/>
      <c r="BK7" s="463"/>
      <c r="BL7" s="463"/>
      <c r="BM7" s="463"/>
      <c r="BN7" s="463"/>
      <c r="BO7" s="463"/>
      <c r="BP7" s="463"/>
      <c r="BQ7" s="463"/>
      <c r="BR7" s="463"/>
      <c r="BS7" s="463"/>
      <c r="BT7" s="463"/>
      <c r="BU7" s="463"/>
      <c r="BV7" s="463"/>
      <c r="BW7" s="463"/>
      <c r="BX7" s="463"/>
      <c r="BY7" s="463"/>
      <c r="BZ7" s="463"/>
    </row>
    <row r="8" spans="1:86" s="462" customFormat="1">
      <c r="A8" s="469" t="s">
        <v>537</v>
      </c>
      <c r="B8" s="505">
        <f>'Capital IQ Sheet-GPC'!B8</f>
        <v>42643</v>
      </c>
      <c r="C8" s="467"/>
      <c r="D8" s="467"/>
      <c r="E8" s="467"/>
      <c r="F8" s="467"/>
      <c r="G8" s="467"/>
      <c r="H8" s="467"/>
      <c r="I8" s="467"/>
      <c r="J8" s="467"/>
      <c r="K8" s="467"/>
      <c r="L8" s="467"/>
      <c r="M8" s="467"/>
      <c r="N8" s="467"/>
      <c r="O8" s="467"/>
      <c r="P8" s="467"/>
      <c r="Q8" s="467"/>
      <c r="R8" s="467"/>
      <c r="S8" s="467"/>
      <c r="T8" s="467"/>
      <c r="U8" s="467"/>
      <c r="V8" s="467"/>
      <c r="W8" s="467"/>
      <c r="X8" s="467"/>
      <c r="Y8" s="467"/>
      <c r="Z8" s="467"/>
      <c r="AA8" s="467"/>
      <c r="AB8" s="467"/>
      <c r="AC8" s="467"/>
      <c r="AD8" s="467"/>
      <c r="AE8" s="467"/>
      <c r="AF8" s="467"/>
      <c r="AG8" s="467"/>
      <c r="AH8" s="467"/>
      <c r="AI8" s="467"/>
      <c r="AJ8" s="467"/>
      <c r="AK8" s="467"/>
      <c r="AL8" s="467"/>
      <c r="AM8" s="467"/>
      <c r="AN8" s="467"/>
      <c r="AO8" s="467"/>
      <c r="AP8" s="467"/>
      <c r="AQ8" s="463"/>
      <c r="AR8" s="467"/>
      <c r="AS8" s="463"/>
      <c r="AT8" s="467"/>
      <c r="AU8" s="463"/>
      <c r="AV8" s="463"/>
      <c r="AW8" s="463"/>
      <c r="AX8" s="463"/>
      <c r="AY8" s="463"/>
      <c r="AZ8" s="463"/>
      <c r="BA8" s="463"/>
      <c r="BB8" s="463"/>
      <c r="BC8" s="463"/>
      <c r="BD8" s="463"/>
      <c r="BE8" s="463"/>
      <c r="BF8" s="463"/>
      <c r="BG8" s="463"/>
      <c r="BH8" s="463"/>
      <c r="BI8" s="463"/>
      <c r="BJ8" s="463"/>
      <c r="BK8" s="463"/>
      <c r="BL8" s="463"/>
      <c r="BM8" s="463"/>
      <c r="BN8" s="463"/>
      <c r="BO8" s="463"/>
      <c r="BP8" s="463"/>
      <c r="BQ8" s="463"/>
      <c r="BR8" s="463"/>
      <c r="BS8" s="463"/>
      <c r="BT8" s="463"/>
      <c r="BU8" s="463"/>
      <c r="BV8" s="463"/>
      <c r="BW8" s="463"/>
      <c r="BX8" s="463"/>
      <c r="BY8" s="463"/>
      <c r="BZ8" s="463"/>
    </row>
    <row r="9" spans="1:86" s="610" customFormat="1" ht="12.75">
      <c r="A9" s="607"/>
      <c r="B9" s="607"/>
      <c r="C9" s="608"/>
      <c r="D9" s="608"/>
      <c r="E9" s="608"/>
      <c r="F9" s="608"/>
      <c r="G9" s="608"/>
      <c r="H9" s="608"/>
      <c r="I9" s="608"/>
      <c r="J9" s="608"/>
      <c r="K9" s="608"/>
      <c r="L9" s="608"/>
      <c r="M9" s="608"/>
      <c r="N9" s="608"/>
      <c r="O9" s="608"/>
      <c r="P9" s="608"/>
      <c r="Q9" s="608"/>
      <c r="R9" s="608"/>
      <c r="S9" s="608"/>
      <c r="T9" s="608"/>
      <c r="U9" s="608"/>
      <c r="V9" s="608"/>
      <c r="W9" s="608"/>
      <c r="X9" s="608"/>
      <c r="Y9" s="608"/>
      <c r="Z9" s="608"/>
      <c r="AA9" s="608"/>
      <c r="AB9" s="608"/>
      <c r="AC9" s="608"/>
      <c r="AD9" s="608"/>
      <c r="AE9" s="608"/>
      <c r="AF9" s="608"/>
      <c r="AG9" s="608"/>
      <c r="AH9" s="608"/>
      <c r="AI9" s="608"/>
      <c r="AJ9" s="608"/>
      <c r="AK9" s="608"/>
      <c r="AL9" s="608"/>
      <c r="AM9" s="608"/>
      <c r="AN9" s="608"/>
      <c r="AO9" s="608"/>
      <c r="AP9" s="608"/>
      <c r="AQ9" s="609"/>
      <c r="AR9" s="608"/>
      <c r="AS9" s="609"/>
      <c r="AT9" s="608"/>
      <c r="AU9" s="609"/>
      <c r="AV9" s="609"/>
      <c r="AW9" s="609"/>
      <c r="AX9" s="609"/>
      <c r="AY9" s="609"/>
      <c r="AZ9" s="609"/>
      <c r="BA9" s="609"/>
      <c r="BB9" s="609"/>
      <c r="BC9" s="608"/>
      <c r="BD9" s="609"/>
      <c r="BE9" s="609"/>
      <c r="BF9" s="609"/>
      <c r="BG9" s="609"/>
      <c r="BH9" s="609"/>
      <c r="BI9" s="609"/>
      <c r="BJ9" s="609"/>
      <c r="BK9" s="609"/>
      <c r="BL9" s="609"/>
      <c r="BM9" s="609"/>
      <c r="BN9" s="609"/>
      <c r="BO9" s="609"/>
      <c r="BP9" s="609"/>
      <c r="BQ9" s="609"/>
      <c r="BR9" s="609"/>
      <c r="BS9" s="609"/>
      <c r="BT9" s="609"/>
      <c r="BU9" s="609"/>
      <c r="BV9" s="609"/>
      <c r="BW9" s="609"/>
      <c r="BX9" s="609"/>
      <c r="BY9" s="609"/>
      <c r="BZ9" s="609"/>
    </row>
    <row r="10" spans="1:86">
      <c r="A10" s="515" t="str">
        <f>'Capital IQ Sheet-GPC'!A10</f>
        <v>Comparable Public Companies (Primary)</v>
      </c>
      <c r="W10" s="516"/>
      <c r="AF10" s="611" t="s">
        <v>175</v>
      </c>
      <c r="AG10" s="612"/>
      <c r="AH10" s="612"/>
      <c r="AI10" s="613"/>
      <c r="AJ10" s="467" t="s">
        <v>188</v>
      </c>
      <c r="AK10" s="467" t="s">
        <v>174</v>
      </c>
      <c r="AL10" s="467" t="s">
        <v>175</v>
      </c>
      <c r="AM10" s="467" t="s">
        <v>188</v>
      </c>
      <c r="AN10" s="467" t="s">
        <v>174</v>
      </c>
      <c r="AO10" s="467" t="s">
        <v>175</v>
      </c>
      <c r="AQ10" s="463">
        <v>1</v>
      </c>
      <c r="AR10" s="467">
        <v>2</v>
      </c>
      <c r="AS10" s="463">
        <v>5</v>
      </c>
      <c r="AU10" s="467" t="s">
        <v>188</v>
      </c>
      <c r="AV10" s="467" t="s">
        <v>174</v>
      </c>
      <c r="AW10" s="467" t="s">
        <v>175</v>
      </c>
      <c r="AX10" s="516" t="str">
        <f>B2</f>
        <v>CY2016</v>
      </c>
      <c r="AY10" s="516" t="str">
        <f>B3</f>
        <v>CY2017</v>
      </c>
      <c r="AZ10" s="467" t="s">
        <v>188</v>
      </c>
      <c r="BA10" s="467" t="s">
        <v>174</v>
      </c>
      <c r="BB10" s="467" t="s">
        <v>175</v>
      </c>
      <c r="BC10" s="467" t="str">
        <f>AX10</f>
        <v>CY2016</v>
      </c>
      <c r="BD10" s="467" t="str">
        <f>AY10</f>
        <v>CY2017</v>
      </c>
      <c r="BE10" s="467"/>
      <c r="BF10" s="467"/>
      <c r="BG10" s="467"/>
      <c r="BH10" s="463"/>
      <c r="BI10" s="463"/>
      <c r="BJ10" s="463"/>
      <c r="BK10" s="463"/>
      <c r="BL10" s="463"/>
      <c r="BM10" s="463"/>
      <c r="BN10" s="463"/>
      <c r="BO10" s="463"/>
      <c r="BP10" s="463"/>
      <c r="BQ10" s="463"/>
      <c r="BR10" s="463"/>
      <c r="BS10" s="463" t="s">
        <v>52</v>
      </c>
      <c r="BT10" s="463"/>
      <c r="BU10" s="463"/>
      <c r="BV10" s="463"/>
      <c r="BW10" s="463"/>
      <c r="BX10" s="463"/>
      <c r="BY10" s="463"/>
      <c r="BZ10" s="463"/>
      <c r="CA10" s="462"/>
      <c r="CB10" s="462"/>
      <c r="CC10" s="462"/>
      <c r="CD10" s="462"/>
      <c r="CE10" s="462"/>
      <c r="CF10" s="462"/>
      <c r="CG10" s="462"/>
      <c r="CH10" s="462"/>
    </row>
    <row r="11" spans="1:86" ht="12.75">
      <c r="A11" s="469" t="s">
        <v>43</v>
      </c>
      <c r="B11" s="469" t="s">
        <v>538</v>
      </c>
      <c r="C11" s="467" t="s">
        <v>539</v>
      </c>
      <c r="D11" s="467" t="s">
        <v>540</v>
      </c>
      <c r="E11" s="467" t="s">
        <v>541</v>
      </c>
      <c r="F11" s="467" t="s">
        <v>614</v>
      </c>
      <c r="G11" s="466" t="s">
        <v>542</v>
      </c>
      <c r="H11" s="466" t="s">
        <v>75</v>
      </c>
      <c r="I11" s="466" t="s">
        <v>508</v>
      </c>
      <c r="J11" s="467" t="s">
        <v>29</v>
      </c>
      <c r="K11" s="467" t="s">
        <v>30</v>
      </c>
      <c r="L11" s="467" t="s">
        <v>31</v>
      </c>
      <c r="M11" s="467" t="s">
        <v>32</v>
      </c>
      <c r="N11" s="467" t="s">
        <v>35</v>
      </c>
      <c r="O11" s="608" t="s">
        <v>585</v>
      </c>
      <c r="P11" s="467" t="s">
        <v>586</v>
      </c>
      <c r="Q11" s="467" t="s">
        <v>587</v>
      </c>
      <c r="R11" s="467" t="str">
        <f>"REV_"&amp;$B$2</f>
        <v>REV_CY2016</v>
      </c>
      <c r="S11" s="467" t="str">
        <f>"REV_"&amp;$B$3</f>
        <v>REV_CY2017</v>
      </c>
      <c r="T11" s="467" t="str">
        <f>"REV_"&amp;$B$4</f>
        <v>REV_CY2018</v>
      </c>
      <c r="U11" s="467" t="str">
        <f>"REV_"&amp;$B$5</f>
        <v>REV_CY2019</v>
      </c>
      <c r="V11" s="467" t="str">
        <f>"REV_"&amp;$B$6</f>
        <v>REV_CY2020</v>
      </c>
      <c r="W11" s="467" t="str">
        <f>"REV_"&amp;$B$7</f>
        <v>REV_CY2021</v>
      </c>
      <c r="X11" s="608" t="s">
        <v>588</v>
      </c>
      <c r="Y11" s="467" t="s">
        <v>589</v>
      </c>
      <c r="Z11" s="467" t="s">
        <v>543</v>
      </c>
      <c r="AA11" s="467" t="s">
        <v>590</v>
      </c>
      <c r="AB11" s="467" t="s">
        <v>591</v>
      </c>
      <c r="AC11" s="467" t="s">
        <v>592</v>
      </c>
      <c r="AD11" s="467" t="s">
        <v>593</v>
      </c>
      <c r="AE11" s="467" t="s">
        <v>594</v>
      </c>
      <c r="AF11" s="467" t="s">
        <v>597</v>
      </c>
      <c r="AG11" s="467" t="s">
        <v>629</v>
      </c>
      <c r="AH11" s="467" t="s">
        <v>630</v>
      </c>
      <c r="AI11" s="467" t="s">
        <v>631</v>
      </c>
      <c r="AJ11" s="467" t="s">
        <v>598</v>
      </c>
      <c r="AK11" s="467" t="s">
        <v>598</v>
      </c>
      <c r="AL11" s="467" t="s">
        <v>598</v>
      </c>
      <c r="AM11" s="467" t="s">
        <v>505</v>
      </c>
      <c r="AN11" s="467" t="s">
        <v>505</v>
      </c>
      <c r="AO11" s="467" t="s">
        <v>505</v>
      </c>
      <c r="AP11" s="467" t="s">
        <v>632</v>
      </c>
      <c r="AQ11" s="467" t="s">
        <v>546</v>
      </c>
      <c r="AR11" s="467" t="s">
        <v>545</v>
      </c>
      <c r="AS11" s="467" t="s">
        <v>544</v>
      </c>
      <c r="AT11" s="467" t="s">
        <v>8</v>
      </c>
      <c r="AU11" s="466" t="s">
        <v>430</v>
      </c>
      <c r="AV11" s="466" t="s">
        <v>430</v>
      </c>
      <c r="AW11" s="466" t="s">
        <v>430</v>
      </c>
      <c r="AX11" s="466" t="s">
        <v>430</v>
      </c>
      <c r="AY11" s="467" t="s">
        <v>430</v>
      </c>
      <c r="AZ11" s="466" t="s">
        <v>431</v>
      </c>
      <c r="BA11" s="466" t="s">
        <v>431</v>
      </c>
      <c r="BB11" s="466" t="s">
        <v>431</v>
      </c>
      <c r="BC11" s="467" t="s">
        <v>431</v>
      </c>
      <c r="BD11" s="466" t="s">
        <v>431</v>
      </c>
      <c r="BE11" s="466" t="s">
        <v>620</v>
      </c>
      <c r="BF11" s="466" t="s">
        <v>621</v>
      </c>
      <c r="BG11" s="466" t="s">
        <v>622</v>
      </c>
      <c r="BH11" s="466" t="s">
        <v>623</v>
      </c>
      <c r="BI11" s="466" t="s">
        <v>624</v>
      </c>
      <c r="BJ11" s="466" t="s">
        <v>625</v>
      </c>
      <c r="BK11" s="466" t="s">
        <v>547</v>
      </c>
      <c r="BL11" s="466" t="s">
        <v>548</v>
      </c>
      <c r="BM11" s="466" t="s">
        <v>549</v>
      </c>
      <c r="BN11" s="466" t="s">
        <v>550</v>
      </c>
      <c r="BO11" s="466" t="s">
        <v>551</v>
      </c>
      <c r="BP11" s="466" t="s">
        <v>552</v>
      </c>
      <c r="BQ11" s="466" t="s">
        <v>553</v>
      </c>
      <c r="BR11" s="466" t="s">
        <v>554</v>
      </c>
      <c r="BS11" s="468" t="str">
        <f>'Capital IQ Sheet-GPC'!BS11</f>
        <v>Year 1</v>
      </c>
      <c r="BT11" s="468" t="str">
        <f>'Capital IQ Sheet-GPC'!BT11</f>
        <v>Year 2</v>
      </c>
      <c r="BU11" s="468" t="str">
        <f>'Capital IQ Sheet-GPC'!BU11</f>
        <v>Year 3</v>
      </c>
      <c r="BV11" s="468" t="str">
        <f>'Capital IQ Sheet-GPC'!BV11</f>
        <v>Year 4</v>
      </c>
      <c r="BW11" s="468" t="str">
        <f>'Capital IQ Sheet-GPC'!BW11</f>
        <v>Year 5</v>
      </c>
      <c r="BX11" s="468" t="str">
        <f>'Capital IQ Sheet-GPC'!BX11</f>
        <v>Year 6</v>
      </c>
      <c r="BY11" s="468" t="str">
        <f>'Capital IQ Sheet-GPC'!BY11</f>
        <v>Year 7</v>
      </c>
      <c r="BZ11" s="468" t="str">
        <f>'Capital IQ Sheet-GPC'!BZ11</f>
        <v>Year 8</v>
      </c>
      <c r="CB11" s="465" t="s">
        <v>633</v>
      </c>
      <c r="CC11" s="465" t="s">
        <v>151</v>
      </c>
      <c r="CD11" s="465" t="s">
        <v>152</v>
      </c>
      <c r="CE11" s="466" t="s">
        <v>602</v>
      </c>
    </row>
    <row r="12" spans="1:86">
      <c r="CE12" s="465"/>
    </row>
    <row r="13" spans="1:86" s="466" customFormat="1" ht="12.75">
      <c r="A13" s="467" t="e">
        <f ca="1">_xll.ciqfunctions.udf.CIQ($B13,"IQ_COMPANY_TICKER")</f>
        <v>#NAME?</v>
      </c>
      <c r="B13" s="517" t="str">
        <f>'Capital IQ Sheet-GPC'!B13</f>
        <v>IQ36235</v>
      </c>
      <c r="C13" s="467" t="e">
        <f ca="1">_xll.ciqfunctions.udf.CIQ($A13,"IQ_COMPANY_NAME")</f>
        <v>#NAME?</v>
      </c>
      <c r="D13" s="467" t="e">
        <f ca="1">_xll.ciqfunctions.udf.CIQ($A13, "IQ_EXCHANGE")</f>
        <v>#NAME?</v>
      </c>
      <c r="E13" s="516" t="e">
        <f ca="1">_xll.ciqfunctions.udf.CIQ($A13, "IQ_PERIODDATE_IS", IQ_FY)</f>
        <v>#NAME?</v>
      </c>
      <c r="F13" s="516" t="e">
        <f ca="1">_xll.ciqfunctions.udf.CIQ(A13, "IQ_PERIODDATE_IS", IQ_LTM, $B$1,$L$4,$L$3)</f>
        <v>#NAME?</v>
      </c>
      <c r="G13" s="516" t="e">
        <f ca="1">_xll.ciqfunctions.udf.CIQ($A13, "IQ_FIRSTPRICINGDATE")</f>
        <v>#NAME?</v>
      </c>
      <c r="H13" s="518" t="e">
        <f ca="1">_xll.ciqfunctions.udf.CIQ($A13, "IQ_TEV", $L$2, $L$5, $L$6)</f>
        <v>#NAME?</v>
      </c>
      <c r="I13" s="518" t="e">
        <f ca="1">_xll.ciqfunctions.udf.CIQ(A13, "IQ_LASTSALEPRICE", $B$1,$L$5)</f>
        <v>#NAME?</v>
      </c>
      <c r="J13" s="518" t="e">
        <f ca="1">_xll.ciqfunctions.udf.CIQ($A13, "IQ_MARKETCAP", $L$2, $L$5, $L$6)</f>
        <v>#NAME?</v>
      </c>
      <c r="K13" s="518" t="e">
        <f ca="1">_xll.ciqfunctions.udf.CIQ($A13, "IQ_TOTAL_DEBT", IQ_LTM, $L$2,$L$4, $L$3, $L$5, $L$6)</f>
        <v>#NAME?</v>
      </c>
      <c r="L13" s="518" t="e">
        <f ca="1">_xll.ciqfunctions.udf.CIQ($A13, "IQ_PREF_EQUITY", IQ_LTM, $L$2, $L$4, $L$3, $L$5, $L$6)</f>
        <v>#NAME?</v>
      </c>
      <c r="M13" s="518" t="e">
        <f ca="1">_xll.ciqfunctions.udf.CIQ($A13, "IQ_MINORITY_INTEREST_TOTAL", IQ_LTM, $L$2, $L$4, $L$3, $L$5, $L$6)</f>
        <v>#NAME?</v>
      </c>
      <c r="N13" s="518" t="e">
        <f ca="1">_xll.ciqfunctions.udf.CIQ($A13, "IQ_CASH_ST_INVEST", IQ_LTM, $L$2, $L$4, $L$3, $L$5, $L$6)</f>
        <v>#NAME?</v>
      </c>
      <c r="O13" s="518" t="e">
        <f ca="1">_xll.ciqfunctions.udf.CIQ($A13, "IQ_TOTAL_REV", IQ_LTM-8, $L$2, $L$4, $L$3, $L$5, $L$6)</f>
        <v>#NAME?</v>
      </c>
      <c r="P13" s="518" t="e">
        <f ca="1">_xll.ciqfunctions.udf.CIQ($A13, "IQ_TOTAL_REV", IQ_LTM - 4, $L$2, $L$4, $L$3, $L$5,$L$6)</f>
        <v>#NAME?</v>
      </c>
      <c r="Q13" s="518" t="e">
        <f ca="1">_xll.ciqfunctions.udf.CIQ($A13, "IQ_TOTAL_REV", IQ_LTM, $L$2, $L$4, $L$3, $L$5, $L$6)</f>
        <v>#NAME?</v>
      </c>
      <c r="R13" s="518" t="e">
        <f ca="1">_xll.ciqfunctions.udf.CIQ($A13, "IQ_TOTAL_REV", $B$2, $L$2, $L$4, $L$3, $L$5, $L$6)</f>
        <v>#NAME?</v>
      </c>
      <c r="S13" s="518" t="e">
        <f ca="1">IF(_xll.ciqfunctions.udf.CIQ($A13, "IQ_TOTAL_REV", $B$3, $L$2,$L$4, $L$3, $L$5, $L$6)=0,Q13,_xll.ciqfunctions.udf.CIQ($A13, "IQ_TOTAL_REV", $B$3, $L$2,$L$4, $L$3, $L$5, $L$6))</f>
        <v>#NAME?</v>
      </c>
      <c r="T13" s="518" t="e">
        <f ca="1">IF(_xll.ciqfunctions.udf.CIQ($A13, "IQ_REVENUE_EST",$B$4, $L$2, "CON", $L$3, $L$5, $L$6)=0,"n/a",_xll.ciqfunctions.udf.CIQ($A13, "IQ_REVENUE_EST",$B$4, $L$2, "CON", $L$3, $L$5, $L$6))</f>
        <v>#NAME?</v>
      </c>
      <c r="U13" s="518" t="e">
        <f ca="1">IF(_xll.ciqfunctions.udf.CIQ($A13, "IQ_REVENUE_EST",$B$5, $L$2, "CON", $L$3, $L$5, $L$6)=0,"n/a",_xll.ciqfunctions.udf.CIQ($A13, "IQ_REVENUE_EST",$B$5, $L$2, "CON", $L$3, $L$5, $L$6))</f>
        <v>#NAME?</v>
      </c>
      <c r="V13" s="518" t="e">
        <f ca="1">IF(_xll.ciqfunctions.udf.CIQ($A13, "IQ_REVENUE_EST",$B$6, $L$2, "CON", $L$3, $L$5, $L$6)=0,"n/a",_xll.ciqfunctions.udf.CIQ($A13, "IQ_REVENUE_EST",$B$6, $L$2, "CON", $L$3, $L$5, $L$6))</f>
        <v>#NAME?</v>
      </c>
      <c r="W13" s="518" t="e">
        <f ca="1">IF(_xll.ciqfunctions.udf.CIQ($A13, "IQ_REVENUE_EST", $B$7, $L$2, "CON", $L$3, $L$5, $L$6)=0,"n/a",_xll.ciqfunctions.udf.CIQ($A13, "IQ_REVENUE_EST",$B$7, $L$2, "CON", $L$3, $L$5, $L$6))</f>
        <v>#NAME?</v>
      </c>
      <c r="X13" s="518" t="e">
        <f ca="1">_xll.ciqfunctions.udf.CIQ($A13, "IQ_EBITDA", IQ_LTM-8, $L$2, $L$4, $L$3, $L$5, $L$6)</f>
        <v>#NAME?</v>
      </c>
      <c r="Y13" s="518" t="e">
        <f ca="1">_xll.ciqfunctions.udf.CIQ($A13, "IQ_EBITDA", IQ_LTM-4, $L$2,$L$4, $L$3, $L$5, $L$6)</f>
        <v>#NAME?</v>
      </c>
      <c r="Z13" s="518" t="e">
        <f ca="1">_xll.ciqfunctions.udf.CIQ($A13, "IQ_EBITDA", IQ_LTM, $L$2, $L$4, $L$3, $L$5, $L$6)</f>
        <v>#NAME?</v>
      </c>
      <c r="AA13" s="518" t="e">
        <f ca="1">_xll.ciqfunctions.udf.CIQ($A13, "IQ_EBITDA", $B$2, $L$2, $L$4, $L$3, $L$5, $L$6)</f>
        <v>#NAME?</v>
      </c>
      <c r="AB13" s="518" t="e">
        <f ca="1">IF(_xll.ciqfunctions.udf.CIQ($A13, "IQ_EBITDA", $B$3, $L$2,$L$4, $L$3, $L$5, $L$6)=0,Z13,_xll.ciqfunctions.udf.CIQ($A13, "IQ_EBITDA", $B$3, $L$2,$L$4, $L$3, $L$5, $L$6))</f>
        <v>#NAME?</v>
      </c>
      <c r="AC13" s="518" t="e">
        <f ca="1">IF(_xll.ciqfunctions.udf.CIQ($A13, "IQ_EBITDA_EST",$B$4, $L$2, "CON", $L$3, $L$5, $L$6)=0,"n/a",_xll.ciqfunctions.udf.CIQ($A13, "IQ_EBITDA_EST",$B$4, $L$2, "CON", $L$3, $L$5, $L$6))</f>
        <v>#NAME?</v>
      </c>
      <c r="AD13" s="518" t="e">
        <f ca="1">IF(_xll.ciqfunctions.udf.CIQ($A13, "IQ_EBITDA_EST",$B$5, $L$2, "CON", $L$3, $L$5, $L$6)=0,"n/a",_xll.ciqfunctions.udf.CIQ($A13, "IQ_EBITDA_EST",$B$5, $L$2, "CON", $L$3, $L$5, $L$6))</f>
        <v>#NAME?</v>
      </c>
      <c r="AE13" s="518" t="e">
        <f ca="1">IF(_xll.ciqfunctions.udf.CIQ($A13, "IQ_EBITDA_EST",$B$6, $L$2, "CON", $L$3, $L$5, $L$6)=0,"n/a",_xll.ciqfunctions.udf.CIQ($A13, "IQ_EBITDA_EST",$B$6, $L$2, "CON", $L$3, $L$5, $L$6))</f>
        <v>#NAME?</v>
      </c>
      <c r="AF13" s="519" t="str">
        <f ca="1">IF(ISERROR(_xll.ciqfunctions.udf.CIQ($A13, "IQ_GROSS_MARGIN", IQ_LTM, $L$2,$L$4, $L$3, $L$5, $L$6)/100), "n/a", _xll.ciqfunctions.udf.CIQ($A13,  "IQ_GROSS_MARGIN", IQ_LTM, $L$2, $L$4, $L$3, $L$5, $L$6)/100)</f>
        <v>n/a</v>
      </c>
      <c r="AG13" s="519" t="str">
        <f ca="1">IF(ISERROR(_xll.ciqfunctions.udf.CIQ($A13,"IQ_EBITDA_MARGIN", IQ_LTM, $L$2, $L$4, $L$3, $L$5, $L$6)/100), "n/a", _xll.ciqfunctions.udf.CIQ($A13, "IQ_EBITDA_MARGIN", IQ_LTM, $L$2, $L$4, $L$3, $L$5, $L$6)/100)</f>
        <v>n/a</v>
      </c>
      <c r="AH13" s="519" t="str">
        <f ca="1">IF(ISERROR(_xll.ciqfunctions.udf.CIQ($A13,"IQ_EBIT_MARGIN", IQ_LTM, $L$2, $L$4, $L$3, $L$5, $L$6)/100), "n/a", _xll.ciqfunctions.udf.CIQ($A13, "IQ_EBIT_MARGIN", IQ_LTM, $L$2, $L$4, $L$3, $L$5, $L$6)/100)</f>
        <v>n/a</v>
      </c>
      <c r="AI13" s="519" t="str">
        <f ca="1">IF(ISERROR(_xll.ciqfunctions.udf.CIQ($A13,"IQ_NI_MARGIN", IQ_LTM, $L$2, $L$4, $L$3, $L$5, $L$6)/100), "n/a", _xll.ciqfunctions.udf.CIQ($A13, "IQ_NI_MARGIN", IQ_LTM, $L$2, $L$4, $L$3, $L$5, $L$6)/100)</f>
        <v>n/a</v>
      </c>
      <c r="AJ13" s="518" t="str">
        <f ca="1">IF(ISERROR(_xll.ciqfunctions.udf.CIQ($A13, "IQ_NET_WORKING_CAP", IQ_LTM-8, $L$2, $L$4, $L$3, $L$5, $L$6)), "n/a", _xll.ciqfunctions.udf.CIQ($A13, "IQ_NET_WORKING_CAP", IQ_LTM-8, $L$2, $L$4, $L$3, $L$5, $L$6))</f>
        <v>n/a</v>
      </c>
      <c r="AK13" s="518" t="str">
        <f ca="1">IF(ISERROR(_xll.ciqfunctions.udf.CIQ($A13, "IQ_NET_WORKING_CAP", IQ_LTM-4, $L$2, $L$4, $L$3, $L$5, $L$6)), "n/a", _xll.ciqfunctions.udf.CIQ($A13, "IQ_NET_WORKING_CAP", IQ_LTM-4, $L$2, $L$4, $L$3, $L$5, $L$6))</f>
        <v>n/a</v>
      </c>
      <c r="AL13" s="518" t="str">
        <f ca="1">IF(ISERROR(_xll.ciqfunctions.udf.CIQ($A13, "IQ_NET_WORKING_CAP", IQ_LTM, $L$2,$L$4, $L$3, $L$5, $L$6)), "n/a", _xll.ciqfunctions.udf.CIQ($A13, "IQ_NET_WORKING_CAP", IQ_LTM, $L$2, $L$4, $L$3, $L$5, $L$6))</f>
        <v>n/a</v>
      </c>
      <c r="AM13" s="518" t="str">
        <f ca="1">IF(ISERROR(_xll.ciqfunctions.udf.CIQ($A13, "IQ_Capex", IQ_LTM-8, $L$2,$L$4, $L$3, $L$5, $L$6)), "n/a", _xll.ciqfunctions.udf.CIQ($A13, "IQ_Capex", IQ_LTM-8, $L$2, $L$4, $L$3, $L$5, $L$6))</f>
        <v>n/a</v>
      </c>
      <c r="AN13" s="518" t="str">
        <f ca="1">IF(ISERROR(_xll.ciqfunctions.udf.CIQ($A13, "IQ_Capex", IQ_LTM-4, $L$2,$L$4, $L$3, $L$5, $L$6)), "n/a", _xll.ciqfunctions.udf.CIQ($A13, "IQ_Capex", IQ_LTM-4, $L$2,$L$4, $L$3, $L$5, $L$6))</f>
        <v>n/a</v>
      </c>
      <c r="AO13" s="518" t="str">
        <f ca="1">IF(ISERROR(_xll.ciqfunctions.udf.CIQ($A13, "IQ_Capex", IQ_LTM, $L$2, $L$4, $L$3, $L$5, $L$6)), "n/a", _xll.ciqfunctions.udf.CIQ($A13, "IQ_Capex", IQ_LTM, $L$2, $L$4, $L$3, $L$5, $L$6))</f>
        <v>n/a</v>
      </c>
      <c r="AP13" s="520" t="e">
        <f ca="1">_xll.ciqfunctions.udf.CIQ(A13, "IQ_BUSINESS_DESCRIPTION")</f>
        <v>#NAME?</v>
      </c>
      <c r="AQ13" s="521" t="e">
        <f ca="1">_xll.ciqfunctions.udf.CIQ($A13, "IQ_BETA_1YR", $B$1)</f>
        <v>#NAME?</v>
      </c>
      <c r="AR13" s="521" t="e">
        <f ca="1">_xll.ciqfunctions.udf.CIQ($A13, "IQ_BETA_2YR", $B$1)</f>
        <v>#NAME?</v>
      </c>
      <c r="AS13" s="521" t="e">
        <f ca="1">_xll.ciqfunctions.udf.CIQ($A13, "IQ_BETA_5YR", $B$1)</f>
        <v>#NAME?</v>
      </c>
      <c r="AT13" s="519" t="e">
        <f ca="1">_xll.ciqfunctions.udf.CIQ($A13, "IQ_DIVIDEND_YIELD", $B$1)/100</f>
        <v>#NAME?</v>
      </c>
      <c r="AU13" s="518" t="e">
        <f ca="1">_xll.ciqfunctions.udf.CIQ($A13, "IQ_EARNING_CO", IQ_LTM-8, $L$2, $L$4, $L$3, $L$5, $L$6)</f>
        <v>#NAME?</v>
      </c>
      <c r="AV13" s="518" t="e">
        <f ca="1">_xll.ciqfunctions.udf.CIQ($A13, "IQ_EARNING_CO", IQ_LTM-4, $L$2, $L$4, $L$3, $L$5, $L$6)</f>
        <v>#NAME?</v>
      </c>
      <c r="AW13" s="518" t="e">
        <f ca="1">_xll.ciqfunctions.udf.CIQ($A13, "IQ_EARNING_CO", IQ_LTM, $L$2, $L$4, $L$3, $L$5, $L$6)</f>
        <v>#NAME?</v>
      </c>
      <c r="AX13" s="518" t="e">
        <f ca="1">_xll.ciqfunctions.udf.CIQ($A13, "IQ_EARNING_CO", $B$2, $L$2, $L$4, $L$3, $L$5, $L$6)</f>
        <v>#NAME?</v>
      </c>
      <c r="AY13" s="518" t="e">
        <f ca="1">IF(_xll.ciqfunctions.udf.CIQ($A13, "IQ_EARNING_CO", $B$3, $L$2,$L$4, $L$3, $L$5, $L$6)=0,AW13,_xll.ciqfunctions.udf.CIQ($A13, "IQ_EARNING_CO", $B$3, $L$2,$L$4, $L$3, $L$5, $L$6))</f>
        <v>#NAME?</v>
      </c>
      <c r="AZ13" s="518" t="e">
        <f ca="1">_xll.ciqfunctions.udf.CIQ($A13, "IQ_TOTAL_EQUITY", IQ_LTM-8, $L$2, $L$4, $L$3, $L$5, $L$6)</f>
        <v>#NAME?</v>
      </c>
      <c r="BA13" s="518" t="e">
        <f ca="1">_xll.ciqfunctions.udf.CIQ($A13, "IQ_TOTAL_EQUITY", IQ_LTM-4, $L$2, $L$4, $L$3, $L$5, $L$6)</f>
        <v>#NAME?</v>
      </c>
      <c r="BB13" s="518" t="e">
        <f ca="1">_xll.ciqfunctions.udf.CIQ($A13, "IQ_TOTAL_EQUITY", IQ_LTM, $L$2, $L$4, $L$3, $L$5, $L$6)</f>
        <v>#NAME?</v>
      </c>
      <c r="BC13" s="518" t="e">
        <f ca="1">_xll.ciqfunctions.udf.CIQ($A13, "IQ_TOTAL_EQUITY", $B$2, $L$2, $L$4, $L$3, $L$5, $L$6)</f>
        <v>#NAME?</v>
      </c>
      <c r="BD13" s="518" t="e">
        <f ca="1">IF(_xll.ciqfunctions.udf.CIQ($A13, "IQ_TOTAL_EQUITY", $B$3, $L$2,$L$4, $L$3, $L$5, $L$6)=0,BB13,_xll.ciqfunctions.udf.CIQ($A13, "IQ_TOTAL_EQUITY", $B$3, $L$2,$L$4, $L$3, $L$5, $L$6))</f>
        <v>#NAME?</v>
      </c>
      <c r="BE13" s="518" t="e">
        <f ca="1">_xll.ciqfunctions.udf.CIQ(A13, "IQ_LASTSALEPRICE", $B$8)</f>
        <v>#NAME?</v>
      </c>
      <c r="BF13" s="518" t="e">
        <f ca="1">_xll.ciqfunctions.udf.CIQ($A13, "IQ_MARKETCAP", $B$8, $L$5, $L$6)</f>
        <v>#NAME?</v>
      </c>
      <c r="BG13" s="518" t="e">
        <f ca="1">_xll.ciqfunctions.udf.CIQ($A13, "IQ_TOTAL_DEBT", IQ_LTM, $B$8,$L$4, $L$3, $L$5, $L$6)</f>
        <v>#NAME?</v>
      </c>
      <c r="BH13" s="466" t="e">
        <f ca="1">_xll.ciqfunctions.udf.CIQ($A13,"IQ_PREF_EQUITY",IQ_LTM,$B$8,$L$4,$L$3,$L$5,$L$6)</f>
        <v>#NAME?</v>
      </c>
      <c r="BI13" s="466" t="e">
        <f ca="1">_xll.ciqfunctions.udf.CIQ($A13, "IQ_MINORITY_INTEREST_TOTAL", IQ_LTM,$B$8,$L$4,$L$3,$L$5,$L$6)</f>
        <v>#NAME?</v>
      </c>
      <c r="BJ13" s="518" t="e">
        <f ca="1">_xll.ciqfunctions.udf.CIQ($A13, "IQ_CASH_ST_INVEST", IQ_LTM, $B$8, $L$4, $L$3, $L$5, $L$6)</f>
        <v>#NAME?</v>
      </c>
      <c r="BK13" s="466" t="e">
        <f ca="1">_xll.ciqfunctions.udf.CIQ($A13, "IQ_EFFECT_TAX_RATE")</f>
        <v>#NAME?</v>
      </c>
      <c r="BL13" s="466" t="e">
        <f ca="1">IF(_xll.ciqfunctions.udf.CIQ($A13, "IQ_TOTAL_REV_2YR_ANN_CAGR", IQ_LTM, $B$1,$L$4, $L$3, $L$5, $L$6)="NM","n/a",(_xll.ciqfunctions.udf.CIQ($A13, "IQ_TOTAL_REV_2YR_ANN_CAGR", IQ_LTM, $B$1,$L$4, $L$3, $L$5, $L$6)/100))</f>
        <v>#NAME?</v>
      </c>
      <c r="BM13" s="466" t="e">
        <f ca="1">IF(_xll.ciqfunctions.udf.CIQ($A13, "IQ_TOTAL_REV_3YR_ANN_CAGR", IQ_LTM, $B$1,$L$4, $L$3, $L$5, $L$6)="NM","n/a",(_xll.ciqfunctions.udf.CIQ($A13, "IQ_TOTAL_REV_3YR_ANN_CAGR", IQ_LTM, $B$1,$L$4, $L$3, $L$5, $L$6)/100))</f>
        <v>#NAME?</v>
      </c>
      <c r="BN13" s="466" t="e">
        <f ca="1">IF(_xll.ciqfunctions.udf.CIQ($A13, "IQ_TOTAL_REV_5YR_ANN_CAGR", IQ_LTM, $B$1,$L$4, $L$3, $L$5, $L$6)="NM","n/a",(_xll.ciqfunctions.udf.CIQ($A13, "IQ_TOTAL_REV_5YR_ANN_CAGR", IQ_LTM, $B$1,$L$4, $L$3, $L$5, $L$6)/100))</f>
        <v>#NAME?</v>
      </c>
      <c r="BO13" s="466" t="e">
        <f ca="1">IF(_xll.ciqfunctions.udf.CIQ($A13,"IQ_EBITDA_2YR_ANN_CAGR", IQ_LTM,$B$1,$L$4, $L$3, $L$5, $L$6)="NM","n/a",(_xll.ciqfunctions.udf.CIQ($A13,"IQ_EBITDA_2YR_ANN_CAGR", IQ_LTM,$B$1,$L$4, $L$3, $L$5, $L$6)/100))</f>
        <v>#NAME?</v>
      </c>
      <c r="BP13" s="466" t="e">
        <f ca="1">IF(_xll.ciqfunctions.udf.CIQ($A13,"IQ_EBITDA_3YR_ANN_CAGR", IQ_LTM,$B$1,$L$4, $L$3, $L$5, $L$6)="NM","n/a",(_xll.ciqfunctions.udf.CIQ($A13,"IQ_EBITDA_3YR_ANN_CAGR", IQ_LTM,$B$1,$L$4, $L$3, $L$5, $L$6)/100))</f>
        <v>#NAME?</v>
      </c>
      <c r="BQ13" s="466" t="e">
        <f ca="1">IF(_xll.ciqfunctions.udf.CIQ($A13,"IQ_EBITDA_5YR_ANN_CAGR", IQ_LTM,$B$1,$L$4, $L$3, $L$5, $L$6)="NM","n/a",(_xll.ciqfunctions.udf.CIQ($A13,"IQ_EBITDA_5YR_ANN_CAGR", IQ_LTM,$B$1,$L$4, $L$3, $L$5, $L$6)/100))</f>
        <v>#NAME?</v>
      </c>
      <c r="BR13" s="470" t="str">
        <f ca="1">IFERROR((_xll.ciqfunctions.udf.CIQ($A13, "IQ_DA_CF", IQ_LTM, $B$1, $L$4, $L$3, $L$5, $L$6)/Q13),"NM")</f>
        <v>NM</v>
      </c>
      <c r="BS13" s="522">
        <f>'Capital IQ Sheet-GPC'!BS13</f>
        <v>0.30399999999999999</v>
      </c>
      <c r="BT13" s="522">
        <f>'Capital IQ Sheet-GPC'!BT13</f>
        <v>0.36599999999999999</v>
      </c>
      <c r="BU13" s="522">
        <f>'Capital IQ Sheet-GPC'!BU13</f>
        <v>0.40100000000000002</v>
      </c>
      <c r="BV13" s="522">
        <f>'Capital IQ Sheet-GPC'!BV13</f>
        <v>0.38900000000000001</v>
      </c>
      <c r="BW13" s="522">
        <f>'Capital IQ Sheet-GPC'!BW13</f>
        <v>0.41299999999999998</v>
      </c>
      <c r="BX13" s="522">
        <f>'Capital IQ Sheet-GPC'!BX13</f>
        <v>0.44900000000000001</v>
      </c>
      <c r="BY13" s="522">
        <f>'Capital IQ Sheet-GPC'!BY13</f>
        <v>0.49099999999999999</v>
      </c>
      <c r="BZ13" s="522">
        <f>'Capital IQ Sheet-GPC'!BZ13</f>
        <v>0.47799999999999998</v>
      </c>
      <c r="CB13" s="466">
        <v>2</v>
      </c>
      <c r="CC13" s="614" t="s">
        <v>155</v>
      </c>
      <c r="CD13" s="614" t="s">
        <v>154</v>
      </c>
      <c r="CE13" s="468">
        <f>$B$1-365*CB13</f>
        <v>42582</v>
      </c>
    </row>
    <row r="14" spans="1:86" s="466" customFormat="1" ht="12.75">
      <c r="A14" s="467" t="e">
        <f ca="1">_xll.ciqfunctions.udf.CIQ($B14,"IQ_COMPANY_TICKER")</f>
        <v>#NAME?</v>
      </c>
      <c r="B14" s="517" t="str">
        <f>'Capital IQ Sheet-GPC'!B14</f>
        <v>IQ28484</v>
      </c>
      <c r="C14" s="467" t="e">
        <f ca="1">_xll.ciqfunctions.udf.CIQ($A14,"IQ_COMPANY_NAME")</f>
        <v>#NAME?</v>
      </c>
      <c r="D14" s="467" t="e">
        <f ca="1">_xll.ciqfunctions.udf.CIQ($A14, "IQ_EXCHANGE")</f>
        <v>#NAME?</v>
      </c>
      <c r="E14" s="516" t="e">
        <f ca="1">_xll.ciqfunctions.udf.CIQ($A14, "IQ_PERIODDATE_IS", IQ_FY)</f>
        <v>#NAME?</v>
      </c>
      <c r="F14" s="516" t="e">
        <f ca="1">_xll.ciqfunctions.udf.CIQ(A14, "IQ_PERIODDATE_IS", IQ_LTM, $B$1,$L$4,$L$3)</f>
        <v>#NAME?</v>
      </c>
      <c r="G14" s="516" t="e">
        <f ca="1">_xll.ciqfunctions.udf.CIQ($A14, "IQ_FIRSTPRICINGDATE")</f>
        <v>#NAME?</v>
      </c>
      <c r="H14" s="518" t="e">
        <f ca="1">_xll.ciqfunctions.udf.CIQ($A14, "IQ_TEV", $L$2, $L$5, $L$6)</f>
        <v>#NAME?</v>
      </c>
      <c r="I14" s="518" t="e">
        <f ca="1">_xll.ciqfunctions.udf.CIQ(A14, "IQ_LASTSALEPRICE", $B$1,$L$5)</f>
        <v>#NAME?</v>
      </c>
      <c r="J14" s="518" t="e">
        <f ca="1">_xll.ciqfunctions.udf.CIQ($A14, "IQ_MARKETCAP", $L$2, $L$5, $L$6)</f>
        <v>#NAME?</v>
      </c>
      <c r="K14" s="518" t="e">
        <f ca="1">_xll.ciqfunctions.udf.CIQ($A14, "IQ_TOTAL_DEBT", IQ_LTM, $L$2,$L$4, $L$3, $L$5, $L$6)</f>
        <v>#NAME?</v>
      </c>
      <c r="L14" s="518" t="e">
        <f ca="1">_xll.ciqfunctions.udf.CIQ($A14, "IQ_PREF_EQUITY", IQ_LTM, $L$2, $L$4, $L$3, $L$5, $L$6)</f>
        <v>#NAME?</v>
      </c>
      <c r="M14" s="518" t="e">
        <f ca="1">_xll.ciqfunctions.udf.CIQ($A14, "IQ_MINORITY_INTEREST_TOTAL", IQ_LTM, $L$2, $L$4, $L$3, $L$5, $L$6)</f>
        <v>#NAME?</v>
      </c>
      <c r="N14" s="518" t="e">
        <f ca="1">_xll.ciqfunctions.udf.CIQ($A14, "IQ_CASH_ST_INVEST", IQ_LTM, $L$2, $L$4, $L$3, $L$5, $L$6)</f>
        <v>#NAME?</v>
      </c>
      <c r="O14" s="518" t="e">
        <f ca="1">_xll.ciqfunctions.udf.CIQ($A14, "IQ_TOTAL_REV", IQ_LTM-8, $L$2, $L$4, $L$3, $L$5, $L$6)</f>
        <v>#NAME?</v>
      </c>
      <c r="P14" s="518" t="e">
        <f ca="1">_xll.ciqfunctions.udf.CIQ($A14, "IQ_TOTAL_REV", IQ_LTM - 4, $L$2, $L$4, $L$3, $L$5,$L$6)</f>
        <v>#NAME?</v>
      </c>
      <c r="Q14" s="518" t="e">
        <f ca="1">_xll.ciqfunctions.udf.CIQ($A14, "IQ_TOTAL_REV", IQ_LTM, $L$2, $L$4, $L$3, $L$5, $L$6)</f>
        <v>#NAME?</v>
      </c>
      <c r="R14" s="518" t="e">
        <f ca="1">_xll.ciqfunctions.udf.CIQ($A14, "IQ_TOTAL_REV", $B$2, $L$2, $L$4, $L$3, $L$5, $L$6)</f>
        <v>#NAME?</v>
      </c>
      <c r="S14" s="518" t="e">
        <f ca="1">IF(_xll.ciqfunctions.udf.CIQ($A14, "IQ_TOTAL_REV", $B$3, $L$2,$L$4, $L$3, $L$5, $L$6)=0,Q14,_xll.ciqfunctions.udf.CIQ($A14, "IQ_TOTAL_REV", $B$3, $L$2,$L$4, $L$3, $L$5, $L$6))</f>
        <v>#NAME?</v>
      </c>
      <c r="T14" s="518" t="e">
        <f ca="1">IF(_xll.ciqfunctions.udf.CIQ($A14, "IQ_REVENUE_EST",$B$4, $L$2, "CON", $L$3, $L$5, $L$6)=0,"n/a",_xll.ciqfunctions.udf.CIQ($A14, "IQ_REVENUE_EST",$B$4, $L$2, "CON", $L$3, $L$5, $L$6))</f>
        <v>#NAME?</v>
      </c>
      <c r="U14" s="518" t="e">
        <f ca="1">IF(_xll.ciqfunctions.udf.CIQ($A14, "IQ_REVENUE_EST",$B$5, $L$2, "CON", $L$3, $L$5, $L$6)=0,"n/a",_xll.ciqfunctions.udf.CIQ($A14, "IQ_REVENUE_EST",$B$5, $L$2, "CON", $L$3, $L$5, $L$6))</f>
        <v>#NAME?</v>
      </c>
      <c r="V14" s="518" t="e">
        <f ca="1">IF(_xll.ciqfunctions.udf.CIQ($A14, "IQ_REVENUE_EST",$B$6, $L$2, "CON", $L$3, $L$5, $L$6)=0,"n/a",_xll.ciqfunctions.udf.CIQ($A14, "IQ_REVENUE_EST",$B$6, $L$2, "CON", $L$3, $L$5, $L$6))</f>
        <v>#NAME?</v>
      </c>
      <c r="W14" s="518" t="e">
        <f ca="1">IF(_xll.ciqfunctions.udf.CIQ($A14, "IQ_REVENUE_EST", $B$7, $L$2, "CON", $L$3, $L$5, $L$6)=0,"n/a",_xll.ciqfunctions.udf.CIQ($A14, "IQ_REVENUE_EST",$B$7, $L$2, "CON", $L$3, $L$5, $L$6))</f>
        <v>#NAME?</v>
      </c>
      <c r="X14" s="518" t="e">
        <f ca="1">_xll.ciqfunctions.udf.CIQ($A14, "IQ_EBITDA", IQ_LTM-8, $L$2, $L$4, $L$3, $L$5, $L$6)</f>
        <v>#NAME?</v>
      </c>
      <c r="Y14" s="518" t="e">
        <f ca="1">_xll.ciqfunctions.udf.CIQ($A14, "IQ_EBITDA", IQ_LTM-4, $L$2,$L$4, $L$3, $L$5, $L$6)</f>
        <v>#NAME?</v>
      </c>
      <c r="Z14" s="518" t="e">
        <f ca="1">_xll.ciqfunctions.udf.CIQ($A14, "IQ_EBITDA", IQ_LTM, $L$2, $L$4, $L$3, $L$5, $L$6)</f>
        <v>#NAME?</v>
      </c>
      <c r="AA14" s="518" t="e">
        <f ca="1">_xll.ciqfunctions.udf.CIQ($A14, "IQ_EBITDA", $B$2, $L$2, $L$4, $L$3, $L$5, $L$6)</f>
        <v>#NAME?</v>
      </c>
      <c r="AB14" s="518" t="e">
        <f ca="1">IF(_xll.ciqfunctions.udf.CIQ($A14, "IQ_EBITDA", $B$3, $L$2,$L$4, $L$3, $L$5, $L$6)=0,Z14,_xll.ciqfunctions.udf.CIQ($A14, "IQ_EBITDA", $B$3, $L$2,$L$4, $L$3, $L$5, $L$6))</f>
        <v>#NAME?</v>
      </c>
      <c r="AC14" s="518" t="e">
        <f ca="1">IF(_xll.ciqfunctions.udf.CIQ($A14, "IQ_EBITDA_EST",$B$4, $L$2, "CON", $L$3, $L$5, $L$6)=0,"n/a",_xll.ciqfunctions.udf.CIQ($A14, "IQ_EBITDA_EST",$B$4, $L$2, "CON", $L$3, $L$5, $L$6))</f>
        <v>#NAME?</v>
      </c>
      <c r="AD14" s="518" t="e">
        <f ca="1">IF(_xll.ciqfunctions.udf.CIQ($A14, "IQ_EBITDA_EST",$B$5, $L$2, "CON", $L$3, $L$5, $L$6)=0,"n/a",_xll.ciqfunctions.udf.CIQ($A14, "IQ_EBITDA_EST",$B$5, $L$2, "CON", $L$3, $L$5, $L$6))</f>
        <v>#NAME?</v>
      </c>
      <c r="AE14" s="518" t="e">
        <f ca="1">IF(_xll.ciqfunctions.udf.CIQ($A14, "IQ_EBITDA_EST",$B$6, $L$2, "CON", $L$3, $L$5, $L$6)=0,"n/a",_xll.ciqfunctions.udf.CIQ($A14, "IQ_EBITDA_EST",$B$6, $L$2, "CON", $L$3, $L$5, $L$6))</f>
        <v>#NAME?</v>
      </c>
      <c r="AF14" s="519" t="str">
        <f ca="1">IF(ISERROR(_xll.ciqfunctions.udf.CIQ($A14, "IQ_GROSS_MARGIN", IQ_LTM, $L$2,$L$4, $L$3, $L$5, $L$6)/100), "n/a", _xll.ciqfunctions.udf.CIQ($A14,  "IQ_GROSS_MARGIN", IQ_LTM, $L$2, $L$4, $L$3, $L$5, $L$6)/100)</f>
        <v>n/a</v>
      </c>
      <c r="AG14" s="519" t="str">
        <f ca="1">IF(ISERROR(_xll.ciqfunctions.udf.CIQ($A14,"IQ_EBITDA_MARGIN", IQ_LTM, $L$2, $L$4, $L$3, $L$5, $L$6)/100), "n/a", _xll.ciqfunctions.udf.CIQ($A14, "IQ_EBITDA_MARGIN", IQ_LTM, $L$2, $L$4, $L$3, $L$5, $L$6)/100)</f>
        <v>n/a</v>
      </c>
      <c r="AH14" s="519" t="str">
        <f ca="1">IF(ISERROR(_xll.ciqfunctions.udf.CIQ($A14,"IQ_EBIT_MARGIN", IQ_LTM, $L$2, $L$4, $L$3, $L$5, $L$6)/100), "n/a", _xll.ciqfunctions.udf.CIQ($A14, "IQ_EBIT_MARGIN", IQ_LTM, $L$2, $L$4, $L$3, $L$5, $L$6)/100)</f>
        <v>n/a</v>
      </c>
      <c r="AI14" s="519" t="str">
        <f ca="1">IF(ISERROR(_xll.ciqfunctions.udf.CIQ($A14,"IQ_NI_MARGIN", IQ_LTM, $L$2, $L$4, $L$3, $L$5, $L$6)/100), "n/a", _xll.ciqfunctions.udf.CIQ($A14, "IQ_NI_MARGIN", IQ_LTM, $L$2, $L$4, $L$3, $L$5, $L$6)/100)</f>
        <v>n/a</v>
      </c>
      <c r="AJ14" s="518" t="str">
        <f ca="1">IF(ISERROR(_xll.ciqfunctions.udf.CIQ($A14, "IQ_NET_WORKING_CAP", IQ_LTM-8, $L$2, $L$4, $L$3, $L$5, $L$6)), "n/a", _xll.ciqfunctions.udf.CIQ($A14, "IQ_NET_WORKING_CAP", IQ_LTM-8, $L$2, $L$4, $L$3, $L$5, $L$6))</f>
        <v>n/a</v>
      </c>
      <c r="AK14" s="518" t="str">
        <f ca="1">IF(ISERROR(_xll.ciqfunctions.udf.CIQ($A14, "IQ_NET_WORKING_CAP", IQ_LTM-4, $L$2, $L$4, $L$3, $L$5, $L$6)), "n/a", _xll.ciqfunctions.udf.CIQ($A14, "IQ_NET_WORKING_CAP", IQ_LTM-4, $L$2, $L$4, $L$3, $L$5, $L$6))</f>
        <v>n/a</v>
      </c>
      <c r="AL14" s="518" t="str">
        <f ca="1">IF(ISERROR(_xll.ciqfunctions.udf.CIQ($A14, "IQ_NET_WORKING_CAP", IQ_LTM, $L$2,$L$4, $L$3, $L$5, $L$6)), "n/a", _xll.ciqfunctions.udf.CIQ($A14, "IQ_NET_WORKING_CAP", IQ_LTM, $L$2, $L$4, $L$3, $L$5, $L$6))</f>
        <v>n/a</v>
      </c>
      <c r="AM14" s="518" t="str">
        <f ca="1">IF(ISERROR(_xll.ciqfunctions.udf.CIQ($A14, "IQ_Capex", IQ_LTM-8, $L$2,$L$4, $L$3, $L$5, $L$6)), "n/a", _xll.ciqfunctions.udf.CIQ($A14, "IQ_Capex", IQ_LTM-8, $L$2, $L$4, $L$3, $L$5, $L$6))</f>
        <v>n/a</v>
      </c>
      <c r="AN14" s="518" t="str">
        <f ca="1">IF(ISERROR(_xll.ciqfunctions.udf.CIQ($A14, "IQ_Capex", IQ_LTM-4, $L$2,$L$4, $L$3, $L$5, $L$6)), "n/a", _xll.ciqfunctions.udf.CIQ($A14, "IQ_Capex", IQ_LTM-4, $L$2,$L$4, $L$3, $L$5, $L$6))</f>
        <v>n/a</v>
      </c>
      <c r="AO14" s="518" t="str">
        <f ca="1">IF(ISERROR(_xll.ciqfunctions.udf.CIQ($A14, "IQ_Capex", IQ_LTM, $L$2, $L$4, $L$3, $L$5, $L$6)), "n/a", _xll.ciqfunctions.udf.CIQ($A14, "IQ_Capex", IQ_LTM, $L$2, $L$4, $L$3, $L$5, $L$6))</f>
        <v>n/a</v>
      </c>
      <c r="AP14" s="520" t="e">
        <f ca="1">_xll.ciqfunctions.udf.CIQ(A14, "IQ_BUSINESS_DESCRIPTION")</f>
        <v>#NAME?</v>
      </c>
      <c r="AQ14" s="521" t="e">
        <f ca="1">_xll.ciqfunctions.udf.CIQ($A14, "IQ_BETA_1YR", $B$1)</f>
        <v>#NAME?</v>
      </c>
      <c r="AR14" s="521" t="e">
        <f ca="1">_xll.ciqfunctions.udf.CIQ($A14, "IQ_BETA_2YR", $B$1)</f>
        <v>#NAME?</v>
      </c>
      <c r="AS14" s="521" t="e">
        <f ca="1">_xll.ciqfunctions.udf.CIQ($A14, "IQ_BETA_5YR", $B$1)</f>
        <v>#NAME?</v>
      </c>
      <c r="AT14" s="519" t="e">
        <f ca="1">_xll.ciqfunctions.udf.CIQ($A14, "IQ_DIVIDEND_YIELD", $B$1)/100</f>
        <v>#NAME?</v>
      </c>
      <c r="AU14" s="518" t="e">
        <f ca="1">_xll.ciqfunctions.udf.CIQ($A14, "IQ_EARNING_CO", IQ_LTM-8, $L$2, $L$4, $L$3, $L$5, $L$6)</f>
        <v>#NAME?</v>
      </c>
      <c r="AV14" s="518" t="e">
        <f ca="1">_xll.ciqfunctions.udf.CIQ($A14, "IQ_EARNING_CO", IQ_LTM-4, $L$2, $L$4, $L$3, $L$5, $L$6)</f>
        <v>#NAME?</v>
      </c>
      <c r="AW14" s="518" t="e">
        <f ca="1">_xll.ciqfunctions.udf.CIQ($A14, "IQ_EARNING_CO", IQ_LTM, $L$2, $L$4, $L$3, $L$5, $L$6)</f>
        <v>#NAME?</v>
      </c>
      <c r="AX14" s="518" t="e">
        <f ca="1">_xll.ciqfunctions.udf.CIQ($A14, "IQ_EARNING_CO", $B$2, $L$2, $L$4, $L$3, $L$5, $L$6)</f>
        <v>#NAME?</v>
      </c>
      <c r="AY14" s="518" t="e">
        <f ca="1">IF(_xll.ciqfunctions.udf.CIQ($A14, "IQ_EARNING_CO", $B$3, $L$2,$L$4, $L$3, $L$5, $L$6)=0,AW14,_xll.ciqfunctions.udf.CIQ($A14, "IQ_EARNING_CO", $B$3, $L$2,$L$4, $L$3, $L$5, $L$6))</f>
        <v>#NAME?</v>
      </c>
      <c r="AZ14" s="518" t="e">
        <f ca="1">_xll.ciqfunctions.udf.CIQ($A14, "IQ_TOTAL_EQUITY", IQ_LTM-8, $L$2, $L$4, $L$3, $L$5, $L$6)</f>
        <v>#NAME?</v>
      </c>
      <c r="BA14" s="518" t="e">
        <f ca="1">_xll.ciqfunctions.udf.CIQ($A14, "IQ_TOTAL_EQUITY", IQ_LTM-4, $L$2, $L$4, $L$3, $L$5, $L$6)</f>
        <v>#NAME?</v>
      </c>
      <c r="BB14" s="518" t="e">
        <f ca="1">_xll.ciqfunctions.udf.CIQ($A14, "IQ_TOTAL_EQUITY", IQ_LTM, $L$2, $L$4, $L$3, $L$5, $L$6)</f>
        <v>#NAME?</v>
      </c>
      <c r="BC14" s="518" t="e">
        <f ca="1">_xll.ciqfunctions.udf.CIQ($A14, "IQ_TOTAL_EQUITY", $B$2, $L$2, $L$4, $L$3, $L$5, $L$6)</f>
        <v>#NAME?</v>
      </c>
      <c r="BD14" s="518" t="e">
        <f ca="1">IF(_xll.ciqfunctions.udf.CIQ($A14, "IQ_TOTAL_EQUITY", $B$3, $L$2,$L$4, $L$3, $L$5, $L$6)=0,BB14,_xll.ciqfunctions.udf.CIQ($A14, "IQ_TOTAL_EQUITY", $B$3, $L$2,$L$4, $L$3, $L$5, $L$6))</f>
        <v>#NAME?</v>
      </c>
      <c r="BE14" s="518" t="e">
        <f ca="1">_xll.ciqfunctions.udf.CIQ(A14, "IQ_LASTSALEPRICE", $B$8)</f>
        <v>#NAME?</v>
      </c>
      <c r="BF14" s="518" t="e">
        <f ca="1">_xll.ciqfunctions.udf.CIQ($A14, "IQ_MARKETCAP", $B$8, $L$5, $L$6)</f>
        <v>#NAME?</v>
      </c>
      <c r="BG14" s="518" t="e">
        <f ca="1">_xll.ciqfunctions.udf.CIQ($A14, "IQ_TOTAL_DEBT", IQ_LTM, $B$8,$L$4, $L$3, $L$5, $L$6)</f>
        <v>#NAME?</v>
      </c>
      <c r="BH14" s="466" t="e">
        <f ca="1">_xll.ciqfunctions.udf.CIQ($A14,"IQ_PREF_EQUITY",IQ_LTM,$B$8,$L$4,$L$3,$L$5,$L$6)</f>
        <v>#NAME?</v>
      </c>
      <c r="BI14" s="466" t="e">
        <f ca="1">_xll.ciqfunctions.udf.CIQ($A14, "IQ_MINORITY_INTEREST_TOTAL", IQ_LTM,$B$8,$L$4,$L$3,$L$5,$L$6)</f>
        <v>#NAME?</v>
      </c>
      <c r="BJ14" s="518" t="e">
        <f ca="1">_xll.ciqfunctions.udf.CIQ($A14, "IQ_CASH_ST_INVEST", IQ_LTM, $B$8, $L$4, $L$3, $L$5, $L$6)</f>
        <v>#NAME?</v>
      </c>
      <c r="BK14" s="466" t="e">
        <f ca="1">_xll.ciqfunctions.udf.CIQ($A14, "IQ_EFFECT_TAX_RATE")</f>
        <v>#NAME?</v>
      </c>
      <c r="BL14" s="466" t="e">
        <f ca="1">IF(_xll.ciqfunctions.udf.CIQ($A14, "IQ_TOTAL_REV_2YR_ANN_CAGR", IQ_LTM, $B$1,$L$4, $L$3, $L$5, $L$6)="NM","n/a",(_xll.ciqfunctions.udf.CIQ($A14, "IQ_TOTAL_REV_2YR_ANN_CAGR", IQ_LTM, $B$1,$L$4, $L$3, $L$5, $L$6)/100))</f>
        <v>#NAME?</v>
      </c>
      <c r="BM14" s="466" t="e">
        <f ca="1">IF(_xll.ciqfunctions.udf.CIQ($A14, "IQ_TOTAL_REV_3YR_ANN_CAGR", IQ_LTM, $B$1,$L$4, $L$3, $L$5, $L$6)="NM","n/a",(_xll.ciqfunctions.udf.CIQ($A14, "IQ_TOTAL_REV_3YR_ANN_CAGR", IQ_LTM, $B$1,$L$4, $L$3, $L$5, $L$6)/100))</f>
        <v>#NAME?</v>
      </c>
      <c r="BN14" s="466" t="e">
        <f ca="1">IF(_xll.ciqfunctions.udf.CIQ($A14, "IQ_TOTAL_REV_5YR_ANN_CAGR", IQ_LTM, $B$1,$L$4, $L$3, $L$5, $L$6)="NM","n/a",(_xll.ciqfunctions.udf.CIQ($A14, "IQ_TOTAL_REV_5YR_ANN_CAGR", IQ_LTM, $B$1,$L$4, $L$3, $L$5, $L$6)/100))</f>
        <v>#NAME?</v>
      </c>
      <c r="BO14" s="466" t="e">
        <f ca="1">IF(_xll.ciqfunctions.udf.CIQ($A14,"IQ_EBITDA_2YR_ANN_CAGR", IQ_LTM,$B$1,$L$4, $L$3, $L$5, $L$6)="NM","n/a",(_xll.ciqfunctions.udf.CIQ($A14,"IQ_EBITDA_2YR_ANN_CAGR", IQ_LTM,$B$1,$L$4, $L$3, $L$5, $L$6)/100))</f>
        <v>#NAME?</v>
      </c>
      <c r="BP14" s="466" t="e">
        <f ca="1">IF(_xll.ciqfunctions.udf.CIQ($A14,"IQ_EBITDA_3YR_ANN_CAGR", IQ_LTM,$B$1,$L$4, $L$3, $L$5, $L$6)="NM","n/a",(_xll.ciqfunctions.udf.CIQ($A14,"IQ_EBITDA_3YR_ANN_CAGR", IQ_LTM,$B$1,$L$4, $L$3, $L$5, $L$6)/100))</f>
        <v>#NAME?</v>
      </c>
      <c r="BQ14" s="466" t="e">
        <f ca="1">IF(_xll.ciqfunctions.udf.CIQ($A14,"IQ_EBITDA_5YR_ANN_CAGR", IQ_LTM,$B$1,$L$4, $L$3, $L$5, $L$6)="NM","n/a",(_xll.ciqfunctions.udf.CIQ($A14,"IQ_EBITDA_5YR_ANN_CAGR", IQ_LTM,$B$1,$L$4, $L$3, $L$5, $L$6)/100))</f>
        <v>#NAME?</v>
      </c>
      <c r="BR14" s="470" t="str">
        <f ca="1">IFERROR((_xll.ciqfunctions.udf.CIQ($A14, "IQ_DA_CF", IQ_LTM, $B$1, $L$4, $L$3, $L$5, $L$6)/Q14),"NM")</f>
        <v>NM</v>
      </c>
      <c r="BS14" s="522">
        <f>'Capital IQ Sheet-GPC'!BS14</f>
        <v>0.60599999999999998</v>
      </c>
      <c r="BT14" s="522">
        <f>'Capital IQ Sheet-GPC'!BT14</f>
        <v>0.57199999999999995</v>
      </c>
      <c r="BU14" s="522">
        <f>'Capital IQ Sheet-GPC'!BU14</f>
        <v>0.60099999999999998</v>
      </c>
      <c r="BV14" s="522">
        <f>'Capital IQ Sheet-GPC'!BV14</f>
        <v>0.59599999999999997</v>
      </c>
      <c r="BW14" s="522" t="str">
        <f>'Capital IQ Sheet-GPC'!BW14</f>
        <v>n/a</v>
      </c>
      <c r="BX14" s="522" t="str">
        <f>'Capital IQ Sheet-GPC'!BX14</f>
        <v>n/a</v>
      </c>
      <c r="BY14" s="522" t="str">
        <f>'Capital IQ Sheet-GPC'!BY14</f>
        <v>n/a</v>
      </c>
      <c r="BZ14" s="522" t="str">
        <f>'Capital IQ Sheet-GPC'!BZ14</f>
        <v>n/a</v>
      </c>
      <c r="CB14" s="466">
        <v>2</v>
      </c>
      <c r="CC14" s="614" t="s">
        <v>155</v>
      </c>
      <c r="CD14" s="614" t="s">
        <v>154</v>
      </c>
      <c r="CE14" s="468">
        <f t="shared" ref="CE14:CE42" si="0">$B$1-365*CB14</f>
        <v>42582</v>
      </c>
    </row>
    <row r="15" spans="1:86" s="466" customFormat="1" ht="12.75">
      <c r="A15" s="467" t="e">
        <f ca="1">_xll.ciqfunctions.udf.CIQ($B15,"IQ_COMPANY_TICKER")</f>
        <v>#NAME?</v>
      </c>
      <c r="B15" s="517" t="str">
        <f>'Capital IQ Sheet-GPC'!B15</f>
        <v>IQ1716658</v>
      </c>
      <c r="C15" s="467" t="e">
        <f ca="1">_xll.ciqfunctions.udf.CIQ($A15,"IQ_COMPANY_NAME")</f>
        <v>#NAME?</v>
      </c>
      <c r="D15" s="467" t="e">
        <f ca="1">_xll.ciqfunctions.udf.CIQ($A15, "IQ_EXCHANGE")</f>
        <v>#NAME?</v>
      </c>
      <c r="E15" s="516" t="e">
        <f ca="1">_xll.ciqfunctions.udf.CIQ($A15, "IQ_PERIODDATE_IS", IQ_FY)</f>
        <v>#NAME?</v>
      </c>
      <c r="F15" s="516" t="e">
        <f ca="1">_xll.ciqfunctions.udf.CIQ(A15, "IQ_PERIODDATE_IS", IQ_LTM, $B$1,$L$4,$L$3)</f>
        <v>#NAME?</v>
      </c>
      <c r="G15" s="516" t="e">
        <f ca="1">_xll.ciqfunctions.udf.CIQ($A15, "IQ_FIRSTPRICINGDATE")</f>
        <v>#NAME?</v>
      </c>
      <c r="H15" s="518" t="e">
        <f ca="1">_xll.ciqfunctions.udf.CIQ($A15, "IQ_TEV", $L$2, $L$5, $L$6)</f>
        <v>#NAME?</v>
      </c>
      <c r="I15" s="518" t="e">
        <f ca="1">_xll.ciqfunctions.udf.CIQ(A15, "IQ_LASTSALEPRICE", $B$1,$L$5)</f>
        <v>#NAME?</v>
      </c>
      <c r="J15" s="518" t="e">
        <f ca="1">_xll.ciqfunctions.udf.CIQ($A15, "IQ_MARKETCAP", $L$2, $L$5, $L$6)</f>
        <v>#NAME?</v>
      </c>
      <c r="K15" s="518" t="e">
        <f ca="1">_xll.ciqfunctions.udf.CIQ($A15, "IQ_TOTAL_DEBT", IQ_LTM, $L$2,$L$4, $L$3, $L$5, $L$6)</f>
        <v>#NAME?</v>
      </c>
      <c r="L15" s="518" t="e">
        <f ca="1">_xll.ciqfunctions.udf.CIQ($A15, "IQ_PREF_EQUITY", IQ_LTM, $L$2, $L$4, $L$3, $L$5, $L$6)</f>
        <v>#NAME?</v>
      </c>
      <c r="M15" s="518" t="e">
        <f ca="1">_xll.ciqfunctions.udf.CIQ($A15, "IQ_MINORITY_INTEREST_TOTAL", IQ_LTM, $L$2, $L$4, $L$3, $L$5, $L$6)</f>
        <v>#NAME?</v>
      </c>
      <c r="N15" s="518" t="e">
        <f ca="1">_xll.ciqfunctions.udf.CIQ($A15, "IQ_CASH_ST_INVEST", IQ_LTM, $L$2, $L$4, $L$3, $L$5, $L$6)</f>
        <v>#NAME?</v>
      </c>
      <c r="O15" s="518" t="e">
        <f ca="1">_xll.ciqfunctions.udf.CIQ($A15, "IQ_TOTAL_REV", IQ_LTM-8, $L$2, $L$4, $L$3, $L$5, $L$6)</f>
        <v>#NAME?</v>
      </c>
      <c r="P15" s="518" t="e">
        <f ca="1">_xll.ciqfunctions.udf.CIQ($A15, "IQ_TOTAL_REV", IQ_LTM - 4, $L$2, $L$4, $L$3, $L$5,$L$6)</f>
        <v>#NAME?</v>
      </c>
      <c r="Q15" s="518" t="e">
        <f ca="1">_xll.ciqfunctions.udf.CIQ($A15, "IQ_TOTAL_REV", IQ_LTM, $L$2, $L$4, $L$3, $L$5, $L$6)</f>
        <v>#NAME?</v>
      </c>
      <c r="R15" s="518" t="e">
        <f ca="1">_xll.ciqfunctions.udf.CIQ($A15, "IQ_TOTAL_REV", $B$2, $L$2, $L$4, $L$3, $L$5, $L$6)</f>
        <v>#NAME?</v>
      </c>
      <c r="S15" s="518" t="e">
        <f ca="1">IF(_xll.ciqfunctions.udf.CIQ($A15, "IQ_TOTAL_REV", $B$3, $L$2,$L$4, $L$3, $L$5, $L$6)=0,Q15,_xll.ciqfunctions.udf.CIQ($A15, "IQ_TOTAL_REV", $B$3, $L$2,$L$4, $L$3, $L$5, $L$6))</f>
        <v>#NAME?</v>
      </c>
      <c r="T15" s="518" t="e">
        <f ca="1">IF(_xll.ciqfunctions.udf.CIQ($A15, "IQ_REVENUE_EST",$B$4, $L$2, "CON", $L$3, $L$5, $L$6)=0,"n/a",_xll.ciqfunctions.udf.CIQ($A15, "IQ_REVENUE_EST",$B$4, $L$2, "CON", $L$3, $L$5, $L$6))</f>
        <v>#NAME?</v>
      </c>
      <c r="U15" s="518" t="e">
        <f ca="1">IF(_xll.ciqfunctions.udf.CIQ($A15, "IQ_REVENUE_EST",$B$5, $L$2, "CON", $L$3, $L$5, $L$6)=0,"n/a",_xll.ciqfunctions.udf.CIQ($A15, "IQ_REVENUE_EST",$B$5, $L$2, "CON", $L$3, $L$5, $L$6))</f>
        <v>#NAME?</v>
      </c>
      <c r="V15" s="518" t="e">
        <f ca="1">IF(_xll.ciqfunctions.udf.CIQ($A15, "IQ_REVENUE_EST",$B$6, $L$2, "CON", $L$3, $L$5, $L$6)=0,"n/a",_xll.ciqfunctions.udf.CIQ($A15, "IQ_REVENUE_EST",$B$6, $L$2, "CON", $L$3, $L$5, $L$6))</f>
        <v>#NAME?</v>
      </c>
      <c r="W15" s="518" t="e">
        <f ca="1">IF(_xll.ciqfunctions.udf.CIQ($A15, "IQ_REVENUE_EST", $B$7, $L$2, "CON", $L$3, $L$5, $L$6)=0,"n/a",_xll.ciqfunctions.udf.CIQ($A15, "IQ_REVENUE_EST",$B$7, $L$2, "CON", $L$3, $L$5, $L$6))</f>
        <v>#NAME?</v>
      </c>
      <c r="X15" s="518" t="e">
        <f ca="1">_xll.ciqfunctions.udf.CIQ($A15, "IQ_EBITDA", IQ_LTM-8, $L$2, $L$4, $L$3, $L$5, $L$6)</f>
        <v>#NAME?</v>
      </c>
      <c r="Y15" s="518" t="e">
        <f ca="1">_xll.ciqfunctions.udf.CIQ($A15, "IQ_EBITDA", IQ_LTM-4, $L$2,$L$4, $L$3, $L$5, $L$6)</f>
        <v>#NAME?</v>
      </c>
      <c r="Z15" s="518" t="e">
        <f ca="1">_xll.ciqfunctions.udf.CIQ($A15, "IQ_EBITDA", IQ_LTM, $L$2, $L$4, $L$3, $L$5, $L$6)</f>
        <v>#NAME?</v>
      </c>
      <c r="AA15" s="518" t="e">
        <f ca="1">_xll.ciqfunctions.udf.CIQ($A15, "IQ_EBITDA", $B$2, $L$2, $L$4, $L$3, $L$5, $L$6)</f>
        <v>#NAME?</v>
      </c>
      <c r="AB15" s="518" t="e">
        <f ca="1">IF(_xll.ciqfunctions.udf.CIQ($A15, "IQ_EBITDA", $B$3, $L$2,$L$4, $L$3, $L$5, $L$6)=0,Z15,_xll.ciqfunctions.udf.CIQ($A15, "IQ_EBITDA", $B$3, $L$2,$L$4, $L$3, $L$5, $L$6))</f>
        <v>#NAME?</v>
      </c>
      <c r="AC15" s="518" t="e">
        <f ca="1">IF(_xll.ciqfunctions.udf.CIQ($A15, "IQ_EBITDA_EST",$B$4, $L$2, "CON", $L$3, $L$5, $L$6)=0,"n/a",_xll.ciqfunctions.udf.CIQ($A15, "IQ_EBITDA_EST",$B$4, $L$2, "CON", $L$3, $L$5, $L$6))</f>
        <v>#NAME?</v>
      </c>
      <c r="AD15" s="518" t="e">
        <f ca="1">IF(_xll.ciqfunctions.udf.CIQ($A15, "IQ_EBITDA_EST",$B$5, $L$2, "CON", $L$3, $L$5, $L$6)=0,"n/a",_xll.ciqfunctions.udf.CIQ($A15, "IQ_EBITDA_EST",$B$5, $L$2, "CON", $L$3, $L$5, $L$6))</f>
        <v>#NAME?</v>
      </c>
      <c r="AE15" s="518" t="e">
        <f ca="1">IF(_xll.ciqfunctions.udf.CIQ($A15, "IQ_EBITDA_EST",$B$6, $L$2, "CON", $L$3, $L$5, $L$6)=0,"n/a",_xll.ciqfunctions.udf.CIQ($A15, "IQ_EBITDA_EST",$B$6, $L$2, "CON", $L$3, $L$5, $L$6))</f>
        <v>#NAME?</v>
      </c>
      <c r="AF15" s="519" t="str">
        <f ca="1">IF(ISERROR(_xll.ciqfunctions.udf.CIQ($A15, "IQ_GROSS_MARGIN", IQ_LTM, $L$2,$L$4, $L$3, $L$5, $L$6)/100), "n/a", _xll.ciqfunctions.udf.CIQ($A15,  "IQ_GROSS_MARGIN", IQ_LTM, $L$2, $L$4, $L$3, $L$5, $L$6)/100)</f>
        <v>n/a</v>
      </c>
      <c r="AG15" s="519" t="str">
        <f ca="1">IF(ISERROR(_xll.ciqfunctions.udf.CIQ($A15,"IQ_EBITDA_MARGIN", IQ_LTM, $L$2, $L$4, $L$3, $L$5, $L$6)/100), "n/a", _xll.ciqfunctions.udf.CIQ($A15, "IQ_EBITDA_MARGIN", IQ_LTM, $L$2, $L$4, $L$3, $L$5, $L$6)/100)</f>
        <v>n/a</v>
      </c>
      <c r="AH15" s="519" t="str">
        <f ca="1">IF(ISERROR(_xll.ciqfunctions.udf.CIQ($A15,"IQ_EBIT_MARGIN", IQ_LTM, $L$2, $L$4, $L$3, $L$5, $L$6)/100), "n/a", _xll.ciqfunctions.udf.CIQ($A15, "IQ_EBIT_MARGIN", IQ_LTM, $L$2, $L$4, $L$3, $L$5, $L$6)/100)</f>
        <v>n/a</v>
      </c>
      <c r="AI15" s="519" t="str">
        <f ca="1">IF(ISERROR(_xll.ciqfunctions.udf.CIQ($A15,"IQ_NI_MARGIN", IQ_LTM, $L$2, $L$4, $L$3, $L$5, $L$6)/100), "n/a", _xll.ciqfunctions.udf.CIQ($A15, "IQ_NI_MARGIN", IQ_LTM, $L$2, $L$4, $L$3, $L$5, $L$6)/100)</f>
        <v>n/a</v>
      </c>
      <c r="AJ15" s="518" t="str">
        <f ca="1">IF(ISERROR(_xll.ciqfunctions.udf.CIQ($A15, "IQ_NET_WORKING_CAP", IQ_LTM-8, $L$2, $L$4, $L$3, $L$5, $L$6)), "n/a", _xll.ciqfunctions.udf.CIQ($A15, "IQ_NET_WORKING_CAP", IQ_LTM-8, $L$2, $L$4, $L$3, $L$5, $L$6))</f>
        <v>n/a</v>
      </c>
      <c r="AK15" s="518" t="str">
        <f ca="1">IF(ISERROR(_xll.ciqfunctions.udf.CIQ($A15, "IQ_NET_WORKING_CAP", IQ_LTM-4, $L$2, $L$4, $L$3, $L$5, $L$6)), "n/a", _xll.ciqfunctions.udf.CIQ($A15, "IQ_NET_WORKING_CAP", IQ_LTM-4, $L$2, $L$4, $L$3, $L$5, $L$6))</f>
        <v>n/a</v>
      </c>
      <c r="AL15" s="518" t="str">
        <f ca="1">IF(ISERROR(_xll.ciqfunctions.udf.CIQ($A15, "IQ_NET_WORKING_CAP", IQ_LTM, $L$2,$L$4, $L$3, $L$5, $L$6)), "n/a", _xll.ciqfunctions.udf.CIQ($A15, "IQ_NET_WORKING_CAP", IQ_LTM, $L$2, $L$4, $L$3, $L$5, $L$6))</f>
        <v>n/a</v>
      </c>
      <c r="AM15" s="518" t="str">
        <f ca="1">IF(ISERROR(_xll.ciqfunctions.udf.CIQ($A15, "IQ_Capex", IQ_LTM-8, $L$2,$L$4, $L$3, $L$5, $L$6)), "n/a", _xll.ciqfunctions.udf.CIQ($A15, "IQ_Capex", IQ_LTM-8, $L$2, $L$4, $L$3, $L$5, $L$6))</f>
        <v>n/a</v>
      </c>
      <c r="AN15" s="518" t="str">
        <f ca="1">IF(ISERROR(_xll.ciqfunctions.udf.CIQ($A15, "IQ_Capex", IQ_LTM-4, $L$2,$L$4, $L$3, $L$5, $L$6)), "n/a", _xll.ciqfunctions.udf.CIQ($A15, "IQ_Capex", IQ_LTM-4, $L$2,$L$4, $L$3, $L$5, $L$6))</f>
        <v>n/a</v>
      </c>
      <c r="AO15" s="518" t="str">
        <f ca="1">IF(ISERROR(_xll.ciqfunctions.udf.CIQ($A15, "IQ_Capex", IQ_LTM, $L$2, $L$4, $L$3, $L$5, $L$6)), "n/a", _xll.ciqfunctions.udf.CIQ($A15, "IQ_Capex", IQ_LTM, $L$2, $L$4, $L$3, $L$5, $L$6))</f>
        <v>n/a</v>
      </c>
      <c r="AP15" s="520" t="e">
        <f ca="1">_xll.ciqfunctions.udf.CIQ(A15, "IQ_BUSINESS_DESCRIPTION")</f>
        <v>#NAME?</v>
      </c>
      <c r="AQ15" s="521" t="e">
        <f ca="1">_xll.ciqfunctions.udf.CIQ($A15, "IQ_BETA_1YR", $B$1)</f>
        <v>#NAME?</v>
      </c>
      <c r="AR15" s="521" t="e">
        <f ca="1">_xll.ciqfunctions.udf.CIQ($A15, "IQ_BETA_2YR", $B$1)</f>
        <v>#NAME?</v>
      </c>
      <c r="AS15" s="521" t="e">
        <f ca="1">_xll.ciqfunctions.udf.CIQ($A15, "IQ_BETA_5YR", $B$1)</f>
        <v>#NAME?</v>
      </c>
      <c r="AT15" s="519" t="e">
        <f ca="1">_xll.ciqfunctions.udf.CIQ($A15, "IQ_DIVIDEND_YIELD", $B$1)/100</f>
        <v>#NAME?</v>
      </c>
      <c r="AU15" s="518" t="e">
        <f ca="1">_xll.ciqfunctions.udf.CIQ($A15, "IQ_EARNING_CO", IQ_LTM-8, $L$2, $L$4, $L$3, $L$5, $L$6)</f>
        <v>#NAME?</v>
      </c>
      <c r="AV15" s="518" t="e">
        <f ca="1">_xll.ciqfunctions.udf.CIQ($A15, "IQ_EARNING_CO", IQ_LTM-4, $L$2, $L$4, $L$3, $L$5, $L$6)</f>
        <v>#NAME?</v>
      </c>
      <c r="AW15" s="518" t="e">
        <f ca="1">_xll.ciqfunctions.udf.CIQ($A15, "IQ_EARNING_CO", IQ_LTM, $L$2, $L$4, $L$3, $L$5, $L$6)</f>
        <v>#NAME?</v>
      </c>
      <c r="AX15" s="518" t="e">
        <f ca="1">_xll.ciqfunctions.udf.CIQ($A15, "IQ_EARNING_CO", $B$2, $L$2, $L$4, $L$3, $L$5, $L$6)</f>
        <v>#NAME?</v>
      </c>
      <c r="AY15" s="518" t="e">
        <f ca="1">IF(_xll.ciqfunctions.udf.CIQ($A15, "IQ_EARNING_CO", $B$3, $L$2,$L$4, $L$3, $L$5, $L$6)=0,AW15,_xll.ciqfunctions.udf.CIQ($A15, "IQ_EARNING_CO", $B$3, $L$2,$L$4, $L$3, $L$5, $L$6))</f>
        <v>#NAME?</v>
      </c>
      <c r="AZ15" s="518" t="e">
        <f ca="1">_xll.ciqfunctions.udf.CIQ($A15, "IQ_TOTAL_EQUITY", IQ_LTM-8, $L$2, $L$4, $L$3, $L$5, $L$6)</f>
        <v>#NAME?</v>
      </c>
      <c r="BA15" s="518" t="e">
        <f ca="1">_xll.ciqfunctions.udf.CIQ($A15, "IQ_TOTAL_EQUITY", IQ_LTM-4, $L$2, $L$4, $L$3, $L$5, $L$6)</f>
        <v>#NAME?</v>
      </c>
      <c r="BB15" s="518" t="e">
        <f ca="1">_xll.ciqfunctions.udf.CIQ($A15, "IQ_TOTAL_EQUITY", IQ_LTM, $L$2, $L$4, $L$3, $L$5, $L$6)</f>
        <v>#NAME?</v>
      </c>
      <c r="BC15" s="518" t="e">
        <f ca="1">_xll.ciqfunctions.udf.CIQ($A15, "IQ_TOTAL_EQUITY", $B$2, $L$2, $L$4, $L$3, $L$5, $L$6)</f>
        <v>#NAME?</v>
      </c>
      <c r="BD15" s="518" t="e">
        <f ca="1">IF(_xll.ciqfunctions.udf.CIQ($A15, "IQ_TOTAL_EQUITY", $B$3, $L$2,$L$4, $L$3, $L$5, $L$6)=0,BB15,_xll.ciqfunctions.udf.CIQ($A15, "IQ_TOTAL_EQUITY", $B$3, $L$2,$L$4, $L$3, $L$5, $L$6))</f>
        <v>#NAME?</v>
      </c>
      <c r="BE15" s="518" t="e">
        <f ca="1">_xll.ciqfunctions.udf.CIQ(A15, "IQ_LASTSALEPRICE", $B$8)</f>
        <v>#NAME?</v>
      </c>
      <c r="BF15" s="518" t="e">
        <f ca="1">_xll.ciqfunctions.udf.CIQ($A15, "IQ_MARKETCAP", $B$8, $L$5, $L$6)</f>
        <v>#NAME?</v>
      </c>
      <c r="BG15" s="518" t="e">
        <f ca="1">_xll.ciqfunctions.udf.CIQ($A15, "IQ_TOTAL_DEBT", IQ_LTM, $B$8,$L$4, $L$3, $L$5, $L$6)</f>
        <v>#NAME?</v>
      </c>
      <c r="BH15" s="466" t="e">
        <f ca="1">_xll.ciqfunctions.udf.CIQ($A15,"IQ_PREF_EQUITY",IQ_LTM,$B$8,$L$4,$L$3,$L$5,$L$6)</f>
        <v>#NAME?</v>
      </c>
      <c r="BI15" s="466" t="e">
        <f ca="1">_xll.ciqfunctions.udf.CIQ($A15, "IQ_MINORITY_INTEREST_TOTAL", IQ_LTM,$B$8,$L$4,$L$3,$L$5,$L$6)</f>
        <v>#NAME?</v>
      </c>
      <c r="BJ15" s="518" t="e">
        <f ca="1">_xll.ciqfunctions.udf.CIQ($A15, "IQ_CASH_ST_INVEST", IQ_LTM, $B$8, $L$4, $L$3, $L$5, $L$6)</f>
        <v>#NAME?</v>
      </c>
      <c r="BK15" s="466" t="e">
        <f ca="1">_xll.ciqfunctions.udf.CIQ($A15, "IQ_EFFECT_TAX_RATE")</f>
        <v>#NAME?</v>
      </c>
      <c r="BL15" s="466" t="e">
        <f ca="1">IF(_xll.ciqfunctions.udf.CIQ($A15, "IQ_TOTAL_REV_2YR_ANN_CAGR", IQ_LTM, $B$1,$L$4, $L$3, $L$5, $L$6)="NM","n/a",(_xll.ciqfunctions.udf.CIQ($A15, "IQ_TOTAL_REV_2YR_ANN_CAGR", IQ_LTM, $B$1,$L$4, $L$3, $L$5, $L$6)/100))</f>
        <v>#NAME?</v>
      </c>
      <c r="BM15" s="466" t="e">
        <f ca="1">IF(_xll.ciqfunctions.udf.CIQ($A15, "IQ_TOTAL_REV_3YR_ANN_CAGR", IQ_LTM, $B$1,$L$4, $L$3, $L$5, $L$6)="NM","n/a",(_xll.ciqfunctions.udf.CIQ($A15, "IQ_TOTAL_REV_3YR_ANN_CAGR", IQ_LTM, $B$1,$L$4, $L$3, $L$5, $L$6)/100))</f>
        <v>#NAME?</v>
      </c>
      <c r="BN15" s="466" t="e">
        <f ca="1">IF(_xll.ciqfunctions.udf.CIQ($A15, "IQ_TOTAL_REV_5YR_ANN_CAGR", IQ_LTM, $B$1,$L$4, $L$3, $L$5, $L$6)="NM","n/a",(_xll.ciqfunctions.udf.CIQ($A15, "IQ_TOTAL_REV_5YR_ANN_CAGR", IQ_LTM, $B$1,$L$4, $L$3, $L$5, $L$6)/100))</f>
        <v>#NAME?</v>
      </c>
      <c r="BO15" s="466" t="e">
        <f ca="1">IF(_xll.ciqfunctions.udf.CIQ($A15,"IQ_EBITDA_2YR_ANN_CAGR", IQ_LTM,$B$1,$L$4, $L$3, $L$5, $L$6)="NM","n/a",(_xll.ciqfunctions.udf.CIQ($A15,"IQ_EBITDA_2YR_ANN_CAGR", IQ_LTM,$B$1,$L$4, $L$3, $L$5, $L$6)/100))</f>
        <v>#NAME?</v>
      </c>
      <c r="BP15" s="466" t="e">
        <f ca="1">IF(_xll.ciqfunctions.udf.CIQ($A15,"IQ_EBITDA_3YR_ANN_CAGR", IQ_LTM,$B$1,$L$4, $L$3, $L$5, $L$6)="NM","n/a",(_xll.ciqfunctions.udf.CIQ($A15,"IQ_EBITDA_3YR_ANN_CAGR", IQ_LTM,$B$1,$L$4, $L$3, $L$5, $L$6)/100))</f>
        <v>#NAME?</v>
      </c>
      <c r="BQ15" s="466" t="e">
        <f ca="1">IF(_xll.ciqfunctions.udf.CIQ($A15,"IQ_EBITDA_5YR_ANN_CAGR", IQ_LTM,$B$1,$L$4, $L$3, $L$5, $L$6)="NM","n/a",(_xll.ciqfunctions.udf.CIQ($A15,"IQ_EBITDA_5YR_ANN_CAGR", IQ_LTM,$B$1,$L$4, $L$3, $L$5, $L$6)/100))</f>
        <v>#NAME?</v>
      </c>
      <c r="BR15" s="470" t="str">
        <f ca="1">IFERROR((_xll.ciqfunctions.udf.CIQ($A15, "IQ_DA_CF", IQ_LTM, $B$1, $L$4, $L$3, $L$5, $L$6)/Q15),"NM")</f>
        <v>NM</v>
      </c>
      <c r="BS15" s="522">
        <f>'Capital IQ Sheet-GPC'!BS15</f>
        <v>0.30599999999999999</v>
      </c>
      <c r="BT15" s="522">
        <f>'Capital IQ Sheet-GPC'!BT15</f>
        <v>0.30399999999999999</v>
      </c>
      <c r="BU15" s="522">
        <f>'Capital IQ Sheet-GPC'!BU15</f>
        <v>0.40200000000000002</v>
      </c>
      <c r="BV15" s="522">
        <f>'Capital IQ Sheet-GPC'!BV15</f>
        <v>0.42199999999999999</v>
      </c>
      <c r="BW15" s="522">
        <f>'Capital IQ Sheet-GPC'!BW15</f>
        <v>0.41599999999999998</v>
      </c>
      <c r="BX15" s="522" t="str">
        <f>'Capital IQ Sheet-GPC'!BX15</f>
        <v>n/a</v>
      </c>
      <c r="BY15" s="522" t="str">
        <f>'Capital IQ Sheet-GPC'!BY15</f>
        <v>n/a</v>
      </c>
      <c r="BZ15" s="522" t="str">
        <f>'Capital IQ Sheet-GPC'!BZ15</f>
        <v>n/a</v>
      </c>
      <c r="CB15" s="466">
        <v>2</v>
      </c>
      <c r="CC15" s="614" t="s">
        <v>155</v>
      </c>
      <c r="CD15" s="614" t="s">
        <v>154</v>
      </c>
      <c r="CE15" s="468">
        <f t="shared" si="0"/>
        <v>42582</v>
      </c>
    </row>
    <row r="16" spans="1:86" s="466" customFormat="1" ht="12.75">
      <c r="A16" s="467" t="e">
        <f ca="1">_xll.ciqfunctions.udf.CIQ($B16,"IQ_COMPANY_TICKER")</f>
        <v>#NAME?</v>
      </c>
      <c r="B16" s="517" t="str">
        <f>'Capital IQ Sheet-GPC'!B16</f>
        <v>IQ144939852</v>
      </c>
      <c r="C16" s="467" t="e">
        <f ca="1">_xll.ciqfunctions.udf.CIQ($A16,"IQ_COMPANY_NAME")</f>
        <v>#NAME?</v>
      </c>
      <c r="D16" s="467" t="e">
        <f ca="1">_xll.ciqfunctions.udf.CIQ($A16, "IQ_EXCHANGE")</f>
        <v>#NAME?</v>
      </c>
      <c r="E16" s="516" t="e">
        <f ca="1">_xll.ciqfunctions.udf.CIQ($A16, "IQ_PERIODDATE_IS", IQ_FY)</f>
        <v>#NAME?</v>
      </c>
      <c r="F16" s="516" t="e">
        <f ca="1">_xll.ciqfunctions.udf.CIQ(A16, "IQ_PERIODDATE_IS", IQ_LTM, $B$1,$L$4,$L$3)</f>
        <v>#NAME?</v>
      </c>
      <c r="G16" s="516" t="e">
        <f ca="1">_xll.ciqfunctions.udf.CIQ($A16, "IQ_FIRSTPRICINGDATE")</f>
        <v>#NAME?</v>
      </c>
      <c r="H16" s="518" t="e">
        <f ca="1">_xll.ciqfunctions.udf.CIQ($A16, "IQ_TEV", $L$2, $L$5, $L$6)</f>
        <v>#NAME?</v>
      </c>
      <c r="I16" s="518" t="e">
        <f ca="1">_xll.ciqfunctions.udf.CIQ(A16, "IQ_LASTSALEPRICE", $B$1,$L$5)</f>
        <v>#NAME?</v>
      </c>
      <c r="J16" s="518" t="e">
        <f ca="1">_xll.ciqfunctions.udf.CIQ($A16, "IQ_MARKETCAP", $L$2, $L$5, $L$6)</f>
        <v>#NAME?</v>
      </c>
      <c r="K16" s="518" t="e">
        <f ca="1">_xll.ciqfunctions.udf.CIQ($A16, "IQ_TOTAL_DEBT", IQ_LTM, $L$2,$L$4, $L$3, $L$5, $L$6)</f>
        <v>#NAME?</v>
      </c>
      <c r="L16" s="518" t="e">
        <f ca="1">_xll.ciqfunctions.udf.CIQ($A16, "IQ_PREF_EQUITY", IQ_LTM, $L$2, $L$4, $L$3, $L$5, $L$6)</f>
        <v>#NAME?</v>
      </c>
      <c r="M16" s="518" t="e">
        <f ca="1">_xll.ciqfunctions.udf.CIQ($A16, "IQ_MINORITY_INTEREST_TOTAL", IQ_LTM, $L$2, $L$4, $L$3, $L$5, $L$6)</f>
        <v>#NAME?</v>
      </c>
      <c r="N16" s="518" t="e">
        <f ca="1">_xll.ciqfunctions.udf.CIQ($A16, "IQ_CASH_ST_INVEST", IQ_LTM, $L$2, $L$4, $L$3, $L$5, $L$6)</f>
        <v>#NAME?</v>
      </c>
      <c r="O16" s="518" t="e">
        <f ca="1">_xll.ciqfunctions.udf.CIQ($A16, "IQ_TOTAL_REV", IQ_LTM-8, $L$2, $L$4, $L$3, $L$5, $L$6)</f>
        <v>#NAME?</v>
      </c>
      <c r="P16" s="518" t="e">
        <f ca="1">_xll.ciqfunctions.udf.CIQ($A16, "IQ_TOTAL_REV", IQ_LTM - 4, $L$2, $L$4, $L$3, $L$5,$L$6)</f>
        <v>#NAME?</v>
      </c>
      <c r="Q16" s="518" t="e">
        <f ca="1">_xll.ciqfunctions.udf.CIQ($A16, "IQ_TOTAL_REV", IQ_LTM, $L$2, $L$4, $L$3, $L$5, $L$6)</f>
        <v>#NAME?</v>
      </c>
      <c r="R16" s="518" t="e">
        <f ca="1">_xll.ciqfunctions.udf.CIQ($A16, "IQ_TOTAL_REV", $B$2, $L$2, $L$4, $L$3, $L$5, $L$6)</f>
        <v>#NAME?</v>
      </c>
      <c r="S16" s="518" t="e">
        <f ca="1">IF(_xll.ciqfunctions.udf.CIQ($A16, "IQ_TOTAL_REV", $B$3, $L$2,$L$4, $L$3, $L$5, $L$6)=0,Q16,_xll.ciqfunctions.udf.CIQ($A16, "IQ_TOTAL_REV", $B$3, $L$2,$L$4, $L$3, $L$5, $L$6))</f>
        <v>#NAME?</v>
      </c>
      <c r="T16" s="518" t="e">
        <f ca="1">IF(_xll.ciqfunctions.udf.CIQ($A16, "IQ_REVENUE_EST",$B$4, $L$2, "CON", $L$3, $L$5, $L$6)=0,"n/a",_xll.ciqfunctions.udf.CIQ($A16, "IQ_REVENUE_EST",$B$4, $L$2, "CON", $L$3, $L$5, $L$6))</f>
        <v>#NAME?</v>
      </c>
      <c r="U16" s="518" t="e">
        <f ca="1">IF(_xll.ciqfunctions.udf.CIQ($A16, "IQ_REVENUE_EST",$B$5, $L$2, "CON", $L$3, $L$5, $L$6)=0,"n/a",_xll.ciqfunctions.udf.CIQ($A16, "IQ_REVENUE_EST",$B$5, $L$2, "CON", $L$3, $L$5, $L$6))</f>
        <v>#NAME?</v>
      </c>
      <c r="V16" s="518" t="e">
        <f ca="1">IF(_xll.ciqfunctions.udf.CIQ($A16, "IQ_REVENUE_EST",$B$6, $L$2, "CON", $L$3, $L$5, $L$6)=0,"n/a",_xll.ciqfunctions.udf.CIQ($A16, "IQ_REVENUE_EST",$B$6, $L$2, "CON", $L$3, $L$5, $L$6))</f>
        <v>#NAME?</v>
      </c>
      <c r="W16" s="518" t="e">
        <f ca="1">IF(_xll.ciqfunctions.udf.CIQ($A16, "IQ_REVENUE_EST", $B$7, $L$2, "CON", $L$3, $L$5, $L$6)=0,"n/a",_xll.ciqfunctions.udf.CIQ($A16, "IQ_REVENUE_EST",$B$7, $L$2, "CON", $L$3, $L$5, $L$6))</f>
        <v>#NAME?</v>
      </c>
      <c r="X16" s="518" t="e">
        <f ca="1">_xll.ciqfunctions.udf.CIQ($A16, "IQ_EBITDA", IQ_LTM-8, $L$2, $L$4, $L$3, $L$5, $L$6)</f>
        <v>#NAME?</v>
      </c>
      <c r="Y16" s="518" t="e">
        <f ca="1">_xll.ciqfunctions.udf.CIQ($A16, "IQ_EBITDA", IQ_LTM-4, $L$2,$L$4, $L$3, $L$5, $L$6)</f>
        <v>#NAME?</v>
      </c>
      <c r="Z16" s="518" t="e">
        <f ca="1">_xll.ciqfunctions.udf.CIQ($A16, "IQ_EBITDA", IQ_LTM, $L$2, $L$4, $L$3, $L$5, $L$6)</f>
        <v>#NAME?</v>
      </c>
      <c r="AA16" s="518" t="e">
        <f ca="1">_xll.ciqfunctions.udf.CIQ($A16, "IQ_EBITDA", $B$2, $L$2, $L$4, $L$3, $L$5, $L$6)</f>
        <v>#NAME?</v>
      </c>
      <c r="AB16" s="518" t="e">
        <f ca="1">IF(_xll.ciqfunctions.udf.CIQ($A16, "IQ_EBITDA", $B$3, $L$2,$L$4, $L$3, $L$5, $L$6)=0,Z16,_xll.ciqfunctions.udf.CIQ($A16, "IQ_EBITDA", $B$3, $L$2,$L$4, $L$3, $L$5, $L$6))</f>
        <v>#NAME?</v>
      </c>
      <c r="AC16" s="518" t="e">
        <f ca="1">IF(_xll.ciqfunctions.udf.CIQ($A16, "IQ_EBITDA_EST",$B$4, $L$2, "CON", $L$3, $L$5, $L$6)=0,"n/a",_xll.ciqfunctions.udf.CIQ($A16, "IQ_EBITDA_EST",$B$4, $L$2, "CON", $L$3, $L$5, $L$6))</f>
        <v>#NAME?</v>
      </c>
      <c r="AD16" s="518" t="e">
        <f ca="1">IF(_xll.ciqfunctions.udf.CIQ($A16, "IQ_EBITDA_EST",$B$5, $L$2, "CON", $L$3, $L$5, $L$6)=0,"n/a",_xll.ciqfunctions.udf.CIQ($A16, "IQ_EBITDA_EST",$B$5, $L$2, "CON", $L$3, $L$5, $L$6))</f>
        <v>#NAME?</v>
      </c>
      <c r="AE16" s="518" t="e">
        <f ca="1">IF(_xll.ciqfunctions.udf.CIQ($A16, "IQ_EBITDA_EST",$B$6, $L$2, "CON", $L$3, $L$5, $L$6)=0,"n/a",_xll.ciqfunctions.udf.CIQ($A16, "IQ_EBITDA_EST",$B$6, $L$2, "CON", $L$3, $L$5, $L$6))</f>
        <v>#NAME?</v>
      </c>
      <c r="AF16" s="519" t="str">
        <f ca="1">IF(ISERROR(_xll.ciqfunctions.udf.CIQ($A16, "IQ_GROSS_MARGIN", IQ_LTM, $L$2,$L$4, $L$3, $L$5, $L$6)/100), "n/a", _xll.ciqfunctions.udf.CIQ($A16,  "IQ_GROSS_MARGIN", IQ_LTM, $L$2, $L$4, $L$3, $L$5, $L$6)/100)</f>
        <v>n/a</v>
      </c>
      <c r="AG16" s="519" t="str">
        <f ca="1">IF(ISERROR(_xll.ciqfunctions.udf.CIQ($A16,"IQ_EBITDA_MARGIN", IQ_LTM, $L$2, $L$4, $L$3, $L$5, $L$6)/100), "n/a", _xll.ciqfunctions.udf.CIQ($A16, "IQ_EBITDA_MARGIN", IQ_LTM, $L$2, $L$4, $L$3, $L$5, $L$6)/100)</f>
        <v>n/a</v>
      </c>
      <c r="AH16" s="519" t="str">
        <f ca="1">IF(ISERROR(_xll.ciqfunctions.udf.CIQ($A16,"IQ_EBIT_MARGIN", IQ_LTM, $L$2, $L$4, $L$3, $L$5, $L$6)/100), "n/a", _xll.ciqfunctions.udf.CIQ($A16, "IQ_EBIT_MARGIN", IQ_LTM, $L$2, $L$4, $L$3, $L$5, $L$6)/100)</f>
        <v>n/a</v>
      </c>
      <c r="AI16" s="519" t="str">
        <f ca="1">IF(ISERROR(_xll.ciqfunctions.udf.CIQ($A16,"IQ_NI_MARGIN", IQ_LTM, $L$2, $L$4, $L$3, $L$5, $L$6)/100), "n/a", _xll.ciqfunctions.udf.CIQ($A16, "IQ_NI_MARGIN", IQ_LTM, $L$2, $L$4, $L$3, $L$5, $L$6)/100)</f>
        <v>n/a</v>
      </c>
      <c r="AJ16" s="518" t="str">
        <f ca="1">IF(ISERROR(_xll.ciqfunctions.udf.CIQ($A16, "IQ_NET_WORKING_CAP", IQ_LTM-8, $L$2, $L$4, $L$3, $L$5, $L$6)), "n/a", _xll.ciqfunctions.udf.CIQ($A16, "IQ_NET_WORKING_CAP", IQ_LTM-8, $L$2, $L$4, $L$3, $L$5, $L$6))</f>
        <v>n/a</v>
      </c>
      <c r="AK16" s="518" t="str">
        <f ca="1">IF(ISERROR(_xll.ciqfunctions.udf.CIQ($A16, "IQ_NET_WORKING_CAP", IQ_LTM-4, $L$2, $L$4, $L$3, $L$5, $L$6)), "n/a", _xll.ciqfunctions.udf.CIQ($A16, "IQ_NET_WORKING_CAP", IQ_LTM-4, $L$2, $L$4, $L$3, $L$5, $L$6))</f>
        <v>n/a</v>
      </c>
      <c r="AL16" s="518" t="str">
        <f ca="1">IF(ISERROR(_xll.ciqfunctions.udf.CIQ($A16, "IQ_NET_WORKING_CAP", IQ_LTM, $L$2,$L$4, $L$3, $L$5, $L$6)), "n/a", _xll.ciqfunctions.udf.CIQ($A16, "IQ_NET_WORKING_CAP", IQ_LTM, $L$2, $L$4, $L$3, $L$5, $L$6))</f>
        <v>n/a</v>
      </c>
      <c r="AM16" s="518" t="str">
        <f ca="1">IF(ISERROR(_xll.ciqfunctions.udf.CIQ($A16, "IQ_Capex", IQ_LTM-8, $L$2,$L$4, $L$3, $L$5, $L$6)), "n/a", _xll.ciqfunctions.udf.CIQ($A16, "IQ_Capex", IQ_LTM-8, $L$2, $L$4, $L$3, $L$5, $L$6))</f>
        <v>n/a</v>
      </c>
      <c r="AN16" s="518" t="str">
        <f ca="1">IF(ISERROR(_xll.ciqfunctions.udf.CIQ($A16, "IQ_Capex", IQ_LTM-4, $L$2,$L$4, $L$3, $L$5, $L$6)), "n/a", _xll.ciqfunctions.udf.CIQ($A16, "IQ_Capex", IQ_LTM-4, $L$2,$L$4, $L$3, $L$5, $L$6))</f>
        <v>n/a</v>
      </c>
      <c r="AO16" s="518" t="str">
        <f ca="1">IF(ISERROR(_xll.ciqfunctions.udf.CIQ($A16, "IQ_Capex", IQ_LTM, $L$2, $L$4, $L$3, $L$5, $L$6)), "n/a", _xll.ciqfunctions.udf.CIQ($A16, "IQ_Capex", IQ_LTM, $L$2, $L$4, $L$3, $L$5, $L$6))</f>
        <v>n/a</v>
      </c>
      <c r="AP16" s="520" t="e">
        <f ca="1">_xll.ciqfunctions.udf.CIQ(A16, "IQ_BUSINESS_DESCRIPTION")</f>
        <v>#NAME?</v>
      </c>
      <c r="AQ16" s="521" t="e">
        <f ca="1">_xll.ciqfunctions.udf.CIQ($A16, "IQ_BETA_1YR", $B$1)</f>
        <v>#NAME?</v>
      </c>
      <c r="AR16" s="521" t="e">
        <f ca="1">_xll.ciqfunctions.udf.CIQ($A16, "IQ_BETA_2YR", $B$1)</f>
        <v>#NAME?</v>
      </c>
      <c r="AS16" s="521" t="e">
        <f ca="1">_xll.ciqfunctions.udf.CIQ($A16, "IQ_BETA_5YR", $B$1)</f>
        <v>#NAME?</v>
      </c>
      <c r="AT16" s="519" t="e">
        <f ca="1">_xll.ciqfunctions.udf.CIQ($A16, "IQ_DIVIDEND_YIELD", $B$1)/100</f>
        <v>#NAME?</v>
      </c>
      <c r="AU16" s="518" t="e">
        <f ca="1">_xll.ciqfunctions.udf.CIQ($A16, "IQ_EARNING_CO", IQ_LTM-8, $L$2, $L$4, $L$3, $L$5, $L$6)</f>
        <v>#NAME?</v>
      </c>
      <c r="AV16" s="518" t="e">
        <f ca="1">_xll.ciqfunctions.udf.CIQ($A16, "IQ_EARNING_CO", IQ_LTM-4, $L$2, $L$4, $L$3, $L$5, $L$6)</f>
        <v>#NAME?</v>
      </c>
      <c r="AW16" s="518" t="e">
        <f ca="1">_xll.ciqfunctions.udf.CIQ($A16, "IQ_EARNING_CO", IQ_LTM, $L$2, $L$4, $L$3, $L$5, $L$6)</f>
        <v>#NAME?</v>
      </c>
      <c r="AX16" s="518" t="e">
        <f ca="1">_xll.ciqfunctions.udf.CIQ($A16, "IQ_EARNING_CO", $B$2, $L$2, $L$4, $L$3, $L$5, $L$6)</f>
        <v>#NAME?</v>
      </c>
      <c r="AY16" s="518" t="e">
        <f ca="1">IF(_xll.ciqfunctions.udf.CIQ($A16, "IQ_EARNING_CO", $B$3, $L$2,$L$4, $L$3, $L$5, $L$6)=0,AW16,_xll.ciqfunctions.udf.CIQ($A16, "IQ_EARNING_CO", $B$3, $L$2,$L$4, $L$3, $L$5, $L$6))</f>
        <v>#NAME?</v>
      </c>
      <c r="AZ16" s="518" t="e">
        <f ca="1">_xll.ciqfunctions.udf.CIQ($A16, "IQ_TOTAL_EQUITY", IQ_LTM-8, $L$2, $L$4, $L$3, $L$5, $L$6)</f>
        <v>#NAME?</v>
      </c>
      <c r="BA16" s="518" t="e">
        <f ca="1">_xll.ciqfunctions.udf.CIQ($A16, "IQ_TOTAL_EQUITY", IQ_LTM-4, $L$2, $L$4, $L$3, $L$5, $L$6)</f>
        <v>#NAME?</v>
      </c>
      <c r="BB16" s="518" t="e">
        <f ca="1">_xll.ciqfunctions.udf.CIQ($A16, "IQ_TOTAL_EQUITY", IQ_LTM, $L$2, $L$4, $L$3, $L$5, $L$6)</f>
        <v>#NAME?</v>
      </c>
      <c r="BC16" s="518" t="e">
        <f ca="1">_xll.ciqfunctions.udf.CIQ($A16, "IQ_TOTAL_EQUITY", $B$2, $L$2, $L$4, $L$3, $L$5, $L$6)</f>
        <v>#NAME?</v>
      </c>
      <c r="BD16" s="518" t="e">
        <f ca="1">IF(_xll.ciqfunctions.udf.CIQ($A16, "IQ_TOTAL_EQUITY", $B$3, $L$2,$L$4, $L$3, $L$5, $L$6)=0,BB16,_xll.ciqfunctions.udf.CIQ($A16, "IQ_TOTAL_EQUITY", $B$3, $L$2,$L$4, $L$3, $L$5, $L$6))</f>
        <v>#NAME?</v>
      </c>
      <c r="BE16" s="518" t="e">
        <f ca="1">_xll.ciqfunctions.udf.CIQ(A16, "IQ_LASTSALEPRICE", $B$8)</f>
        <v>#NAME?</v>
      </c>
      <c r="BF16" s="518" t="e">
        <f ca="1">_xll.ciqfunctions.udf.CIQ($A16, "IQ_MARKETCAP", $B$8, $L$5, $L$6)</f>
        <v>#NAME?</v>
      </c>
      <c r="BG16" s="518" t="e">
        <f ca="1">_xll.ciqfunctions.udf.CIQ($A16, "IQ_TOTAL_DEBT", IQ_LTM, $B$8,$L$4, $L$3, $L$5, $L$6)</f>
        <v>#NAME?</v>
      </c>
      <c r="BH16" s="466" t="e">
        <f ca="1">_xll.ciqfunctions.udf.CIQ($A16,"IQ_PREF_EQUITY",IQ_LTM,$B$8,$L$4,$L$3,$L$5,$L$6)</f>
        <v>#NAME?</v>
      </c>
      <c r="BI16" s="466" t="e">
        <f ca="1">_xll.ciqfunctions.udf.CIQ($A16, "IQ_MINORITY_INTEREST_TOTAL", IQ_LTM,$B$8,$L$4,$L$3,$L$5,$L$6)</f>
        <v>#NAME?</v>
      </c>
      <c r="BJ16" s="518" t="e">
        <f ca="1">_xll.ciqfunctions.udf.CIQ($A16, "IQ_CASH_ST_INVEST", IQ_LTM, $B$8, $L$4, $L$3, $L$5, $L$6)</f>
        <v>#NAME?</v>
      </c>
      <c r="BK16" s="466" t="e">
        <f ca="1">_xll.ciqfunctions.udf.CIQ($A16, "IQ_EFFECT_TAX_RATE")</f>
        <v>#NAME?</v>
      </c>
      <c r="BL16" s="466" t="e">
        <f ca="1">IF(_xll.ciqfunctions.udf.CIQ($A16, "IQ_TOTAL_REV_2YR_ANN_CAGR", IQ_LTM, $B$1,$L$4, $L$3, $L$5, $L$6)="NM","n/a",(_xll.ciqfunctions.udf.CIQ($A16, "IQ_TOTAL_REV_2YR_ANN_CAGR", IQ_LTM, $B$1,$L$4, $L$3, $L$5, $L$6)/100))</f>
        <v>#NAME?</v>
      </c>
      <c r="BM16" s="466" t="e">
        <f ca="1">IF(_xll.ciqfunctions.udf.CIQ($A16, "IQ_TOTAL_REV_3YR_ANN_CAGR", IQ_LTM, $B$1,$L$4, $L$3, $L$5, $L$6)="NM","n/a",(_xll.ciqfunctions.udf.CIQ($A16, "IQ_TOTAL_REV_3YR_ANN_CAGR", IQ_LTM, $B$1,$L$4, $L$3, $L$5, $L$6)/100))</f>
        <v>#NAME?</v>
      </c>
      <c r="BN16" s="466" t="e">
        <f ca="1">IF(_xll.ciqfunctions.udf.CIQ($A16, "IQ_TOTAL_REV_5YR_ANN_CAGR", IQ_LTM, $B$1,$L$4, $L$3, $L$5, $L$6)="NM","n/a",(_xll.ciqfunctions.udf.CIQ($A16, "IQ_TOTAL_REV_5YR_ANN_CAGR", IQ_LTM, $B$1,$L$4, $L$3, $L$5, $L$6)/100))</f>
        <v>#NAME?</v>
      </c>
      <c r="BO16" s="466" t="e">
        <f ca="1">IF(_xll.ciqfunctions.udf.CIQ($A16,"IQ_EBITDA_2YR_ANN_CAGR", IQ_LTM,$B$1,$L$4, $L$3, $L$5, $L$6)="NM","n/a",(_xll.ciqfunctions.udf.CIQ($A16,"IQ_EBITDA_2YR_ANN_CAGR", IQ_LTM,$B$1,$L$4, $L$3, $L$5, $L$6)/100))</f>
        <v>#NAME?</v>
      </c>
      <c r="BP16" s="466" t="e">
        <f ca="1">IF(_xll.ciqfunctions.udf.CIQ($A16,"IQ_EBITDA_3YR_ANN_CAGR", IQ_LTM,$B$1,$L$4, $L$3, $L$5, $L$6)="NM","n/a",(_xll.ciqfunctions.udf.CIQ($A16,"IQ_EBITDA_3YR_ANN_CAGR", IQ_LTM,$B$1,$L$4, $L$3, $L$5, $L$6)/100))</f>
        <v>#NAME?</v>
      </c>
      <c r="BQ16" s="466" t="e">
        <f ca="1">IF(_xll.ciqfunctions.udf.CIQ($A16,"IQ_EBITDA_5YR_ANN_CAGR", IQ_LTM,$B$1,$L$4, $L$3, $L$5, $L$6)="NM","n/a",(_xll.ciqfunctions.udf.CIQ($A16,"IQ_EBITDA_5YR_ANN_CAGR", IQ_LTM,$B$1,$L$4, $L$3, $L$5, $L$6)/100))</f>
        <v>#NAME?</v>
      </c>
      <c r="BR16" s="470" t="str">
        <f ca="1">IFERROR((_xll.ciqfunctions.udf.CIQ($A16, "IQ_DA_CF", IQ_LTM, $B$1, $L$4, $L$3, $L$5, $L$6)/Q16),"NM")</f>
        <v>NM</v>
      </c>
      <c r="BS16" s="522">
        <f>'Capital IQ Sheet-GPC'!BS16</f>
        <v>1.35</v>
      </c>
      <c r="BT16" s="522">
        <f>'Capital IQ Sheet-GPC'!BT16</f>
        <v>1.006</v>
      </c>
      <c r="BU16" s="522">
        <f>'Capital IQ Sheet-GPC'!BU16</f>
        <v>1.016</v>
      </c>
      <c r="BV16" s="522" t="str">
        <f>'Capital IQ Sheet-GPC'!BV16</f>
        <v>n/a</v>
      </c>
      <c r="BW16" s="522" t="str">
        <f>'Capital IQ Sheet-GPC'!BW16</f>
        <v>n/a</v>
      </c>
      <c r="BX16" s="522" t="str">
        <f>'Capital IQ Sheet-GPC'!BX16</f>
        <v>n/a</v>
      </c>
      <c r="BY16" s="522" t="str">
        <f>'Capital IQ Sheet-GPC'!BY16</f>
        <v>n/a</v>
      </c>
      <c r="BZ16" s="522" t="str">
        <f>'Capital IQ Sheet-GPC'!BZ16</f>
        <v>n/a</v>
      </c>
      <c r="CB16" s="466">
        <v>2</v>
      </c>
      <c r="CC16" s="614" t="s">
        <v>155</v>
      </c>
      <c r="CD16" s="614" t="s">
        <v>154</v>
      </c>
      <c r="CE16" s="468">
        <f t="shared" si="0"/>
        <v>42582</v>
      </c>
    </row>
    <row r="17" spans="1:83" s="466" customFormat="1" ht="12.75">
      <c r="A17" s="467" t="e">
        <f ca="1">_xll.ciqfunctions.udf.CIQ($B17,"IQ_COMPANY_TICKER")</f>
        <v>#NAME?</v>
      </c>
      <c r="B17" s="517" t="str">
        <f>'Capital IQ Sheet-GPC'!B17</f>
        <v>IQ11382658</v>
      </c>
      <c r="C17" s="467" t="e">
        <f ca="1">_xll.ciqfunctions.udf.CIQ($A17,"IQ_COMPANY_NAME")</f>
        <v>#NAME?</v>
      </c>
      <c r="D17" s="467" t="e">
        <f ca="1">_xll.ciqfunctions.udf.CIQ($A17, "IQ_EXCHANGE")</f>
        <v>#NAME?</v>
      </c>
      <c r="E17" s="516" t="e">
        <f ca="1">_xll.ciqfunctions.udf.CIQ($A17, "IQ_PERIODDATE_IS", IQ_FY)</f>
        <v>#NAME?</v>
      </c>
      <c r="F17" s="516" t="e">
        <f ca="1">_xll.ciqfunctions.udf.CIQ(A17, "IQ_PERIODDATE_IS", IQ_LTM, $B$1,$L$4,$L$3)</f>
        <v>#NAME?</v>
      </c>
      <c r="G17" s="516" t="e">
        <f ca="1">_xll.ciqfunctions.udf.CIQ($A17, "IQ_FIRSTPRICINGDATE")</f>
        <v>#NAME?</v>
      </c>
      <c r="H17" s="518" t="e">
        <f ca="1">_xll.ciqfunctions.udf.CIQ($A17, "IQ_TEV", $L$2, $L$5, $L$6)</f>
        <v>#NAME?</v>
      </c>
      <c r="I17" s="518" t="e">
        <f ca="1">_xll.ciqfunctions.udf.CIQ(A17, "IQ_LASTSALEPRICE", $B$1,$L$5)</f>
        <v>#NAME?</v>
      </c>
      <c r="J17" s="518" t="e">
        <f ca="1">_xll.ciqfunctions.udf.CIQ($A17, "IQ_MARKETCAP", $L$2, $L$5, $L$6)</f>
        <v>#NAME?</v>
      </c>
      <c r="K17" s="518" t="e">
        <f ca="1">_xll.ciqfunctions.udf.CIQ($A17, "IQ_TOTAL_DEBT", IQ_LTM, $L$2,$L$4, $L$3, $L$5, $L$6)</f>
        <v>#NAME?</v>
      </c>
      <c r="L17" s="518" t="e">
        <f ca="1">_xll.ciqfunctions.udf.CIQ($A17, "IQ_PREF_EQUITY", IQ_LTM, $L$2, $L$4, $L$3, $L$5, $L$6)</f>
        <v>#NAME?</v>
      </c>
      <c r="M17" s="518" t="e">
        <f ca="1">_xll.ciqfunctions.udf.CIQ($A17, "IQ_MINORITY_INTEREST_TOTAL", IQ_LTM, $L$2, $L$4, $L$3, $L$5, $L$6)</f>
        <v>#NAME?</v>
      </c>
      <c r="N17" s="518" t="e">
        <f ca="1">_xll.ciqfunctions.udf.CIQ($A17, "IQ_CASH_ST_INVEST", IQ_LTM, $L$2, $L$4, $L$3, $L$5, $L$6)</f>
        <v>#NAME?</v>
      </c>
      <c r="O17" s="518" t="e">
        <f ca="1">_xll.ciqfunctions.udf.CIQ($A17, "IQ_TOTAL_REV", IQ_LTM-8, $L$2, $L$4, $L$3, $L$5, $L$6)</f>
        <v>#NAME?</v>
      </c>
      <c r="P17" s="518" t="e">
        <f ca="1">_xll.ciqfunctions.udf.CIQ($A17, "IQ_TOTAL_REV", IQ_LTM - 4, $L$2, $L$4, $L$3, $L$5,$L$6)</f>
        <v>#NAME?</v>
      </c>
      <c r="Q17" s="518" t="e">
        <f ca="1">_xll.ciqfunctions.udf.CIQ($A17, "IQ_TOTAL_REV", IQ_LTM, $L$2, $L$4, $L$3, $L$5, $L$6)</f>
        <v>#NAME?</v>
      </c>
      <c r="R17" s="518" t="e">
        <f ca="1">_xll.ciqfunctions.udf.CIQ($A17, "IQ_TOTAL_REV", $B$2, $L$2, $L$4, $L$3, $L$5, $L$6)</f>
        <v>#NAME?</v>
      </c>
      <c r="S17" s="518" t="e">
        <f ca="1">IF(_xll.ciqfunctions.udf.CIQ($A17, "IQ_TOTAL_REV", $B$3, $L$2,$L$4, $L$3, $L$5, $L$6)=0,Q17,_xll.ciqfunctions.udf.CIQ($A17, "IQ_TOTAL_REV", $B$3, $L$2,$L$4, $L$3, $L$5, $L$6))</f>
        <v>#NAME?</v>
      </c>
      <c r="T17" s="518" t="e">
        <f ca="1">IF(_xll.ciqfunctions.udf.CIQ($A17, "IQ_REVENUE_EST",$B$4, $L$2, "CON", $L$3, $L$5, $L$6)=0,"n/a",_xll.ciqfunctions.udf.CIQ($A17, "IQ_REVENUE_EST",$B$4, $L$2, "CON", $L$3, $L$5, $L$6))</f>
        <v>#NAME?</v>
      </c>
      <c r="U17" s="518" t="e">
        <f ca="1">IF(_xll.ciqfunctions.udf.CIQ($A17, "IQ_REVENUE_EST",$B$5, $L$2, "CON", $L$3, $L$5, $L$6)=0,"n/a",_xll.ciqfunctions.udf.CIQ($A17, "IQ_REVENUE_EST",$B$5, $L$2, "CON", $L$3, $L$5, $L$6))</f>
        <v>#NAME?</v>
      </c>
      <c r="V17" s="518" t="e">
        <f ca="1">IF(_xll.ciqfunctions.udf.CIQ($A17, "IQ_REVENUE_EST",$B$6, $L$2, "CON", $L$3, $L$5, $L$6)=0,"n/a",_xll.ciqfunctions.udf.CIQ($A17, "IQ_REVENUE_EST",$B$6, $L$2, "CON", $L$3, $L$5, $L$6))</f>
        <v>#NAME?</v>
      </c>
      <c r="W17" s="518" t="e">
        <f ca="1">IF(_xll.ciqfunctions.udf.CIQ($A17, "IQ_REVENUE_EST", $B$7, $L$2, "CON", $L$3, $L$5, $L$6)=0,"n/a",_xll.ciqfunctions.udf.CIQ($A17, "IQ_REVENUE_EST",$B$7, $L$2, "CON", $L$3, $L$5, $L$6))</f>
        <v>#NAME?</v>
      </c>
      <c r="X17" s="518" t="e">
        <f ca="1">_xll.ciqfunctions.udf.CIQ($A17, "IQ_EBITDA", IQ_LTM-8, $L$2, $L$4, $L$3, $L$5, $L$6)</f>
        <v>#NAME?</v>
      </c>
      <c r="Y17" s="518" t="e">
        <f ca="1">_xll.ciqfunctions.udf.CIQ($A17, "IQ_EBITDA", IQ_LTM-4, $L$2,$L$4, $L$3, $L$5, $L$6)</f>
        <v>#NAME?</v>
      </c>
      <c r="Z17" s="518" t="e">
        <f ca="1">_xll.ciqfunctions.udf.CIQ($A17, "IQ_EBITDA", IQ_LTM, $L$2, $L$4, $L$3, $L$5, $L$6)</f>
        <v>#NAME?</v>
      </c>
      <c r="AA17" s="518" t="e">
        <f ca="1">_xll.ciqfunctions.udf.CIQ($A17, "IQ_EBITDA", $B$2, $L$2, $L$4, $L$3, $L$5, $L$6)</f>
        <v>#NAME?</v>
      </c>
      <c r="AB17" s="518" t="e">
        <f ca="1">IF(_xll.ciqfunctions.udf.CIQ($A17, "IQ_EBITDA", $B$3, $L$2,$L$4, $L$3, $L$5, $L$6)=0,Z17,_xll.ciqfunctions.udf.CIQ($A17, "IQ_EBITDA", $B$3, $L$2,$L$4, $L$3, $L$5, $L$6))</f>
        <v>#NAME?</v>
      </c>
      <c r="AC17" s="518" t="e">
        <f ca="1">IF(_xll.ciqfunctions.udf.CIQ($A17, "IQ_EBITDA_EST",$B$4, $L$2, "CON", $L$3, $L$5, $L$6)=0,"n/a",_xll.ciqfunctions.udf.CIQ($A17, "IQ_EBITDA_EST",$B$4, $L$2, "CON", $L$3, $L$5, $L$6))</f>
        <v>#NAME?</v>
      </c>
      <c r="AD17" s="518" t="e">
        <f ca="1">IF(_xll.ciqfunctions.udf.CIQ($A17, "IQ_EBITDA_EST",$B$5, $L$2, "CON", $L$3, $L$5, $L$6)=0,"n/a",_xll.ciqfunctions.udf.CIQ($A17, "IQ_EBITDA_EST",$B$5, $L$2, "CON", $L$3, $L$5, $L$6))</f>
        <v>#NAME?</v>
      </c>
      <c r="AE17" s="518" t="e">
        <f ca="1">IF(_xll.ciqfunctions.udf.CIQ($A17, "IQ_EBITDA_EST",$B$6, $L$2, "CON", $L$3, $L$5, $L$6)=0,"n/a",_xll.ciqfunctions.udf.CIQ($A17, "IQ_EBITDA_EST",$B$6, $L$2, "CON", $L$3, $L$5, $L$6))</f>
        <v>#NAME?</v>
      </c>
      <c r="AF17" s="519" t="str">
        <f ca="1">IF(ISERROR(_xll.ciqfunctions.udf.CIQ($A17, "IQ_GROSS_MARGIN", IQ_LTM, $L$2,$L$4, $L$3, $L$5, $L$6)/100), "n/a", _xll.ciqfunctions.udf.CIQ($A17,  "IQ_GROSS_MARGIN", IQ_LTM, $L$2, $L$4, $L$3, $L$5, $L$6)/100)</f>
        <v>n/a</v>
      </c>
      <c r="AG17" s="519" t="str">
        <f ca="1">IF(ISERROR(_xll.ciqfunctions.udf.CIQ($A17,"IQ_EBITDA_MARGIN", IQ_LTM, $L$2, $L$4, $L$3, $L$5, $L$6)/100), "n/a", _xll.ciqfunctions.udf.CIQ($A17, "IQ_EBITDA_MARGIN", IQ_LTM, $L$2, $L$4, $L$3, $L$5, $L$6)/100)</f>
        <v>n/a</v>
      </c>
      <c r="AH17" s="519" t="str">
        <f ca="1">IF(ISERROR(_xll.ciqfunctions.udf.CIQ($A17,"IQ_EBIT_MARGIN", IQ_LTM, $L$2, $L$4, $L$3, $L$5, $L$6)/100), "n/a", _xll.ciqfunctions.udf.CIQ($A17, "IQ_EBIT_MARGIN", IQ_LTM, $L$2, $L$4, $L$3, $L$5, $L$6)/100)</f>
        <v>n/a</v>
      </c>
      <c r="AI17" s="519" t="str">
        <f ca="1">IF(ISERROR(_xll.ciqfunctions.udf.CIQ($A17,"IQ_NI_MARGIN", IQ_LTM, $L$2, $L$4, $L$3, $L$5, $L$6)/100), "n/a", _xll.ciqfunctions.udf.CIQ($A17, "IQ_NI_MARGIN", IQ_LTM, $L$2, $L$4, $L$3, $L$5, $L$6)/100)</f>
        <v>n/a</v>
      </c>
      <c r="AJ17" s="518" t="str">
        <f ca="1">IF(ISERROR(_xll.ciqfunctions.udf.CIQ($A17, "IQ_NET_WORKING_CAP", IQ_LTM-8, $L$2, $L$4, $L$3, $L$5, $L$6)), "n/a", _xll.ciqfunctions.udf.CIQ($A17, "IQ_NET_WORKING_CAP", IQ_LTM-8, $L$2, $L$4, $L$3, $L$5, $L$6))</f>
        <v>n/a</v>
      </c>
      <c r="AK17" s="518" t="str">
        <f ca="1">IF(ISERROR(_xll.ciqfunctions.udf.CIQ($A17, "IQ_NET_WORKING_CAP", IQ_LTM-4, $L$2, $L$4, $L$3, $L$5, $L$6)), "n/a", _xll.ciqfunctions.udf.CIQ($A17, "IQ_NET_WORKING_CAP", IQ_LTM-4, $L$2, $L$4, $L$3, $L$5, $L$6))</f>
        <v>n/a</v>
      </c>
      <c r="AL17" s="518" t="str">
        <f ca="1">IF(ISERROR(_xll.ciqfunctions.udf.CIQ($A17, "IQ_NET_WORKING_CAP", IQ_LTM, $L$2,$L$4, $L$3, $L$5, $L$6)), "n/a", _xll.ciqfunctions.udf.CIQ($A17, "IQ_NET_WORKING_CAP", IQ_LTM, $L$2, $L$4, $L$3, $L$5, $L$6))</f>
        <v>n/a</v>
      </c>
      <c r="AM17" s="518" t="str">
        <f ca="1">IF(ISERROR(_xll.ciqfunctions.udf.CIQ($A17, "IQ_Capex", IQ_LTM-8, $L$2,$L$4, $L$3, $L$5, $L$6)), "n/a", _xll.ciqfunctions.udf.CIQ($A17, "IQ_Capex", IQ_LTM-8, $L$2, $L$4, $L$3, $L$5, $L$6))</f>
        <v>n/a</v>
      </c>
      <c r="AN17" s="518" t="str">
        <f ca="1">IF(ISERROR(_xll.ciqfunctions.udf.CIQ($A17, "IQ_Capex", IQ_LTM-4, $L$2,$L$4, $L$3, $L$5, $L$6)), "n/a", _xll.ciqfunctions.udf.CIQ($A17, "IQ_Capex", IQ_LTM-4, $L$2,$L$4, $L$3, $L$5, $L$6))</f>
        <v>n/a</v>
      </c>
      <c r="AO17" s="518" t="str">
        <f ca="1">IF(ISERROR(_xll.ciqfunctions.udf.CIQ($A17, "IQ_Capex", IQ_LTM, $L$2, $L$4, $L$3, $L$5, $L$6)), "n/a", _xll.ciqfunctions.udf.CIQ($A17, "IQ_Capex", IQ_LTM, $L$2, $L$4, $L$3, $L$5, $L$6))</f>
        <v>n/a</v>
      </c>
      <c r="AP17" s="520" t="e">
        <f ca="1">_xll.ciqfunctions.udf.CIQ(A17, "IQ_BUSINESS_DESCRIPTION")</f>
        <v>#NAME?</v>
      </c>
      <c r="AQ17" s="521" t="e">
        <f ca="1">_xll.ciqfunctions.udf.CIQ($A17, "IQ_BETA_1YR", $B$1)</f>
        <v>#NAME?</v>
      </c>
      <c r="AR17" s="521" t="e">
        <f ca="1">_xll.ciqfunctions.udf.CIQ($A17, "IQ_BETA_2YR", $B$1)</f>
        <v>#NAME?</v>
      </c>
      <c r="AS17" s="521" t="e">
        <f ca="1">_xll.ciqfunctions.udf.CIQ($A17, "IQ_BETA_5YR", $B$1)</f>
        <v>#NAME?</v>
      </c>
      <c r="AT17" s="519" t="e">
        <f ca="1">_xll.ciqfunctions.udf.CIQ($A17, "IQ_DIVIDEND_YIELD", $B$1)/100</f>
        <v>#NAME?</v>
      </c>
      <c r="AU17" s="518" t="e">
        <f ca="1">_xll.ciqfunctions.udf.CIQ($A17, "IQ_EARNING_CO", IQ_LTM-8, $L$2, $L$4, $L$3, $L$5, $L$6)</f>
        <v>#NAME?</v>
      </c>
      <c r="AV17" s="518" t="e">
        <f ca="1">_xll.ciqfunctions.udf.CIQ($A17, "IQ_EARNING_CO", IQ_LTM-4, $L$2, $L$4, $L$3, $L$5, $L$6)</f>
        <v>#NAME?</v>
      </c>
      <c r="AW17" s="518" t="e">
        <f ca="1">_xll.ciqfunctions.udf.CIQ($A17, "IQ_EARNING_CO", IQ_LTM, $L$2, $L$4, $L$3, $L$5, $L$6)</f>
        <v>#NAME?</v>
      </c>
      <c r="AX17" s="518" t="e">
        <f ca="1">_xll.ciqfunctions.udf.CIQ($A17, "IQ_EARNING_CO", $B$2, $L$2, $L$4, $L$3, $L$5, $L$6)</f>
        <v>#NAME?</v>
      </c>
      <c r="AY17" s="518" t="e">
        <f ca="1">IF(_xll.ciqfunctions.udf.CIQ($A17, "IQ_EARNING_CO", $B$3, $L$2,$L$4, $L$3, $L$5, $L$6)=0,AW17,_xll.ciqfunctions.udf.CIQ($A17, "IQ_EARNING_CO", $B$3, $L$2,$L$4, $L$3, $L$5, $L$6))</f>
        <v>#NAME?</v>
      </c>
      <c r="AZ17" s="518" t="e">
        <f ca="1">_xll.ciqfunctions.udf.CIQ($A17, "IQ_TOTAL_EQUITY", IQ_LTM-8, $L$2, $L$4, $L$3, $L$5, $L$6)</f>
        <v>#NAME?</v>
      </c>
      <c r="BA17" s="518" t="e">
        <f ca="1">_xll.ciqfunctions.udf.CIQ($A17, "IQ_TOTAL_EQUITY", IQ_LTM-4, $L$2, $L$4, $L$3, $L$5, $L$6)</f>
        <v>#NAME?</v>
      </c>
      <c r="BB17" s="518" t="e">
        <f ca="1">_xll.ciqfunctions.udf.CIQ($A17, "IQ_TOTAL_EQUITY", IQ_LTM, $L$2, $L$4, $L$3, $L$5, $L$6)</f>
        <v>#NAME?</v>
      </c>
      <c r="BC17" s="518" t="e">
        <f ca="1">_xll.ciqfunctions.udf.CIQ($A17, "IQ_TOTAL_EQUITY", $B$2, $L$2, $L$4, $L$3, $L$5, $L$6)</f>
        <v>#NAME?</v>
      </c>
      <c r="BD17" s="518" t="e">
        <f ca="1">IF(_xll.ciqfunctions.udf.CIQ($A17, "IQ_TOTAL_EQUITY", $B$3, $L$2,$L$4, $L$3, $L$5, $L$6)=0,BB17,_xll.ciqfunctions.udf.CIQ($A17, "IQ_TOTAL_EQUITY", $B$3, $L$2,$L$4, $L$3, $L$5, $L$6))</f>
        <v>#NAME?</v>
      </c>
      <c r="BE17" s="518" t="e">
        <f ca="1">_xll.ciqfunctions.udf.CIQ(A17, "IQ_LASTSALEPRICE", $B$8)</f>
        <v>#NAME?</v>
      </c>
      <c r="BF17" s="518" t="e">
        <f ca="1">_xll.ciqfunctions.udf.CIQ($A17, "IQ_MARKETCAP", $B$8, $L$5, $L$6)</f>
        <v>#NAME?</v>
      </c>
      <c r="BG17" s="518" t="e">
        <f ca="1">_xll.ciqfunctions.udf.CIQ($A17, "IQ_TOTAL_DEBT", IQ_LTM, $B$8,$L$4, $L$3, $L$5, $L$6)</f>
        <v>#NAME?</v>
      </c>
      <c r="BH17" s="466" t="e">
        <f ca="1">_xll.ciqfunctions.udf.CIQ($A17,"IQ_PREF_EQUITY",IQ_LTM,$B$8,$L$4,$L$3,$L$5,$L$6)</f>
        <v>#NAME?</v>
      </c>
      <c r="BI17" s="466" t="e">
        <f ca="1">_xll.ciqfunctions.udf.CIQ($A17, "IQ_MINORITY_INTEREST_TOTAL", IQ_LTM,$B$8,$L$4,$L$3,$L$5,$L$6)</f>
        <v>#NAME?</v>
      </c>
      <c r="BJ17" s="518" t="e">
        <f ca="1">_xll.ciqfunctions.udf.CIQ($A17, "IQ_CASH_ST_INVEST", IQ_LTM, $B$8, $L$4, $L$3, $L$5, $L$6)</f>
        <v>#NAME?</v>
      </c>
      <c r="BK17" s="466" t="e">
        <f ca="1">_xll.ciqfunctions.udf.CIQ($A17, "IQ_EFFECT_TAX_RATE")</f>
        <v>#NAME?</v>
      </c>
      <c r="BL17" s="466" t="e">
        <f ca="1">IF(_xll.ciqfunctions.udf.CIQ($A17, "IQ_TOTAL_REV_2YR_ANN_CAGR", IQ_LTM, $B$1,$L$4, $L$3, $L$5, $L$6)="NM","n/a",(_xll.ciqfunctions.udf.CIQ($A17, "IQ_TOTAL_REV_2YR_ANN_CAGR", IQ_LTM, $B$1,$L$4, $L$3, $L$5, $L$6)/100))</f>
        <v>#NAME?</v>
      </c>
      <c r="BM17" s="466" t="e">
        <f ca="1">IF(_xll.ciqfunctions.udf.CIQ($A17, "IQ_TOTAL_REV_3YR_ANN_CAGR", IQ_LTM, $B$1,$L$4, $L$3, $L$5, $L$6)="NM","n/a",(_xll.ciqfunctions.udf.CIQ($A17, "IQ_TOTAL_REV_3YR_ANN_CAGR", IQ_LTM, $B$1,$L$4, $L$3, $L$5, $L$6)/100))</f>
        <v>#NAME?</v>
      </c>
      <c r="BN17" s="466" t="e">
        <f ca="1">IF(_xll.ciqfunctions.udf.CIQ($A17, "IQ_TOTAL_REV_5YR_ANN_CAGR", IQ_LTM, $B$1,$L$4, $L$3, $L$5, $L$6)="NM","n/a",(_xll.ciqfunctions.udf.CIQ($A17, "IQ_TOTAL_REV_5YR_ANN_CAGR", IQ_LTM, $B$1,$L$4, $L$3, $L$5, $L$6)/100))</f>
        <v>#NAME?</v>
      </c>
      <c r="BO17" s="466" t="e">
        <f ca="1">IF(_xll.ciqfunctions.udf.CIQ($A17,"IQ_EBITDA_2YR_ANN_CAGR", IQ_LTM,$B$1,$L$4, $L$3, $L$5, $L$6)="NM","n/a",(_xll.ciqfunctions.udf.CIQ($A17,"IQ_EBITDA_2YR_ANN_CAGR", IQ_LTM,$B$1,$L$4, $L$3, $L$5, $L$6)/100))</f>
        <v>#NAME?</v>
      </c>
      <c r="BP17" s="466" t="e">
        <f ca="1">IF(_xll.ciqfunctions.udf.CIQ($A17,"IQ_EBITDA_3YR_ANN_CAGR", IQ_LTM,$B$1,$L$4, $L$3, $L$5, $L$6)="NM","n/a",(_xll.ciqfunctions.udf.CIQ($A17,"IQ_EBITDA_3YR_ANN_CAGR", IQ_LTM,$B$1,$L$4, $L$3, $L$5, $L$6)/100))</f>
        <v>#NAME?</v>
      </c>
      <c r="BQ17" s="466" t="e">
        <f ca="1">IF(_xll.ciqfunctions.udf.CIQ($A17,"IQ_EBITDA_5YR_ANN_CAGR", IQ_LTM,$B$1,$L$4, $L$3, $L$5, $L$6)="NM","n/a",(_xll.ciqfunctions.udf.CIQ($A17,"IQ_EBITDA_5YR_ANN_CAGR", IQ_LTM,$B$1,$L$4, $L$3, $L$5, $L$6)/100))</f>
        <v>#NAME?</v>
      </c>
      <c r="BR17" s="470" t="str">
        <f ca="1">IFERROR((_xll.ciqfunctions.udf.CIQ($A17, "IQ_DA_CF", IQ_LTM, $B$1, $L$4, $L$3, $L$5, $L$6)/Q17),"NM")</f>
        <v>NM</v>
      </c>
      <c r="BS17" s="522">
        <f>'Capital IQ Sheet-GPC'!BS17</f>
        <v>0.626</v>
      </c>
      <c r="BT17" s="522">
        <f>'Capital IQ Sheet-GPC'!BT17</f>
        <v>0.55000000000000004</v>
      </c>
      <c r="BU17" s="522">
        <f>'Capital IQ Sheet-GPC'!BU17</f>
        <v>0.6</v>
      </c>
      <c r="BV17" s="522">
        <f>'Capital IQ Sheet-GPC'!BV17</f>
        <v>0.627</v>
      </c>
      <c r="BW17" s="522">
        <f>'Capital IQ Sheet-GPC'!BW17</f>
        <v>0.91900000000000004</v>
      </c>
      <c r="BX17" s="522">
        <f>'Capital IQ Sheet-GPC'!BX17</f>
        <v>0.874</v>
      </c>
      <c r="BY17" s="522" t="str">
        <f>'Capital IQ Sheet-GPC'!BY17</f>
        <v>n/a</v>
      </c>
      <c r="BZ17" s="522" t="str">
        <f>'Capital IQ Sheet-GPC'!BZ17</f>
        <v>n/a</v>
      </c>
      <c r="CB17" s="466">
        <v>2</v>
      </c>
      <c r="CC17" s="614" t="s">
        <v>155</v>
      </c>
      <c r="CD17" s="614" t="s">
        <v>154</v>
      </c>
      <c r="CE17" s="468">
        <f t="shared" si="0"/>
        <v>42582</v>
      </c>
    </row>
    <row r="18" spans="1:83" s="466" customFormat="1" ht="12.75">
      <c r="A18" s="467" t="e">
        <f ca="1">_xll.ciqfunctions.udf.CIQ($B18,"IQ_COMPANY_TICKER")</f>
        <v>#NAME?</v>
      </c>
      <c r="B18" s="517" t="str">
        <f>'Capital IQ Sheet-GPC'!B18</f>
        <v>IQ29978</v>
      </c>
      <c r="C18" s="467" t="e">
        <f ca="1">_xll.ciqfunctions.udf.CIQ($A18,"IQ_COMPANY_NAME")</f>
        <v>#NAME?</v>
      </c>
      <c r="D18" s="467" t="e">
        <f ca="1">_xll.ciqfunctions.udf.CIQ($A18, "IQ_EXCHANGE")</f>
        <v>#NAME?</v>
      </c>
      <c r="E18" s="516" t="e">
        <f ca="1">_xll.ciqfunctions.udf.CIQ($A18, "IQ_PERIODDATE_IS", IQ_FY)</f>
        <v>#NAME?</v>
      </c>
      <c r="F18" s="516" t="e">
        <f ca="1">_xll.ciqfunctions.udf.CIQ(A18, "IQ_PERIODDATE_IS", IQ_LTM, $B$1,$L$4,$L$3)</f>
        <v>#NAME?</v>
      </c>
      <c r="G18" s="516" t="e">
        <f ca="1">_xll.ciqfunctions.udf.CIQ($A18, "IQ_FIRSTPRICINGDATE")</f>
        <v>#NAME?</v>
      </c>
      <c r="H18" s="518" t="e">
        <f ca="1">_xll.ciqfunctions.udf.CIQ($A18, "IQ_TEV", $L$2, $L$5, $L$6)</f>
        <v>#NAME?</v>
      </c>
      <c r="I18" s="518" t="e">
        <f ca="1">_xll.ciqfunctions.udf.CIQ(A18, "IQ_LASTSALEPRICE", $B$1,$L$5)</f>
        <v>#NAME?</v>
      </c>
      <c r="J18" s="518" t="e">
        <f ca="1">_xll.ciqfunctions.udf.CIQ($A18, "IQ_MARKETCAP", $L$2, $L$5, $L$6)</f>
        <v>#NAME?</v>
      </c>
      <c r="K18" s="518" t="e">
        <f ca="1">_xll.ciqfunctions.udf.CIQ($A18, "IQ_TOTAL_DEBT", IQ_LTM, $L$2,$L$4, $L$3, $L$5, $L$6)</f>
        <v>#NAME?</v>
      </c>
      <c r="L18" s="518" t="e">
        <f ca="1">_xll.ciqfunctions.udf.CIQ($A18, "IQ_PREF_EQUITY", IQ_LTM, $L$2, $L$4, $L$3, $L$5, $L$6)</f>
        <v>#NAME?</v>
      </c>
      <c r="M18" s="518" t="e">
        <f ca="1">_xll.ciqfunctions.udf.CIQ($A18, "IQ_MINORITY_INTEREST_TOTAL", IQ_LTM, $L$2, $L$4, $L$3, $L$5, $L$6)</f>
        <v>#NAME?</v>
      </c>
      <c r="N18" s="518" t="e">
        <f ca="1">_xll.ciqfunctions.udf.CIQ($A18, "IQ_CASH_ST_INVEST", IQ_LTM, $L$2, $L$4, $L$3, $L$5, $L$6)</f>
        <v>#NAME?</v>
      </c>
      <c r="O18" s="518" t="e">
        <f ca="1">_xll.ciqfunctions.udf.CIQ($A18, "IQ_TOTAL_REV", IQ_LTM-8, $L$2, $L$4, $L$3, $L$5, $L$6)</f>
        <v>#NAME?</v>
      </c>
      <c r="P18" s="518" t="e">
        <f ca="1">_xll.ciqfunctions.udf.CIQ($A18, "IQ_TOTAL_REV", IQ_LTM - 4, $L$2, $L$4, $L$3, $L$5,$L$6)</f>
        <v>#NAME?</v>
      </c>
      <c r="Q18" s="518" t="e">
        <f ca="1">_xll.ciqfunctions.udf.CIQ($A18, "IQ_TOTAL_REV", IQ_LTM, $L$2, $L$4, $L$3, $L$5, $L$6)</f>
        <v>#NAME?</v>
      </c>
      <c r="R18" s="518" t="e">
        <f ca="1">_xll.ciqfunctions.udf.CIQ($A18, "IQ_TOTAL_REV", $B$2, $L$2, $L$4, $L$3, $L$5, $L$6)</f>
        <v>#NAME?</v>
      </c>
      <c r="S18" s="518" t="e">
        <f ca="1">IF(_xll.ciqfunctions.udf.CIQ($A18, "IQ_TOTAL_REV", $B$3, $L$2,$L$4, $L$3, $L$5, $L$6)=0,Q18,_xll.ciqfunctions.udf.CIQ($A18, "IQ_TOTAL_REV", $B$3, $L$2,$L$4, $L$3, $L$5, $L$6))</f>
        <v>#NAME?</v>
      </c>
      <c r="T18" s="518" t="e">
        <f ca="1">IF(_xll.ciqfunctions.udf.CIQ($A18, "IQ_REVENUE_EST",$B$4, $L$2, "CON", $L$3, $L$5, $L$6)=0,"n/a",_xll.ciqfunctions.udf.CIQ($A18, "IQ_REVENUE_EST",$B$4, $L$2, "CON", $L$3, $L$5, $L$6))</f>
        <v>#NAME?</v>
      </c>
      <c r="U18" s="518" t="e">
        <f ca="1">IF(_xll.ciqfunctions.udf.CIQ($A18, "IQ_REVENUE_EST",$B$5, $L$2, "CON", $L$3, $L$5, $L$6)=0,"n/a",_xll.ciqfunctions.udf.CIQ($A18, "IQ_REVENUE_EST",$B$5, $L$2, "CON", $L$3, $L$5, $L$6))</f>
        <v>#NAME?</v>
      </c>
      <c r="V18" s="518" t="e">
        <f ca="1">IF(_xll.ciqfunctions.udf.CIQ($A18, "IQ_REVENUE_EST",$B$6, $L$2, "CON", $L$3, $L$5, $L$6)=0,"n/a",_xll.ciqfunctions.udf.CIQ($A18, "IQ_REVENUE_EST",$B$6, $L$2, "CON", $L$3, $L$5, $L$6))</f>
        <v>#NAME?</v>
      </c>
      <c r="W18" s="518" t="e">
        <f ca="1">IF(_xll.ciqfunctions.udf.CIQ($A18, "IQ_REVENUE_EST", $B$7, $L$2, "CON", $L$3, $L$5, $L$6)=0,"n/a",_xll.ciqfunctions.udf.CIQ($A18, "IQ_REVENUE_EST",$B$7, $L$2, "CON", $L$3, $L$5, $L$6))</f>
        <v>#NAME?</v>
      </c>
      <c r="X18" s="518" t="e">
        <f ca="1">_xll.ciqfunctions.udf.CIQ($A18, "IQ_EBITDA", IQ_LTM-8, $L$2, $L$4, $L$3, $L$5, $L$6)</f>
        <v>#NAME?</v>
      </c>
      <c r="Y18" s="518" t="e">
        <f ca="1">_xll.ciqfunctions.udf.CIQ($A18, "IQ_EBITDA", IQ_LTM-4, $L$2,$L$4, $L$3, $L$5, $L$6)</f>
        <v>#NAME?</v>
      </c>
      <c r="Z18" s="518" t="e">
        <f ca="1">_xll.ciqfunctions.udf.CIQ($A18, "IQ_EBITDA", IQ_LTM, $L$2, $L$4, $L$3, $L$5, $L$6)</f>
        <v>#NAME?</v>
      </c>
      <c r="AA18" s="518" t="e">
        <f ca="1">_xll.ciqfunctions.udf.CIQ($A18, "IQ_EBITDA", $B$2, $L$2, $L$4, $L$3, $L$5, $L$6)</f>
        <v>#NAME?</v>
      </c>
      <c r="AB18" s="518" t="e">
        <f ca="1">IF(_xll.ciqfunctions.udf.CIQ($A18, "IQ_EBITDA", $B$3, $L$2,$L$4, $L$3, $L$5, $L$6)=0,Z18,_xll.ciqfunctions.udf.CIQ($A18, "IQ_EBITDA", $B$3, $L$2,$L$4, $L$3, $L$5, $L$6))</f>
        <v>#NAME?</v>
      </c>
      <c r="AC18" s="518" t="e">
        <f ca="1">IF(_xll.ciqfunctions.udf.CIQ($A18, "IQ_EBITDA_EST",$B$4, $L$2, "CON", $L$3, $L$5, $L$6)=0,"n/a",_xll.ciqfunctions.udf.CIQ($A18, "IQ_EBITDA_EST",$B$4, $L$2, "CON", $L$3, $L$5, $L$6))</f>
        <v>#NAME?</v>
      </c>
      <c r="AD18" s="518" t="e">
        <f ca="1">IF(_xll.ciqfunctions.udf.CIQ($A18, "IQ_EBITDA_EST",$B$5, $L$2, "CON", $L$3, $L$5, $L$6)=0,"n/a",_xll.ciqfunctions.udf.CIQ($A18, "IQ_EBITDA_EST",$B$5, $L$2, "CON", $L$3, $L$5, $L$6))</f>
        <v>#NAME?</v>
      </c>
      <c r="AE18" s="518" t="e">
        <f ca="1">IF(_xll.ciqfunctions.udf.CIQ($A18, "IQ_EBITDA_EST",$B$6, $L$2, "CON", $L$3, $L$5, $L$6)=0,"n/a",_xll.ciqfunctions.udf.CIQ($A18, "IQ_EBITDA_EST",$B$6, $L$2, "CON", $L$3, $L$5, $L$6))</f>
        <v>#NAME?</v>
      </c>
      <c r="AF18" s="519" t="str">
        <f ca="1">IF(ISERROR(_xll.ciqfunctions.udf.CIQ($A18, "IQ_GROSS_MARGIN", IQ_LTM, $L$2,$L$4, $L$3, $L$5, $L$6)/100), "n/a", _xll.ciqfunctions.udf.CIQ($A18,  "IQ_GROSS_MARGIN", IQ_LTM, $L$2, $L$4, $L$3, $L$5, $L$6)/100)</f>
        <v>n/a</v>
      </c>
      <c r="AG18" s="519" t="str">
        <f ca="1">IF(ISERROR(_xll.ciqfunctions.udf.CIQ($A18,"IQ_EBITDA_MARGIN", IQ_LTM, $L$2, $L$4, $L$3, $L$5, $L$6)/100), "n/a", _xll.ciqfunctions.udf.CIQ($A18, "IQ_EBITDA_MARGIN", IQ_LTM, $L$2, $L$4, $L$3, $L$5, $L$6)/100)</f>
        <v>n/a</v>
      </c>
      <c r="AH18" s="519" t="str">
        <f ca="1">IF(ISERROR(_xll.ciqfunctions.udf.CIQ($A18,"IQ_EBIT_MARGIN", IQ_LTM, $L$2, $L$4, $L$3, $L$5, $L$6)/100), "n/a", _xll.ciqfunctions.udf.CIQ($A18, "IQ_EBIT_MARGIN", IQ_LTM, $L$2, $L$4, $L$3, $L$5, $L$6)/100)</f>
        <v>n/a</v>
      </c>
      <c r="AI18" s="519" t="str">
        <f ca="1">IF(ISERROR(_xll.ciqfunctions.udf.CIQ($A18,"IQ_NI_MARGIN", IQ_LTM, $L$2, $L$4, $L$3, $L$5, $L$6)/100), "n/a", _xll.ciqfunctions.udf.CIQ($A18, "IQ_NI_MARGIN", IQ_LTM, $L$2, $L$4, $L$3, $L$5, $L$6)/100)</f>
        <v>n/a</v>
      </c>
      <c r="AJ18" s="518" t="str">
        <f ca="1">IF(ISERROR(_xll.ciqfunctions.udf.CIQ($A18, "IQ_NET_WORKING_CAP", IQ_LTM-8, $L$2, $L$4, $L$3, $L$5, $L$6)), "n/a", _xll.ciqfunctions.udf.CIQ($A18, "IQ_NET_WORKING_CAP", IQ_LTM-8, $L$2, $L$4, $L$3, $L$5, $L$6))</f>
        <v>n/a</v>
      </c>
      <c r="AK18" s="518" t="str">
        <f ca="1">IF(ISERROR(_xll.ciqfunctions.udf.CIQ($A18, "IQ_NET_WORKING_CAP", IQ_LTM-4, $L$2, $L$4, $L$3, $L$5, $L$6)), "n/a", _xll.ciqfunctions.udf.CIQ($A18, "IQ_NET_WORKING_CAP", IQ_LTM-4, $L$2, $L$4, $L$3, $L$5, $L$6))</f>
        <v>n/a</v>
      </c>
      <c r="AL18" s="518" t="str">
        <f ca="1">IF(ISERROR(_xll.ciqfunctions.udf.CIQ($A18, "IQ_NET_WORKING_CAP", IQ_LTM, $L$2,$L$4, $L$3, $L$5, $L$6)), "n/a", _xll.ciqfunctions.udf.CIQ($A18, "IQ_NET_WORKING_CAP", IQ_LTM, $L$2, $L$4, $L$3, $L$5, $L$6))</f>
        <v>n/a</v>
      </c>
      <c r="AM18" s="518" t="str">
        <f ca="1">IF(ISERROR(_xll.ciqfunctions.udf.CIQ($A18, "IQ_Capex", IQ_LTM-8, $L$2,$L$4, $L$3, $L$5, $L$6)), "n/a", _xll.ciqfunctions.udf.CIQ($A18, "IQ_Capex", IQ_LTM-8, $L$2, $L$4, $L$3, $L$5, $L$6))</f>
        <v>n/a</v>
      </c>
      <c r="AN18" s="518" t="str">
        <f ca="1">IF(ISERROR(_xll.ciqfunctions.udf.CIQ($A18, "IQ_Capex", IQ_LTM-4, $L$2,$L$4, $L$3, $L$5, $L$6)), "n/a", _xll.ciqfunctions.udf.CIQ($A18, "IQ_Capex", IQ_LTM-4, $L$2,$L$4, $L$3, $L$5, $L$6))</f>
        <v>n/a</v>
      </c>
      <c r="AO18" s="518" t="str">
        <f ca="1">IF(ISERROR(_xll.ciqfunctions.udf.CIQ($A18, "IQ_Capex", IQ_LTM, $L$2, $L$4, $L$3, $L$5, $L$6)), "n/a", _xll.ciqfunctions.udf.CIQ($A18, "IQ_Capex", IQ_LTM, $L$2, $L$4, $L$3, $L$5, $L$6))</f>
        <v>n/a</v>
      </c>
      <c r="AP18" s="520" t="e">
        <f ca="1">_xll.ciqfunctions.udf.CIQ(A18, "IQ_BUSINESS_DESCRIPTION")</f>
        <v>#NAME?</v>
      </c>
      <c r="AQ18" s="521" t="e">
        <f ca="1">_xll.ciqfunctions.udf.CIQ($A18, "IQ_BETA_1YR", $B$1)</f>
        <v>#NAME?</v>
      </c>
      <c r="AR18" s="521" t="e">
        <f ca="1">_xll.ciqfunctions.udf.CIQ($A18, "IQ_BETA_2YR", $B$1)</f>
        <v>#NAME?</v>
      </c>
      <c r="AS18" s="521" t="e">
        <f ca="1">_xll.ciqfunctions.udf.CIQ($A18, "IQ_BETA_5YR", $B$1)</f>
        <v>#NAME?</v>
      </c>
      <c r="AT18" s="519" t="e">
        <f ca="1">_xll.ciqfunctions.udf.CIQ($A18, "IQ_DIVIDEND_YIELD", $B$1)/100</f>
        <v>#NAME?</v>
      </c>
      <c r="AU18" s="518" t="e">
        <f ca="1">_xll.ciqfunctions.udf.CIQ($A18, "IQ_EARNING_CO", IQ_LTM-8, $L$2, $L$4, $L$3, $L$5, $L$6)</f>
        <v>#NAME?</v>
      </c>
      <c r="AV18" s="518" t="e">
        <f ca="1">_xll.ciqfunctions.udf.CIQ($A18, "IQ_EARNING_CO", IQ_LTM-4, $L$2, $L$4, $L$3, $L$5, $L$6)</f>
        <v>#NAME?</v>
      </c>
      <c r="AW18" s="518" t="e">
        <f ca="1">_xll.ciqfunctions.udf.CIQ($A18, "IQ_EARNING_CO", IQ_LTM, $L$2, $L$4, $L$3, $L$5, $L$6)</f>
        <v>#NAME?</v>
      </c>
      <c r="AX18" s="518" t="e">
        <f ca="1">_xll.ciqfunctions.udf.CIQ($A18, "IQ_EARNING_CO", $B$2, $L$2, $L$4, $L$3, $L$5, $L$6)</f>
        <v>#NAME?</v>
      </c>
      <c r="AY18" s="518" t="e">
        <f ca="1">IF(_xll.ciqfunctions.udf.CIQ($A18, "IQ_EARNING_CO", $B$3, $L$2,$L$4, $L$3, $L$5, $L$6)=0,AW18,_xll.ciqfunctions.udf.CIQ($A18, "IQ_EARNING_CO", $B$3, $L$2,$L$4, $L$3, $L$5, $L$6))</f>
        <v>#NAME?</v>
      </c>
      <c r="AZ18" s="518" t="e">
        <f ca="1">_xll.ciqfunctions.udf.CIQ($A18, "IQ_TOTAL_EQUITY", IQ_LTM-8, $L$2, $L$4, $L$3, $L$5, $L$6)</f>
        <v>#NAME?</v>
      </c>
      <c r="BA18" s="518" t="e">
        <f ca="1">_xll.ciqfunctions.udf.CIQ($A18, "IQ_TOTAL_EQUITY", IQ_LTM-4, $L$2, $L$4, $L$3, $L$5, $L$6)</f>
        <v>#NAME?</v>
      </c>
      <c r="BB18" s="518" t="e">
        <f ca="1">_xll.ciqfunctions.udf.CIQ($A18, "IQ_TOTAL_EQUITY", IQ_LTM, $L$2, $L$4, $L$3, $L$5, $L$6)</f>
        <v>#NAME?</v>
      </c>
      <c r="BC18" s="518" t="e">
        <f ca="1">_xll.ciqfunctions.udf.CIQ($A18, "IQ_TOTAL_EQUITY", $B$2, $L$2, $L$4, $L$3, $L$5, $L$6)</f>
        <v>#NAME?</v>
      </c>
      <c r="BD18" s="518" t="e">
        <f ca="1">IF(_xll.ciqfunctions.udf.CIQ($A18, "IQ_TOTAL_EQUITY", $B$3, $L$2,$L$4, $L$3, $L$5, $L$6)=0,BB18,_xll.ciqfunctions.udf.CIQ($A18, "IQ_TOTAL_EQUITY", $B$3, $L$2,$L$4, $L$3, $L$5, $L$6))</f>
        <v>#NAME?</v>
      </c>
      <c r="BE18" s="518" t="e">
        <f ca="1">_xll.ciqfunctions.udf.CIQ(A18, "IQ_LASTSALEPRICE", $B$8)</f>
        <v>#NAME?</v>
      </c>
      <c r="BF18" s="518" t="e">
        <f ca="1">_xll.ciqfunctions.udf.CIQ($A18, "IQ_MARKETCAP", $B$8, $L$5, $L$6)</f>
        <v>#NAME?</v>
      </c>
      <c r="BG18" s="518" t="e">
        <f ca="1">_xll.ciqfunctions.udf.CIQ($A18, "IQ_TOTAL_DEBT", IQ_LTM, $B$8,$L$4, $L$3, $L$5, $L$6)</f>
        <v>#NAME?</v>
      </c>
      <c r="BH18" s="466" t="e">
        <f ca="1">_xll.ciqfunctions.udf.CIQ($A18,"IQ_PREF_EQUITY",IQ_LTM,$B$8,$L$4,$L$3,$L$5,$L$6)</f>
        <v>#NAME?</v>
      </c>
      <c r="BI18" s="466" t="e">
        <f ca="1">_xll.ciqfunctions.udf.CIQ($A18, "IQ_MINORITY_INTEREST_TOTAL", IQ_LTM,$B$8,$L$4,$L$3,$L$5,$L$6)</f>
        <v>#NAME?</v>
      </c>
      <c r="BJ18" s="518" t="e">
        <f ca="1">_xll.ciqfunctions.udf.CIQ($A18, "IQ_CASH_ST_INVEST", IQ_LTM, $B$8, $L$4, $L$3, $L$5, $L$6)</f>
        <v>#NAME?</v>
      </c>
      <c r="BK18" s="466" t="e">
        <f ca="1">_xll.ciqfunctions.udf.CIQ($A18, "IQ_EFFECT_TAX_RATE")</f>
        <v>#NAME?</v>
      </c>
      <c r="BL18" s="466" t="e">
        <f ca="1">IF(_xll.ciqfunctions.udf.CIQ($A18, "IQ_TOTAL_REV_2YR_ANN_CAGR", IQ_LTM, $B$1,$L$4, $L$3, $L$5, $L$6)="NM","n/a",(_xll.ciqfunctions.udf.CIQ($A18, "IQ_TOTAL_REV_2YR_ANN_CAGR", IQ_LTM, $B$1,$L$4, $L$3, $L$5, $L$6)/100))</f>
        <v>#NAME?</v>
      </c>
      <c r="BM18" s="466" t="e">
        <f ca="1">IF(_xll.ciqfunctions.udf.CIQ($A18, "IQ_TOTAL_REV_3YR_ANN_CAGR", IQ_LTM, $B$1,$L$4, $L$3, $L$5, $L$6)="NM","n/a",(_xll.ciqfunctions.udf.CIQ($A18, "IQ_TOTAL_REV_3YR_ANN_CAGR", IQ_LTM, $B$1,$L$4, $L$3, $L$5, $L$6)/100))</f>
        <v>#NAME?</v>
      </c>
      <c r="BN18" s="466" t="e">
        <f ca="1">IF(_xll.ciqfunctions.udf.CIQ($A18, "IQ_TOTAL_REV_5YR_ANN_CAGR", IQ_LTM, $B$1,$L$4, $L$3, $L$5, $L$6)="NM","n/a",(_xll.ciqfunctions.udf.CIQ($A18, "IQ_TOTAL_REV_5YR_ANN_CAGR", IQ_LTM, $B$1,$L$4, $L$3, $L$5, $L$6)/100))</f>
        <v>#NAME?</v>
      </c>
      <c r="BO18" s="466" t="e">
        <f ca="1">IF(_xll.ciqfunctions.udf.CIQ($A18,"IQ_EBITDA_2YR_ANN_CAGR", IQ_LTM,$B$1,$L$4, $L$3, $L$5, $L$6)="NM","n/a",(_xll.ciqfunctions.udf.CIQ($A18,"IQ_EBITDA_2YR_ANN_CAGR", IQ_LTM,$B$1,$L$4, $L$3, $L$5, $L$6)/100))</f>
        <v>#NAME?</v>
      </c>
      <c r="BP18" s="466" t="e">
        <f ca="1">IF(_xll.ciqfunctions.udf.CIQ($A18,"IQ_EBITDA_3YR_ANN_CAGR", IQ_LTM,$B$1,$L$4, $L$3, $L$5, $L$6)="NM","n/a",(_xll.ciqfunctions.udf.CIQ($A18,"IQ_EBITDA_3YR_ANN_CAGR", IQ_LTM,$B$1,$L$4, $L$3, $L$5, $L$6)/100))</f>
        <v>#NAME?</v>
      </c>
      <c r="BQ18" s="466" t="e">
        <f ca="1">IF(_xll.ciqfunctions.udf.CIQ($A18,"IQ_EBITDA_5YR_ANN_CAGR", IQ_LTM,$B$1,$L$4, $L$3, $L$5, $L$6)="NM","n/a",(_xll.ciqfunctions.udf.CIQ($A18,"IQ_EBITDA_5YR_ANN_CAGR", IQ_LTM,$B$1,$L$4, $L$3, $L$5, $L$6)/100))</f>
        <v>#NAME?</v>
      </c>
      <c r="BR18" s="470" t="str">
        <f ca="1">IFERROR((_xll.ciqfunctions.udf.CIQ($A18, "IQ_DA_CF", IQ_LTM, $B$1, $L$4, $L$3, $L$5, $L$6)/Q18),"NM")</f>
        <v>NM</v>
      </c>
      <c r="BS18" s="522">
        <f>'Capital IQ Sheet-GPC'!BS18</f>
        <v>0.94599999999999995</v>
      </c>
      <c r="BT18" s="522">
        <f>'Capital IQ Sheet-GPC'!BT18</f>
        <v>0.74299999999999999</v>
      </c>
      <c r="BU18" s="522">
        <f>'Capital IQ Sheet-GPC'!BU18</f>
        <v>0.69899999999999995</v>
      </c>
      <c r="BV18" s="522">
        <f>'Capital IQ Sheet-GPC'!BV18</f>
        <v>0.66200000000000003</v>
      </c>
      <c r="BW18" s="522">
        <f>'Capital IQ Sheet-GPC'!BW18</f>
        <v>0.66400000000000003</v>
      </c>
      <c r="BX18" s="522">
        <f>'Capital IQ Sheet-GPC'!BX18</f>
        <v>0.65100000000000002</v>
      </c>
      <c r="BY18" s="522">
        <f>'Capital IQ Sheet-GPC'!BY18</f>
        <v>0.76600000000000001</v>
      </c>
      <c r="BZ18" s="522">
        <f>'Capital IQ Sheet-GPC'!BZ18</f>
        <v>0.73699999999999999</v>
      </c>
      <c r="CB18" s="466">
        <v>2</v>
      </c>
      <c r="CC18" s="614" t="s">
        <v>155</v>
      </c>
      <c r="CD18" s="614" t="s">
        <v>154</v>
      </c>
      <c r="CE18" s="468">
        <f t="shared" si="0"/>
        <v>42582</v>
      </c>
    </row>
    <row r="19" spans="1:83" s="466" customFormat="1" ht="12.75">
      <c r="A19" s="467" t="e">
        <f ca="1">_xll.ciqfunctions.udf.CIQ($B19,"IQ_COMPANY_TICKER")</f>
        <v>#NAME?</v>
      </c>
      <c r="B19" s="517" t="str">
        <f>'Capital IQ Sheet-GPC'!B19</f>
        <v>IQ9683234</v>
      </c>
      <c r="C19" s="467" t="e">
        <f ca="1">_xll.ciqfunctions.udf.CIQ($A19,"IQ_COMPANY_NAME")</f>
        <v>#NAME?</v>
      </c>
      <c r="D19" s="467" t="e">
        <f ca="1">_xll.ciqfunctions.udf.CIQ($A19, "IQ_EXCHANGE")</f>
        <v>#NAME?</v>
      </c>
      <c r="E19" s="516" t="e">
        <f ca="1">_xll.ciqfunctions.udf.CIQ($A19, "IQ_PERIODDATE_IS", IQ_FY)</f>
        <v>#NAME?</v>
      </c>
      <c r="F19" s="516" t="e">
        <f ca="1">_xll.ciqfunctions.udf.CIQ(A19, "IQ_PERIODDATE_IS", IQ_LTM, $B$1,$L$4,$L$3)</f>
        <v>#NAME?</v>
      </c>
      <c r="G19" s="516" t="e">
        <f ca="1">_xll.ciqfunctions.udf.CIQ($A19, "IQ_FIRSTPRICINGDATE")</f>
        <v>#NAME?</v>
      </c>
      <c r="H19" s="518" t="e">
        <f ca="1">_xll.ciqfunctions.udf.CIQ($A19, "IQ_TEV", $L$2, $L$5, $L$6)</f>
        <v>#NAME?</v>
      </c>
      <c r="I19" s="518" t="e">
        <f ca="1">_xll.ciqfunctions.udf.CIQ(A19, "IQ_LASTSALEPRICE", $B$1,$L$5)</f>
        <v>#NAME?</v>
      </c>
      <c r="J19" s="518" t="e">
        <f ca="1">_xll.ciqfunctions.udf.CIQ($A19, "IQ_MARKETCAP", $L$2, $L$5, $L$6)</f>
        <v>#NAME?</v>
      </c>
      <c r="K19" s="518" t="e">
        <f ca="1">_xll.ciqfunctions.udf.CIQ($A19, "IQ_TOTAL_DEBT", IQ_LTM, $L$2,$L$4, $L$3, $L$5, $L$6)</f>
        <v>#NAME?</v>
      </c>
      <c r="L19" s="518" t="e">
        <f ca="1">_xll.ciqfunctions.udf.CIQ($A19, "IQ_PREF_EQUITY", IQ_LTM, $L$2, $L$4, $L$3, $L$5, $L$6)</f>
        <v>#NAME?</v>
      </c>
      <c r="M19" s="518" t="e">
        <f ca="1">_xll.ciqfunctions.udf.CIQ($A19, "IQ_MINORITY_INTEREST_TOTAL", IQ_LTM, $L$2, $L$4, $L$3, $L$5, $L$6)</f>
        <v>#NAME?</v>
      </c>
      <c r="N19" s="518" t="e">
        <f ca="1">_xll.ciqfunctions.udf.CIQ($A19, "IQ_CASH_ST_INVEST", IQ_LTM, $L$2, $L$4, $L$3, $L$5, $L$6)</f>
        <v>#NAME?</v>
      </c>
      <c r="O19" s="518" t="e">
        <f ca="1">_xll.ciqfunctions.udf.CIQ($A19, "IQ_TOTAL_REV", IQ_LTM-8, $L$2, $L$4, $L$3, $L$5, $L$6)</f>
        <v>#NAME?</v>
      </c>
      <c r="P19" s="518" t="e">
        <f ca="1">_xll.ciqfunctions.udf.CIQ($A19, "IQ_TOTAL_REV", IQ_LTM - 4, $L$2, $L$4, $L$3, $L$5,$L$6)</f>
        <v>#NAME?</v>
      </c>
      <c r="Q19" s="518" t="e">
        <f ca="1">_xll.ciqfunctions.udf.CIQ($A19, "IQ_TOTAL_REV", IQ_LTM, $L$2, $L$4, $L$3, $L$5, $L$6)</f>
        <v>#NAME?</v>
      </c>
      <c r="R19" s="518" t="e">
        <f ca="1">_xll.ciqfunctions.udf.CIQ($A19, "IQ_TOTAL_REV", $B$2, $L$2, $L$4, $L$3, $L$5, $L$6)</f>
        <v>#NAME?</v>
      </c>
      <c r="S19" s="518" t="e">
        <f ca="1">IF(_xll.ciqfunctions.udf.CIQ($A19, "IQ_TOTAL_REV", $B$3, $L$2,$L$4, $L$3, $L$5, $L$6)=0,Q19,_xll.ciqfunctions.udf.CIQ($A19, "IQ_TOTAL_REV", $B$3, $L$2,$L$4, $L$3, $L$5, $L$6))</f>
        <v>#NAME?</v>
      </c>
      <c r="T19" s="518" t="e">
        <f ca="1">IF(_xll.ciqfunctions.udf.CIQ($A19, "IQ_REVENUE_EST",$B$4, $L$2, "CON", $L$3, $L$5, $L$6)=0,"n/a",_xll.ciqfunctions.udf.CIQ($A19, "IQ_REVENUE_EST",$B$4, $L$2, "CON", $L$3, $L$5, $L$6))</f>
        <v>#NAME?</v>
      </c>
      <c r="U19" s="518" t="e">
        <f ca="1">IF(_xll.ciqfunctions.udf.CIQ($A19, "IQ_REVENUE_EST",$B$5, $L$2, "CON", $L$3, $L$5, $L$6)=0,"n/a",_xll.ciqfunctions.udf.CIQ($A19, "IQ_REVENUE_EST",$B$5, $L$2, "CON", $L$3, $L$5, $L$6))</f>
        <v>#NAME?</v>
      </c>
      <c r="V19" s="518" t="e">
        <f ca="1">IF(_xll.ciqfunctions.udf.CIQ($A19, "IQ_REVENUE_EST",$B$6, $L$2, "CON", $L$3, $L$5, $L$6)=0,"n/a",_xll.ciqfunctions.udf.CIQ($A19, "IQ_REVENUE_EST",$B$6, $L$2, "CON", $L$3, $L$5, $L$6))</f>
        <v>#NAME?</v>
      </c>
      <c r="W19" s="518" t="e">
        <f ca="1">IF(_xll.ciqfunctions.udf.CIQ($A19, "IQ_REVENUE_EST", $B$7, $L$2, "CON", $L$3, $L$5, $L$6)=0,"n/a",_xll.ciqfunctions.udf.CIQ($A19, "IQ_REVENUE_EST",$B$7, $L$2, "CON", $L$3, $L$5, $L$6))</f>
        <v>#NAME?</v>
      </c>
      <c r="X19" s="518" t="e">
        <f ca="1">_xll.ciqfunctions.udf.CIQ($A19, "IQ_EBITDA", IQ_LTM-8, $L$2, $L$4, $L$3, $L$5, $L$6)</f>
        <v>#NAME?</v>
      </c>
      <c r="Y19" s="518" t="e">
        <f ca="1">_xll.ciqfunctions.udf.CIQ($A19, "IQ_EBITDA", IQ_LTM-4, $L$2,$L$4, $L$3, $L$5, $L$6)</f>
        <v>#NAME?</v>
      </c>
      <c r="Z19" s="518" t="e">
        <f ca="1">_xll.ciqfunctions.udf.CIQ($A19, "IQ_EBITDA", IQ_LTM, $L$2, $L$4, $L$3, $L$5, $L$6)</f>
        <v>#NAME?</v>
      </c>
      <c r="AA19" s="518" t="e">
        <f ca="1">_xll.ciqfunctions.udf.CIQ($A19, "IQ_EBITDA", $B$2, $L$2, $L$4, $L$3, $L$5, $L$6)</f>
        <v>#NAME?</v>
      </c>
      <c r="AB19" s="518" t="e">
        <f ca="1">IF(_xll.ciqfunctions.udf.CIQ($A19, "IQ_EBITDA", $B$3, $L$2,$L$4, $L$3, $L$5, $L$6)=0,Z19,_xll.ciqfunctions.udf.CIQ($A19, "IQ_EBITDA", $B$3, $L$2,$L$4, $L$3, $L$5, $L$6))</f>
        <v>#NAME?</v>
      </c>
      <c r="AC19" s="518" t="e">
        <f ca="1">IF(_xll.ciqfunctions.udf.CIQ($A19, "IQ_EBITDA_EST",$B$4, $L$2, "CON", $L$3, $L$5, $L$6)=0,"n/a",_xll.ciqfunctions.udf.CIQ($A19, "IQ_EBITDA_EST",$B$4, $L$2, "CON", $L$3, $L$5, $L$6))</f>
        <v>#NAME?</v>
      </c>
      <c r="AD19" s="518" t="e">
        <f ca="1">IF(_xll.ciqfunctions.udf.CIQ($A19, "IQ_EBITDA_EST",$B$5, $L$2, "CON", $L$3, $L$5, $L$6)=0,"n/a",_xll.ciqfunctions.udf.CIQ($A19, "IQ_EBITDA_EST",$B$5, $L$2, "CON", $L$3, $L$5, $L$6))</f>
        <v>#NAME?</v>
      </c>
      <c r="AE19" s="518" t="e">
        <f ca="1">IF(_xll.ciqfunctions.udf.CIQ($A19, "IQ_EBITDA_EST",$B$6, $L$2, "CON", $L$3, $L$5, $L$6)=0,"n/a",_xll.ciqfunctions.udf.CIQ($A19, "IQ_EBITDA_EST",$B$6, $L$2, "CON", $L$3, $L$5, $L$6))</f>
        <v>#NAME?</v>
      </c>
      <c r="AF19" s="519" t="str">
        <f ca="1">IF(ISERROR(_xll.ciqfunctions.udf.CIQ($A19, "IQ_GROSS_MARGIN", IQ_LTM, $L$2,$L$4, $L$3, $L$5, $L$6)/100), "n/a", _xll.ciqfunctions.udf.CIQ($A19,  "IQ_GROSS_MARGIN", IQ_LTM, $L$2, $L$4, $L$3, $L$5, $L$6)/100)</f>
        <v>n/a</v>
      </c>
      <c r="AG19" s="519" t="str">
        <f ca="1">IF(ISERROR(_xll.ciqfunctions.udf.CIQ($A19,"IQ_EBITDA_MARGIN", IQ_LTM, $L$2, $L$4, $L$3, $L$5, $L$6)/100), "n/a", _xll.ciqfunctions.udf.CIQ($A19, "IQ_EBITDA_MARGIN", IQ_LTM, $L$2, $L$4, $L$3, $L$5, $L$6)/100)</f>
        <v>n/a</v>
      </c>
      <c r="AH19" s="519" t="str">
        <f ca="1">IF(ISERROR(_xll.ciqfunctions.udf.CIQ($A19,"IQ_EBIT_MARGIN", IQ_LTM, $L$2, $L$4, $L$3, $L$5, $L$6)/100), "n/a", _xll.ciqfunctions.udf.CIQ($A19, "IQ_EBIT_MARGIN", IQ_LTM, $L$2, $L$4, $L$3, $L$5, $L$6)/100)</f>
        <v>n/a</v>
      </c>
      <c r="AI19" s="519" t="str">
        <f ca="1">IF(ISERROR(_xll.ciqfunctions.udf.CIQ($A19,"IQ_NI_MARGIN", IQ_LTM, $L$2, $L$4, $L$3, $L$5, $L$6)/100), "n/a", _xll.ciqfunctions.udf.CIQ($A19, "IQ_NI_MARGIN", IQ_LTM, $L$2, $L$4, $L$3, $L$5, $L$6)/100)</f>
        <v>n/a</v>
      </c>
      <c r="AJ19" s="518" t="str">
        <f ca="1">IF(ISERROR(_xll.ciqfunctions.udf.CIQ($A19, "IQ_NET_WORKING_CAP", IQ_LTM-8, $L$2, $L$4, $L$3, $L$5, $L$6)), "n/a", _xll.ciqfunctions.udf.CIQ($A19, "IQ_NET_WORKING_CAP", IQ_LTM-8, $L$2, $L$4, $L$3, $L$5, $L$6))</f>
        <v>n/a</v>
      </c>
      <c r="AK19" s="518" t="str">
        <f ca="1">IF(ISERROR(_xll.ciqfunctions.udf.CIQ($A19, "IQ_NET_WORKING_CAP", IQ_LTM-4, $L$2, $L$4, $L$3, $L$5, $L$6)), "n/a", _xll.ciqfunctions.udf.CIQ($A19, "IQ_NET_WORKING_CAP", IQ_LTM-4, $L$2, $L$4, $L$3, $L$5, $L$6))</f>
        <v>n/a</v>
      </c>
      <c r="AL19" s="518" t="str">
        <f ca="1">IF(ISERROR(_xll.ciqfunctions.udf.CIQ($A19, "IQ_NET_WORKING_CAP", IQ_LTM, $L$2,$L$4, $L$3, $L$5, $L$6)), "n/a", _xll.ciqfunctions.udf.CIQ($A19, "IQ_NET_WORKING_CAP", IQ_LTM, $L$2, $L$4, $L$3, $L$5, $L$6))</f>
        <v>n/a</v>
      </c>
      <c r="AM19" s="518" t="str">
        <f ca="1">IF(ISERROR(_xll.ciqfunctions.udf.CIQ($A19, "IQ_Capex", IQ_LTM-8, $L$2,$L$4, $L$3, $L$5, $L$6)), "n/a", _xll.ciqfunctions.udf.CIQ($A19, "IQ_Capex", IQ_LTM-8, $L$2, $L$4, $L$3, $L$5, $L$6))</f>
        <v>n/a</v>
      </c>
      <c r="AN19" s="518" t="str">
        <f ca="1">IF(ISERROR(_xll.ciqfunctions.udf.CIQ($A19, "IQ_Capex", IQ_LTM-4, $L$2,$L$4, $L$3, $L$5, $L$6)), "n/a", _xll.ciqfunctions.udf.CIQ($A19, "IQ_Capex", IQ_LTM-4, $L$2,$L$4, $L$3, $L$5, $L$6))</f>
        <v>n/a</v>
      </c>
      <c r="AO19" s="518" t="str">
        <f ca="1">IF(ISERROR(_xll.ciqfunctions.udf.CIQ($A19, "IQ_Capex", IQ_LTM, $L$2, $L$4, $L$3, $L$5, $L$6)), "n/a", _xll.ciqfunctions.udf.CIQ($A19, "IQ_Capex", IQ_LTM, $L$2, $L$4, $L$3, $L$5, $L$6))</f>
        <v>n/a</v>
      </c>
      <c r="AP19" s="520" t="e">
        <f ca="1">_xll.ciqfunctions.udf.CIQ(A19, "IQ_BUSINESS_DESCRIPTION")</f>
        <v>#NAME?</v>
      </c>
      <c r="AQ19" s="521" t="e">
        <f ca="1">_xll.ciqfunctions.udf.CIQ($A19, "IQ_BETA_1YR", $B$1)</f>
        <v>#NAME?</v>
      </c>
      <c r="AR19" s="521" t="e">
        <f ca="1">_xll.ciqfunctions.udf.CIQ($A19, "IQ_BETA_2YR", $B$1)</f>
        <v>#NAME?</v>
      </c>
      <c r="AS19" s="521" t="e">
        <f ca="1">_xll.ciqfunctions.udf.CIQ($A19, "IQ_BETA_5YR", $B$1)</f>
        <v>#NAME?</v>
      </c>
      <c r="AT19" s="519" t="e">
        <f ca="1">_xll.ciqfunctions.udf.CIQ($A19, "IQ_DIVIDEND_YIELD", $B$1)/100</f>
        <v>#NAME?</v>
      </c>
      <c r="AU19" s="518" t="e">
        <f ca="1">_xll.ciqfunctions.udf.CIQ($A19, "IQ_EARNING_CO", IQ_LTM-8, $L$2, $L$4, $L$3, $L$5, $L$6)</f>
        <v>#NAME?</v>
      </c>
      <c r="AV19" s="518" t="e">
        <f ca="1">_xll.ciqfunctions.udf.CIQ($A19, "IQ_EARNING_CO", IQ_LTM-4, $L$2, $L$4, $L$3, $L$5, $L$6)</f>
        <v>#NAME?</v>
      </c>
      <c r="AW19" s="518" t="e">
        <f ca="1">_xll.ciqfunctions.udf.CIQ($A19, "IQ_EARNING_CO", IQ_LTM, $L$2, $L$4, $L$3, $L$5, $L$6)</f>
        <v>#NAME?</v>
      </c>
      <c r="AX19" s="518" t="e">
        <f ca="1">_xll.ciqfunctions.udf.CIQ($A19, "IQ_EARNING_CO", $B$2, $L$2, $L$4, $L$3, $L$5, $L$6)</f>
        <v>#NAME?</v>
      </c>
      <c r="AY19" s="518" t="e">
        <f ca="1">IF(_xll.ciqfunctions.udf.CIQ($A19, "IQ_EARNING_CO", $B$3, $L$2,$L$4, $L$3, $L$5, $L$6)=0,AW19,_xll.ciqfunctions.udf.CIQ($A19, "IQ_EARNING_CO", $B$3, $L$2,$L$4, $L$3, $L$5, $L$6))</f>
        <v>#NAME?</v>
      </c>
      <c r="AZ19" s="518" t="e">
        <f ca="1">_xll.ciqfunctions.udf.CIQ($A19, "IQ_TOTAL_EQUITY", IQ_LTM-8, $L$2, $L$4, $L$3, $L$5, $L$6)</f>
        <v>#NAME?</v>
      </c>
      <c r="BA19" s="518" t="e">
        <f ca="1">_xll.ciqfunctions.udf.CIQ($A19, "IQ_TOTAL_EQUITY", IQ_LTM-4, $L$2, $L$4, $L$3, $L$5, $L$6)</f>
        <v>#NAME?</v>
      </c>
      <c r="BB19" s="518" t="e">
        <f ca="1">_xll.ciqfunctions.udf.CIQ($A19, "IQ_TOTAL_EQUITY", IQ_LTM, $L$2, $L$4, $L$3, $L$5, $L$6)</f>
        <v>#NAME?</v>
      </c>
      <c r="BC19" s="518" t="e">
        <f ca="1">_xll.ciqfunctions.udf.CIQ($A19, "IQ_TOTAL_EQUITY", $B$2, $L$2, $L$4, $L$3, $L$5, $L$6)</f>
        <v>#NAME?</v>
      </c>
      <c r="BD19" s="518" t="e">
        <f ca="1">IF(_xll.ciqfunctions.udf.CIQ($A19, "IQ_TOTAL_EQUITY", $B$3, $L$2,$L$4, $L$3, $L$5, $L$6)=0,BB19,_xll.ciqfunctions.udf.CIQ($A19, "IQ_TOTAL_EQUITY", $B$3, $L$2,$L$4, $L$3, $L$5, $L$6))</f>
        <v>#NAME?</v>
      </c>
      <c r="BE19" s="518" t="e">
        <f ca="1">_xll.ciqfunctions.udf.CIQ(A19, "IQ_LASTSALEPRICE", $B$8)</f>
        <v>#NAME?</v>
      </c>
      <c r="BF19" s="518" t="e">
        <f ca="1">_xll.ciqfunctions.udf.CIQ($A19, "IQ_MARKETCAP", $B$8, $L$5, $L$6)</f>
        <v>#NAME?</v>
      </c>
      <c r="BG19" s="518" t="e">
        <f ca="1">_xll.ciqfunctions.udf.CIQ($A19, "IQ_TOTAL_DEBT", IQ_LTM, $B$8,$L$4, $L$3, $L$5, $L$6)</f>
        <v>#NAME?</v>
      </c>
      <c r="BH19" s="466" t="e">
        <f ca="1">_xll.ciqfunctions.udf.CIQ($A19,"IQ_PREF_EQUITY",IQ_LTM,$B$8,$L$4,$L$3,$L$5,$L$6)</f>
        <v>#NAME?</v>
      </c>
      <c r="BI19" s="466" t="e">
        <f ca="1">_xll.ciqfunctions.udf.CIQ($A19, "IQ_MINORITY_INTEREST_TOTAL", IQ_LTM,$B$8,$L$4,$L$3,$L$5,$L$6)</f>
        <v>#NAME?</v>
      </c>
      <c r="BJ19" s="518" t="e">
        <f ca="1">_xll.ciqfunctions.udf.CIQ($A19, "IQ_CASH_ST_INVEST", IQ_LTM, $B$8, $L$4, $L$3, $L$5, $L$6)</f>
        <v>#NAME?</v>
      </c>
      <c r="BK19" s="466" t="e">
        <f ca="1">_xll.ciqfunctions.udf.CIQ($A19, "IQ_EFFECT_TAX_RATE")</f>
        <v>#NAME?</v>
      </c>
      <c r="BL19" s="466" t="e">
        <f ca="1">IF(_xll.ciqfunctions.udf.CIQ($A19, "IQ_TOTAL_REV_2YR_ANN_CAGR", IQ_LTM, $B$1,$L$4, $L$3, $L$5, $L$6)="NM","n/a",(_xll.ciqfunctions.udf.CIQ($A19, "IQ_TOTAL_REV_2YR_ANN_CAGR", IQ_LTM, $B$1,$L$4, $L$3, $L$5, $L$6)/100))</f>
        <v>#NAME?</v>
      </c>
      <c r="BM19" s="466" t="e">
        <f ca="1">IF(_xll.ciqfunctions.udf.CIQ($A19, "IQ_TOTAL_REV_3YR_ANN_CAGR", IQ_LTM, $B$1,$L$4, $L$3, $L$5, $L$6)="NM","n/a",(_xll.ciqfunctions.udf.CIQ($A19, "IQ_TOTAL_REV_3YR_ANN_CAGR", IQ_LTM, $B$1,$L$4, $L$3, $L$5, $L$6)/100))</f>
        <v>#NAME?</v>
      </c>
      <c r="BN19" s="466" t="e">
        <f ca="1">IF(_xll.ciqfunctions.udf.CIQ($A19, "IQ_TOTAL_REV_5YR_ANN_CAGR", IQ_LTM, $B$1,$L$4, $L$3, $L$5, $L$6)="NM","n/a",(_xll.ciqfunctions.udf.CIQ($A19, "IQ_TOTAL_REV_5YR_ANN_CAGR", IQ_LTM, $B$1,$L$4, $L$3, $L$5, $L$6)/100))</f>
        <v>#NAME?</v>
      </c>
      <c r="BO19" s="466" t="e">
        <f ca="1">IF(_xll.ciqfunctions.udf.CIQ($A19,"IQ_EBITDA_2YR_ANN_CAGR", IQ_LTM,$B$1,$L$4, $L$3, $L$5, $L$6)="NM","n/a",(_xll.ciqfunctions.udf.CIQ($A19,"IQ_EBITDA_2YR_ANN_CAGR", IQ_LTM,$B$1,$L$4, $L$3, $L$5, $L$6)/100))</f>
        <v>#NAME?</v>
      </c>
      <c r="BP19" s="466" t="e">
        <f ca="1">IF(_xll.ciqfunctions.udf.CIQ($A19,"IQ_EBITDA_3YR_ANN_CAGR", IQ_LTM,$B$1,$L$4, $L$3, $L$5, $L$6)="NM","n/a",(_xll.ciqfunctions.udf.CIQ($A19,"IQ_EBITDA_3YR_ANN_CAGR", IQ_LTM,$B$1,$L$4, $L$3, $L$5, $L$6)/100))</f>
        <v>#NAME?</v>
      </c>
      <c r="BQ19" s="466" t="e">
        <f ca="1">IF(_xll.ciqfunctions.udf.CIQ($A19,"IQ_EBITDA_5YR_ANN_CAGR", IQ_LTM,$B$1,$L$4, $L$3, $L$5, $L$6)="NM","n/a",(_xll.ciqfunctions.udf.CIQ($A19,"IQ_EBITDA_5YR_ANN_CAGR", IQ_LTM,$B$1,$L$4, $L$3, $L$5, $L$6)/100))</f>
        <v>#NAME?</v>
      </c>
      <c r="BR19" s="470" t="str">
        <f ca="1">IFERROR((_xll.ciqfunctions.udf.CIQ($A19, "IQ_DA_CF", IQ_LTM, $B$1, $L$4, $L$3, $L$5, $L$6)/Q19),"NM")</f>
        <v>NM</v>
      </c>
      <c r="BS19" s="522">
        <f>'Capital IQ Sheet-GPC'!BS19</f>
        <v>0.36099999999999999</v>
      </c>
      <c r="BT19" s="522">
        <f>'Capital IQ Sheet-GPC'!BT19</f>
        <v>0.45200000000000001</v>
      </c>
      <c r="BU19" s="522">
        <f>'Capital IQ Sheet-GPC'!BU19</f>
        <v>0.48599999999999999</v>
      </c>
      <c r="BV19" s="522">
        <f>'Capital IQ Sheet-GPC'!BV19</f>
        <v>0.60399999999999998</v>
      </c>
      <c r="BW19" s="522">
        <f>'Capital IQ Sheet-GPC'!BW19</f>
        <v>0.67100000000000004</v>
      </c>
      <c r="BX19" s="522">
        <f>'Capital IQ Sheet-GPC'!BX19</f>
        <v>0.68200000000000005</v>
      </c>
      <c r="BY19" s="522">
        <f>'Capital IQ Sheet-GPC'!BY19</f>
        <v>0.71799999999999997</v>
      </c>
      <c r="BZ19" s="522">
        <f>'Capital IQ Sheet-GPC'!BZ19</f>
        <v>0.68799999999999994</v>
      </c>
      <c r="CB19" s="466">
        <v>2</v>
      </c>
      <c r="CC19" s="614" t="s">
        <v>155</v>
      </c>
      <c r="CD19" s="614" t="s">
        <v>154</v>
      </c>
      <c r="CE19" s="468">
        <f t="shared" si="0"/>
        <v>42582</v>
      </c>
    </row>
    <row r="20" spans="1:83" s="466" customFormat="1" ht="12.75">
      <c r="A20" s="467" t="e">
        <f ca="1">_xll.ciqfunctions.udf.CIQ($B20,"IQ_COMPANY_TICKER")</f>
        <v>#NAME?</v>
      </c>
      <c r="B20" s="517" t="str">
        <f>'Capital IQ Sheet-GPC'!B20</f>
        <v>IQ114935891</v>
      </c>
      <c r="C20" s="467" t="e">
        <f ca="1">_xll.ciqfunctions.udf.CIQ($A20,"IQ_COMPANY_NAME")</f>
        <v>#NAME?</v>
      </c>
      <c r="D20" s="467" t="e">
        <f ca="1">_xll.ciqfunctions.udf.CIQ($A20, "IQ_EXCHANGE")</f>
        <v>#NAME?</v>
      </c>
      <c r="E20" s="516" t="e">
        <f ca="1">_xll.ciqfunctions.udf.CIQ($A20, "IQ_PERIODDATE_IS", IQ_FY)</f>
        <v>#NAME?</v>
      </c>
      <c r="F20" s="516" t="e">
        <f ca="1">_xll.ciqfunctions.udf.CIQ(A20, "IQ_PERIODDATE_IS", IQ_LTM, $B$1,$L$4,$L$3)</f>
        <v>#NAME?</v>
      </c>
      <c r="G20" s="516" t="e">
        <f ca="1">_xll.ciqfunctions.udf.CIQ($A20, "IQ_FIRSTPRICINGDATE")</f>
        <v>#NAME?</v>
      </c>
      <c r="H20" s="518" t="e">
        <f ca="1">_xll.ciqfunctions.udf.CIQ($A20, "IQ_TEV", $L$2, $L$5, $L$6)</f>
        <v>#NAME?</v>
      </c>
      <c r="I20" s="518" t="e">
        <f ca="1">_xll.ciqfunctions.udf.CIQ(A20, "IQ_LASTSALEPRICE", $B$1,$L$5)</f>
        <v>#NAME?</v>
      </c>
      <c r="J20" s="518" t="e">
        <f ca="1">_xll.ciqfunctions.udf.CIQ($A20, "IQ_MARKETCAP", $L$2, $L$5, $L$6)</f>
        <v>#NAME?</v>
      </c>
      <c r="K20" s="518" t="e">
        <f ca="1">_xll.ciqfunctions.udf.CIQ($A20, "IQ_TOTAL_DEBT", IQ_LTM, $L$2,$L$4, $L$3, $L$5, $L$6)</f>
        <v>#NAME?</v>
      </c>
      <c r="L20" s="518" t="e">
        <f ca="1">_xll.ciqfunctions.udf.CIQ($A20, "IQ_PREF_EQUITY", IQ_LTM, $L$2, $L$4, $L$3, $L$5, $L$6)</f>
        <v>#NAME?</v>
      </c>
      <c r="M20" s="518" t="e">
        <f ca="1">_xll.ciqfunctions.udf.CIQ($A20, "IQ_MINORITY_INTEREST_TOTAL", IQ_LTM, $L$2, $L$4, $L$3, $L$5, $L$6)</f>
        <v>#NAME?</v>
      </c>
      <c r="N20" s="518" t="e">
        <f ca="1">_xll.ciqfunctions.udf.CIQ($A20, "IQ_CASH_ST_INVEST", IQ_LTM, $L$2, $L$4, $L$3, $L$5, $L$6)</f>
        <v>#NAME?</v>
      </c>
      <c r="O20" s="518" t="e">
        <f ca="1">_xll.ciqfunctions.udf.CIQ($A20, "IQ_TOTAL_REV", IQ_LTM-8, $L$2, $L$4, $L$3, $L$5, $L$6)</f>
        <v>#NAME?</v>
      </c>
      <c r="P20" s="518" t="e">
        <f ca="1">_xll.ciqfunctions.udf.CIQ($A20, "IQ_TOTAL_REV", IQ_LTM - 4, $L$2, $L$4, $L$3, $L$5,$L$6)</f>
        <v>#NAME?</v>
      </c>
      <c r="Q20" s="518" t="e">
        <f ca="1">_xll.ciqfunctions.udf.CIQ($A20, "IQ_TOTAL_REV", IQ_LTM, $L$2, $L$4, $L$3, $L$5, $L$6)</f>
        <v>#NAME?</v>
      </c>
      <c r="R20" s="518" t="e">
        <f ca="1">_xll.ciqfunctions.udf.CIQ($A20, "IQ_TOTAL_REV", $B$2, $L$2, $L$4, $L$3, $L$5, $L$6)</f>
        <v>#NAME?</v>
      </c>
      <c r="S20" s="518" t="e">
        <f ca="1">IF(_xll.ciqfunctions.udf.CIQ($A20, "IQ_TOTAL_REV", $B$3, $L$2,$L$4, $L$3, $L$5, $L$6)=0,Q20,_xll.ciqfunctions.udf.CIQ($A20, "IQ_TOTAL_REV", $B$3, $L$2,$L$4, $L$3, $L$5, $L$6))</f>
        <v>#NAME?</v>
      </c>
      <c r="T20" s="518" t="e">
        <f ca="1">IF(_xll.ciqfunctions.udf.CIQ($A20, "IQ_REVENUE_EST",$B$4, $L$2, "CON", $L$3, $L$5, $L$6)=0,"n/a",_xll.ciqfunctions.udf.CIQ($A20, "IQ_REVENUE_EST",$B$4, $L$2, "CON", $L$3, $L$5, $L$6))</f>
        <v>#NAME?</v>
      </c>
      <c r="U20" s="518" t="e">
        <f ca="1">IF(_xll.ciqfunctions.udf.CIQ($A20, "IQ_REVENUE_EST",$B$5, $L$2, "CON", $L$3, $L$5, $L$6)=0,"n/a",_xll.ciqfunctions.udf.CIQ($A20, "IQ_REVENUE_EST",$B$5, $L$2, "CON", $L$3, $L$5, $L$6))</f>
        <v>#NAME?</v>
      </c>
      <c r="V20" s="518" t="e">
        <f ca="1">IF(_xll.ciqfunctions.udf.CIQ($A20, "IQ_REVENUE_EST",$B$6, $L$2, "CON", $L$3, $L$5, $L$6)=0,"n/a",_xll.ciqfunctions.udf.CIQ($A20, "IQ_REVENUE_EST",$B$6, $L$2, "CON", $L$3, $L$5, $L$6))</f>
        <v>#NAME?</v>
      </c>
      <c r="W20" s="518" t="e">
        <f ca="1">IF(_xll.ciqfunctions.udf.CIQ($A20, "IQ_REVENUE_EST", $B$7, $L$2, "CON", $L$3, $L$5, $L$6)=0,"n/a",_xll.ciqfunctions.udf.CIQ($A20, "IQ_REVENUE_EST",$B$7, $L$2, "CON", $L$3, $L$5, $L$6))</f>
        <v>#NAME?</v>
      </c>
      <c r="X20" s="518" t="e">
        <f ca="1">_xll.ciqfunctions.udf.CIQ($A20, "IQ_EBITDA", IQ_LTM-8, $L$2, $L$4, $L$3, $L$5, $L$6)</f>
        <v>#NAME?</v>
      </c>
      <c r="Y20" s="518" t="e">
        <f ca="1">_xll.ciqfunctions.udf.CIQ($A20, "IQ_EBITDA", IQ_LTM-4, $L$2,$L$4, $L$3, $L$5, $L$6)</f>
        <v>#NAME?</v>
      </c>
      <c r="Z20" s="518" t="e">
        <f ca="1">_xll.ciqfunctions.udf.CIQ($A20, "IQ_EBITDA", IQ_LTM, $L$2, $L$4, $L$3, $L$5, $L$6)</f>
        <v>#NAME?</v>
      </c>
      <c r="AA20" s="518" t="e">
        <f ca="1">_xll.ciqfunctions.udf.CIQ($A20, "IQ_EBITDA", $B$2, $L$2, $L$4, $L$3, $L$5, $L$6)</f>
        <v>#NAME?</v>
      </c>
      <c r="AB20" s="518" t="e">
        <f ca="1">IF(_xll.ciqfunctions.udf.CIQ($A20, "IQ_EBITDA", $B$3, $L$2,$L$4, $L$3, $L$5, $L$6)=0,Z20,_xll.ciqfunctions.udf.CIQ($A20, "IQ_EBITDA", $B$3, $L$2,$L$4, $L$3, $L$5, $L$6))</f>
        <v>#NAME?</v>
      </c>
      <c r="AC20" s="518" t="e">
        <f ca="1">IF(_xll.ciqfunctions.udf.CIQ($A20, "IQ_EBITDA_EST",$B$4, $L$2, "CON", $L$3, $L$5, $L$6)=0,"n/a",_xll.ciqfunctions.udf.CIQ($A20, "IQ_EBITDA_EST",$B$4, $L$2, "CON", $L$3, $L$5, $L$6))</f>
        <v>#NAME?</v>
      </c>
      <c r="AD20" s="518" t="e">
        <f ca="1">IF(_xll.ciqfunctions.udf.CIQ($A20, "IQ_EBITDA_EST",$B$5, $L$2, "CON", $L$3, $L$5, $L$6)=0,"n/a",_xll.ciqfunctions.udf.CIQ($A20, "IQ_EBITDA_EST",$B$5, $L$2, "CON", $L$3, $L$5, $L$6))</f>
        <v>#NAME?</v>
      </c>
      <c r="AE20" s="518" t="e">
        <f ca="1">IF(_xll.ciqfunctions.udf.CIQ($A20, "IQ_EBITDA_EST",$B$6, $L$2, "CON", $L$3, $L$5, $L$6)=0,"n/a",_xll.ciqfunctions.udf.CIQ($A20, "IQ_EBITDA_EST",$B$6, $L$2, "CON", $L$3, $L$5, $L$6))</f>
        <v>#NAME?</v>
      </c>
      <c r="AF20" s="519" t="str">
        <f ca="1">IF(ISERROR(_xll.ciqfunctions.udf.CIQ($A20, "IQ_GROSS_MARGIN", IQ_LTM, $L$2,$L$4, $L$3, $L$5, $L$6)/100), "n/a", _xll.ciqfunctions.udf.CIQ($A20,  "IQ_GROSS_MARGIN", IQ_LTM, $L$2, $L$4, $L$3, $L$5, $L$6)/100)</f>
        <v>n/a</v>
      </c>
      <c r="AG20" s="519" t="str">
        <f ca="1">IF(ISERROR(_xll.ciqfunctions.udf.CIQ($A20,"IQ_EBITDA_MARGIN", IQ_LTM, $L$2, $L$4, $L$3, $L$5, $L$6)/100), "n/a", _xll.ciqfunctions.udf.CIQ($A20, "IQ_EBITDA_MARGIN", IQ_LTM, $L$2, $L$4, $L$3, $L$5, $L$6)/100)</f>
        <v>n/a</v>
      </c>
      <c r="AH20" s="519" t="str">
        <f ca="1">IF(ISERROR(_xll.ciqfunctions.udf.CIQ($A20,"IQ_EBIT_MARGIN", IQ_LTM, $L$2, $L$4, $L$3, $L$5, $L$6)/100), "n/a", _xll.ciqfunctions.udf.CIQ($A20, "IQ_EBIT_MARGIN", IQ_LTM, $L$2, $L$4, $L$3, $L$5, $L$6)/100)</f>
        <v>n/a</v>
      </c>
      <c r="AI20" s="519" t="str">
        <f ca="1">IF(ISERROR(_xll.ciqfunctions.udf.CIQ($A20,"IQ_NI_MARGIN", IQ_LTM, $L$2, $L$4, $L$3, $L$5, $L$6)/100), "n/a", _xll.ciqfunctions.udf.CIQ($A20, "IQ_NI_MARGIN", IQ_LTM, $L$2, $L$4, $L$3, $L$5, $L$6)/100)</f>
        <v>n/a</v>
      </c>
      <c r="AJ20" s="518" t="str">
        <f ca="1">IF(ISERROR(_xll.ciqfunctions.udf.CIQ($A20, "IQ_NET_WORKING_CAP", IQ_LTM-8, $L$2, $L$4, $L$3, $L$5, $L$6)), "n/a", _xll.ciqfunctions.udf.CIQ($A20, "IQ_NET_WORKING_CAP", IQ_LTM-8, $L$2, $L$4, $L$3, $L$5, $L$6))</f>
        <v>n/a</v>
      </c>
      <c r="AK20" s="518" t="str">
        <f ca="1">IF(ISERROR(_xll.ciqfunctions.udf.CIQ($A20, "IQ_NET_WORKING_CAP", IQ_LTM-4, $L$2, $L$4, $L$3, $L$5, $L$6)), "n/a", _xll.ciqfunctions.udf.CIQ($A20, "IQ_NET_WORKING_CAP", IQ_LTM-4, $L$2, $L$4, $L$3, $L$5, $L$6))</f>
        <v>n/a</v>
      </c>
      <c r="AL20" s="518" t="str">
        <f ca="1">IF(ISERROR(_xll.ciqfunctions.udf.CIQ($A20, "IQ_NET_WORKING_CAP", IQ_LTM, $L$2,$L$4, $L$3, $L$5, $L$6)), "n/a", _xll.ciqfunctions.udf.CIQ($A20, "IQ_NET_WORKING_CAP", IQ_LTM, $L$2, $L$4, $L$3, $L$5, $L$6))</f>
        <v>n/a</v>
      </c>
      <c r="AM20" s="518" t="str">
        <f ca="1">IF(ISERROR(_xll.ciqfunctions.udf.CIQ($A20, "IQ_Capex", IQ_LTM-8, $L$2,$L$4, $L$3, $L$5, $L$6)), "n/a", _xll.ciqfunctions.udf.CIQ($A20, "IQ_Capex", IQ_LTM-8, $L$2, $L$4, $L$3, $L$5, $L$6))</f>
        <v>n/a</v>
      </c>
      <c r="AN20" s="518" t="str">
        <f ca="1">IF(ISERROR(_xll.ciqfunctions.udf.CIQ($A20, "IQ_Capex", IQ_LTM-4, $L$2,$L$4, $L$3, $L$5, $L$6)), "n/a", _xll.ciqfunctions.udf.CIQ($A20, "IQ_Capex", IQ_LTM-4, $L$2,$L$4, $L$3, $L$5, $L$6))</f>
        <v>n/a</v>
      </c>
      <c r="AO20" s="518" t="str">
        <f ca="1">IF(ISERROR(_xll.ciqfunctions.udf.CIQ($A20, "IQ_Capex", IQ_LTM, $L$2, $L$4, $L$3, $L$5, $L$6)), "n/a", _xll.ciqfunctions.udf.CIQ($A20, "IQ_Capex", IQ_LTM, $L$2, $L$4, $L$3, $L$5, $L$6))</f>
        <v>n/a</v>
      </c>
      <c r="AP20" s="520" t="e">
        <f ca="1">_xll.ciqfunctions.udf.CIQ(A20, "IQ_BUSINESS_DESCRIPTION")</f>
        <v>#NAME?</v>
      </c>
      <c r="AQ20" s="521" t="e">
        <f ca="1">_xll.ciqfunctions.udf.CIQ($A20, "IQ_BETA_1YR", $B$1)</f>
        <v>#NAME?</v>
      </c>
      <c r="AR20" s="521" t="e">
        <f ca="1">_xll.ciqfunctions.udf.CIQ($A20, "IQ_BETA_2YR", $B$1)</f>
        <v>#NAME?</v>
      </c>
      <c r="AS20" s="521" t="e">
        <f ca="1">_xll.ciqfunctions.udf.CIQ($A20, "IQ_BETA_5YR", $B$1)</f>
        <v>#NAME?</v>
      </c>
      <c r="AT20" s="519" t="e">
        <f ca="1">_xll.ciqfunctions.udf.CIQ($A20, "IQ_DIVIDEND_YIELD", $B$1)/100</f>
        <v>#NAME?</v>
      </c>
      <c r="AU20" s="518" t="e">
        <f ca="1">_xll.ciqfunctions.udf.CIQ($A20, "IQ_EARNING_CO", IQ_LTM-8, $L$2, $L$4, $L$3, $L$5, $L$6)</f>
        <v>#NAME?</v>
      </c>
      <c r="AV20" s="518" t="e">
        <f ca="1">_xll.ciqfunctions.udf.CIQ($A20, "IQ_EARNING_CO", IQ_LTM-4, $L$2, $L$4, $L$3, $L$5, $L$6)</f>
        <v>#NAME?</v>
      </c>
      <c r="AW20" s="518" t="e">
        <f ca="1">_xll.ciqfunctions.udf.CIQ($A20, "IQ_EARNING_CO", IQ_LTM, $L$2, $L$4, $L$3, $L$5, $L$6)</f>
        <v>#NAME?</v>
      </c>
      <c r="AX20" s="518" t="e">
        <f ca="1">_xll.ciqfunctions.udf.CIQ($A20, "IQ_EARNING_CO", $B$2, $L$2, $L$4, $L$3, $L$5, $L$6)</f>
        <v>#NAME?</v>
      </c>
      <c r="AY20" s="518" t="e">
        <f ca="1">IF(_xll.ciqfunctions.udf.CIQ($A20, "IQ_EARNING_CO", $B$3, $L$2,$L$4, $L$3, $L$5, $L$6)=0,AW20,_xll.ciqfunctions.udf.CIQ($A20, "IQ_EARNING_CO", $B$3, $L$2,$L$4, $L$3, $L$5, $L$6))</f>
        <v>#NAME?</v>
      </c>
      <c r="AZ20" s="518" t="e">
        <f ca="1">_xll.ciqfunctions.udf.CIQ($A20, "IQ_TOTAL_EQUITY", IQ_LTM-8, $L$2, $L$4, $L$3, $L$5, $L$6)</f>
        <v>#NAME?</v>
      </c>
      <c r="BA20" s="518" t="e">
        <f ca="1">_xll.ciqfunctions.udf.CIQ($A20, "IQ_TOTAL_EQUITY", IQ_LTM-4, $L$2, $L$4, $L$3, $L$5, $L$6)</f>
        <v>#NAME?</v>
      </c>
      <c r="BB20" s="518" t="e">
        <f ca="1">_xll.ciqfunctions.udf.CIQ($A20, "IQ_TOTAL_EQUITY", IQ_LTM, $L$2, $L$4, $L$3, $L$5, $L$6)</f>
        <v>#NAME?</v>
      </c>
      <c r="BC20" s="518" t="e">
        <f ca="1">_xll.ciqfunctions.udf.CIQ($A20, "IQ_TOTAL_EQUITY", $B$2, $L$2, $L$4, $L$3, $L$5, $L$6)</f>
        <v>#NAME?</v>
      </c>
      <c r="BD20" s="518" t="e">
        <f ca="1">IF(_xll.ciqfunctions.udf.CIQ($A20, "IQ_TOTAL_EQUITY", $B$3, $L$2,$L$4, $L$3, $L$5, $L$6)=0,BB20,_xll.ciqfunctions.udf.CIQ($A20, "IQ_TOTAL_EQUITY", $B$3, $L$2,$L$4, $L$3, $L$5, $L$6))</f>
        <v>#NAME?</v>
      </c>
      <c r="BE20" s="518" t="e">
        <f ca="1">_xll.ciqfunctions.udf.CIQ(A20, "IQ_LASTSALEPRICE", $B$8)</f>
        <v>#NAME?</v>
      </c>
      <c r="BF20" s="518" t="e">
        <f ca="1">_xll.ciqfunctions.udf.CIQ($A20, "IQ_MARKETCAP", $B$8, $L$5, $L$6)</f>
        <v>#NAME?</v>
      </c>
      <c r="BG20" s="518" t="e">
        <f ca="1">_xll.ciqfunctions.udf.CIQ($A20, "IQ_TOTAL_DEBT", IQ_LTM, $B$8,$L$4, $L$3, $L$5, $L$6)</f>
        <v>#NAME?</v>
      </c>
      <c r="BH20" s="466" t="e">
        <f ca="1">_xll.ciqfunctions.udf.CIQ($A20,"IQ_PREF_EQUITY",IQ_LTM,$B$8,$L$4,$L$3,$L$5,$L$6)</f>
        <v>#NAME?</v>
      </c>
      <c r="BI20" s="466" t="e">
        <f ca="1">_xll.ciqfunctions.udf.CIQ($A20, "IQ_MINORITY_INTEREST_TOTAL", IQ_LTM,$B$8,$L$4,$L$3,$L$5,$L$6)</f>
        <v>#NAME?</v>
      </c>
      <c r="BJ20" s="518" t="e">
        <f ca="1">_xll.ciqfunctions.udf.CIQ($A20, "IQ_CASH_ST_INVEST", IQ_LTM, $B$8, $L$4, $L$3, $L$5, $L$6)</f>
        <v>#NAME?</v>
      </c>
      <c r="BK20" s="466" t="e">
        <f ca="1">_xll.ciqfunctions.udf.CIQ($A20, "IQ_EFFECT_TAX_RATE")</f>
        <v>#NAME?</v>
      </c>
      <c r="BL20" s="466" t="e">
        <f ca="1">IF(_xll.ciqfunctions.udf.CIQ($A20, "IQ_TOTAL_REV_2YR_ANN_CAGR", IQ_LTM, $B$1,$L$4, $L$3, $L$5, $L$6)="NM","n/a",(_xll.ciqfunctions.udf.CIQ($A20, "IQ_TOTAL_REV_2YR_ANN_CAGR", IQ_LTM, $B$1,$L$4, $L$3, $L$5, $L$6)/100))</f>
        <v>#NAME?</v>
      </c>
      <c r="BM20" s="466" t="e">
        <f ca="1">IF(_xll.ciqfunctions.udf.CIQ($A20, "IQ_TOTAL_REV_3YR_ANN_CAGR", IQ_LTM, $B$1,$L$4, $L$3, $L$5, $L$6)="NM","n/a",(_xll.ciqfunctions.udf.CIQ($A20, "IQ_TOTAL_REV_3YR_ANN_CAGR", IQ_LTM, $B$1,$L$4, $L$3, $L$5, $L$6)/100))</f>
        <v>#NAME?</v>
      </c>
      <c r="BN20" s="466" t="e">
        <f ca="1">IF(_xll.ciqfunctions.udf.CIQ($A20, "IQ_TOTAL_REV_5YR_ANN_CAGR", IQ_LTM, $B$1,$L$4, $L$3, $L$5, $L$6)="NM","n/a",(_xll.ciqfunctions.udf.CIQ($A20, "IQ_TOTAL_REV_5YR_ANN_CAGR", IQ_LTM, $B$1,$L$4, $L$3, $L$5, $L$6)/100))</f>
        <v>#NAME?</v>
      </c>
      <c r="BO20" s="466" t="e">
        <f ca="1">IF(_xll.ciqfunctions.udf.CIQ($A20,"IQ_EBITDA_2YR_ANN_CAGR", IQ_LTM,$B$1,$L$4, $L$3, $L$5, $L$6)="NM","n/a",(_xll.ciqfunctions.udf.CIQ($A20,"IQ_EBITDA_2YR_ANN_CAGR", IQ_LTM,$B$1,$L$4, $L$3, $L$5, $L$6)/100))</f>
        <v>#NAME?</v>
      </c>
      <c r="BP20" s="466" t="e">
        <f ca="1">IF(_xll.ciqfunctions.udf.CIQ($A20,"IQ_EBITDA_3YR_ANN_CAGR", IQ_LTM,$B$1,$L$4, $L$3, $L$5, $L$6)="NM","n/a",(_xll.ciqfunctions.udf.CIQ($A20,"IQ_EBITDA_3YR_ANN_CAGR", IQ_LTM,$B$1,$L$4, $L$3, $L$5, $L$6)/100))</f>
        <v>#NAME?</v>
      </c>
      <c r="BQ20" s="466" t="e">
        <f ca="1">IF(_xll.ciqfunctions.udf.CIQ($A20,"IQ_EBITDA_5YR_ANN_CAGR", IQ_LTM,$B$1,$L$4, $L$3, $L$5, $L$6)="NM","n/a",(_xll.ciqfunctions.udf.CIQ($A20,"IQ_EBITDA_5YR_ANN_CAGR", IQ_LTM,$B$1,$L$4, $L$3, $L$5, $L$6)/100))</f>
        <v>#NAME?</v>
      </c>
      <c r="BR20" s="470" t="str">
        <f ca="1">IFERROR((_xll.ciqfunctions.udf.CIQ($A20, "IQ_DA_CF", IQ_LTM, $B$1, $L$4, $L$3, $L$5, $L$6)/Q20),"NM")</f>
        <v>NM</v>
      </c>
      <c r="BS20" s="522">
        <f>'Capital IQ Sheet-GPC'!BS20</f>
        <v>0.60399999999999998</v>
      </c>
      <c r="BT20" s="522">
        <f>'Capital IQ Sheet-GPC'!BT20</f>
        <v>0.67200000000000004</v>
      </c>
      <c r="BU20" s="522">
        <f>'Capital IQ Sheet-GPC'!BU20</f>
        <v>0.67200000000000004</v>
      </c>
      <c r="BV20" s="522" t="str">
        <f>'Capital IQ Sheet-GPC'!BV20</f>
        <v>n/a</v>
      </c>
      <c r="BW20" s="522" t="str">
        <f>'Capital IQ Sheet-GPC'!BW20</f>
        <v>n/a</v>
      </c>
      <c r="BX20" s="522" t="str">
        <f>'Capital IQ Sheet-GPC'!BX20</f>
        <v>n/a</v>
      </c>
      <c r="BY20" s="522" t="str">
        <f>'Capital IQ Sheet-GPC'!BY20</f>
        <v>n/a</v>
      </c>
      <c r="BZ20" s="522" t="str">
        <f>'Capital IQ Sheet-GPC'!BZ20</f>
        <v>n/a</v>
      </c>
      <c r="CB20" s="466">
        <v>2</v>
      </c>
      <c r="CC20" s="614" t="s">
        <v>155</v>
      </c>
      <c r="CD20" s="614" t="s">
        <v>154</v>
      </c>
      <c r="CE20" s="468">
        <f t="shared" si="0"/>
        <v>42582</v>
      </c>
    </row>
    <row r="21" spans="1:83" s="466" customFormat="1" ht="12.75">
      <c r="A21" s="467" t="e">
        <f ca="1">_xll.ciqfunctions.udf.CIQ($B21,"IQ_COMPANY_TICKER")</f>
        <v>#NAME?</v>
      </c>
      <c r="B21" s="517" t="str">
        <f>'Capital IQ Sheet-GPC'!B21</f>
        <v>IQ9262264</v>
      </c>
      <c r="C21" s="467" t="e">
        <f ca="1">_xll.ciqfunctions.udf.CIQ($A21,"IQ_COMPANY_NAME")</f>
        <v>#NAME?</v>
      </c>
      <c r="D21" s="467" t="e">
        <f ca="1">_xll.ciqfunctions.udf.CIQ($A21, "IQ_EXCHANGE")</f>
        <v>#NAME?</v>
      </c>
      <c r="E21" s="516" t="e">
        <f ca="1">_xll.ciqfunctions.udf.CIQ($A21, "IQ_PERIODDATE_IS", IQ_FY)</f>
        <v>#NAME?</v>
      </c>
      <c r="F21" s="516" t="e">
        <f ca="1">_xll.ciqfunctions.udf.CIQ(A21, "IQ_PERIODDATE_IS", IQ_LTM, $B$1,$L$4,$L$3)</f>
        <v>#NAME?</v>
      </c>
      <c r="G21" s="516" t="e">
        <f ca="1">_xll.ciqfunctions.udf.CIQ($A21, "IQ_FIRSTPRICINGDATE")</f>
        <v>#NAME?</v>
      </c>
      <c r="H21" s="518" t="e">
        <f ca="1">_xll.ciqfunctions.udf.CIQ($A21, "IQ_TEV", $L$2, $L$5, $L$6)</f>
        <v>#NAME?</v>
      </c>
      <c r="I21" s="518" t="e">
        <f ca="1">_xll.ciqfunctions.udf.CIQ(A21, "IQ_LASTSALEPRICE", $B$1,$L$5)</f>
        <v>#NAME?</v>
      </c>
      <c r="J21" s="518" t="e">
        <f ca="1">_xll.ciqfunctions.udf.CIQ($A21, "IQ_MARKETCAP", $L$2, $L$5, $L$6)</f>
        <v>#NAME?</v>
      </c>
      <c r="K21" s="518" t="e">
        <f ca="1">_xll.ciqfunctions.udf.CIQ($A21, "IQ_TOTAL_DEBT", IQ_LTM, $L$2,$L$4, $L$3, $L$5, $L$6)</f>
        <v>#NAME?</v>
      </c>
      <c r="L21" s="518" t="e">
        <f ca="1">_xll.ciqfunctions.udf.CIQ($A21, "IQ_PREF_EQUITY", IQ_LTM, $L$2, $L$4, $L$3, $L$5, $L$6)</f>
        <v>#NAME?</v>
      </c>
      <c r="M21" s="518" t="e">
        <f ca="1">_xll.ciqfunctions.udf.CIQ($A21, "IQ_MINORITY_INTEREST_TOTAL", IQ_LTM, $L$2, $L$4, $L$3, $L$5, $L$6)</f>
        <v>#NAME?</v>
      </c>
      <c r="N21" s="518" t="e">
        <f ca="1">_xll.ciqfunctions.udf.CIQ($A21, "IQ_CASH_ST_INVEST", IQ_LTM, $L$2, $L$4, $L$3, $L$5, $L$6)</f>
        <v>#NAME?</v>
      </c>
      <c r="O21" s="518" t="e">
        <f ca="1">_xll.ciqfunctions.udf.CIQ($A21, "IQ_TOTAL_REV", IQ_LTM-8, $L$2, $L$4, $L$3, $L$5, $L$6)</f>
        <v>#NAME?</v>
      </c>
      <c r="P21" s="518" t="e">
        <f ca="1">_xll.ciqfunctions.udf.CIQ($A21, "IQ_TOTAL_REV", IQ_LTM - 4, $L$2, $L$4, $L$3, $L$5,$L$6)</f>
        <v>#NAME?</v>
      </c>
      <c r="Q21" s="518" t="e">
        <f ca="1">_xll.ciqfunctions.udf.CIQ($A21, "IQ_TOTAL_REV", IQ_LTM, $L$2, $L$4, $L$3, $L$5, $L$6)</f>
        <v>#NAME?</v>
      </c>
      <c r="R21" s="518" t="e">
        <f ca="1">_xll.ciqfunctions.udf.CIQ($A21, "IQ_TOTAL_REV", $B$2, $L$2, $L$4, $L$3, $L$5, $L$6)</f>
        <v>#NAME?</v>
      </c>
      <c r="S21" s="518" t="e">
        <f ca="1">IF(_xll.ciqfunctions.udf.CIQ($A21, "IQ_TOTAL_REV", $B$3, $L$2,$L$4, $L$3, $L$5, $L$6)=0,Q21,_xll.ciqfunctions.udf.CIQ($A21, "IQ_TOTAL_REV", $B$3, $L$2,$L$4, $L$3, $L$5, $L$6))</f>
        <v>#NAME?</v>
      </c>
      <c r="T21" s="518" t="e">
        <f ca="1">IF(_xll.ciqfunctions.udf.CIQ($A21, "IQ_REVENUE_EST",$B$4, $L$2, "CON", $L$3, $L$5, $L$6)=0,"n/a",_xll.ciqfunctions.udf.CIQ($A21, "IQ_REVENUE_EST",$B$4, $L$2, "CON", $L$3, $L$5, $L$6))</f>
        <v>#NAME?</v>
      </c>
      <c r="U21" s="518" t="e">
        <f ca="1">IF(_xll.ciqfunctions.udf.CIQ($A21, "IQ_REVENUE_EST",$B$5, $L$2, "CON", $L$3, $L$5, $L$6)=0,"n/a",_xll.ciqfunctions.udf.CIQ($A21, "IQ_REVENUE_EST",$B$5, $L$2, "CON", $L$3, $L$5, $L$6))</f>
        <v>#NAME?</v>
      </c>
      <c r="V21" s="518" t="e">
        <f ca="1">IF(_xll.ciqfunctions.udf.CIQ($A21, "IQ_REVENUE_EST",$B$6, $L$2, "CON", $L$3, $L$5, $L$6)=0,"n/a",_xll.ciqfunctions.udf.CIQ($A21, "IQ_REVENUE_EST",$B$6, $L$2, "CON", $L$3, $L$5, $L$6))</f>
        <v>#NAME?</v>
      </c>
      <c r="W21" s="518" t="e">
        <f ca="1">IF(_xll.ciqfunctions.udf.CIQ($A21, "IQ_REVENUE_EST", $B$7, $L$2, "CON", $L$3, $L$5, $L$6)=0,"n/a",_xll.ciqfunctions.udf.CIQ($A21, "IQ_REVENUE_EST",$B$7, $L$2, "CON", $L$3, $L$5, $L$6))</f>
        <v>#NAME?</v>
      </c>
      <c r="X21" s="518" t="e">
        <f ca="1">_xll.ciqfunctions.udf.CIQ($A21, "IQ_EBITDA", IQ_LTM-8, $L$2, $L$4, $L$3, $L$5, $L$6)</f>
        <v>#NAME?</v>
      </c>
      <c r="Y21" s="518" t="e">
        <f ca="1">_xll.ciqfunctions.udf.CIQ($A21, "IQ_EBITDA", IQ_LTM-4, $L$2,$L$4, $L$3, $L$5, $L$6)</f>
        <v>#NAME?</v>
      </c>
      <c r="Z21" s="518" t="e">
        <f ca="1">_xll.ciqfunctions.udf.CIQ($A21, "IQ_EBITDA", IQ_LTM, $L$2, $L$4, $L$3, $L$5, $L$6)</f>
        <v>#NAME?</v>
      </c>
      <c r="AA21" s="518" t="e">
        <f ca="1">_xll.ciqfunctions.udf.CIQ($A21, "IQ_EBITDA", $B$2, $L$2, $L$4, $L$3, $L$5, $L$6)</f>
        <v>#NAME?</v>
      </c>
      <c r="AB21" s="518" t="e">
        <f ca="1">IF(_xll.ciqfunctions.udf.CIQ($A21, "IQ_EBITDA", $B$3, $L$2,$L$4, $L$3, $L$5, $L$6)=0,Z21,_xll.ciqfunctions.udf.CIQ($A21, "IQ_EBITDA", $B$3, $L$2,$L$4, $L$3, $L$5, $L$6))</f>
        <v>#NAME?</v>
      </c>
      <c r="AC21" s="518" t="e">
        <f ca="1">IF(_xll.ciqfunctions.udf.CIQ($A21, "IQ_EBITDA_EST",$B$4, $L$2, "CON", $L$3, $L$5, $L$6)=0,"n/a",_xll.ciqfunctions.udf.CIQ($A21, "IQ_EBITDA_EST",$B$4, $L$2, "CON", $L$3, $L$5, $L$6))</f>
        <v>#NAME?</v>
      </c>
      <c r="AD21" s="518" t="e">
        <f ca="1">IF(_xll.ciqfunctions.udf.CIQ($A21, "IQ_EBITDA_EST",$B$5, $L$2, "CON", $L$3, $L$5, $L$6)=0,"n/a",_xll.ciqfunctions.udf.CIQ($A21, "IQ_EBITDA_EST",$B$5, $L$2, "CON", $L$3, $L$5, $L$6))</f>
        <v>#NAME?</v>
      </c>
      <c r="AE21" s="518" t="e">
        <f ca="1">IF(_xll.ciqfunctions.udf.CIQ($A21, "IQ_EBITDA_EST",$B$6, $L$2, "CON", $L$3, $L$5, $L$6)=0,"n/a",_xll.ciqfunctions.udf.CIQ($A21, "IQ_EBITDA_EST",$B$6, $L$2, "CON", $L$3, $L$5, $L$6))</f>
        <v>#NAME?</v>
      </c>
      <c r="AF21" s="519" t="str">
        <f ca="1">IF(ISERROR(_xll.ciqfunctions.udf.CIQ($A21, "IQ_GROSS_MARGIN", IQ_LTM, $L$2,$L$4, $L$3, $L$5, $L$6)/100), "n/a", _xll.ciqfunctions.udf.CIQ($A21,  "IQ_GROSS_MARGIN", IQ_LTM, $L$2, $L$4, $L$3, $L$5, $L$6)/100)</f>
        <v>n/a</v>
      </c>
      <c r="AG21" s="519" t="str">
        <f ca="1">IF(ISERROR(_xll.ciqfunctions.udf.CIQ($A21,"IQ_EBITDA_MARGIN", IQ_LTM, $L$2, $L$4, $L$3, $L$5, $L$6)/100), "n/a", _xll.ciqfunctions.udf.CIQ($A21, "IQ_EBITDA_MARGIN", IQ_LTM, $L$2, $L$4, $L$3, $L$5, $L$6)/100)</f>
        <v>n/a</v>
      </c>
      <c r="AH21" s="519" t="str">
        <f ca="1">IF(ISERROR(_xll.ciqfunctions.udf.CIQ($A21,"IQ_EBIT_MARGIN", IQ_LTM, $L$2, $L$4, $L$3, $L$5, $L$6)/100), "n/a", _xll.ciqfunctions.udf.CIQ($A21, "IQ_EBIT_MARGIN", IQ_LTM, $L$2, $L$4, $L$3, $L$5, $L$6)/100)</f>
        <v>n/a</v>
      </c>
      <c r="AI21" s="519" t="str">
        <f ca="1">IF(ISERROR(_xll.ciqfunctions.udf.CIQ($A21,"IQ_NI_MARGIN", IQ_LTM, $L$2, $L$4, $L$3, $L$5, $L$6)/100), "n/a", _xll.ciqfunctions.udf.CIQ($A21, "IQ_NI_MARGIN", IQ_LTM, $L$2, $L$4, $L$3, $L$5, $L$6)/100)</f>
        <v>n/a</v>
      </c>
      <c r="AJ21" s="518" t="str">
        <f ca="1">IF(ISERROR(_xll.ciqfunctions.udf.CIQ($A21, "IQ_NET_WORKING_CAP", IQ_LTM-8, $L$2, $L$4, $L$3, $L$5, $L$6)), "n/a", _xll.ciqfunctions.udf.CIQ($A21, "IQ_NET_WORKING_CAP", IQ_LTM-8, $L$2, $L$4, $L$3, $L$5, $L$6))</f>
        <v>n/a</v>
      </c>
      <c r="AK21" s="518" t="str">
        <f ca="1">IF(ISERROR(_xll.ciqfunctions.udf.CIQ($A21, "IQ_NET_WORKING_CAP", IQ_LTM-4, $L$2, $L$4, $L$3, $L$5, $L$6)), "n/a", _xll.ciqfunctions.udf.CIQ($A21, "IQ_NET_WORKING_CAP", IQ_LTM-4, $L$2, $L$4, $L$3, $L$5, $L$6))</f>
        <v>n/a</v>
      </c>
      <c r="AL21" s="518" t="str">
        <f ca="1">IF(ISERROR(_xll.ciqfunctions.udf.CIQ($A21, "IQ_NET_WORKING_CAP", IQ_LTM, $L$2,$L$4, $L$3, $L$5, $L$6)), "n/a", _xll.ciqfunctions.udf.CIQ($A21, "IQ_NET_WORKING_CAP", IQ_LTM, $L$2, $L$4, $L$3, $L$5, $L$6))</f>
        <v>n/a</v>
      </c>
      <c r="AM21" s="518" t="str">
        <f ca="1">IF(ISERROR(_xll.ciqfunctions.udf.CIQ($A21, "IQ_Capex", IQ_LTM-8, $L$2,$L$4, $L$3, $L$5, $L$6)), "n/a", _xll.ciqfunctions.udf.CIQ($A21, "IQ_Capex", IQ_LTM-8, $L$2, $L$4, $L$3, $L$5, $L$6))</f>
        <v>n/a</v>
      </c>
      <c r="AN21" s="518" t="str">
        <f ca="1">IF(ISERROR(_xll.ciqfunctions.udf.CIQ($A21, "IQ_Capex", IQ_LTM-4, $L$2,$L$4, $L$3, $L$5, $L$6)), "n/a", _xll.ciqfunctions.udf.CIQ($A21, "IQ_Capex", IQ_LTM-4, $L$2,$L$4, $L$3, $L$5, $L$6))</f>
        <v>n/a</v>
      </c>
      <c r="AO21" s="518" t="str">
        <f ca="1">IF(ISERROR(_xll.ciqfunctions.udf.CIQ($A21, "IQ_Capex", IQ_LTM, $L$2, $L$4, $L$3, $L$5, $L$6)), "n/a", _xll.ciqfunctions.udf.CIQ($A21, "IQ_Capex", IQ_LTM, $L$2, $L$4, $L$3, $L$5, $L$6))</f>
        <v>n/a</v>
      </c>
      <c r="AP21" s="520" t="e">
        <f ca="1">_xll.ciqfunctions.udf.CIQ(A21, "IQ_BUSINESS_DESCRIPTION")</f>
        <v>#NAME?</v>
      </c>
      <c r="AQ21" s="521" t="e">
        <f ca="1">_xll.ciqfunctions.udf.CIQ($A21, "IQ_BETA_1YR", $B$1)</f>
        <v>#NAME?</v>
      </c>
      <c r="AR21" s="521" t="e">
        <f ca="1">_xll.ciqfunctions.udf.CIQ($A21, "IQ_BETA_2YR", $B$1)</f>
        <v>#NAME?</v>
      </c>
      <c r="AS21" s="521" t="e">
        <f ca="1">_xll.ciqfunctions.udf.CIQ($A21, "IQ_BETA_5YR", $B$1)</f>
        <v>#NAME?</v>
      </c>
      <c r="AT21" s="519" t="e">
        <f ca="1">_xll.ciqfunctions.udf.CIQ($A21, "IQ_DIVIDEND_YIELD", $B$1)/100</f>
        <v>#NAME?</v>
      </c>
      <c r="AU21" s="518" t="e">
        <f ca="1">_xll.ciqfunctions.udf.CIQ($A21, "IQ_EARNING_CO", IQ_LTM-8, $L$2, $L$4, $L$3, $L$5, $L$6)</f>
        <v>#NAME?</v>
      </c>
      <c r="AV21" s="518" t="e">
        <f ca="1">_xll.ciqfunctions.udf.CIQ($A21, "IQ_EARNING_CO", IQ_LTM-4, $L$2, $L$4, $L$3, $L$5, $L$6)</f>
        <v>#NAME?</v>
      </c>
      <c r="AW21" s="518" t="e">
        <f ca="1">_xll.ciqfunctions.udf.CIQ($A21, "IQ_EARNING_CO", IQ_LTM, $L$2, $L$4, $L$3, $L$5, $L$6)</f>
        <v>#NAME?</v>
      </c>
      <c r="AX21" s="518" t="e">
        <f ca="1">_xll.ciqfunctions.udf.CIQ($A21, "IQ_EARNING_CO", $B$2, $L$2, $L$4, $L$3, $L$5, $L$6)</f>
        <v>#NAME?</v>
      </c>
      <c r="AY21" s="518" t="e">
        <f ca="1">IF(_xll.ciqfunctions.udf.CIQ($A21, "IQ_EARNING_CO", $B$3, $L$2,$L$4, $L$3, $L$5, $L$6)=0,AW21,_xll.ciqfunctions.udf.CIQ($A21, "IQ_EARNING_CO", $B$3, $L$2,$L$4, $L$3, $L$5, $L$6))</f>
        <v>#NAME?</v>
      </c>
      <c r="AZ21" s="518" t="e">
        <f ca="1">_xll.ciqfunctions.udf.CIQ($A21, "IQ_TOTAL_EQUITY", IQ_LTM-8, $L$2, $L$4, $L$3, $L$5, $L$6)</f>
        <v>#NAME?</v>
      </c>
      <c r="BA21" s="518" t="e">
        <f ca="1">_xll.ciqfunctions.udf.CIQ($A21, "IQ_TOTAL_EQUITY", IQ_LTM-4, $L$2, $L$4, $L$3, $L$5, $L$6)</f>
        <v>#NAME?</v>
      </c>
      <c r="BB21" s="518" t="e">
        <f ca="1">_xll.ciqfunctions.udf.CIQ($A21, "IQ_TOTAL_EQUITY", IQ_LTM, $L$2, $L$4, $L$3, $L$5, $L$6)</f>
        <v>#NAME?</v>
      </c>
      <c r="BC21" s="518" t="e">
        <f ca="1">_xll.ciqfunctions.udf.CIQ($A21, "IQ_TOTAL_EQUITY", $B$2, $L$2, $L$4, $L$3, $L$5, $L$6)</f>
        <v>#NAME?</v>
      </c>
      <c r="BD21" s="518" t="e">
        <f ca="1">IF(_xll.ciqfunctions.udf.CIQ($A21, "IQ_TOTAL_EQUITY", $B$3, $L$2,$L$4, $L$3, $L$5, $L$6)=0,BB21,_xll.ciqfunctions.udf.CIQ($A21, "IQ_TOTAL_EQUITY", $B$3, $L$2,$L$4, $L$3, $L$5, $L$6))</f>
        <v>#NAME?</v>
      </c>
      <c r="BE21" s="518" t="e">
        <f ca="1">_xll.ciqfunctions.udf.CIQ(A21, "IQ_LASTSALEPRICE", $B$8)</f>
        <v>#NAME?</v>
      </c>
      <c r="BF21" s="518" t="e">
        <f ca="1">_xll.ciqfunctions.udf.CIQ($A21, "IQ_MARKETCAP", $B$8, $L$5, $L$6)</f>
        <v>#NAME?</v>
      </c>
      <c r="BG21" s="518" t="e">
        <f ca="1">_xll.ciqfunctions.udf.CIQ($A21, "IQ_TOTAL_DEBT", IQ_LTM, $B$8,$L$4, $L$3, $L$5, $L$6)</f>
        <v>#NAME?</v>
      </c>
      <c r="BH21" s="466" t="e">
        <f ca="1">_xll.ciqfunctions.udf.CIQ($A21,"IQ_PREF_EQUITY",IQ_LTM,$B$8,$L$4,$L$3,$L$5,$L$6)</f>
        <v>#NAME?</v>
      </c>
      <c r="BI21" s="466" t="e">
        <f ca="1">_xll.ciqfunctions.udf.CIQ($A21, "IQ_MINORITY_INTEREST_TOTAL", IQ_LTM,$B$8,$L$4,$L$3,$L$5,$L$6)</f>
        <v>#NAME?</v>
      </c>
      <c r="BJ21" s="518" t="e">
        <f ca="1">_xll.ciqfunctions.udf.CIQ($A21, "IQ_CASH_ST_INVEST", IQ_LTM, $B$8, $L$4, $L$3, $L$5, $L$6)</f>
        <v>#NAME?</v>
      </c>
      <c r="BK21" s="466" t="e">
        <f ca="1">_xll.ciqfunctions.udf.CIQ($A21, "IQ_EFFECT_TAX_RATE")</f>
        <v>#NAME?</v>
      </c>
      <c r="BL21" s="466" t="e">
        <f ca="1">IF(_xll.ciqfunctions.udf.CIQ($A21, "IQ_TOTAL_REV_2YR_ANN_CAGR", IQ_LTM, $B$1,$L$4, $L$3, $L$5, $L$6)="NM","n/a",(_xll.ciqfunctions.udf.CIQ($A21, "IQ_TOTAL_REV_2YR_ANN_CAGR", IQ_LTM, $B$1,$L$4, $L$3, $L$5, $L$6)/100))</f>
        <v>#NAME?</v>
      </c>
      <c r="BM21" s="466" t="e">
        <f ca="1">IF(_xll.ciqfunctions.udf.CIQ($A21, "IQ_TOTAL_REV_3YR_ANN_CAGR", IQ_LTM, $B$1,$L$4, $L$3, $L$5, $L$6)="NM","n/a",(_xll.ciqfunctions.udf.CIQ($A21, "IQ_TOTAL_REV_3YR_ANN_CAGR", IQ_LTM, $B$1,$L$4, $L$3, $L$5, $L$6)/100))</f>
        <v>#NAME?</v>
      </c>
      <c r="BN21" s="466" t="e">
        <f ca="1">IF(_xll.ciqfunctions.udf.CIQ($A21, "IQ_TOTAL_REV_5YR_ANN_CAGR", IQ_LTM, $B$1,$L$4, $L$3, $L$5, $L$6)="NM","n/a",(_xll.ciqfunctions.udf.CIQ($A21, "IQ_TOTAL_REV_5YR_ANN_CAGR", IQ_LTM, $B$1,$L$4, $L$3, $L$5, $L$6)/100))</f>
        <v>#NAME?</v>
      </c>
      <c r="BO21" s="466" t="e">
        <f ca="1">IF(_xll.ciqfunctions.udf.CIQ($A21,"IQ_EBITDA_2YR_ANN_CAGR", IQ_LTM,$B$1,$L$4, $L$3, $L$5, $L$6)="NM","n/a",(_xll.ciqfunctions.udf.CIQ($A21,"IQ_EBITDA_2YR_ANN_CAGR", IQ_LTM,$B$1,$L$4, $L$3, $L$5, $L$6)/100))</f>
        <v>#NAME?</v>
      </c>
      <c r="BP21" s="466" t="e">
        <f ca="1">IF(_xll.ciqfunctions.udf.CIQ($A21,"IQ_EBITDA_3YR_ANN_CAGR", IQ_LTM,$B$1,$L$4, $L$3, $L$5, $L$6)="NM","n/a",(_xll.ciqfunctions.udf.CIQ($A21,"IQ_EBITDA_3YR_ANN_CAGR", IQ_LTM,$B$1,$L$4, $L$3, $L$5, $L$6)/100))</f>
        <v>#NAME?</v>
      </c>
      <c r="BQ21" s="466" t="e">
        <f ca="1">IF(_xll.ciqfunctions.udf.CIQ($A21,"IQ_EBITDA_5YR_ANN_CAGR", IQ_LTM,$B$1,$L$4, $L$3, $L$5, $L$6)="NM","n/a",(_xll.ciqfunctions.udf.CIQ($A21,"IQ_EBITDA_5YR_ANN_CAGR", IQ_LTM,$B$1,$L$4, $L$3, $L$5, $L$6)/100))</f>
        <v>#NAME?</v>
      </c>
      <c r="BR21" s="470" t="str">
        <f ca="1">IFERROR((_xll.ciqfunctions.udf.CIQ($A21, "IQ_DA_CF", IQ_LTM, $B$1, $L$4, $L$3, $L$5, $L$6)/Q21),"NM")</f>
        <v>NM</v>
      </c>
      <c r="BS21" s="522">
        <f>'Capital IQ Sheet-GPC'!BS21</f>
        <v>0.65900000000000003</v>
      </c>
      <c r="BT21" s="522">
        <f>'Capital IQ Sheet-GPC'!BT21</f>
        <v>0.53700000000000003</v>
      </c>
      <c r="BU21" s="522">
        <f>'Capital IQ Sheet-GPC'!BU21</f>
        <v>0.54200000000000004</v>
      </c>
      <c r="BV21" s="522">
        <f>'Capital IQ Sheet-GPC'!BV21</f>
        <v>0.62</v>
      </c>
      <c r="BW21" s="522">
        <f>'Capital IQ Sheet-GPC'!BW21</f>
        <v>0.60899999999999999</v>
      </c>
      <c r="BX21" s="522">
        <f>'Capital IQ Sheet-GPC'!BX21</f>
        <v>0.65500000000000003</v>
      </c>
      <c r="BY21" s="522">
        <f>'Capital IQ Sheet-GPC'!BY21</f>
        <v>0.70799999999999996</v>
      </c>
      <c r="BZ21" s="522">
        <f>'Capital IQ Sheet-GPC'!BZ21</f>
        <v>0.72499999999999998</v>
      </c>
      <c r="CB21" s="466">
        <v>2</v>
      </c>
      <c r="CC21" s="614" t="s">
        <v>155</v>
      </c>
      <c r="CD21" s="614" t="s">
        <v>154</v>
      </c>
      <c r="CE21" s="468">
        <f t="shared" si="0"/>
        <v>42582</v>
      </c>
    </row>
    <row r="22" spans="1:83" s="466" customFormat="1" ht="12.75">
      <c r="A22" s="467" t="e">
        <f ca="1">_xll.ciqfunctions.udf.CIQ($B22,"IQ_COMPANY_TICKER")</f>
        <v>#NAME?</v>
      </c>
      <c r="B22" s="517" t="str">
        <f>'Capital IQ Sheet-GPC'!B22</f>
        <v>IQ59211637</v>
      </c>
      <c r="C22" s="467" t="e">
        <f ca="1">_xll.ciqfunctions.udf.CIQ($A22,"IQ_COMPANY_NAME")</f>
        <v>#NAME?</v>
      </c>
      <c r="D22" s="467" t="e">
        <f ca="1">_xll.ciqfunctions.udf.CIQ($A22, "IQ_EXCHANGE")</f>
        <v>#NAME?</v>
      </c>
      <c r="E22" s="516" t="e">
        <f ca="1">_xll.ciqfunctions.udf.CIQ($A22, "IQ_PERIODDATE_IS", IQ_FY)</f>
        <v>#NAME?</v>
      </c>
      <c r="F22" s="516" t="e">
        <f ca="1">_xll.ciqfunctions.udf.CIQ(A22, "IQ_PERIODDATE_IS", IQ_LTM, $B$1,$L$4,$L$3)</f>
        <v>#NAME?</v>
      </c>
      <c r="G22" s="516" t="e">
        <f ca="1">_xll.ciqfunctions.udf.CIQ($A22, "IQ_FIRSTPRICINGDATE")</f>
        <v>#NAME?</v>
      </c>
      <c r="H22" s="518" t="e">
        <f ca="1">_xll.ciqfunctions.udf.CIQ($A22, "IQ_TEV", $L$2, $L$5, $L$6)</f>
        <v>#NAME?</v>
      </c>
      <c r="I22" s="518" t="e">
        <f ca="1">_xll.ciqfunctions.udf.CIQ(A22, "IQ_LASTSALEPRICE", $B$1,$L$5)</f>
        <v>#NAME?</v>
      </c>
      <c r="J22" s="518" t="e">
        <f ca="1">_xll.ciqfunctions.udf.CIQ($A22, "IQ_MARKETCAP", $L$2, $L$5, $L$6)</f>
        <v>#NAME?</v>
      </c>
      <c r="K22" s="518" t="e">
        <f ca="1">_xll.ciqfunctions.udf.CIQ($A22, "IQ_TOTAL_DEBT", IQ_LTM, $L$2,$L$4, $L$3, $L$5, $L$6)</f>
        <v>#NAME?</v>
      </c>
      <c r="L22" s="518" t="e">
        <f ca="1">_xll.ciqfunctions.udf.CIQ($A22, "IQ_PREF_EQUITY", IQ_LTM, $L$2, $L$4, $L$3, $L$5, $L$6)</f>
        <v>#NAME?</v>
      </c>
      <c r="M22" s="518" t="e">
        <f ca="1">_xll.ciqfunctions.udf.CIQ($A22, "IQ_MINORITY_INTEREST_TOTAL", IQ_LTM, $L$2, $L$4, $L$3, $L$5, $L$6)</f>
        <v>#NAME?</v>
      </c>
      <c r="N22" s="518" t="e">
        <f ca="1">_xll.ciqfunctions.udf.CIQ($A22, "IQ_CASH_ST_INVEST", IQ_LTM, $L$2, $L$4, $L$3, $L$5, $L$6)</f>
        <v>#NAME?</v>
      </c>
      <c r="O22" s="518" t="e">
        <f ca="1">_xll.ciqfunctions.udf.CIQ($A22, "IQ_TOTAL_REV", IQ_LTM-8, $L$2, $L$4, $L$3, $L$5, $L$6)</f>
        <v>#NAME?</v>
      </c>
      <c r="P22" s="518" t="e">
        <f ca="1">_xll.ciqfunctions.udf.CIQ($A22, "IQ_TOTAL_REV", IQ_LTM - 4, $L$2, $L$4, $L$3, $L$5,$L$6)</f>
        <v>#NAME?</v>
      </c>
      <c r="Q22" s="518" t="e">
        <f ca="1">_xll.ciqfunctions.udf.CIQ($A22, "IQ_TOTAL_REV", IQ_LTM, $L$2, $L$4, $L$3, $L$5, $L$6)</f>
        <v>#NAME?</v>
      </c>
      <c r="R22" s="518" t="e">
        <f ca="1">_xll.ciqfunctions.udf.CIQ($A22, "IQ_TOTAL_REV", $B$2, $L$2, $L$4, $L$3, $L$5, $L$6)</f>
        <v>#NAME?</v>
      </c>
      <c r="S22" s="518" t="e">
        <f ca="1">IF(_xll.ciqfunctions.udf.CIQ($A22, "IQ_TOTAL_REV", $B$3, $L$2,$L$4, $L$3, $L$5, $L$6)=0,Q22,_xll.ciqfunctions.udf.CIQ($A22, "IQ_TOTAL_REV", $B$3, $L$2,$L$4, $L$3, $L$5, $L$6))</f>
        <v>#NAME?</v>
      </c>
      <c r="T22" s="518" t="e">
        <f ca="1">IF(_xll.ciqfunctions.udf.CIQ($A22, "IQ_REVENUE_EST",$B$4, $L$2, "CON", $L$3, $L$5, $L$6)=0,"n/a",_xll.ciqfunctions.udf.CIQ($A22, "IQ_REVENUE_EST",$B$4, $L$2, "CON", $L$3, $L$5, $L$6))</f>
        <v>#NAME?</v>
      </c>
      <c r="U22" s="518" t="e">
        <f ca="1">IF(_xll.ciqfunctions.udf.CIQ($A22, "IQ_REVENUE_EST",$B$5, $L$2, "CON", $L$3, $L$5, $L$6)=0,"n/a",_xll.ciqfunctions.udf.CIQ($A22, "IQ_REVENUE_EST",$B$5, $L$2, "CON", $L$3, $L$5, $L$6))</f>
        <v>#NAME?</v>
      </c>
      <c r="V22" s="518" t="e">
        <f ca="1">IF(_xll.ciqfunctions.udf.CIQ($A22, "IQ_REVENUE_EST",$B$6, $L$2, "CON", $L$3, $L$5, $L$6)=0,"n/a",_xll.ciqfunctions.udf.CIQ($A22, "IQ_REVENUE_EST",$B$6, $L$2, "CON", $L$3, $L$5, $L$6))</f>
        <v>#NAME?</v>
      </c>
      <c r="W22" s="518" t="e">
        <f ca="1">IF(_xll.ciqfunctions.udf.CIQ($A22, "IQ_REVENUE_EST", $B$7, $L$2, "CON", $L$3, $L$5, $L$6)=0,"n/a",_xll.ciqfunctions.udf.CIQ($A22, "IQ_REVENUE_EST",$B$7, $L$2, "CON", $L$3, $L$5, $L$6))</f>
        <v>#NAME?</v>
      </c>
      <c r="X22" s="518" t="e">
        <f ca="1">_xll.ciqfunctions.udf.CIQ($A22, "IQ_EBITDA", IQ_LTM-8, $L$2, $L$4, $L$3, $L$5, $L$6)</f>
        <v>#NAME?</v>
      </c>
      <c r="Y22" s="518" t="e">
        <f ca="1">_xll.ciqfunctions.udf.CIQ($A22, "IQ_EBITDA", IQ_LTM-4, $L$2,$L$4, $L$3, $L$5, $L$6)</f>
        <v>#NAME?</v>
      </c>
      <c r="Z22" s="518" t="e">
        <f ca="1">_xll.ciqfunctions.udf.CIQ($A22, "IQ_EBITDA", IQ_LTM, $L$2, $L$4, $L$3, $L$5, $L$6)</f>
        <v>#NAME?</v>
      </c>
      <c r="AA22" s="518" t="e">
        <f ca="1">_xll.ciqfunctions.udf.CIQ($A22, "IQ_EBITDA", $B$2, $L$2, $L$4, $L$3, $L$5, $L$6)</f>
        <v>#NAME?</v>
      </c>
      <c r="AB22" s="518" t="e">
        <f ca="1">IF(_xll.ciqfunctions.udf.CIQ($A22, "IQ_EBITDA", $B$3, $L$2,$L$4, $L$3, $L$5, $L$6)=0,Z22,_xll.ciqfunctions.udf.CIQ($A22, "IQ_EBITDA", $B$3, $L$2,$L$4, $L$3, $L$5, $L$6))</f>
        <v>#NAME?</v>
      </c>
      <c r="AC22" s="518" t="e">
        <f ca="1">IF(_xll.ciqfunctions.udf.CIQ($A22, "IQ_EBITDA_EST",$B$4, $L$2, "CON", $L$3, $L$5, $L$6)=0,"n/a",_xll.ciqfunctions.udf.CIQ($A22, "IQ_EBITDA_EST",$B$4, $L$2, "CON", $L$3, $L$5, $L$6))</f>
        <v>#NAME?</v>
      </c>
      <c r="AD22" s="518" t="e">
        <f ca="1">IF(_xll.ciqfunctions.udf.CIQ($A22, "IQ_EBITDA_EST",$B$5, $L$2, "CON", $L$3, $L$5, $L$6)=0,"n/a",_xll.ciqfunctions.udf.CIQ($A22, "IQ_EBITDA_EST",$B$5, $L$2, "CON", $L$3, $L$5, $L$6))</f>
        <v>#NAME?</v>
      </c>
      <c r="AE22" s="518" t="e">
        <f ca="1">IF(_xll.ciqfunctions.udf.CIQ($A22, "IQ_EBITDA_EST",$B$6, $L$2, "CON", $L$3, $L$5, $L$6)=0,"n/a",_xll.ciqfunctions.udf.CIQ($A22, "IQ_EBITDA_EST",$B$6, $L$2, "CON", $L$3, $L$5, $L$6))</f>
        <v>#NAME?</v>
      </c>
      <c r="AF22" s="519" t="str">
        <f ca="1">IF(ISERROR(_xll.ciqfunctions.udf.CIQ($A22, "IQ_GROSS_MARGIN", IQ_LTM, $L$2,$L$4, $L$3, $L$5, $L$6)/100), "n/a", _xll.ciqfunctions.udf.CIQ($A22,  "IQ_GROSS_MARGIN", IQ_LTM, $L$2, $L$4, $L$3, $L$5, $L$6)/100)</f>
        <v>n/a</v>
      </c>
      <c r="AG22" s="519" t="str">
        <f ca="1">IF(ISERROR(_xll.ciqfunctions.udf.CIQ($A22,"IQ_EBITDA_MARGIN", IQ_LTM, $L$2, $L$4, $L$3, $L$5, $L$6)/100), "n/a", _xll.ciqfunctions.udf.CIQ($A22, "IQ_EBITDA_MARGIN", IQ_LTM, $L$2, $L$4, $L$3, $L$5, $L$6)/100)</f>
        <v>n/a</v>
      </c>
      <c r="AH22" s="519" t="str">
        <f ca="1">IF(ISERROR(_xll.ciqfunctions.udf.CIQ($A22,"IQ_EBIT_MARGIN", IQ_LTM, $L$2, $L$4, $L$3, $L$5, $L$6)/100), "n/a", _xll.ciqfunctions.udf.CIQ($A22, "IQ_EBIT_MARGIN", IQ_LTM, $L$2, $L$4, $L$3, $L$5, $L$6)/100)</f>
        <v>n/a</v>
      </c>
      <c r="AI22" s="519" t="str">
        <f ca="1">IF(ISERROR(_xll.ciqfunctions.udf.CIQ($A22,"IQ_NI_MARGIN", IQ_LTM, $L$2, $L$4, $L$3, $L$5, $L$6)/100), "n/a", _xll.ciqfunctions.udf.CIQ($A22, "IQ_NI_MARGIN", IQ_LTM, $L$2, $L$4, $L$3, $L$5, $L$6)/100)</f>
        <v>n/a</v>
      </c>
      <c r="AJ22" s="518" t="str">
        <f ca="1">IF(ISERROR(_xll.ciqfunctions.udf.CIQ($A22, "IQ_NET_WORKING_CAP", IQ_LTM-8, $L$2, $L$4, $L$3, $L$5, $L$6)), "n/a", _xll.ciqfunctions.udf.CIQ($A22, "IQ_NET_WORKING_CAP", IQ_LTM-8, $L$2, $L$4, $L$3, $L$5, $L$6))</f>
        <v>n/a</v>
      </c>
      <c r="AK22" s="518" t="str">
        <f ca="1">IF(ISERROR(_xll.ciqfunctions.udf.CIQ($A22, "IQ_NET_WORKING_CAP", IQ_LTM-4, $L$2, $L$4, $L$3, $L$5, $L$6)), "n/a", _xll.ciqfunctions.udf.CIQ($A22, "IQ_NET_WORKING_CAP", IQ_LTM-4, $L$2, $L$4, $L$3, $L$5, $L$6))</f>
        <v>n/a</v>
      </c>
      <c r="AL22" s="518" t="str">
        <f ca="1">IF(ISERROR(_xll.ciqfunctions.udf.CIQ($A22, "IQ_NET_WORKING_CAP", IQ_LTM, $L$2,$L$4, $L$3, $L$5, $L$6)), "n/a", _xll.ciqfunctions.udf.CIQ($A22, "IQ_NET_WORKING_CAP", IQ_LTM, $L$2, $L$4, $L$3, $L$5, $L$6))</f>
        <v>n/a</v>
      </c>
      <c r="AM22" s="518" t="str">
        <f ca="1">IF(ISERROR(_xll.ciqfunctions.udf.CIQ($A22, "IQ_Capex", IQ_LTM-8, $L$2,$L$4, $L$3, $L$5, $L$6)), "n/a", _xll.ciqfunctions.udf.CIQ($A22, "IQ_Capex", IQ_LTM-8, $L$2, $L$4, $L$3, $L$5, $L$6))</f>
        <v>n/a</v>
      </c>
      <c r="AN22" s="518" t="str">
        <f ca="1">IF(ISERROR(_xll.ciqfunctions.udf.CIQ($A22, "IQ_Capex", IQ_LTM-4, $L$2,$L$4, $L$3, $L$5, $L$6)), "n/a", _xll.ciqfunctions.udf.CIQ($A22, "IQ_Capex", IQ_LTM-4, $L$2,$L$4, $L$3, $L$5, $L$6))</f>
        <v>n/a</v>
      </c>
      <c r="AO22" s="518" t="str">
        <f ca="1">IF(ISERROR(_xll.ciqfunctions.udf.CIQ($A22, "IQ_Capex", IQ_LTM, $L$2, $L$4, $L$3, $L$5, $L$6)), "n/a", _xll.ciqfunctions.udf.CIQ($A22, "IQ_Capex", IQ_LTM, $L$2, $L$4, $L$3, $L$5, $L$6))</f>
        <v>n/a</v>
      </c>
      <c r="AP22" s="520" t="e">
        <f ca="1">_xll.ciqfunctions.udf.CIQ(A22, "IQ_BUSINESS_DESCRIPTION")</f>
        <v>#NAME?</v>
      </c>
      <c r="AQ22" s="521" t="e">
        <f ca="1">_xll.ciqfunctions.udf.CIQ($A22, "IQ_BETA_1YR", $B$1)</f>
        <v>#NAME?</v>
      </c>
      <c r="AR22" s="521" t="e">
        <f ca="1">_xll.ciqfunctions.udf.CIQ($A22, "IQ_BETA_2YR", $B$1)</f>
        <v>#NAME?</v>
      </c>
      <c r="AS22" s="521" t="e">
        <f ca="1">_xll.ciqfunctions.udf.CIQ($A22, "IQ_BETA_5YR", $B$1)</f>
        <v>#NAME?</v>
      </c>
      <c r="AT22" s="519" t="e">
        <f ca="1">_xll.ciqfunctions.udf.CIQ($A22, "IQ_DIVIDEND_YIELD", $B$1)/100</f>
        <v>#NAME?</v>
      </c>
      <c r="AU22" s="518" t="e">
        <f ca="1">_xll.ciqfunctions.udf.CIQ($A22, "IQ_EARNING_CO", IQ_LTM-8, $L$2, $L$4, $L$3, $L$5, $L$6)</f>
        <v>#NAME?</v>
      </c>
      <c r="AV22" s="518" t="e">
        <f ca="1">_xll.ciqfunctions.udf.CIQ($A22, "IQ_EARNING_CO", IQ_LTM-4, $L$2, $L$4, $L$3, $L$5, $L$6)</f>
        <v>#NAME?</v>
      </c>
      <c r="AW22" s="518" t="e">
        <f ca="1">_xll.ciqfunctions.udf.CIQ($A22, "IQ_EARNING_CO", IQ_LTM, $L$2, $L$4, $L$3, $L$5, $L$6)</f>
        <v>#NAME?</v>
      </c>
      <c r="AX22" s="518" t="e">
        <f ca="1">_xll.ciqfunctions.udf.CIQ($A22, "IQ_EARNING_CO", $B$2, $L$2, $L$4, $L$3, $L$5, $L$6)</f>
        <v>#NAME?</v>
      </c>
      <c r="AY22" s="518" t="e">
        <f ca="1">IF(_xll.ciqfunctions.udf.CIQ($A22, "IQ_EARNING_CO", $B$3, $L$2,$L$4, $L$3, $L$5, $L$6)=0,AW22,_xll.ciqfunctions.udf.CIQ($A22, "IQ_EARNING_CO", $B$3, $L$2,$L$4, $L$3, $L$5, $L$6))</f>
        <v>#NAME?</v>
      </c>
      <c r="AZ22" s="518" t="e">
        <f ca="1">_xll.ciqfunctions.udf.CIQ($A22, "IQ_TOTAL_EQUITY", IQ_LTM-8, $L$2, $L$4, $L$3, $L$5, $L$6)</f>
        <v>#NAME?</v>
      </c>
      <c r="BA22" s="518" t="e">
        <f ca="1">_xll.ciqfunctions.udf.CIQ($A22, "IQ_TOTAL_EQUITY", IQ_LTM-4, $L$2, $L$4, $L$3, $L$5, $L$6)</f>
        <v>#NAME?</v>
      </c>
      <c r="BB22" s="518" t="e">
        <f ca="1">_xll.ciqfunctions.udf.CIQ($A22, "IQ_TOTAL_EQUITY", IQ_LTM, $L$2, $L$4, $L$3, $L$5, $L$6)</f>
        <v>#NAME?</v>
      </c>
      <c r="BC22" s="518" t="e">
        <f ca="1">_xll.ciqfunctions.udf.CIQ($A22, "IQ_TOTAL_EQUITY", $B$2, $L$2, $L$4, $L$3, $L$5, $L$6)</f>
        <v>#NAME?</v>
      </c>
      <c r="BD22" s="518" t="e">
        <f ca="1">IF(_xll.ciqfunctions.udf.CIQ($A22, "IQ_TOTAL_EQUITY", $B$3, $L$2,$L$4, $L$3, $L$5, $L$6)=0,BB22,_xll.ciqfunctions.udf.CIQ($A22, "IQ_TOTAL_EQUITY", $B$3, $L$2,$L$4, $L$3, $L$5, $L$6))</f>
        <v>#NAME?</v>
      </c>
      <c r="BE22" s="518" t="e">
        <f ca="1">_xll.ciqfunctions.udf.CIQ(A22, "IQ_LASTSALEPRICE", $B$8)</f>
        <v>#NAME?</v>
      </c>
      <c r="BF22" s="518" t="e">
        <f ca="1">_xll.ciqfunctions.udf.CIQ($A22, "IQ_MARKETCAP", $B$8, $L$5, $L$6)</f>
        <v>#NAME?</v>
      </c>
      <c r="BG22" s="518" t="e">
        <f ca="1">_xll.ciqfunctions.udf.CIQ($A22, "IQ_TOTAL_DEBT", IQ_LTM, $B$8,$L$4, $L$3, $L$5, $L$6)</f>
        <v>#NAME?</v>
      </c>
      <c r="BH22" s="466" t="e">
        <f ca="1">_xll.ciqfunctions.udf.CIQ($A22,"IQ_PREF_EQUITY",IQ_LTM,$B$8,$L$4,$L$3,$L$5,$L$6)</f>
        <v>#NAME?</v>
      </c>
      <c r="BI22" s="466" t="e">
        <f ca="1">_xll.ciqfunctions.udf.CIQ($A22, "IQ_MINORITY_INTEREST_TOTAL", IQ_LTM,$B$8,$L$4,$L$3,$L$5,$L$6)</f>
        <v>#NAME?</v>
      </c>
      <c r="BJ22" s="518" t="e">
        <f ca="1">_xll.ciqfunctions.udf.CIQ($A22, "IQ_CASH_ST_INVEST", IQ_LTM, $B$8, $L$4, $L$3, $L$5, $L$6)</f>
        <v>#NAME?</v>
      </c>
      <c r="BK22" s="466" t="e">
        <f ca="1">_xll.ciqfunctions.udf.CIQ($A22, "IQ_EFFECT_TAX_RATE")</f>
        <v>#NAME?</v>
      </c>
      <c r="BL22" s="466" t="e">
        <f ca="1">IF(_xll.ciqfunctions.udf.CIQ($A22, "IQ_TOTAL_REV_2YR_ANN_CAGR", IQ_LTM, $B$1,$L$4, $L$3, $L$5, $L$6)="NM","n/a",(_xll.ciqfunctions.udf.CIQ($A22, "IQ_TOTAL_REV_2YR_ANN_CAGR", IQ_LTM, $B$1,$L$4, $L$3, $L$5, $L$6)/100))</f>
        <v>#NAME?</v>
      </c>
      <c r="BM22" s="466" t="e">
        <f ca="1">IF(_xll.ciqfunctions.udf.CIQ($A22, "IQ_TOTAL_REV_3YR_ANN_CAGR", IQ_LTM, $B$1,$L$4, $L$3, $L$5, $L$6)="NM","n/a",(_xll.ciqfunctions.udf.CIQ($A22, "IQ_TOTAL_REV_3YR_ANN_CAGR", IQ_LTM, $B$1,$L$4, $L$3, $L$5, $L$6)/100))</f>
        <v>#NAME?</v>
      </c>
      <c r="BN22" s="466" t="e">
        <f ca="1">IF(_xll.ciqfunctions.udf.CIQ($A22, "IQ_TOTAL_REV_5YR_ANN_CAGR", IQ_LTM, $B$1,$L$4, $L$3, $L$5, $L$6)="NM","n/a",(_xll.ciqfunctions.udf.CIQ($A22, "IQ_TOTAL_REV_5YR_ANN_CAGR", IQ_LTM, $B$1,$L$4, $L$3, $L$5, $L$6)/100))</f>
        <v>#NAME?</v>
      </c>
      <c r="BO22" s="466" t="e">
        <f ca="1">IF(_xll.ciqfunctions.udf.CIQ($A22,"IQ_EBITDA_2YR_ANN_CAGR", IQ_LTM,$B$1,$L$4, $L$3, $L$5, $L$6)="NM","n/a",(_xll.ciqfunctions.udf.CIQ($A22,"IQ_EBITDA_2YR_ANN_CAGR", IQ_LTM,$B$1,$L$4, $L$3, $L$5, $L$6)/100))</f>
        <v>#NAME?</v>
      </c>
      <c r="BP22" s="466" t="e">
        <f ca="1">IF(_xll.ciqfunctions.udf.CIQ($A22,"IQ_EBITDA_3YR_ANN_CAGR", IQ_LTM,$B$1,$L$4, $L$3, $L$5, $L$6)="NM","n/a",(_xll.ciqfunctions.udf.CIQ($A22,"IQ_EBITDA_3YR_ANN_CAGR", IQ_LTM,$B$1,$L$4, $L$3, $L$5, $L$6)/100))</f>
        <v>#NAME?</v>
      </c>
      <c r="BQ22" s="466" t="e">
        <f ca="1">IF(_xll.ciqfunctions.udf.CIQ($A22,"IQ_EBITDA_5YR_ANN_CAGR", IQ_LTM,$B$1,$L$4, $L$3, $L$5, $L$6)="NM","n/a",(_xll.ciqfunctions.udf.CIQ($A22,"IQ_EBITDA_5YR_ANN_CAGR", IQ_LTM,$B$1,$L$4, $L$3, $L$5, $L$6)/100))</f>
        <v>#NAME?</v>
      </c>
      <c r="BR22" s="470" t="str">
        <f ca="1">IFERROR((_xll.ciqfunctions.udf.CIQ($A22, "IQ_DA_CF", IQ_LTM, $B$1, $L$4, $L$3, $L$5, $L$6)/Q22),"NM")</f>
        <v>NM</v>
      </c>
      <c r="BS22" s="522">
        <f>'Capital IQ Sheet-GPC'!BS22</f>
        <v>0.59</v>
      </c>
      <c r="BT22" s="522">
        <f>'Capital IQ Sheet-GPC'!BT22</f>
        <v>0.628</v>
      </c>
      <c r="BU22" s="522" t="str">
        <f>'Capital IQ Sheet-GPC'!BU22</f>
        <v>n/a</v>
      </c>
      <c r="BV22" s="522" t="str">
        <f>'Capital IQ Sheet-GPC'!BV22</f>
        <v>n/a</v>
      </c>
      <c r="BW22" s="522" t="str">
        <f>'Capital IQ Sheet-GPC'!BW22</f>
        <v>n/a</v>
      </c>
      <c r="BX22" s="522" t="str">
        <f>'Capital IQ Sheet-GPC'!BX22</f>
        <v>n/a</v>
      </c>
      <c r="BY22" s="522" t="str">
        <f>'Capital IQ Sheet-GPC'!BY22</f>
        <v>n/a</v>
      </c>
      <c r="BZ22" s="522" t="str">
        <f>'Capital IQ Sheet-GPC'!BZ22</f>
        <v>n/a</v>
      </c>
      <c r="CB22" s="466">
        <v>2</v>
      </c>
      <c r="CC22" s="614" t="s">
        <v>155</v>
      </c>
      <c r="CD22" s="614" t="s">
        <v>154</v>
      </c>
      <c r="CE22" s="468">
        <f t="shared" si="0"/>
        <v>42582</v>
      </c>
    </row>
    <row r="23" spans="1:83" s="466" customFormat="1" ht="12.75">
      <c r="A23" s="467" t="e">
        <f ca="1">_xll.ciqfunctions.udf.CIQ($B23,"IQ_COMPANY_TICKER")</f>
        <v>#NAME?</v>
      </c>
      <c r="B23" s="517" t="str">
        <f>'Capital IQ Sheet-GPC'!B23</f>
        <v>IQ114779940</v>
      </c>
      <c r="C23" s="467" t="e">
        <f ca="1">_xll.ciqfunctions.udf.CIQ($A23,"IQ_COMPANY_NAME")</f>
        <v>#NAME?</v>
      </c>
      <c r="D23" s="467" t="e">
        <f ca="1">_xll.ciqfunctions.udf.CIQ($A23, "IQ_EXCHANGE")</f>
        <v>#NAME?</v>
      </c>
      <c r="E23" s="516" t="e">
        <f ca="1">_xll.ciqfunctions.udf.CIQ($A23, "IQ_PERIODDATE_IS", IQ_FY)</f>
        <v>#NAME?</v>
      </c>
      <c r="F23" s="516" t="e">
        <f ca="1">_xll.ciqfunctions.udf.CIQ(A23, "IQ_PERIODDATE_IS", IQ_LTM, $B$1,$L$4,$L$3)</f>
        <v>#NAME?</v>
      </c>
      <c r="G23" s="516" t="e">
        <f ca="1">_xll.ciqfunctions.udf.CIQ($A23, "IQ_FIRSTPRICINGDATE")</f>
        <v>#NAME?</v>
      </c>
      <c r="H23" s="518" t="e">
        <f ca="1">_xll.ciqfunctions.udf.CIQ($A23, "IQ_TEV", $L$2, $L$5, $L$6)</f>
        <v>#NAME?</v>
      </c>
      <c r="I23" s="518" t="e">
        <f ca="1">_xll.ciqfunctions.udf.CIQ(A23, "IQ_LASTSALEPRICE", $B$1,$L$5)</f>
        <v>#NAME?</v>
      </c>
      <c r="J23" s="518" t="e">
        <f ca="1">_xll.ciqfunctions.udf.CIQ($A23, "IQ_MARKETCAP", $L$2, $L$5, $L$6)</f>
        <v>#NAME?</v>
      </c>
      <c r="K23" s="518" t="e">
        <f ca="1">_xll.ciqfunctions.udf.CIQ($A23, "IQ_TOTAL_DEBT", IQ_LTM, $L$2,$L$4, $L$3, $L$5, $L$6)</f>
        <v>#NAME?</v>
      </c>
      <c r="L23" s="518" t="e">
        <f ca="1">_xll.ciqfunctions.udf.CIQ($A23, "IQ_PREF_EQUITY", IQ_LTM, $L$2, $L$4, $L$3, $L$5, $L$6)</f>
        <v>#NAME?</v>
      </c>
      <c r="M23" s="518" t="e">
        <f ca="1">_xll.ciqfunctions.udf.CIQ($A23, "IQ_MINORITY_INTEREST_TOTAL", IQ_LTM, $L$2, $L$4, $L$3, $L$5, $L$6)</f>
        <v>#NAME?</v>
      </c>
      <c r="N23" s="518" t="e">
        <f ca="1">_xll.ciqfunctions.udf.CIQ($A23, "IQ_CASH_ST_INVEST", IQ_LTM, $L$2, $L$4, $L$3, $L$5, $L$6)</f>
        <v>#NAME?</v>
      </c>
      <c r="O23" s="518" t="e">
        <f ca="1">_xll.ciqfunctions.udf.CIQ($A23, "IQ_TOTAL_REV", IQ_LTM-8, $L$2, $L$4, $L$3, $L$5, $L$6)</f>
        <v>#NAME?</v>
      </c>
      <c r="P23" s="518" t="e">
        <f ca="1">_xll.ciqfunctions.udf.CIQ($A23, "IQ_TOTAL_REV", IQ_LTM - 4, $L$2, $L$4, $L$3, $L$5,$L$6)</f>
        <v>#NAME?</v>
      </c>
      <c r="Q23" s="518" t="e">
        <f ca="1">_xll.ciqfunctions.udf.CIQ($A23, "IQ_TOTAL_REV", IQ_LTM, $L$2, $L$4, $L$3, $L$5, $L$6)</f>
        <v>#NAME?</v>
      </c>
      <c r="R23" s="518" t="e">
        <f ca="1">_xll.ciqfunctions.udf.CIQ($A23, "IQ_TOTAL_REV", $B$2, $L$2, $L$4, $L$3, $L$5, $L$6)</f>
        <v>#NAME?</v>
      </c>
      <c r="S23" s="518" t="e">
        <f ca="1">IF(_xll.ciqfunctions.udf.CIQ($A23, "IQ_TOTAL_REV", $B$3, $L$2,$L$4, $L$3, $L$5, $L$6)=0,Q23,_xll.ciqfunctions.udf.CIQ($A23, "IQ_TOTAL_REV", $B$3, $L$2,$L$4, $L$3, $L$5, $L$6))</f>
        <v>#NAME?</v>
      </c>
      <c r="T23" s="518" t="e">
        <f ca="1">IF(_xll.ciqfunctions.udf.CIQ($A23, "IQ_REVENUE_EST",$B$4, $L$2, "CON", $L$3, $L$5, $L$6)=0,"n/a",_xll.ciqfunctions.udf.CIQ($A23, "IQ_REVENUE_EST",$B$4, $L$2, "CON", $L$3, $L$5, $L$6))</f>
        <v>#NAME?</v>
      </c>
      <c r="U23" s="518" t="e">
        <f ca="1">IF(_xll.ciqfunctions.udf.CIQ($A23, "IQ_REVENUE_EST",$B$5, $L$2, "CON", $L$3, $L$5, $L$6)=0,"n/a",_xll.ciqfunctions.udf.CIQ($A23, "IQ_REVENUE_EST",$B$5, $L$2, "CON", $L$3, $L$5, $L$6))</f>
        <v>#NAME?</v>
      </c>
      <c r="V23" s="518" t="e">
        <f ca="1">IF(_xll.ciqfunctions.udf.CIQ($A23, "IQ_REVENUE_EST",$B$6, $L$2, "CON", $L$3, $L$5, $L$6)=0,"n/a",_xll.ciqfunctions.udf.CIQ($A23, "IQ_REVENUE_EST",$B$6, $L$2, "CON", $L$3, $L$5, $L$6))</f>
        <v>#NAME?</v>
      </c>
      <c r="W23" s="518" t="e">
        <f ca="1">IF(_xll.ciqfunctions.udf.CIQ($A23, "IQ_REVENUE_EST", $B$7, $L$2, "CON", $L$3, $L$5, $L$6)=0,"n/a",_xll.ciqfunctions.udf.CIQ($A23, "IQ_REVENUE_EST",$B$7, $L$2, "CON", $L$3, $L$5, $L$6))</f>
        <v>#NAME?</v>
      </c>
      <c r="X23" s="518" t="e">
        <f ca="1">_xll.ciqfunctions.udf.CIQ($A23, "IQ_EBITDA", IQ_LTM-8, $L$2, $L$4, $L$3, $L$5, $L$6)</f>
        <v>#NAME?</v>
      </c>
      <c r="Y23" s="518" t="e">
        <f ca="1">_xll.ciqfunctions.udf.CIQ($A23, "IQ_EBITDA", IQ_LTM-4, $L$2,$L$4, $L$3, $L$5, $L$6)</f>
        <v>#NAME?</v>
      </c>
      <c r="Z23" s="518" t="e">
        <f ca="1">_xll.ciqfunctions.udf.CIQ($A23, "IQ_EBITDA", IQ_LTM, $L$2, $L$4, $L$3, $L$5, $L$6)</f>
        <v>#NAME?</v>
      </c>
      <c r="AA23" s="518" t="e">
        <f ca="1">_xll.ciqfunctions.udf.CIQ($A23, "IQ_EBITDA", $B$2, $L$2, $L$4, $L$3, $L$5, $L$6)</f>
        <v>#NAME?</v>
      </c>
      <c r="AB23" s="518" t="e">
        <f ca="1">IF(_xll.ciqfunctions.udf.CIQ($A23, "IQ_EBITDA", $B$3, $L$2,$L$4, $L$3, $L$5, $L$6)=0,Z23,_xll.ciqfunctions.udf.CIQ($A23, "IQ_EBITDA", $B$3, $L$2,$L$4, $L$3, $L$5, $L$6))</f>
        <v>#NAME?</v>
      </c>
      <c r="AC23" s="518" t="e">
        <f ca="1">IF(_xll.ciqfunctions.udf.CIQ($A23, "IQ_EBITDA_EST",$B$4, $L$2, "CON", $L$3, $L$5, $L$6)=0,"n/a",_xll.ciqfunctions.udf.CIQ($A23, "IQ_EBITDA_EST",$B$4, $L$2, "CON", $L$3, $L$5, $L$6))</f>
        <v>#NAME?</v>
      </c>
      <c r="AD23" s="518" t="e">
        <f ca="1">IF(_xll.ciqfunctions.udf.CIQ($A23, "IQ_EBITDA_EST",$B$5, $L$2, "CON", $L$3, $L$5, $L$6)=0,"n/a",_xll.ciqfunctions.udf.CIQ($A23, "IQ_EBITDA_EST",$B$5, $L$2, "CON", $L$3, $L$5, $L$6))</f>
        <v>#NAME?</v>
      </c>
      <c r="AE23" s="518" t="e">
        <f ca="1">IF(_xll.ciqfunctions.udf.CIQ($A23, "IQ_EBITDA_EST",$B$6, $L$2, "CON", $L$3, $L$5, $L$6)=0,"n/a",_xll.ciqfunctions.udf.CIQ($A23, "IQ_EBITDA_EST",$B$6, $L$2, "CON", $L$3, $L$5, $L$6))</f>
        <v>#NAME?</v>
      </c>
      <c r="AF23" s="519" t="str">
        <f ca="1">IF(ISERROR(_xll.ciqfunctions.udf.CIQ($A23, "IQ_GROSS_MARGIN", IQ_LTM, $L$2,$L$4, $L$3, $L$5, $L$6)/100), "n/a", _xll.ciqfunctions.udf.CIQ($A23,  "IQ_GROSS_MARGIN", IQ_LTM, $L$2, $L$4, $L$3, $L$5, $L$6)/100)</f>
        <v>n/a</v>
      </c>
      <c r="AG23" s="519" t="str">
        <f ca="1">IF(ISERROR(_xll.ciqfunctions.udf.CIQ($A23,"IQ_EBITDA_MARGIN", IQ_LTM, $L$2, $L$4, $L$3, $L$5, $L$6)/100), "n/a", _xll.ciqfunctions.udf.CIQ($A23, "IQ_EBITDA_MARGIN", IQ_LTM, $L$2, $L$4, $L$3, $L$5, $L$6)/100)</f>
        <v>n/a</v>
      </c>
      <c r="AH23" s="519" t="str">
        <f ca="1">IF(ISERROR(_xll.ciqfunctions.udf.CIQ($A23,"IQ_EBIT_MARGIN", IQ_LTM, $L$2, $L$4, $L$3, $L$5, $L$6)/100), "n/a", _xll.ciqfunctions.udf.CIQ($A23, "IQ_EBIT_MARGIN", IQ_LTM, $L$2, $L$4, $L$3, $L$5, $L$6)/100)</f>
        <v>n/a</v>
      </c>
      <c r="AI23" s="519" t="str">
        <f ca="1">IF(ISERROR(_xll.ciqfunctions.udf.CIQ($A23,"IQ_NI_MARGIN", IQ_LTM, $L$2, $L$4, $L$3, $L$5, $L$6)/100), "n/a", _xll.ciqfunctions.udf.CIQ($A23, "IQ_NI_MARGIN", IQ_LTM, $L$2, $L$4, $L$3, $L$5, $L$6)/100)</f>
        <v>n/a</v>
      </c>
      <c r="AJ23" s="518" t="str">
        <f ca="1">IF(ISERROR(_xll.ciqfunctions.udf.CIQ($A23, "IQ_NET_WORKING_CAP", IQ_LTM-8, $L$2, $L$4, $L$3, $L$5, $L$6)), "n/a", _xll.ciqfunctions.udf.CIQ($A23, "IQ_NET_WORKING_CAP", IQ_LTM-8, $L$2, $L$4, $L$3, $L$5, $L$6))</f>
        <v>n/a</v>
      </c>
      <c r="AK23" s="518" t="str">
        <f ca="1">IF(ISERROR(_xll.ciqfunctions.udf.CIQ($A23, "IQ_NET_WORKING_CAP", IQ_LTM-4, $L$2, $L$4, $L$3, $L$5, $L$6)), "n/a", _xll.ciqfunctions.udf.CIQ($A23, "IQ_NET_WORKING_CAP", IQ_LTM-4, $L$2, $L$4, $L$3, $L$5, $L$6))</f>
        <v>n/a</v>
      </c>
      <c r="AL23" s="518" t="str">
        <f ca="1">IF(ISERROR(_xll.ciqfunctions.udf.CIQ($A23, "IQ_NET_WORKING_CAP", IQ_LTM, $L$2,$L$4, $L$3, $L$5, $L$6)), "n/a", _xll.ciqfunctions.udf.CIQ($A23, "IQ_NET_WORKING_CAP", IQ_LTM, $L$2, $L$4, $L$3, $L$5, $L$6))</f>
        <v>n/a</v>
      </c>
      <c r="AM23" s="518" t="str">
        <f ca="1">IF(ISERROR(_xll.ciqfunctions.udf.CIQ($A23, "IQ_Capex", IQ_LTM-8, $L$2,$L$4, $L$3, $L$5, $L$6)), "n/a", _xll.ciqfunctions.udf.CIQ($A23, "IQ_Capex", IQ_LTM-8, $L$2, $L$4, $L$3, $L$5, $L$6))</f>
        <v>n/a</v>
      </c>
      <c r="AN23" s="518" t="str">
        <f ca="1">IF(ISERROR(_xll.ciqfunctions.udf.CIQ($A23, "IQ_Capex", IQ_LTM-4, $L$2,$L$4, $L$3, $L$5, $L$6)), "n/a", _xll.ciqfunctions.udf.CIQ($A23, "IQ_Capex", IQ_LTM-4, $L$2,$L$4, $L$3, $L$5, $L$6))</f>
        <v>n/a</v>
      </c>
      <c r="AO23" s="518" t="str">
        <f ca="1">IF(ISERROR(_xll.ciqfunctions.udf.CIQ($A23, "IQ_Capex", IQ_LTM, $L$2, $L$4, $L$3, $L$5, $L$6)), "n/a", _xll.ciqfunctions.udf.CIQ($A23, "IQ_Capex", IQ_LTM, $L$2, $L$4, $L$3, $L$5, $L$6))</f>
        <v>n/a</v>
      </c>
      <c r="AP23" s="520" t="e">
        <f ca="1">_xll.ciqfunctions.udf.CIQ(A23, "IQ_BUSINESS_DESCRIPTION")</f>
        <v>#NAME?</v>
      </c>
      <c r="AQ23" s="521" t="e">
        <f ca="1">_xll.ciqfunctions.udf.CIQ($A23, "IQ_BETA_1YR", $B$1)</f>
        <v>#NAME?</v>
      </c>
      <c r="AR23" s="521" t="e">
        <f ca="1">_xll.ciqfunctions.udf.CIQ($A23, "IQ_BETA_2YR", $B$1)</f>
        <v>#NAME?</v>
      </c>
      <c r="AS23" s="521" t="e">
        <f ca="1">_xll.ciqfunctions.udf.CIQ($A23, "IQ_BETA_5YR", $B$1)</f>
        <v>#NAME?</v>
      </c>
      <c r="AT23" s="519" t="e">
        <f ca="1">_xll.ciqfunctions.udf.CIQ($A23, "IQ_DIVIDEND_YIELD", $B$1)/100</f>
        <v>#NAME?</v>
      </c>
      <c r="AU23" s="518" t="e">
        <f ca="1">_xll.ciqfunctions.udf.CIQ($A23, "IQ_EARNING_CO", IQ_LTM-8, $L$2, $L$4, $L$3, $L$5, $L$6)</f>
        <v>#NAME?</v>
      </c>
      <c r="AV23" s="518" t="e">
        <f ca="1">_xll.ciqfunctions.udf.CIQ($A23, "IQ_EARNING_CO", IQ_LTM-4, $L$2, $L$4, $L$3, $L$5, $L$6)</f>
        <v>#NAME?</v>
      </c>
      <c r="AW23" s="518" t="e">
        <f ca="1">_xll.ciqfunctions.udf.CIQ($A23, "IQ_EARNING_CO", IQ_LTM, $L$2, $L$4, $L$3, $L$5, $L$6)</f>
        <v>#NAME?</v>
      </c>
      <c r="AX23" s="518" t="e">
        <f ca="1">_xll.ciqfunctions.udf.CIQ($A23, "IQ_EARNING_CO", $B$2, $L$2, $L$4, $L$3, $L$5, $L$6)</f>
        <v>#NAME?</v>
      </c>
      <c r="AY23" s="518" t="e">
        <f ca="1">IF(_xll.ciqfunctions.udf.CIQ($A23, "IQ_EARNING_CO", $B$3, $L$2,$L$4, $L$3, $L$5, $L$6)=0,AW23,_xll.ciqfunctions.udf.CIQ($A23, "IQ_EARNING_CO", $B$3, $L$2,$L$4, $L$3, $L$5, $L$6))</f>
        <v>#NAME?</v>
      </c>
      <c r="AZ23" s="518" t="e">
        <f ca="1">_xll.ciqfunctions.udf.CIQ($A23, "IQ_TOTAL_EQUITY", IQ_LTM-8, $L$2, $L$4, $L$3, $L$5, $L$6)</f>
        <v>#NAME?</v>
      </c>
      <c r="BA23" s="518" t="e">
        <f ca="1">_xll.ciqfunctions.udf.CIQ($A23, "IQ_TOTAL_EQUITY", IQ_LTM-4, $L$2, $L$4, $L$3, $L$5, $L$6)</f>
        <v>#NAME?</v>
      </c>
      <c r="BB23" s="518" t="e">
        <f ca="1">_xll.ciqfunctions.udf.CIQ($A23, "IQ_TOTAL_EQUITY", IQ_LTM, $L$2, $L$4, $L$3, $L$5, $L$6)</f>
        <v>#NAME?</v>
      </c>
      <c r="BC23" s="518" t="e">
        <f ca="1">_xll.ciqfunctions.udf.CIQ($A23, "IQ_TOTAL_EQUITY", $B$2, $L$2, $L$4, $L$3, $L$5, $L$6)</f>
        <v>#NAME?</v>
      </c>
      <c r="BD23" s="518" t="e">
        <f ca="1">IF(_xll.ciqfunctions.udf.CIQ($A23, "IQ_TOTAL_EQUITY", $B$3, $L$2,$L$4, $L$3, $L$5, $L$6)=0,BB23,_xll.ciqfunctions.udf.CIQ($A23, "IQ_TOTAL_EQUITY", $B$3, $L$2,$L$4, $L$3, $L$5, $L$6))</f>
        <v>#NAME?</v>
      </c>
      <c r="BE23" s="518" t="e">
        <f ca="1">_xll.ciqfunctions.udf.CIQ(A23, "IQ_LASTSALEPRICE", $B$8)</f>
        <v>#NAME?</v>
      </c>
      <c r="BF23" s="518" t="e">
        <f ca="1">_xll.ciqfunctions.udf.CIQ($A23, "IQ_MARKETCAP", $B$8, $L$5, $L$6)</f>
        <v>#NAME?</v>
      </c>
      <c r="BG23" s="518" t="e">
        <f ca="1">_xll.ciqfunctions.udf.CIQ($A23, "IQ_TOTAL_DEBT", IQ_LTM, $B$8,$L$4, $L$3, $L$5, $L$6)</f>
        <v>#NAME?</v>
      </c>
      <c r="BH23" s="466" t="e">
        <f ca="1">_xll.ciqfunctions.udf.CIQ($A23,"IQ_PREF_EQUITY",IQ_LTM,$B$8,$L$4,$L$3,$L$5,$L$6)</f>
        <v>#NAME?</v>
      </c>
      <c r="BI23" s="466" t="e">
        <f ca="1">_xll.ciqfunctions.udf.CIQ($A23, "IQ_MINORITY_INTEREST_TOTAL", IQ_LTM,$B$8,$L$4,$L$3,$L$5,$L$6)</f>
        <v>#NAME?</v>
      </c>
      <c r="BJ23" s="518" t="e">
        <f ca="1">_xll.ciqfunctions.udf.CIQ($A23, "IQ_CASH_ST_INVEST", IQ_LTM, $B$8, $L$4, $L$3, $L$5, $L$6)</f>
        <v>#NAME?</v>
      </c>
      <c r="BK23" s="466" t="e">
        <f ca="1">_xll.ciqfunctions.udf.CIQ($A23, "IQ_EFFECT_TAX_RATE")</f>
        <v>#NAME?</v>
      </c>
      <c r="BL23" s="466" t="e">
        <f ca="1">IF(_xll.ciqfunctions.udf.CIQ($A23, "IQ_TOTAL_REV_2YR_ANN_CAGR", IQ_LTM, $B$1,$L$4, $L$3, $L$5, $L$6)="NM","n/a",(_xll.ciqfunctions.udf.CIQ($A23, "IQ_TOTAL_REV_2YR_ANN_CAGR", IQ_LTM, $B$1,$L$4, $L$3, $L$5, $L$6)/100))</f>
        <v>#NAME?</v>
      </c>
      <c r="BM23" s="466" t="e">
        <f ca="1">IF(_xll.ciqfunctions.udf.CIQ($A23, "IQ_TOTAL_REV_3YR_ANN_CAGR", IQ_LTM, $B$1,$L$4, $L$3, $L$5, $L$6)="NM","n/a",(_xll.ciqfunctions.udf.CIQ($A23, "IQ_TOTAL_REV_3YR_ANN_CAGR", IQ_LTM, $B$1,$L$4, $L$3, $L$5, $L$6)/100))</f>
        <v>#NAME?</v>
      </c>
      <c r="BN23" s="466" t="e">
        <f ca="1">IF(_xll.ciqfunctions.udf.CIQ($A23, "IQ_TOTAL_REV_5YR_ANN_CAGR", IQ_LTM, $B$1,$L$4, $L$3, $L$5, $L$6)="NM","n/a",(_xll.ciqfunctions.udf.CIQ($A23, "IQ_TOTAL_REV_5YR_ANN_CAGR", IQ_LTM, $B$1,$L$4, $L$3, $L$5, $L$6)/100))</f>
        <v>#NAME?</v>
      </c>
      <c r="BO23" s="466" t="e">
        <f ca="1">IF(_xll.ciqfunctions.udf.CIQ($A23,"IQ_EBITDA_2YR_ANN_CAGR", IQ_LTM,$B$1,$L$4, $L$3, $L$5, $L$6)="NM","n/a",(_xll.ciqfunctions.udf.CIQ($A23,"IQ_EBITDA_2YR_ANN_CAGR", IQ_LTM,$B$1,$L$4, $L$3, $L$5, $L$6)/100))</f>
        <v>#NAME?</v>
      </c>
      <c r="BP23" s="466" t="e">
        <f ca="1">IF(_xll.ciqfunctions.udf.CIQ($A23,"IQ_EBITDA_3YR_ANN_CAGR", IQ_LTM,$B$1,$L$4, $L$3, $L$5, $L$6)="NM","n/a",(_xll.ciqfunctions.udf.CIQ($A23,"IQ_EBITDA_3YR_ANN_CAGR", IQ_LTM,$B$1,$L$4, $L$3, $L$5, $L$6)/100))</f>
        <v>#NAME?</v>
      </c>
      <c r="BQ23" s="466" t="e">
        <f ca="1">IF(_xll.ciqfunctions.udf.CIQ($A23,"IQ_EBITDA_5YR_ANN_CAGR", IQ_LTM,$B$1,$L$4, $L$3, $L$5, $L$6)="NM","n/a",(_xll.ciqfunctions.udf.CIQ($A23,"IQ_EBITDA_5YR_ANN_CAGR", IQ_LTM,$B$1,$L$4, $L$3, $L$5, $L$6)/100))</f>
        <v>#NAME?</v>
      </c>
      <c r="BR23" s="470" t="str">
        <f ca="1">IFERROR((_xll.ciqfunctions.udf.CIQ($A23, "IQ_DA_CF", IQ_LTM, $B$1, $L$4, $L$3, $L$5, $L$6)/Q23),"NM")</f>
        <v>NM</v>
      </c>
      <c r="BS23" s="522">
        <f>'Capital IQ Sheet-GPC'!BS23</f>
        <v>1.2969999999999999</v>
      </c>
      <c r="BT23" s="522">
        <f>'Capital IQ Sheet-GPC'!BT23</f>
        <v>1.0269999999999999</v>
      </c>
      <c r="BU23" s="522">
        <f>'Capital IQ Sheet-GPC'!BU23</f>
        <v>0.97699999999999998</v>
      </c>
      <c r="BV23" s="522">
        <f>'Capital IQ Sheet-GPC'!BV23</f>
        <v>0.93500000000000005</v>
      </c>
      <c r="BW23" s="522">
        <f>'Capital IQ Sheet-GPC'!BW23</f>
        <v>0.92100000000000004</v>
      </c>
      <c r="BX23" s="522" t="str">
        <f>'Capital IQ Sheet-GPC'!BX23</f>
        <v>n/a</v>
      </c>
      <c r="BY23" s="522" t="str">
        <f>'Capital IQ Sheet-GPC'!BY23</f>
        <v>n/a</v>
      </c>
      <c r="BZ23" s="522" t="str">
        <f>'Capital IQ Sheet-GPC'!BZ23</f>
        <v>n/a</v>
      </c>
      <c r="CB23" s="466">
        <v>2</v>
      </c>
      <c r="CC23" s="614" t="s">
        <v>155</v>
      </c>
      <c r="CD23" s="614" t="s">
        <v>154</v>
      </c>
      <c r="CE23" s="468">
        <f t="shared" si="0"/>
        <v>42582</v>
      </c>
    </row>
    <row r="24" spans="1:83" s="466" customFormat="1" ht="12.75">
      <c r="A24" s="467" t="e">
        <f ca="1">_xll.ciqfunctions.udf.CIQ($B24,"IQ_COMPANY_TICKER")</f>
        <v>#NAME?</v>
      </c>
      <c r="B24" s="517" t="str">
        <f>'Capital IQ Sheet-GPC'!B24</f>
        <v>IQ1065415</v>
      </c>
      <c r="C24" s="467" t="e">
        <f ca="1">_xll.ciqfunctions.udf.CIQ($A24,"IQ_COMPANY_NAME")</f>
        <v>#NAME?</v>
      </c>
      <c r="D24" s="467" t="e">
        <f ca="1">_xll.ciqfunctions.udf.CIQ($A24, "IQ_EXCHANGE")</f>
        <v>#NAME?</v>
      </c>
      <c r="E24" s="516" t="e">
        <f ca="1">_xll.ciqfunctions.udf.CIQ($A24, "IQ_PERIODDATE_IS", IQ_FY)</f>
        <v>#NAME?</v>
      </c>
      <c r="F24" s="516" t="e">
        <f ca="1">_xll.ciqfunctions.udf.CIQ(A24, "IQ_PERIODDATE_IS", IQ_LTM, $B$1,$L$4,$L$3)</f>
        <v>#NAME?</v>
      </c>
      <c r="G24" s="516" t="e">
        <f ca="1">_xll.ciqfunctions.udf.CIQ($A24, "IQ_FIRSTPRICINGDATE")</f>
        <v>#NAME?</v>
      </c>
      <c r="H24" s="518" t="e">
        <f ca="1">_xll.ciqfunctions.udf.CIQ($A24, "IQ_TEV", $L$2, $L$5, $L$6)</f>
        <v>#NAME?</v>
      </c>
      <c r="I24" s="518" t="e">
        <f ca="1">_xll.ciqfunctions.udf.CIQ(A24, "IQ_LASTSALEPRICE", $B$1,$L$5)</f>
        <v>#NAME?</v>
      </c>
      <c r="J24" s="518" t="e">
        <f ca="1">_xll.ciqfunctions.udf.CIQ($A24, "IQ_MARKETCAP", $L$2, $L$5, $L$6)</f>
        <v>#NAME?</v>
      </c>
      <c r="K24" s="518" t="e">
        <f ca="1">_xll.ciqfunctions.udf.CIQ($A24, "IQ_TOTAL_DEBT", IQ_LTM, $L$2,$L$4, $L$3, $L$5, $L$6)</f>
        <v>#NAME?</v>
      </c>
      <c r="L24" s="518" t="e">
        <f ca="1">_xll.ciqfunctions.udf.CIQ($A24, "IQ_PREF_EQUITY", IQ_LTM, $L$2, $L$4, $L$3, $L$5, $L$6)</f>
        <v>#NAME?</v>
      </c>
      <c r="M24" s="518" t="e">
        <f ca="1">_xll.ciqfunctions.udf.CIQ($A24, "IQ_MINORITY_INTEREST_TOTAL", IQ_LTM, $L$2, $L$4, $L$3, $L$5, $L$6)</f>
        <v>#NAME?</v>
      </c>
      <c r="N24" s="518" t="e">
        <f ca="1">_xll.ciqfunctions.udf.CIQ($A24, "IQ_CASH_ST_INVEST", IQ_LTM, $L$2, $L$4, $L$3, $L$5, $L$6)</f>
        <v>#NAME?</v>
      </c>
      <c r="O24" s="518" t="e">
        <f ca="1">_xll.ciqfunctions.udf.CIQ($A24, "IQ_TOTAL_REV", IQ_LTM-8, $L$2, $L$4, $L$3, $L$5, $L$6)</f>
        <v>#NAME?</v>
      </c>
      <c r="P24" s="518" t="e">
        <f ca="1">_xll.ciqfunctions.udf.CIQ($A24, "IQ_TOTAL_REV", IQ_LTM - 4, $L$2, $L$4, $L$3, $L$5,$L$6)</f>
        <v>#NAME?</v>
      </c>
      <c r="Q24" s="518" t="e">
        <f ca="1">_xll.ciqfunctions.udf.CIQ($A24, "IQ_TOTAL_REV", IQ_LTM, $L$2, $L$4, $L$3, $L$5, $L$6)</f>
        <v>#NAME?</v>
      </c>
      <c r="R24" s="518" t="e">
        <f ca="1">_xll.ciqfunctions.udf.CIQ($A24, "IQ_TOTAL_REV", $B$2, $L$2, $L$4, $L$3, $L$5, $L$6)</f>
        <v>#NAME?</v>
      </c>
      <c r="S24" s="518" t="e">
        <f ca="1">IF(_xll.ciqfunctions.udf.CIQ($A24, "IQ_TOTAL_REV", $B$3, $L$2,$L$4, $L$3, $L$5, $L$6)=0,Q24,_xll.ciqfunctions.udf.CIQ($A24, "IQ_TOTAL_REV", $B$3, $L$2,$L$4, $L$3, $L$5, $L$6))</f>
        <v>#NAME?</v>
      </c>
      <c r="T24" s="518" t="e">
        <f ca="1">IF(_xll.ciqfunctions.udf.CIQ($A24, "IQ_REVENUE_EST",$B$4, $L$2, "CON", $L$3, $L$5, $L$6)=0,"n/a",_xll.ciqfunctions.udf.CIQ($A24, "IQ_REVENUE_EST",$B$4, $L$2, "CON", $L$3, $L$5, $L$6))</f>
        <v>#NAME?</v>
      </c>
      <c r="U24" s="518" t="e">
        <f ca="1">IF(_xll.ciqfunctions.udf.CIQ($A24, "IQ_REVENUE_EST",$B$5, $L$2, "CON", $L$3, $L$5, $L$6)=0,"n/a",_xll.ciqfunctions.udf.CIQ($A24, "IQ_REVENUE_EST",$B$5, $L$2, "CON", $L$3, $L$5, $L$6))</f>
        <v>#NAME?</v>
      </c>
      <c r="V24" s="518" t="e">
        <f ca="1">IF(_xll.ciqfunctions.udf.CIQ($A24, "IQ_REVENUE_EST",$B$6, $L$2, "CON", $L$3, $L$5, $L$6)=0,"n/a",_xll.ciqfunctions.udf.CIQ($A24, "IQ_REVENUE_EST",$B$6, $L$2, "CON", $L$3, $L$5, $L$6))</f>
        <v>#NAME?</v>
      </c>
      <c r="W24" s="518" t="e">
        <f ca="1">IF(_xll.ciqfunctions.udf.CIQ($A24, "IQ_REVENUE_EST", $B$7, $L$2, "CON", $L$3, $L$5, $L$6)=0,"n/a",_xll.ciqfunctions.udf.CIQ($A24, "IQ_REVENUE_EST",$B$7, $L$2, "CON", $L$3, $L$5, $L$6))</f>
        <v>#NAME?</v>
      </c>
      <c r="X24" s="518" t="e">
        <f ca="1">_xll.ciqfunctions.udf.CIQ($A24, "IQ_EBITDA", IQ_LTM-8, $L$2, $L$4, $L$3, $L$5, $L$6)</f>
        <v>#NAME?</v>
      </c>
      <c r="Y24" s="518" t="e">
        <f ca="1">_xll.ciqfunctions.udf.CIQ($A24, "IQ_EBITDA", IQ_LTM-4, $L$2,$L$4, $L$3, $L$5, $L$6)</f>
        <v>#NAME?</v>
      </c>
      <c r="Z24" s="518" t="e">
        <f ca="1">_xll.ciqfunctions.udf.CIQ($A24, "IQ_EBITDA", IQ_LTM, $L$2, $L$4, $L$3, $L$5, $L$6)</f>
        <v>#NAME?</v>
      </c>
      <c r="AA24" s="518" t="e">
        <f ca="1">_xll.ciqfunctions.udf.CIQ($A24, "IQ_EBITDA", $B$2, $L$2, $L$4, $L$3, $L$5, $L$6)</f>
        <v>#NAME?</v>
      </c>
      <c r="AB24" s="518" t="e">
        <f ca="1">IF(_xll.ciqfunctions.udf.CIQ($A24, "IQ_EBITDA", $B$3, $L$2,$L$4, $L$3, $L$5, $L$6)=0,Z24,_xll.ciqfunctions.udf.CIQ($A24, "IQ_EBITDA", $B$3, $L$2,$L$4, $L$3, $L$5, $L$6))</f>
        <v>#NAME?</v>
      </c>
      <c r="AC24" s="518" t="e">
        <f ca="1">IF(_xll.ciqfunctions.udf.CIQ($A24, "IQ_EBITDA_EST",$B$4, $L$2, "CON", $L$3, $L$5, $L$6)=0,"n/a",_xll.ciqfunctions.udf.CIQ($A24, "IQ_EBITDA_EST",$B$4, $L$2, "CON", $L$3, $L$5, $L$6))</f>
        <v>#NAME?</v>
      </c>
      <c r="AD24" s="518" t="e">
        <f ca="1">IF(_xll.ciqfunctions.udf.CIQ($A24, "IQ_EBITDA_EST",$B$5, $L$2, "CON", $L$3, $L$5, $L$6)=0,"n/a",_xll.ciqfunctions.udf.CIQ($A24, "IQ_EBITDA_EST",$B$5, $L$2, "CON", $L$3, $L$5, $L$6))</f>
        <v>#NAME?</v>
      </c>
      <c r="AE24" s="518" t="e">
        <f ca="1">IF(_xll.ciqfunctions.udf.CIQ($A24, "IQ_EBITDA_EST",$B$6, $L$2, "CON", $L$3, $L$5, $L$6)=0,"n/a",_xll.ciqfunctions.udf.CIQ($A24, "IQ_EBITDA_EST",$B$6, $L$2, "CON", $L$3, $L$5, $L$6))</f>
        <v>#NAME?</v>
      </c>
      <c r="AF24" s="519" t="str">
        <f ca="1">IF(ISERROR(_xll.ciqfunctions.udf.CIQ($A24, "IQ_GROSS_MARGIN", IQ_LTM, $L$2,$L$4, $L$3, $L$5, $L$6)/100), "n/a", _xll.ciqfunctions.udf.CIQ($A24,  "IQ_GROSS_MARGIN", IQ_LTM, $L$2, $L$4, $L$3, $L$5, $L$6)/100)</f>
        <v>n/a</v>
      </c>
      <c r="AG24" s="519" t="str">
        <f ca="1">IF(ISERROR(_xll.ciqfunctions.udf.CIQ($A24,"IQ_EBITDA_MARGIN", IQ_LTM, $L$2, $L$4, $L$3, $L$5, $L$6)/100), "n/a", _xll.ciqfunctions.udf.CIQ($A24, "IQ_EBITDA_MARGIN", IQ_LTM, $L$2, $L$4, $L$3, $L$5, $L$6)/100)</f>
        <v>n/a</v>
      </c>
      <c r="AH24" s="519" t="str">
        <f ca="1">IF(ISERROR(_xll.ciqfunctions.udf.CIQ($A24,"IQ_EBIT_MARGIN", IQ_LTM, $L$2, $L$4, $L$3, $L$5, $L$6)/100), "n/a", _xll.ciqfunctions.udf.CIQ($A24, "IQ_EBIT_MARGIN", IQ_LTM, $L$2, $L$4, $L$3, $L$5, $L$6)/100)</f>
        <v>n/a</v>
      </c>
      <c r="AI24" s="519" t="str">
        <f ca="1">IF(ISERROR(_xll.ciqfunctions.udf.CIQ($A24,"IQ_NI_MARGIN", IQ_LTM, $L$2, $L$4, $L$3, $L$5, $L$6)/100), "n/a", _xll.ciqfunctions.udf.CIQ($A24, "IQ_NI_MARGIN", IQ_LTM, $L$2, $L$4, $L$3, $L$5, $L$6)/100)</f>
        <v>n/a</v>
      </c>
      <c r="AJ24" s="518" t="str">
        <f ca="1">IF(ISERROR(_xll.ciqfunctions.udf.CIQ($A24, "IQ_NET_WORKING_CAP", IQ_LTM-8, $L$2, $L$4, $L$3, $L$5, $L$6)), "n/a", _xll.ciqfunctions.udf.CIQ($A24, "IQ_NET_WORKING_CAP", IQ_LTM-8, $L$2, $L$4, $L$3, $L$5, $L$6))</f>
        <v>n/a</v>
      </c>
      <c r="AK24" s="518" t="str">
        <f ca="1">IF(ISERROR(_xll.ciqfunctions.udf.CIQ($A24, "IQ_NET_WORKING_CAP", IQ_LTM-4, $L$2, $L$4, $L$3, $L$5, $L$6)), "n/a", _xll.ciqfunctions.udf.CIQ($A24, "IQ_NET_WORKING_CAP", IQ_LTM-4, $L$2, $L$4, $L$3, $L$5, $L$6))</f>
        <v>n/a</v>
      </c>
      <c r="AL24" s="518" t="str">
        <f ca="1">IF(ISERROR(_xll.ciqfunctions.udf.CIQ($A24, "IQ_NET_WORKING_CAP", IQ_LTM, $L$2,$L$4, $L$3, $L$5, $L$6)), "n/a", _xll.ciqfunctions.udf.CIQ($A24, "IQ_NET_WORKING_CAP", IQ_LTM, $L$2, $L$4, $L$3, $L$5, $L$6))</f>
        <v>n/a</v>
      </c>
      <c r="AM24" s="518" t="str">
        <f ca="1">IF(ISERROR(_xll.ciqfunctions.udf.CIQ($A24, "IQ_Capex", IQ_LTM-8, $L$2,$L$4, $L$3, $L$5, $L$6)), "n/a", _xll.ciqfunctions.udf.CIQ($A24, "IQ_Capex", IQ_LTM-8, $L$2, $L$4, $L$3, $L$5, $L$6))</f>
        <v>n/a</v>
      </c>
      <c r="AN24" s="518" t="str">
        <f ca="1">IF(ISERROR(_xll.ciqfunctions.udf.CIQ($A24, "IQ_Capex", IQ_LTM-4, $L$2,$L$4, $L$3, $L$5, $L$6)), "n/a", _xll.ciqfunctions.udf.CIQ($A24, "IQ_Capex", IQ_LTM-4, $L$2,$L$4, $L$3, $L$5, $L$6))</f>
        <v>n/a</v>
      </c>
      <c r="AO24" s="518" t="str">
        <f ca="1">IF(ISERROR(_xll.ciqfunctions.udf.CIQ($A24, "IQ_Capex", IQ_LTM, $L$2, $L$4, $L$3, $L$5, $L$6)), "n/a", _xll.ciqfunctions.udf.CIQ($A24, "IQ_Capex", IQ_LTM, $L$2, $L$4, $L$3, $L$5, $L$6))</f>
        <v>n/a</v>
      </c>
      <c r="AP24" s="520" t="e">
        <f ca="1">_xll.ciqfunctions.udf.CIQ(A24, "IQ_BUSINESS_DESCRIPTION")</f>
        <v>#NAME?</v>
      </c>
      <c r="AQ24" s="521" t="e">
        <f ca="1">_xll.ciqfunctions.udf.CIQ($A24, "IQ_BETA_1YR", $B$1)</f>
        <v>#NAME?</v>
      </c>
      <c r="AR24" s="521" t="e">
        <f ca="1">_xll.ciqfunctions.udf.CIQ($A24, "IQ_BETA_2YR", $B$1)</f>
        <v>#NAME?</v>
      </c>
      <c r="AS24" s="521" t="e">
        <f ca="1">_xll.ciqfunctions.udf.CIQ($A24, "IQ_BETA_5YR", $B$1)</f>
        <v>#NAME?</v>
      </c>
      <c r="AT24" s="519" t="e">
        <f ca="1">_xll.ciqfunctions.udf.CIQ($A24, "IQ_DIVIDEND_YIELD", $B$1)/100</f>
        <v>#NAME?</v>
      </c>
      <c r="AU24" s="518" t="e">
        <f ca="1">_xll.ciqfunctions.udf.CIQ($A24, "IQ_EARNING_CO", IQ_LTM-8, $L$2, $L$4, $L$3, $L$5, $L$6)</f>
        <v>#NAME?</v>
      </c>
      <c r="AV24" s="518" t="e">
        <f ca="1">_xll.ciqfunctions.udf.CIQ($A24, "IQ_EARNING_CO", IQ_LTM-4, $L$2, $L$4, $L$3, $L$5, $L$6)</f>
        <v>#NAME?</v>
      </c>
      <c r="AW24" s="518" t="e">
        <f ca="1">_xll.ciqfunctions.udf.CIQ($A24, "IQ_EARNING_CO", IQ_LTM, $L$2, $L$4, $L$3, $L$5, $L$6)</f>
        <v>#NAME?</v>
      </c>
      <c r="AX24" s="518" t="e">
        <f ca="1">_xll.ciqfunctions.udf.CIQ($A24, "IQ_EARNING_CO", $B$2, $L$2, $L$4, $L$3, $L$5, $L$6)</f>
        <v>#NAME?</v>
      </c>
      <c r="AY24" s="518" t="e">
        <f ca="1">IF(_xll.ciqfunctions.udf.CIQ($A24, "IQ_EARNING_CO", $B$3, $L$2,$L$4, $L$3, $L$5, $L$6)=0,AW24,_xll.ciqfunctions.udf.CIQ($A24, "IQ_EARNING_CO", $B$3, $L$2,$L$4, $L$3, $L$5, $L$6))</f>
        <v>#NAME?</v>
      </c>
      <c r="AZ24" s="518" t="e">
        <f ca="1">_xll.ciqfunctions.udf.CIQ($A24, "IQ_TOTAL_EQUITY", IQ_LTM-8, $L$2, $L$4, $L$3, $L$5, $L$6)</f>
        <v>#NAME?</v>
      </c>
      <c r="BA24" s="518" t="e">
        <f ca="1">_xll.ciqfunctions.udf.CIQ($A24, "IQ_TOTAL_EQUITY", IQ_LTM-4, $L$2, $L$4, $L$3, $L$5, $L$6)</f>
        <v>#NAME?</v>
      </c>
      <c r="BB24" s="518" t="e">
        <f ca="1">_xll.ciqfunctions.udf.CIQ($A24, "IQ_TOTAL_EQUITY", IQ_LTM, $L$2, $L$4, $L$3, $L$5, $L$6)</f>
        <v>#NAME?</v>
      </c>
      <c r="BC24" s="518" t="e">
        <f ca="1">_xll.ciqfunctions.udf.CIQ($A24, "IQ_TOTAL_EQUITY", $B$2, $L$2, $L$4, $L$3, $L$5, $L$6)</f>
        <v>#NAME?</v>
      </c>
      <c r="BD24" s="518" t="e">
        <f ca="1">IF(_xll.ciqfunctions.udf.CIQ($A24, "IQ_TOTAL_EQUITY", $B$3, $L$2,$L$4, $L$3, $L$5, $L$6)=0,BB24,_xll.ciqfunctions.udf.CIQ($A24, "IQ_TOTAL_EQUITY", $B$3, $L$2,$L$4, $L$3, $L$5, $L$6))</f>
        <v>#NAME?</v>
      </c>
      <c r="BE24" s="518" t="e">
        <f ca="1">_xll.ciqfunctions.udf.CIQ(A24, "IQ_LASTSALEPRICE", $B$8)</f>
        <v>#NAME?</v>
      </c>
      <c r="BF24" s="518" t="e">
        <f ca="1">_xll.ciqfunctions.udf.CIQ($A24, "IQ_MARKETCAP", $B$8, $L$5, $L$6)</f>
        <v>#NAME?</v>
      </c>
      <c r="BG24" s="518" t="e">
        <f ca="1">_xll.ciqfunctions.udf.CIQ($A24, "IQ_TOTAL_DEBT", IQ_LTM, $B$8,$L$4, $L$3, $L$5, $L$6)</f>
        <v>#NAME?</v>
      </c>
      <c r="BH24" s="466" t="e">
        <f ca="1">_xll.ciqfunctions.udf.CIQ($A24,"IQ_PREF_EQUITY",IQ_LTM,$B$8,$L$4,$L$3,$L$5,$L$6)</f>
        <v>#NAME?</v>
      </c>
      <c r="BI24" s="466" t="e">
        <f ca="1">_xll.ciqfunctions.udf.CIQ($A24, "IQ_MINORITY_INTEREST_TOTAL", IQ_LTM,$B$8,$L$4,$L$3,$L$5,$L$6)</f>
        <v>#NAME?</v>
      </c>
      <c r="BJ24" s="518" t="e">
        <f ca="1">_xll.ciqfunctions.udf.CIQ($A24, "IQ_CASH_ST_INVEST", IQ_LTM, $B$8, $L$4, $L$3, $L$5, $L$6)</f>
        <v>#NAME?</v>
      </c>
      <c r="BK24" s="466" t="e">
        <f ca="1">_xll.ciqfunctions.udf.CIQ($A24, "IQ_EFFECT_TAX_RATE")</f>
        <v>#NAME?</v>
      </c>
      <c r="BL24" s="466" t="e">
        <f ca="1">IF(_xll.ciqfunctions.udf.CIQ($A24, "IQ_TOTAL_REV_2YR_ANN_CAGR", IQ_LTM, $B$1,$L$4, $L$3, $L$5, $L$6)="NM","n/a",(_xll.ciqfunctions.udf.CIQ($A24, "IQ_TOTAL_REV_2YR_ANN_CAGR", IQ_LTM, $B$1,$L$4, $L$3, $L$5, $L$6)/100))</f>
        <v>#NAME?</v>
      </c>
      <c r="BM24" s="466" t="e">
        <f ca="1">IF(_xll.ciqfunctions.udf.CIQ($A24, "IQ_TOTAL_REV_3YR_ANN_CAGR", IQ_LTM, $B$1,$L$4, $L$3, $L$5, $L$6)="NM","n/a",(_xll.ciqfunctions.udf.CIQ($A24, "IQ_TOTAL_REV_3YR_ANN_CAGR", IQ_LTM, $B$1,$L$4, $L$3, $L$5, $L$6)/100))</f>
        <v>#NAME?</v>
      </c>
      <c r="BN24" s="466" t="e">
        <f ca="1">IF(_xll.ciqfunctions.udf.CIQ($A24, "IQ_TOTAL_REV_5YR_ANN_CAGR", IQ_LTM, $B$1,$L$4, $L$3, $L$5, $L$6)="NM","n/a",(_xll.ciqfunctions.udf.CIQ($A24, "IQ_TOTAL_REV_5YR_ANN_CAGR", IQ_LTM, $B$1,$L$4, $L$3, $L$5, $L$6)/100))</f>
        <v>#NAME?</v>
      </c>
      <c r="BO24" s="466" t="e">
        <f ca="1">IF(_xll.ciqfunctions.udf.CIQ($A24,"IQ_EBITDA_2YR_ANN_CAGR", IQ_LTM,$B$1,$L$4, $L$3, $L$5, $L$6)="NM","n/a",(_xll.ciqfunctions.udf.CIQ($A24,"IQ_EBITDA_2YR_ANN_CAGR", IQ_LTM,$B$1,$L$4, $L$3, $L$5, $L$6)/100))</f>
        <v>#NAME?</v>
      </c>
      <c r="BP24" s="466" t="e">
        <f ca="1">IF(_xll.ciqfunctions.udf.CIQ($A24,"IQ_EBITDA_3YR_ANN_CAGR", IQ_LTM,$B$1,$L$4, $L$3, $L$5, $L$6)="NM","n/a",(_xll.ciqfunctions.udf.CIQ($A24,"IQ_EBITDA_3YR_ANN_CAGR", IQ_LTM,$B$1,$L$4, $L$3, $L$5, $L$6)/100))</f>
        <v>#NAME?</v>
      </c>
      <c r="BQ24" s="466" t="e">
        <f ca="1">IF(_xll.ciqfunctions.udf.CIQ($A24,"IQ_EBITDA_5YR_ANN_CAGR", IQ_LTM,$B$1,$L$4, $L$3, $L$5, $L$6)="NM","n/a",(_xll.ciqfunctions.udf.CIQ($A24,"IQ_EBITDA_5YR_ANN_CAGR", IQ_LTM,$B$1,$L$4, $L$3, $L$5, $L$6)/100))</f>
        <v>#NAME?</v>
      </c>
      <c r="BR24" s="470" t="str">
        <f ca="1">IFERROR((_xll.ciqfunctions.udf.CIQ($A24, "IQ_DA_CF", IQ_LTM, $B$1, $L$4, $L$3, $L$5, $L$6)/Q24),"NM")</f>
        <v>NM</v>
      </c>
      <c r="BS24" s="522">
        <f>'Capital IQ Sheet-GPC'!BS24</f>
        <v>1.1259999999999999</v>
      </c>
      <c r="BT24" s="522">
        <f>'Capital IQ Sheet-GPC'!BT24</f>
        <v>1.17</v>
      </c>
      <c r="BU24" s="522">
        <f>'Capital IQ Sheet-GPC'!BU24</f>
        <v>1.0489999999999999</v>
      </c>
      <c r="BV24" s="522">
        <f>'Capital IQ Sheet-GPC'!BV24</f>
        <v>0.97699999999999998</v>
      </c>
      <c r="BW24" s="522">
        <f>'Capital IQ Sheet-GPC'!BW24</f>
        <v>1.075</v>
      </c>
      <c r="BX24" s="522">
        <f>'Capital IQ Sheet-GPC'!BX24</f>
        <v>1.0229999999999999</v>
      </c>
      <c r="BY24" s="522">
        <f>'Capital IQ Sheet-GPC'!BY24</f>
        <v>1.0109999999999999</v>
      </c>
      <c r="BZ24" s="522">
        <f>'Capital IQ Sheet-GPC'!BZ24</f>
        <v>0.98299999999999998</v>
      </c>
      <c r="CB24" s="466">
        <v>2</v>
      </c>
      <c r="CC24" s="614" t="s">
        <v>155</v>
      </c>
      <c r="CD24" s="614" t="s">
        <v>154</v>
      </c>
      <c r="CE24" s="468">
        <f t="shared" ref="CE24:CE34" si="1">$B$1-365*CB24</f>
        <v>42582</v>
      </c>
    </row>
    <row r="25" spans="1:83" s="466" customFormat="1" ht="12.75">
      <c r="A25" s="467" t="e">
        <f ca="1">_xll.ciqfunctions.udf.CIQ($B25,"IQ_COMPANY_TICKER")</f>
        <v>#NAME?</v>
      </c>
      <c r="B25" s="517" t="str">
        <f>'Capital IQ Sheet-GPC'!B25</f>
        <v>IQ254045988</v>
      </c>
      <c r="C25" s="467" t="e">
        <f ca="1">_xll.ciqfunctions.udf.CIQ($A25,"IQ_COMPANY_NAME")</f>
        <v>#NAME?</v>
      </c>
      <c r="D25" s="467" t="e">
        <f ca="1">_xll.ciqfunctions.udf.CIQ($A25, "IQ_EXCHANGE")</f>
        <v>#NAME?</v>
      </c>
      <c r="E25" s="516" t="e">
        <f ca="1">_xll.ciqfunctions.udf.CIQ($A25, "IQ_PERIODDATE_IS", IQ_FY)</f>
        <v>#NAME?</v>
      </c>
      <c r="F25" s="516" t="e">
        <f ca="1">_xll.ciqfunctions.udf.CIQ(A25, "IQ_PERIODDATE_IS", IQ_LTM, $B$1,$L$4,$L$3)</f>
        <v>#NAME?</v>
      </c>
      <c r="G25" s="516" t="e">
        <f ca="1">_xll.ciqfunctions.udf.CIQ($A25, "IQ_FIRSTPRICINGDATE")</f>
        <v>#NAME?</v>
      </c>
      <c r="H25" s="518" t="e">
        <f ca="1">_xll.ciqfunctions.udf.CIQ($A25, "IQ_TEV", $L$2, $L$5, $L$6)</f>
        <v>#NAME?</v>
      </c>
      <c r="I25" s="518" t="e">
        <f ca="1">_xll.ciqfunctions.udf.CIQ(A25, "IQ_LASTSALEPRICE", $B$1,$L$5)</f>
        <v>#NAME?</v>
      </c>
      <c r="J25" s="518" t="e">
        <f ca="1">_xll.ciqfunctions.udf.CIQ($A25, "IQ_MARKETCAP", $L$2, $L$5, $L$6)</f>
        <v>#NAME?</v>
      </c>
      <c r="K25" s="518" t="e">
        <f ca="1">_xll.ciqfunctions.udf.CIQ($A25, "IQ_TOTAL_DEBT", IQ_LTM, $L$2,$L$4, $L$3, $L$5, $L$6)</f>
        <v>#NAME?</v>
      </c>
      <c r="L25" s="518" t="e">
        <f ca="1">_xll.ciqfunctions.udf.CIQ($A25, "IQ_PREF_EQUITY", IQ_LTM, $L$2, $L$4, $L$3, $L$5, $L$6)</f>
        <v>#NAME?</v>
      </c>
      <c r="M25" s="518" t="e">
        <f ca="1">_xll.ciqfunctions.udf.CIQ($A25, "IQ_MINORITY_INTEREST_TOTAL", IQ_LTM, $L$2, $L$4, $L$3, $L$5, $L$6)</f>
        <v>#NAME?</v>
      </c>
      <c r="N25" s="518" t="e">
        <f ca="1">_xll.ciqfunctions.udf.CIQ($A25, "IQ_CASH_ST_INVEST", IQ_LTM, $L$2, $L$4, $L$3, $L$5, $L$6)</f>
        <v>#NAME?</v>
      </c>
      <c r="O25" s="518" t="e">
        <f ca="1">_xll.ciqfunctions.udf.CIQ($A25, "IQ_TOTAL_REV", IQ_LTM-8, $L$2, $L$4, $L$3, $L$5, $L$6)</f>
        <v>#NAME?</v>
      </c>
      <c r="P25" s="518" t="e">
        <f ca="1">_xll.ciqfunctions.udf.CIQ($A25, "IQ_TOTAL_REV", IQ_LTM - 4, $L$2, $L$4, $L$3, $L$5,$L$6)</f>
        <v>#NAME?</v>
      </c>
      <c r="Q25" s="518" t="e">
        <f ca="1">_xll.ciqfunctions.udf.CIQ($A25, "IQ_TOTAL_REV", IQ_LTM, $L$2, $L$4, $L$3, $L$5, $L$6)</f>
        <v>#NAME?</v>
      </c>
      <c r="R25" s="518" t="e">
        <f ca="1">_xll.ciqfunctions.udf.CIQ($A25, "IQ_TOTAL_REV", $B$2, $L$2, $L$4, $L$3, $L$5, $L$6)</f>
        <v>#NAME?</v>
      </c>
      <c r="S25" s="518" t="e">
        <f ca="1">IF(_xll.ciqfunctions.udf.CIQ($A25, "IQ_TOTAL_REV", $B$3, $L$2,$L$4, $L$3, $L$5, $L$6)=0,Q25,_xll.ciqfunctions.udf.CIQ($A25, "IQ_TOTAL_REV", $B$3, $L$2,$L$4, $L$3, $L$5, $L$6))</f>
        <v>#NAME?</v>
      </c>
      <c r="T25" s="518" t="e">
        <f ca="1">IF(_xll.ciqfunctions.udf.CIQ($A25, "IQ_REVENUE_EST",$B$4, $L$2, "CON", $L$3, $L$5, $L$6)=0,"n/a",_xll.ciqfunctions.udf.CIQ($A25, "IQ_REVENUE_EST",$B$4, $L$2, "CON", $L$3, $L$5, $L$6))</f>
        <v>#NAME?</v>
      </c>
      <c r="U25" s="518" t="e">
        <f ca="1">IF(_xll.ciqfunctions.udf.CIQ($A25, "IQ_REVENUE_EST",$B$5, $L$2, "CON", $L$3, $L$5, $L$6)=0,"n/a",_xll.ciqfunctions.udf.CIQ($A25, "IQ_REVENUE_EST",$B$5, $L$2, "CON", $L$3, $L$5, $L$6))</f>
        <v>#NAME?</v>
      </c>
      <c r="V25" s="518" t="e">
        <f ca="1">IF(_xll.ciqfunctions.udf.CIQ($A25, "IQ_REVENUE_EST",$B$6, $L$2, "CON", $L$3, $L$5, $L$6)=0,"n/a",_xll.ciqfunctions.udf.CIQ($A25, "IQ_REVENUE_EST",$B$6, $L$2, "CON", $L$3, $L$5, $L$6))</f>
        <v>#NAME?</v>
      </c>
      <c r="W25" s="518" t="e">
        <f ca="1">IF(_xll.ciqfunctions.udf.CIQ($A25, "IQ_REVENUE_EST", $B$7, $L$2, "CON", $L$3, $L$5, $L$6)=0,"n/a",_xll.ciqfunctions.udf.CIQ($A25, "IQ_REVENUE_EST",$B$7, $L$2, "CON", $L$3, $L$5, $L$6))</f>
        <v>#NAME?</v>
      </c>
      <c r="X25" s="518" t="e">
        <f ca="1">_xll.ciqfunctions.udf.CIQ($A25, "IQ_EBITDA", IQ_LTM-8, $L$2, $L$4, $L$3, $L$5, $L$6)</f>
        <v>#NAME?</v>
      </c>
      <c r="Y25" s="518" t="e">
        <f ca="1">_xll.ciqfunctions.udf.CIQ($A25, "IQ_EBITDA", IQ_LTM-4, $L$2,$L$4, $L$3, $L$5, $L$6)</f>
        <v>#NAME?</v>
      </c>
      <c r="Z25" s="518" t="e">
        <f ca="1">_xll.ciqfunctions.udf.CIQ($A25, "IQ_EBITDA", IQ_LTM, $L$2, $L$4, $L$3, $L$5, $L$6)</f>
        <v>#NAME?</v>
      </c>
      <c r="AA25" s="518" t="e">
        <f ca="1">_xll.ciqfunctions.udf.CIQ($A25, "IQ_EBITDA", $B$2, $L$2, $L$4, $L$3, $L$5, $L$6)</f>
        <v>#NAME?</v>
      </c>
      <c r="AB25" s="518" t="e">
        <f ca="1">IF(_xll.ciqfunctions.udf.CIQ($A25, "IQ_EBITDA", $B$3, $L$2,$L$4, $L$3, $L$5, $L$6)=0,Z25,_xll.ciqfunctions.udf.CIQ($A25, "IQ_EBITDA", $B$3, $L$2,$L$4, $L$3, $L$5, $L$6))</f>
        <v>#NAME?</v>
      </c>
      <c r="AC25" s="518" t="e">
        <f ca="1">IF(_xll.ciqfunctions.udf.CIQ($A25, "IQ_EBITDA_EST",$B$4, $L$2, "CON", $L$3, $L$5, $L$6)=0,"n/a",_xll.ciqfunctions.udf.CIQ($A25, "IQ_EBITDA_EST",$B$4, $L$2, "CON", $L$3, $L$5, $L$6))</f>
        <v>#NAME?</v>
      </c>
      <c r="AD25" s="518" t="e">
        <f ca="1">IF(_xll.ciqfunctions.udf.CIQ($A25, "IQ_EBITDA_EST",$B$5, $L$2, "CON", $L$3, $L$5, $L$6)=0,"n/a",_xll.ciqfunctions.udf.CIQ($A25, "IQ_EBITDA_EST",$B$5, $L$2, "CON", $L$3, $L$5, $L$6))</f>
        <v>#NAME?</v>
      </c>
      <c r="AE25" s="518" t="e">
        <f ca="1">IF(_xll.ciqfunctions.udf.CIQ($A25, "IQ_EBITDA_EST",$B$6, $L$2, "CON", $L$3, $L$5, $L$6)=0,"n/a",_xll.ciqfunctions.udf.CIQ($A25, "IQ_EBITDA_EST",$B$6, $L$2, "CON", $L$3, $L$5, $L$6))</f>
        <v>#NAME?</v>
      </c>
      <c r="AF25" s="519" t="str">
        <f ca="1">IF(ISERROR(_xll.ciqfunctions.udf.CIQ($A25, "IQ_GROSS_MARGIN", IQ_LTM, $L$2,$L$4, $L$3, $L$5, $L$6)/100), "n/a", _xll.ciqfunctions.udf.CIQ($A25,  "IQ_GROSS_MARGIN", IQ_LTM, $L$2, $L$4, $L$3, $L$5, $L$6)/100)</f>
        <v>n/a</v>
      </c>
      <c r="AG25" s="519" t="str">
        <f ca="1">IF(ISERROR(_xll.ciqfunctions.udf.CIQ($A25,"IQ_EBITDA_MARGIN", IQ_LTM, $L$2, $L$4, $L$3, $L$5, $L$6)/100), "n/a", _xll.ciqfunctions.udf.CIQ($A25, "IQ_EBITDA_MARGIN", IQ_LTM, $L$2, $L$4, $L$3, $L$5, $L$6)/100)</f>
        <v>n/a</v>
      </c>
      <c r="AH25" s="519" t="str">
        <f ca="1">IF(ISERROR(_xll.ciqfunctions.udf.CIQ($A25,"IQ_EBIT_MARGIN", IQ_LTM, $L$2, $L$4, $L$3, $L$5, $L$6)/100), "n/a", _xll.ciqfunctions.udf.CIQ($A25, "IQ_EBIT_MARGIN", IQ_LTM, $L$2, $L$4, $L$3, $L$5, $L$6)/100)</f>
        <v>n/a</v>
      </c>
      <c r="AI25" s="519" t="str">
        <f ca="1">IF(ISERROR(_xll.ciqfunctions.udf.CIQ($A25,"IQ_NI_MARGIN", IQ_LTM, $L$2, $L$4, $L$3, $L$5, $L$6)/100), "n/a", _xll.ciqfunctions.udf.CIQ($A25, "IQ_NI_MARGIN", IQ_LTM, $L$2, $L$4, $L$3, $L$5, $L$6)/100)</f>
        <v>n/a</v>
      </c>
      <c r="AJ25" s="518" t="str">
        <f ca="1">IF(ISERROR(_xll.ciqfunctions.udf.CIQ($A25, "IQ_NET_WORKING_CAP", IQ_LTM-8, $L$2, $L$4, $L$3, $L$5, $L$6)), "n/a", _xll.ciqfunctions.udf.CIQ($A25, "IQ_NET_WORKING_CAP", IQ_LTM-8, $L$2, $L$4, $L$3, $L$5, $L$6))</f>
        <v>n/a</v>
      </c>
      <c r="AK25" s="518" t="str">
        <f ca="1">IF(ISERROR(_xll.ciqfunctions.udf.CIQ($A25, "IQ_NET_WORKING_CAP", IQ_LTM-4, $L$2, $L$4, $L$3, $L$5, $L$6)), "n/a", _xll.ciqfunctions.udf.CIQ($A25, "IQ_NET_WORKING_CAP", IQ_LTM-4, $L$2, $L$4, $L$3, $L$5, $L$6))</f>
        <v>n/a</v>
      </c>
      <c r="AL25" s="518" t="str">
        <f ca="1">IF(ISERROR(_xll.ciqfunctions.udf.CIQ($A25, "IQ_NET_WORKING_CAP", IQ_LTM, $L$2,$L$4, $L$3, $L$5, $L$6)), "n/a", _xll.ciqfunctions.udf.CIQ($A25, "IQ_NET_WORKING_CAP", IQ_LTM, $L$2, $L$4, $L$3, $L$5, $L$6))</f>
        <v>n/a</v>
      </c>
      <c r="AM25" s="518" t="str">
        <f ca="1">IF(ISERROR(_xll.ciqfunctions.udf.CIQ($A25, "IQ_Capex", IQ_LTM-8, $L$2,$L$4, $L$3, $L$5, $L$6)), "n/a", _xll.ciqfunctions.udf.CIQ($A25, "IQ_Capex", IQ_LTM-8, $L$2, $L$4, $L$3, $L$5, $L$6))</f>
        <v>n/a</v>
      </c>
      <c r="AN25" s="518" t="str">
        <f ca="1">IF(ISERROR(_xll.ciqfunctions.udf.CIQ($A25, "IQ_Capex", IQ_LTM-4, $L$2,$L$4, $L$3, $L$5, $L$6)), "n/a", _xll.ciqfunctions.udf.CIQ($A25, "IQ_Capex", IQ_LTM-4, $L$2,$L$4, $L$3, $L$5, $L$6))</f>
        <v>n/a</v>
      </c>
      <c r="AO25" s="518" t="str">
        <f ca="1">IF(ISERROR(_xll.ciqfunctions.udf.CIQ($A25, "IQ_Capex", IQ_LTM, $L$2, $L$4, $L$3, $L$5, $L$6)), "n/a", _xll.ciqfunctions.udf.CIQ($A25, "IQ_Capex", IQ_LTM, $L$2, $L$4, $L$3, $L$5, $L$6))</f>
        <v>n/a</v>
      </c>
      <c r="AP25" s="520" t="e">
        <f ca="1">_xll.ciqfunctions.udf.CIQ(A25, "IQ_BUSINESS_DESCRIPTION")</f>
        <v>#NAME?</v>
      </c>
      <c r="AQ25" s="521" t="e">
        <f ca="1">_xll.ciqfunctions.udf.CIQ($A25, "IQ_BETA_1YR", $B$1)</f>
        <v>#NAME?</v>
      </c>
      <c r="AR25" s="521" t="e">
        <f ca="1">_xll.ciqfunctions.udf.CIQ($A25, "IQ_BETA_2YR", $B$1)</f>
        <v>#NAME?</v>
      </c>
      <c r="AS25" s="521" t="e">
        <f ca="1">_xll.ciqfunctions.udf.CIQ($A25, "IQ_BETA_5YR", $B$1)</f>
        <v>#NAME?</v>
      </c>
      <c r="AT25" s="519" t="e">
        <f ca="1">_xll.ciqfunctions.udf.CIQ($A25, "IQ_DIVIDEND_YIELD", $B$1)/100</f>
        <v>#NAME?</v>
      </c>
      <c r="AU25" s="518" t="e">
        <f ca="1">_xll.ciqfunctions.udf.CIQ($A25, "IQ_EARNING_CO", IQ_LTM-8, $L$2, $L$4, $L$3, $L$5, $L$6)</f>
        <v>#NAME?</v>
      </c>
      <c r="AV25" s="518" t="e">
        <f ca="1">_xll.ciqfunctions.udf.CIQ($A25, "IQ_EARNING_CO", IQ_LTM-4, $L$2, $L$4, $L$3, $L$5, $L$6)</f>
        <v>#NAME?</v>
      </c>
      <c r="AW25" s="518" t="e">
        <f ca="1">_xll.ciqfunctions.udf.CIQ($A25, "IQ_EARNING_CO", IQ_LTM, $L$2, $L$4, $L$3, $L$5, $L$6)</f>
        <v>#NAME?</v>
      </c>
      <c r="AX25" s="518" t="e">
        <f ca="1">_xll.ciqfunctions.udf.CIQ($A25, "IQ_EARNING_CO", $B$2, $L$2, $L$4, $L$3, $L$5, $L$6)</f>
        <v>#NAME?</v>
      </c>
      <c r="AY25" s="518" t="e">
        <f ca="1">IF(_xll.ciqfunctions.udf.CIQ($A25, "IQ_EARNING_CO", $B$3, $L$2,$L$4, $L$3, $L$5, $L$6)=0,AW25,_xll.ciqfunctions.udf.CIQ($A25, "IQ_EARNING_CO", $B$3, $L$2,$L$4, $L$3, $L$5, $L$6))</f>
        <v>#NAME?</v>
      </c>
      <c r="AZ25" s="518" t="e">
        <f ca="1">_xll.ciqfunctions.udf.CIQ($A25, "IQ_TOTAL_EQUITY", IQ_LTM-8, $L$2, $L$4, $L$3, $L$5, $L$6)</f>
        <v>#NAME?</v>
      </c>
      <c r="BA25" s="518" t="e">
        <f ca="1">_xll.ciqfunctions.udf.CIQ($A25, "IQ_TOTAL_EQUITY", IQ_LTM-4, $L$2, $L$4, $L$3, $L$5, $L$6)</f>
        <v>#NAME?</v>
      </c>
      <c r="BB25" s="518" t="e">
        <f ca="1">_xll.ciqfunctions.udf.CIQ($A25, "IQ_TOTAL_EQUITY", IQ_LTM, $L$2, $L$4, $L$3, $L$5, $L$6)</f>
        <v>#NAME?</v>
      </c>
      <c r="BC25" s="518" t="e">
        <f ca="1">_xll.ciqfunctions.udf.CIQ($A25, "IQ_TOTAL_EQUITY", $B$2, $L$2, $L$4, $L$3, $L$5, $L$6)</f>
        <v>#NAME?</v>
      </c>
      <c r="BD25" s="518" t="e">
        <f ca="1">IF(_xll.ciqfunctions.udf.CIQ($A25, "IQ_TOTAL_EQUITY", $B$3, $L$2,$L$4, $L$3, $L$5, $L$6)=0,BB25,_xll.ciqfunctions.udf.CIQ($A25, "IQ_TOTAL_EQUITY", $B$3, $L$2,$L$4, $L$3, $L$5, $L$6))</f>
        <v>#NAME?</v>
      </c>
      <c r="BE25" s="518" t="e">
        <f ca="1">_xll.ciqfunctions.udf.CIQ(A25, "IQ_LASTSALEPRICE", $B$8)</f>
        <v>#NAME?</v>
      </c>
      <c r="BF25" s="518" t="e">
        <f ca="1">_xll.ciqfunctions.udf.CIQ($A25, "IQ_MARKETCAP", $B$8, $L$5, $L$6)</f>
        <v>#NAME?</v>
      </c>
      <c r="BG25" s="518" t="e">
        <f ca="1">_xll.ciqfunctions.udf.CIQ($A25, "IQ_TOTAL_DEBT", IQ_LTM, $B$8,$L$4, $L$3, $L$5, $L$6)</f>
        <v>#NAME?</v>
      </c>
      <c r="BH25" s="466" t="e">
        <f ca="1">_xll.ciqfunctions.udf.CIQ($A25,"IQ_PREF_EQUITY",IQ_LTM,$B$8,$L$4,$L$3,$L$5,$L$6)</f>
        <v>#NAME?</v>
      </c>
      <c r="BI25" s="466" t="e">
        <f ca="1">_xll.ciqfunctions.udf.CIQ($A25, "IQ_MINORITY_INTEREST_TOTAL", IQ_LTM,$B$8,$L$4,$L$3,$L$5,$L$6)</f>
        <v>#NAME?</v>
      </c>
      <c r="BJ25" s="518" t="e">
        <f ca="1">_xll.ciqfunctions.udf.CIQ($A25, "IQ_CASH_ST_INVEST", IQ_LTM, $B$8, $L$4, $L$3, $L$5, $L$6)</f>
        <v>#NAME?</v>
      </c>
      <c r="BK25" s="466" t="e">
        <f ca="1">_xll.ciqfunctions.udf.CIQ($A25, "IQ_EFFECT_TAX_RATE")</f>
        <v>#NAME?</v>
      </c>
      <c r="BL25" s="466" t="e">
        <f ca="1">IF(_xll.ciqfunctions.udf.CIQ($A25, "IQ_TOTAL_REV_2YR_ANN_CAGR", IQ_LTM, $B$1,$L$4, $L$3, $L$5, $L$6)="NM","n/a",(_xll.ciqfunctions.udf.CIQ($A25, "IQ_TOTAL_REV_2YR_ANN_CAGR", IQ_LTM, $B$1,$L$4, $L$3, $L$5, $L$6)/100))</f>
        <v>#NAME?</v>
      </c>
      <c r="BM25" s="466" t="e">
        <f ca="1">IF(_xll.ciqfunctions.udf.CIQ($A25, "IQ_TOTAL_REV_3YR_ANN_CAGR", IQ_LTM, $B$1,$L$4, $L$3, $L$5, $L$6)="NM","n/a",(_xll.ciqfunctions.udf.CIQ($A25, "IQ_TOTAL_REV_3YR_ANN_CAGR", IQ_LTM, $B$1,$L$4, $L$3, $L$5, $L$6)/100))</f>
        <v>#NAME?</v>
      </c>
      <c r="BN25" s="466" t="e">
        <f ca="1">IF(_xll.ciqfunctions.udf.CIQ($A25, "IQ_TOTAL_REV_5YR_ANN_CAGR", IQ_LTM, $B$1,$L$4, $L$3, $L$5, $L$6)="NM","n/a",(_xll.ciqfunctions.udf.CIQ($A25, "IQ_TOTAL_REV_5YR_ANN_CAGR", IQ_LTM, $B$1,$L$4, $L$3, $L$5, $L$6)/100))</f>
        <v>#NAME?</v>
      </c>
      <c r="BO25" s="466" t="e">
        <f ca="1">IF(_xll.ciqfunctions.udf.CIQ($A25,"IQ_EBITDA_2YR_ANN_CAGR", IQ_LTM,$B$1,$L$4, $L$3, $L$5, $L$6)="NM","n/a",(_xll.ciqfunctions.udf.CIQ($A25,"IQ_EBITDA_2YR_ANN_CAGR", IQ_LTM,$B$1,$L$4, $L$3, $L$5, $L$6)/100))</f>
        <v>#NAME?</v>
      </c>
      <c r="BP25" s="466" t="e">
        <f ca="1">IF(_xll.ciqfunctions.udf.CIQ($A25,"IQ_EBITDA_3YR_ANN_CAGR", IQ_LTM,$B$1,$L$4, $L$3, $L$5, $L$6)="NM","n/a",(_xll.ciqfunctions.udf.CIQ($A25,"IQ_EBITDA_3YR_ANN_CAGR", IQ_LTM,$B$1,$L$4, $L$3, $L$5, $L$6)/100))</f>
        <v>#NAME?</v>
      </c>
      <c r="BQ25" s="466" t="e">
        <f ca="1">IF(_xll.ciqfunctions.udf.CIQ($A25,"IQ_EBITDA_5YR_ANN_CAGR", IQ_LTM,$B$1,$L$4, $L$3, $L$5, $L$6)="NM","n/a",(_xll.ciqfunctions.udf.CIQ($A25,"IQ_EBITDA_5YR_ANN_CAGR", IQ_LTM,$B$1,$L$4, $L$3, $L$5, $L$6)/100))</f>
        <v>#NAME?</v>
      </c>
      <c r="BR25" s="470" t="str">
        <f ca="1">IFERROR((_xll.ciqfunctions.udf.CIQ($A25, "IQ_DA_CF", IQ_LTM, $B$1, $L$4, $L$3, $L$5, $L$6)/Q25),"NM")</f>
        <v>NM</v>
      </c>
      <c r="BS25" s="522">
        <f>'Capital IQ Sheet-GPC'!BS25</f>
        <v>0.56799999999999995</v>
      </c>
      <c r="BT25" s="522">
        <f>'Capital IQ Sheet-GPC'!BT25</f>
        <v>0.78400000000000003</v>
      </c>
      <c r="BU25" s="522">
        <f>'Capital IQ Sheet-GPC'!BU25</f>
        <v>0.79900000000000004</v>
      </c>
      <c r="BV25" s="522">
        <f>'Capital IQ Sheet-GPC'!BV25</f>
        <v>0.90400000000000003</v>
      </c>
      <c r="BW25" s="522" t="str">
        <f>'Capital IQ Sheet-GPC'!BW25</f>
        <v>n/a</v>
      </c>
      <c r="BX25" s="522" t="str">
        <f>'Capital IQ Sheet-GPC'!BX25</f>
        <v>n/a</v>
      </c>
      <c r="BY25" s="522" t="str">
        <f>'Capital IQ Sheet-GPC'!BY25</f>
        <v>n/a</v>
      </c>
      <c r="BZ25" s="522" t="str">
        <f>'Capital IQ Sheet-GPC'!BZ25</f>
        <v>n/a</v>
      </c>
      <c r="CB25" s="466">
        <v>2</v>
      </c>
      <c r="CC25" s="614" t="s">
        <v>155</v>
      </c>
      <c r="CD25" s="614" t="s">
        <v>154</v>
      </c>
      <c r="CE25" s="468">
        <f t="shared" si="1"/>
        <v>42582</v>
      </c>
    </row>
    <row r="26" spans="1:83" s="466" customFormat="1" ht="12.75">
      <c r="A26" s="467" t="e">
        <f ca="1">_xll.ciqfunctions.udf.CIQ($B26,"IQ_COMPANY_TICKER")</f>
        <v>#NAME?</v>
      </c>
      <c r="B26" s="517" t="str">
        <f>'Capital IQ Sheet-GPC'!B26</f>
        <v>IQ224193775</v>
      </c>
      <c r="C26" s="467" t="e">
        <f ca="1">_xll.ciqfunctions.udf.CIQ($A26,"IQ_COMPANY_NAME")</f>
        <v>#NAME?</v>
      </c>
      <c r="D26" s="467" t="e">
        <f ca="1">_xll.ciqfunctions.udf.CIQ($A26, "IQ_EXCHANGE")</f>
        <v>#NAME?</v>
      </c>
      <c r="E26" s="516" t="e">
        <f ca="1">_xll.ciqfunctions.udf.CIQ($A26, "IQ_PERIODDATE_IS", IQ_FY)</f>
        <v>#NAME?</v>
      </c>
      <c r="F26" s="516" t="e">
        <f ca="1">_xll.ciqfunctions.udf.CIQ(A26, "IQ_PERIODDATE_IS", IQ_LTM, $B$1,$L$4,$L$3)</f>
        <v>#NAME?</v>
      </c>
      <c r="G26" s="516" t="e">
        <f ca="1">_xll.ciqfunctions.udf.CIQ($A26, "IQ_FIRSTPRICINGDATE")</f>
        <v>#NAME?</v>
      </c>
      <c r="H26" s="518" t="e">
        <f ca="1">_xll.ciqfunctions.udf.CIQ($A26, "IQ_TEV", $L$2, $L$5, $L$6)</f>
        <v>#NAME?</v>
      </c>
      <c r="I26" s="518" t="e">
        <f ca="1">_xll.ciqfunctions.udf.CIQ(A26, "IQ_LASTSALEPRICE", $B$1,$L$5)</f>
        <v>#NAME?</v>
      </c>
      <c r="J26" s="518" t="e">
        <f ca="1">_xll.ciqfunctions.udf.CIQ($A26, "IQ_MARKETCAP", $L$2, $L$5, $L$6)</f>
        <v>#NAME?</v>
      </c>
      <c r="K26" s="518" t="e">
        <f ca="1">_xll.ciqfunctions.udf.CIQ($A26, "IQ_TOTAL_DEBT", IQ_LTM, $L$2,$L$4, $L$3, $L$5, $L$6)</f>
        <v>#NAME?</v>
      </c>
      <c r="L26" s="518" t="e">
        <f ca="1">_xll.ciqfunctions.udf.CIQ($A26, "IQ_PREF_EQUITY", IQ_LTM, $L$2, $L$4, $L$3, $L$5, $L$6)</f>
        <v>#NAME?</v>
      </c>
      <c r="M26" s="518" t="e">
        <f ca="1">_xll.ciqfunctions.udf.CIQ($A26, "IQ_MINORITY_INTEREST_TOTAL", IQ_LTM, $L$2, $L$4, $L$3, $L$5, $L$6)</f>
        <v>#NAME?</v>
      </c>
      <c r="N26" s="518" t="e">
        <f ca="1">_xll.ciqfunctions.udf.CIQ($A26, "IQ_CASH_ST_INVEST", IQ_LTM, $L$2, $L$4, $L$3, $L$5, $L$6)</f>
        <v>#NAME?</v>
      </c>
      <c r="O26" s="518" t="e">
        <f ca="1">_xll.ciqfunctions.udf.CIQ($A26, "IQ_TOTAL_REV", IQ_LTM-8, $L$2, $L$4, $L$3, $L$5, $L$6)</f>
        <v>#NAME?</v>
      </c>
      <c r="P26" s="518" t="e">
        <f ca="1">_xll.ciqfunctions.udf.CIQ($A26, "IQ_TOTAL_REV", IQ_LTM - 4, $L$2, $L$4, $L$3, $L$5,$L$6)</f>
        <v>#NAME?</v>
      </c>
      <c r="Q26" s="518" t="e">
        <f ca="1">_xll.ciqfunctions.udf.CIQ($A26, "IQ_TOTAL_REV", IQ_LTM, $L$2, $L$4, $L$3, $L$5, $L$6)</f>
        <v>#NAME?</v>
      </c>
      <c r="R26" s="518" t="e">
        <f ca="1">_xll.ciqfunctions.udf.CIQ($A26, "IQ_TOTAL_REV", $B$2, $L$2, $L$4, $L$3, $L$5, $L$6)</f>
        <v>#NAME?</v>
      </c>
      <c r="S26" s="518" t="e">
        <f ca="1">IF(_xll.ciqfunctions.udf.CIQ($A26, "IQ_TOTAL_REV", $B$3, $L$2,$L$4, $L$3, $L$5, $L$6)=0,Q26,_xll.ciqfunctions.udf.CIQ($A26, "IQ_TOTAL_REV", $B$3, $L$2,$L$4, $L$3, $L$5, $L$6))</f>
        <v>#NAME?</v>
      </c>
      <c r="T26" s="518" t="e">
        <f ca="1">IF(_xll.ciqfunctions.udf.CIQ($A26, "IQ_REVENUE_EST",$B$4, $L$2, "CON", $L$3, $L$5, $L$6)=0,"n/a",_xll.ciqfunctions.udf.CIQ($A26, "IQ_REVENUE_EST",$B$4, $L$2, "CON", $L$3, $L$5, $L$6))</f>
        <v>#NAME?</v>
      </c>
      <c r="U26" s="518" t="e">
        <f ca="1">IF(_xll.ciqfunctions.udf.CIQ($A26, "IQ_REVENUE_EST",$B$5, $L$2, "CON", $L$3, $L$5, $L$6)=0,"n/a",_xll.ciqfunctions.udf.CIQ($A26, "IQ_REVENUE_EST",$B$5, $L$2, "CON", $L$3, $L$5, $L$6))</f>
        <v>#NAME?</v>
      </c>
      <c r="V26" s="518" t="e">
        <f ca="1">IF(_xll.ciqfunctions.udf.CIQ($A26, "IQ_REVENUE_EST",$B$6, $L$2, "CON", $L$3, $L$5, $L$6)=0,"n/a",_xll.ciqfunctions.udf.CIQ($A26, "IQ_REVENUE_EST",$B$6, $L$2, "CON", $L$3, $L$5, $L$6))</f>
        <v>#NAME?</v>
      </c>
      <c r="W26" s="518" t="e">
        <f ca="1">IF(_xll.ciqfunctions.udf.CIQ($A26, "IQ_REVENUE_EST", $B$7, $L$2, "CON", $L$3, $L$5, $L$6)=0,"n/a",_xll.ciqfunctions.udf.CIQ($A26, "IQ_REVENUE_EST",$B$7, $L$2, "CON", $L$3, $L$5, $L$6))</f>
        <v>#NAME?</v>
      </c>
      <c r="X26" s="518" t="e">
        <f ca="1">_xll.ciqfunctions.udf.CIQ($A26, "IQ_EBITDA", IQ_LTM-8, $L$2, $L$4, $L$3, $L$5, $L$6)</f>
        <v>#NAME?</v>
      </c>
      <c r="Y26" s="518" t="e">
        <f ca="1">_xll.ciqfunctions.udf.CIQ($A26, "IQ_EBITDA", IQ_LTM-4, $L$2,$L$4, $L$3, $L$5, $L$6)</f>
        <v>#NAME?</v>
      </c>
      <c r="Z26" s="518" t="e">
        <f ca="1">_xll.ciqfunctions.udf.CIQ($A26, "IQ_EBITDA", IQ_LTM, $L$2, $L$4, $L$3, $L$5, $L$6)</f>
        <v>#NAME?</v>
      </c>
      <c r="AA26" s="518" t="e">
        <f ca="1">_xll.ciqfunctions.udf.CIQ($A26, "IQ_EBITDA", $B$2, $L$2, $L$4, $L$3, $L$5, $L$6)</f>
        <v>#NAME?</v>
      </c>
      <c r="AB26" s="518" t="e">
        <f ca="1">IF(_xll.ciqfunctions.udf.CIQ($A26, "IQ_EBITDA", $B$3, $L$2,$L$4, $L$3, $L$5, $L$6)=0,Z26,_xll.ciqfunctions.udf.CIQ($A26, "IQ_EBITDA", $B$3, $L$2,$L$4, $L$3, $L$5, $L$6))</f>
        <v>#NAME?</v>
      </c>
      <c r="AC26" s="518" t="e">
        <f ca="1">IF(_xll.ciqfunctions.udf.CIQ($A26, "IQ_EBITDA_EST",$B$4, $L$2, "CON", $L$3, $L$5, $L$6)=0,"n/a",_xll.ciqfunctions.udf.CIQ($A26, "IQ_EBITDA_EST",$B$4, $L$2, "CON", $L$3, $L$5, $L$6))</f>
        <v>#NAME?</v>
      </c>
      <c r="AD26" s="518" t="e">
        <f ca="1">IF(_xll.ciqfunctions.udf.CIQ($A26, "IQ_EBITDA_EST",$B$5, $L$2, "CON", $L$3, $L$5, $L$6)=0,"n/a",_xll.ciqfunctions.udf.CIQ($A26, "IQ_EBITDA_EST",$B$5, $L$2, "CON", $L$3, $L$5, $L$6))</f>
        <v>#NAME?</v>
      </c>
      <c r="AE26" s="518" t="e">
        <f ca="1">IF(_xll.ciqfunctions.udf.CIQ($A26, "IQ_EBITDA_EST",$B$6, $L$2, "CON", $L$3, $L$5, $L$6)=0,"n/a",_xll.ciqfunctions.udf.CIQ($A26, "IQ_EBITDA_EST",$B$6, $L$2, "CON", $L$3, $L$5, $L$6))</f>
        <v>#NAME?</v>
      </c>
      <c r="AF26" s="519" t="str">
        <f ca="1">IF(ISERROR(_xll.ciqfunctions.udf.CIQ($A26, "IQ_GROSS_MARGIN", IQ_LTM, $L$2,$L$4, $L$3, $L$5, $L$6)/100), "n/a", _xll.ciqfunctions.udf.CIQ($A26,  "IQ_GROSS_MARGIN", IQ_LTM, $L$2, $L$4, $L$3, $L$5, $L$6)/100)</f>
        <v>n/a</v>
      </c>
      <c r="AG26" s="519" t="str">
        <f ca="1">IF(ISERROR(_xll.ciqfunctions.udf.CIQ($A26,"IQ_EBITDA_MARGIN", IQ_LTM, $L$2, $L$4, $L$3, $L$5, $L$6)/100), "n/a", _xll.ciqfunctions.udf.CIQ($A26, "IQ_EBITDA_MARGIN", IQ_LTM, $L$2, $L$4, $L$3, $L$5, $L$6)/100)</f>
        <v>n/a</v>
      </c>
      <c r="AH26" s="519" t="str">
        <f ca="1">IF(ISERROR(_xll.ciqfunctions.udf.CIQ($A26,"IQ_EBIT_MARGIN", IQ_LTM, $L$2, $L$4, $L$3, $L$5, $L$6)/100), "n/a", _xll.ciqfunctions.udf.CIQ($A26, "IQ_EBIT_MARGIN", IQ_LTM, $L$2, $L$4, $L$3, $L$5, $L$6)/100)</f>
        <v>n/a</v>
      </c>
      <c r="AI26" s="519" t="str">
        <f ca="1">IF(ISERROR(_xll.ciqfunctions.udf.CIQ($A26,"IQ_NI_MARGIN", IQ_LTM, $L$2, $L$4, $L$3, $L$5, $L$6)/100), "n/a", _xll.ciqfunctions.udf.CIQ($A26, "IQ_NI_MARGIN", IQ_LTM, $L$2, $L$4, $L$3, $L$5, $L$6)/100)</f>
        <v>n/a</v>
      </c>
      <c r="AJ26" s="518" t="str">
        <f ca="1">IF(ISERROR(_xll.ciqfunctions.udf.CIQ($A26, "IQ_NET_WORKING_CAP", IQ_LTM-8, $L$2, $L$4, $L$3, $L$5, $L$6)), "n/a", _xll.ciqfunctions.udf.CIQ($A26, "IQ_NET_WORKING_CAP", IQ_LTM-8, $L$2, $L$4, $L$3, $L$5, $L$6))</f>
        <v>n/a</v>
      </c>
      <c r="AK26" s="518" t="str">
        <f ca="1">IF(ISERROR(_xll.ciqfunctions.udf.CIQ($A26, "IQ_NET_WORKING_CAP", IQ_LTM-4, $L$2, $L$4, $L$3, $L$5, $L$6)), "n/a", _xll.ciqfunctions.udf.CIQ($A26, "IQ_NET_WORKING_CAP", IQ_LTM-4, $L$2, $L$4, $L$3, $L$5, $L$6))</f>
        <v>n/a</v>
      </c>
      <c r="AL26" s="518" t="str">
        <f ca="1">IF(ISERROR(_xll.ciqfunctions.udf.CIQ($A26, "IQ_NET_WORKING_CAP", IQ_LTM, $L$2,$L$4, $L$3, $L$5, $L$6)), "n/a", _xll.ciqfunctions.udf.CIQ($A26, "IQ_NET_WORKING_CAP", IQ_LTM, $L$2, $L$4, $L$3, $L$5, $L$6))</f>
        <v>n/a</v>
      </c>
      <c r="AM26" s="518" t="str">
        <f ca="1">IF(ISERROR(_xll.ciqfunctions.udf.CIQ($A26, "IQ_Capex", IQ_LTM-8, $L$2,$L$4, $L$3, $L$5, $L$6)), "n/a", _xll.ciqfunctions.udf.CIQ($A26, "IQ_Capex", IQ_LTM-8, $L$2, $L$4, $L$3, $L$5, $L$6))</f>
        <v>n/a</v>
      </c>
      <c r="AN26" s="518" t="str">
        <f ca="1">IF(ISERROR(_xll.ciqfunctions.udf.CIQ($A26, "IQ_Capex", IQ_LTM-4, $L$2,$L$4, $L$3, $L$5, $L$6)), "n/a", _xll.ciqfunctions.udf.CIQ($A26, "IQ_Capex", IQ_LTM-4, $L$2,$L$4, $L$3, $L$5, $L$6))</f>
        <v>n/a</v>
      </c>
      <c r="AO26" s="518" t="str">
        <f ca="1">IF(ISERROR(_xll.ciqfunctions.udf.CIQ($A26, "IQ_Capex", IQ_LTM, $L$2, $L$4, $L$3, $L$5, $L$6)), "n/a", _xll.ciqfunctions.udf.CIQ($A26, "IQ_Capex", IQ_LTM, $L$2, $L$4, $L$3, $L$5, $L$6))</f>
        <v>n/a</v>
      </c>
      <c r="AP26" s="520" t="e">
        <f ca="1">_xll.ciqfunctions.udf.CIQ(A26, "IQ_BUSINESS_DESCRIPTION")</f>
        <v>#NAME?</v>
      </c>
      <c r="AQ26" s="521" t="e">
        <f ca="1">_xll.ciqfunctions.udf.CIQ($A26, "IQ_BETA_1YR", $B$1)</f>
        <v>#NAME?</v>
      </c>
      <c r="AR26" s="521" t="e">
        <f ca="1">_xll.ciqfunctions.udf.CIQ($A26, "IQ_BETA_2YR", $B$1)</f>
        <v>#NAME?</v>
      </c>
      <c r="AS26" s="521" t="e">
        <f ca="1">_xll.ciqfunctions.udf.CIQ($A26, "IQ_BETA_5YR", $B$1)</f>
        <v>#NAME?</v>
      </c>
      <c r="AT26" s="519" t="e">
        <f ca="1">_xll.ciqfunctions.udf.CIQ($A26, "IQ_DIVIDEND_YIELD", $B$1)/100</f>
        <v>#NAME?</v>
      </c>
      <c r="AU26" s="518" t="e">
        <f ca="1">_xll.ciqfunctions.udf.CIQ($A26, "IQ_EARNING_CO", IQ_LTM-8, $L$2, $L$4, $L$3, $L$5, $L$6)</f>
        <v>#NAME?</v>
      </c>
      <c r="AV26" s="518" t="e">
        <f ca="1">_xll.ciqfunctions.udf.CIQ($A26, "IQ_EARNING_CO", IQ_LTM-4, $L$2, $L$4, $L$3, $L$5, $L$6)</f>
        <v>#NAME?</v>
      </c>
      <c r="AW26" s="518" t="e">
        <f ca="1">_xll.ciqfunctions.udf.CIQ($A26, "IQ_EARNING_CO", IQ_LTM, $L$2, $L$4, $L$3, $L$5, $L$6)</f>
        <v>#NAME?</v>
      </c>
      <c r="AX26" s="518" t="e">
        <f ca="1">_xll.ciqfunctions.udf.CIQ($A26, "IQ_EARNING_CO", $B$2, $L$2, $L$4, $L$3, $L$5, $L$6)</f>
        <v>#NAME?</v>
      </c>
      <c r="AY26" s="518" t="e">
        <f ca="1">IF(_xll.ciqfunctions.udf.CIQ($A26, "IQ_EARNING_CO", $B$3, $L$2,$L$4, $L$3, $L$5, $L$6)=0,AW26,_xll.ciqfunctions.udf.CIQ($A26, "IQ_EARNING_CO", $B$3, $L$2,$L$4, $L$3, $L$5, $L$6))</f>
        <v>#NAME?</v>
      </c>
      <c r="AZ26" s="518" t="e">
        <f ca="1">_xll.ciqfunctions.udf.CIQ($A26, "IQ_TOTAL_EQUITY", IQ_LTM-8, $L$2, $L$4, $L$3, $L$5, $L$6)</f>
        <v>#NAME?</v>
      </c>
      <c r="BA26" s="518" t="e">
        <f ca="1">_xll.ciqfunctions.udf.CIQ($A26, "IQ_TOTAL_EQUITY", IQ_LTM-4, $L$2, $L$4, $L$3, $L$5, $L$6)</f>
        <v>#NAME?</v>
      </c>
      <c r="BB26" s="518" t="e">
        <f ca="1">_xll.ciqfunctions.udf.CIQ($A26, "IQ_TOTAL_EQUITY", IQ_LTM, $L$2, $L$4, $L$3, $L$5, $L$6)</f>
        <v>#NAME?</v>
      </c>
      <c r="BC26" s="518" t="e">
        <f ca="1">_xll.ciqfunctions.udf.CIQ($A26, "IQ_TOTAL_EQUITY", $B$2, $L$2, $L$4, $L$3, $L$5, $L$6)</f>
        <v>#NAME?</v>
      </c>
      <c r="BD26" s="518" t="e">
        <f ca="1">IF(_xll.ciqfunctions.udf.CIQ($A26, "IQ_TOTAL_EQUITY", $B$3, $L$2,$L$4, $L$3, $L$5, $L$6)=0,BB26,_xll.ciqfunctions.udf.CIQ($A26, "IQ_TOTAL_EQUITY", $B$3, $L$2,$L$4, $L$3, $L$5, $L$6))</f>
        <v>#NAME?</v>
      </c>
      <c r="BE26" s="518" t="e">
        <f ca="1">_xll.ciqfunctions.udf.CIQ(A26, "IQ_LASTSALEPRICE", $B$8)</f>
        <v>#NAME?</v>
      </c>
      <c r="BF26" s="518" t="e">
        <f ca="1">_xll.ciqfunctions.udf.CIQ($A26, "IQ_MARKETCAP", $B$8, $L$5, $L$6)</f>
        <v>#NAME?</v>
      </c>
      <c r="BG26" s="518" t="e">
        <f ca="1">_xll.ciqfunctions.udf.CIQ($A26, "IQ_TOTAL_DEBT", IQ_LTM, $B$8,$L$4, $L$3, $L$5, $L$6)</f>
        <v>#NAME?</v>
      </c>
      <c r="BH26" s="466" t="e">
        <f ca="1">_xll.ciqfunctions.udf.CIQ($A26,"IQ_PREF_EQUITY",IQ_LTM,$B$8,$L$4,$L$3,$L$5,$L$6)</f>
        <v>#NAME?</v>
      </c>
      <c r="BI26" s="466" t="e">
        <f ca="1">_xll.ciqfunctions.udf.CIQ($A26, "IQ_MINORITY_INTEREST_TOTAL", IQ_LTM,$B$8,$L$4,$L$3,$L$5,$L$6)</f>
        <v>#NAME?</v>
      </c>
      <c r="BJ26" s="518" t="e">
        <f ca="1">_xll.ciqfunctions.udf.CIQ($A26, "IQ_CASH_ST_INVEST", IQ_LTM, $B$8, $L$4, $L$3, $L$5, $L$6)</f>
        <v>#NAME?</v>
      </c>
      <c r="BK26" s="466" t="e">
        <f ca="1">_xll.ciqfunctions.udf.CIQ($A26, "IQ_EFFECT_TAX_RATE")</f>
        <v>#NAME?</v>
      </c>
      <c r="BL26" s="466" t="e">
        <f ca="1">IF(_xll.ciqfunctions.udf.CIQ($A26, "IQ_TOTAL_REV_2YR_ANN_CAGR", IQ_LTM, $B$1,$L$4, $L$3, $L$5, $L$6)="NM","n/a",(_xll.ciqfunctions.udf.CIQ($A26, "IQ_TOTAL_REV_2YR_ANN_CAGR", IQ_LTM, $B$1,$L$4, $L$3, $L$5, $L$6)/100))</f>
        <v>#NAME?</v>
      </c>
      <c r="BM26" s="466" t="e">
        <f ca="1">IF(_xll.ciqfunctions.udf.CIQ($A26, "IQ_TOTAL_REV_3YR_ANN_CAGR", IQ_LTM, $B$1,$L$4, $L$3, $L$5, $L$6)="NM","n/a",(_xll.ciqfunctions.udf.CIQ($A26, "IQ_TOTAL_REV_3YR_ANN_CAGR", IQ_LTM, $B$1,$L$4, $L$3, $L$5, $L$6)/100))</f>
        <v>#NAME?</v>
      </c>
      <c r="BN26" s="466" t="e">
        <f ca="1">IF(_xll.ciqfunctions.udf.CIQ($A26, "IQ_TOTAL_REV_5YR_ANN_CAGR", IQ_LTM, $B$1,$L$4, $L$3, $L$5, $L$6)="NM","n/a",(_xll.ciqfunctions.udf.CIQ($A26, "IQ_TOTAL_REV_5YR_ANN_CAGR", IQ_LTM, $B$1,$L$4, $L$3, $L$5, $L$6)/100))</f>
        <v>#NAME?</v>
      </c>
      <c r="BO26" s="466" t="e">
        <f ca="1">IF(_xll.ciqfunctions.udf.CIQ($A26,"IQ_EBITDA_2YR_ANN_CAGR", IQ_LTM,$B$1,$L$4, $L$3, $L$5, $L$6)="NM","n/a",(_xll.ciqfunctions.udf.CIQ($A26,"IQ_EBITDA_2YR_ANN_CAGR", IQ_LTM,$B$1,$L$4, $L$3, $L$5, $L$6)/100))</f>
        <v>#NAME?</v>
      </c>
      <c r="BP26" s="466" t="e">
        <f ca="1">IF(_xll.ciqfunctions.udf.CIQ($A26,"IQ_EBITDA_3YR_ANN_CAGR", IQ_LTM,$B$1,$L$4, $L$3, $L$5, $L$6)="NM","n/a",(_xll.ciqfunctions.udf.CIQ($A26,"IQ_EBITDA_3YR_ANN_CAGR", IQ_LTM,$B$1,$L$4, $L$3, $L$5, $L$6)/100))</f>
        <v>#NAME?</v>
      </c>
      <c r="BQ26" s="466" t="e">
        <f ca="1">IF(_xll.ciqfunctions.udf.CIQ($A26,"IQ_EBITDA_5YR_ANN_CAGR", IQ_LTM,$B$1,$L$4, $L$3, $L$5, $L$6)="NM","n/a",(_xll.ciqfunctions.udf.CIQ($A26,"IQ_EBITDA_5YR_ANN_CAGR", IQ_LTM,$B$1,$L$4, $L$3, $L$5, $L$6)/100))</f>
        <v>#NAME?</v>
      </c>
      <c r="BR26" s="470" t="str">
        <f ca="1">IFERROR((_xll.ciqfunctions.udf.CIQ($A26, "IQ_DA_CF", IQ_LTM, $B$1, $L$4, $L$3, $L$5, $L$6)/Q26),"NM")</f>
        <v>NM</v>
      </c>
      <c r="BS26" s="522">
        <f>'Capital IQ Sheet-GPC'!BS26</f>
        <v>0.63100000000000001</v>
      </c>
      <c r="BT26" s="522">
        <f>'Capital IQ Sheet-GPC'!BT26</f>
        <v>0.58099999999999996</v>
      </c>
      <c r="BU26" s="522">
        <f>'Capital IQ Sheet-GPC'!BU26</f>
        <v>0.73199999999999998</v>
      </c>
      <c r="BV26" s="522">
        <f>'Capital IQ Sheet-GPC'!BV26</f>
        <v>0.71199999999999997</v>
      </c>
      <c r="BW26" s="522" t="str">
        <f>'Capital IQ Sheet-GPC'!BW26</f>
        <v>n/a</v>
      </c>
      <c r="BX26" s="522" t="str">
        <f>'Capital IQ Sheet-GPC'!BX26</f>
        <v>n/a</v>
      </c>
      <c r="BY26" s="522" t="str">
        <f>'Capital IQ Sheet-GPC'!BY26</f>
        <v>n/a</v>
      </c>
      <c r="BZ26" s="522" t="str">
        <f>'Capital IQ Sheet-GPC'!BZ26</f>
        <v>n/a</v>
      </c>
      <c r="CB26" s="466">
        <v>2</v>
      </c>
      <c r="CC26" s="614" t="s">
        <v>155</v>
      </c>
      <c r="CD26" s="614" t="s">
        <v>154</v>
      </c>
      <c r="CE26" s="468">
        <f t="shared" si="1"/>
        <v>42582</v>
      </c>
    </row>
    <row r="27" spans="1:83" s="466" customFormat="1" ht="12.75">
      <c r="A27" s="467" t="e">
        <f ca="1">_xll.ciqfunctions.udf.CIQ($B27,"IQ_COMPANY_TICKER")</f>
        <v>#NAME?</v>
      </c>
      <c r="B27" s="517" t="str">
        <f>'Capital IQ Sheet-GPC'!B27</f>
        <v>IQ45015663</v>
      </c>
      <c r="C27" s="467" t="e">
        <f ca="1">_xll.ciqfunctions.udf.CIQ($A27,"IQ_COMPANY_NAME")</f>
        <v>#NAME?</v>
      </c>
      <c r="D27" s="467" t="e">
        <f ca="1">_xll.ciqfunctions.udf.CIQ($A27, "IQ_EXCHANGE")</f>
        <v>#NAME?</v>
      </c>
      <c r="E27" s="516" t="e">
        <f ca="1">_xll.ciqfunctions.udf.CIQ($A27, "IQ_PERIODDATE_IS", IQ_FY)</f>
        <v>#NAME?</v>
      </c>
      <c r="F27" s="516" t="e">
        <f ca="1">_xll.ciqfunctions.udf.CIQ(A27, "IQ_PERIODDATE_IS", IQ_LTM, $B$1,$L$4,$L$3)</f>
        <v>#NAME?</v>
      </c>
      <c r="G27" s="516" t="e">
        <f ca="1">_xll.ciqfunctions.udf.CIQ($A27, "IQ_FIRSTPRICINGDATE")</f>
        <v>#NAME?</v>
      </c>
      <c r="H27" s="518" t="e">
        <f ca="1">_xll.ciqfunctions.udf.CIQ($A27, "IQ_TEV", $L$2, $L$5, $L$6)</f>
        <v>#NAME?</v>
      </c>
      <c r="I27" s="518" t="e">
        <f ca="1">_xll.ciqfunctions.udf.CIQ(A27, "IQ_LASTSALEPRICE", $B$1,$L$5)</f>
        <v>#NAME?</v>
      </c>
      <c r="J27" s="518" t="e">
        <f ca="1">_xll.ciqfunctions.udf.CIQ($A27, "IQ_MARKETCAP", $L$2, $L$5, $L$6)</f>
        <v>#NAME?</v>
      </c>
      <c r="K27" s="518" t="e">
        <f ca="1">_xll.ciqfunctions.udf.CIQ($A27, "IQ_TOTAL_DEBT", IQ_LTM, $L$2,$L$4, $L$3, $L$5, $L$6)</f>
        <v>#NAME?</v>
      </c>
      <c r="L27" s="518" t="e">
        <f ca="1">_xll.ciqfunctions.udf.CIQ($A27, "IQ_PREF_EQUITY", IQ_LTM, $L$2, $L$4, $L$3, $L$5, $L$6)</f>
        <v>#NAME?</v>
      </c>
      <c r="M27" s="518" t="e">
        <f ca="1">_xll.ciqfunctions.udf.CIQ($A27, "IQ_MINORITY_INTEREST_TOTAL", IQ_LTM, $L$2, $L$4, $L$3, $L$5, $L$6)</f>
        <v>#NAME?</v>
      </c>
      <c r="N27" s="518" t="e">
        <f ca="1">_xll.ciqfunctions.udf.CIQ($A27, "IQ_CASH_ST_INVEST", IQ_LTM, $L$2, $L$4, $L$3, $L$5, $L$6)</f>
        <v>#NAME?</v>
      </c>
      <c r="O27" s="518" t="e">
        <f ca="1">_xll.ciqfunctions.udf.CIQ($A27, "IQ_TOTAL_REV", IQ_LTM-8, $L$2, $L$4, $L$3, $L$5, $L$6)</f>
        <v>#NAME?</v>
      </c>
      <c r="P27" s="518" t="e">
        <f ca="1">_xll.ciqfunctions.udf.CIQ($A27, "IQ_TOTAL_REV", IQ_LTM - 4, $L$2, $L$4, $L$3, $L$5,$L$6)</f>
        <v>#NAME?</v>
      </c>
      <c r="Q27" s="518" t="e">
        <f ca="1">_xll.ciqfunctions.udf.CIQ($A27, "IQ_TOTAL_REV", IQ_LTM, $L$2, $L$4, $L$3, $L$5, $L$6)</f>
        <v>#NAME?</v>
      </c>
      <c r="R27" s="518" t="e">
        <f ca="1">_xll.ciqfunctions.udf.CIQ($A27, "IQ_TOTAL_REV", $B$2, $L$2, $L$4, $L$3, $L$5, $L$6)</f>
        <v>#NAME?</v>
      </c>
      <c r="S27" s="518" t="e">
        <f ca="1">IF(_xll.ciqfunctions.udf.CIQ($A27, "IQ_TOTAL_REV", $B$3, $L$2,$L$4, $L$3, $L$5, $L$6)=0,Q27,_xll.ciqfunctions.udf.CIQ($A27, "IQ_TOTAL_REV", $B$3, $L$2,$L$4, $L$3, $L$5, $L$6))</f>
        <v>#NAME?</v>
      </c>
      <c r="T27" s="518" t="e">
        <f ca="1">IF(_xll.ciqfunctions.udf.CIQ($A27, "IQ_REVENUE_EST",$B$4, $L$2, "CON", $L$3, $L$5, $L$6)=0,"n/a",_xll.ciqfunctions.udf.CIQ($A27, "IQ_REVENUE_EST",$B$4, $L$2, "CON", $L$3, $L$5, $L$6))</f>
        <v>#NAME?</v>
      </c>
      <c r="U27" s="518" t="e">
        <f ca="1">IF(_xll.ciqfunctions.udf.CIQ($A27, "IQ_REVENUE_EST",$B$5, $L$2, "CON", $L$3, $L$5, $L$6)=0,"n/a",_xll.ciqfunctions.udf.CIQ($A27, "IQ_REVENUE_EST",$B$5, $L$2, "CON", $L$3, $L$5, $L$6))</f>
        <v>#NAME?</v>
      </c>
      <c r="V27" s="518" t="e">
        <f ca="1">IF(_xll.ciqfunctions.udf.CIQ($A27, "IQ_REVENUE_EST",$B$6, $L$2, "CON", $L$3, $L$5, $L$6)=0,"n/a",_xll.ciqfunctions.udf.CIQ($A27, "IQ_REVENUE_EST",$B$6, $L$2, "CON", $L$3, $L$5, $L$6))</f>
        <v>#NAME?</v>
      </c>
      <c r="W27" s="518" t="e">
        <f ca="1">IF(_xll.ciqfunctions.udf.CIQ($A27, "IQ_REVENUE_EST", $B$7, $L$2, "CON", $L$3, $L$5, $L$6)=0,"n/a",_xll.ciqfunctions.udf.CIQ($A27, "IQ_REVENUE_EST",$B$7, $L$2, "CON", $L$3, $L$5, $L$6))</f>
        <v>#NAME?</v>
      </c>
      <c r="X27" s="518" t="e">
        <f ca="1">_xll.ciqfunctions.udf.CIQ($A27, "IQ_EBITDA", IQ_LTM-8, $L$2, $L$4, $L$3, $L$5, $L$6)</f>
        <v>#NAME?</v>
      </c>
      <c r="Y27" s="518" t="e">
        <f ca="1">_xll.ciqfunctions.udf.CIQ($A27, "IQ_EBITDA", IQ_LTM-4, $L$2,$L$4, $L$3, $L$5, $L$6)</f>
        <v>#NAME?</v>
      </c>
      <c r="Z27" s="518" t="e">
        <f ca="1">_xll.ciqfunctions.udf.CIQ($A27, "IQ_EBITDA", IQ_LTM, $L$2, $L$4, $L$3, $L$5, $L$6)</f>
        <v>#NAME?</v>
      </c>
      <c r="AA27" s="518" t="e">
        <f ca="1">_xll.ciqfunctions.udf.CIQ($A27, "IQ_EBITDA", $B$2, $L$2, $L$4, $L$3, $L$5, $L$6)</f>
        <v>#NAME?</v>
      </c>
      <c r="AB27" s="518" t="e">
        <f ca="1">IF(_xll.ciqfunctions.udf.CIQ($A27, "IQ_EBITDA", $B$3, $L$2,$L$4, $L$3, $L$5, $L$6)=0,Z27,_xll.ciqfunctions.udf.CIQ($A27, "IQ_EBITDA", $B$3, $L$2,$L$4, $L$3, $L$5, $L$6))</f>
        <v>#NAME?</v>
      </c>
      <c r="AC27" s="518" t="e">
        <f ca="1">IF(_xll.ciqfunctions.udf.CIQ($A27, "IQ_EBITDA_EST",$B$4, $L$2, "CON", $L$3, $L$5, $L$6)=0,"n/a",_xll.ciqfunctions.udf.CIQ($A27, "IQ_EBITDA_EST",$B$4, $L$2, "CON", $L$3, $L$5, $L$6))</f>
        <v>#NAME?</v>
      </c>
      <c r="AD27" s="518" t="e">
        <f ca="1">IF(_xll.ciqfunctions.udf.CIQ($A27, "IQ_EBITDA_EST",$B$5, $L$2, "CON", $L$3, $L$5, $L$6)=0,"n/a",_xll.ciqfunctions.udf.CIQ($A27, "IQ_EBITDA_EST",$B$5, $L$2, "CON", $L$3, $L$5, $L$6))</f>
        <v>#NAME?</v>
      </c>
      <c r="AE27" s="518" t="e">
        <f ca="1">IF(_xll.ciqfunctions.udf.CIQ($A27, "IQ_EBITDA_EST",$B$6, $L$2, "CON", $L$3, $L$5, $L$6)=0,"n/a",_xll.ciqfunctions.udf.CIQ($A27, "IQ_EBITDA_EST",$B$6, $L$2, "CON", $L$3, $L$5, $L$6))</f>
        <v>#NAME?</v>
      </c>
      <c r="AF27" s="519" t="str">
        <f ca="1">IF(ISERROR(_xll.ciqfunctions.udf.CIQ($A27, "IQ_GROSS_MARGIN", IQ_LTM, $L$2,$L$4, $L$3, $L$5, $L$6)/100), "n/a", _xll.ciqfunctions.udf.CIQ($A27,  "IQ_GROSS_MARGIN", IQ_LTM, $L$2, $L$4, $L$3, $L$5, $L$6)/100)</f>
        <v>n/a</v>
      </c>
      <c r="AG27" s="519" t="str">
        <f ca="1">IF(ISERROR(_xll.ciqfunctions.udf.CIQ($A27,"IQ_EBITDA_MARGIN", IQ_LTM, $L$2, $L$4, $L$3, $L$5, $L$6)/100), "n/a", _xll.ciqfunctions.udf.CIQ($A27, "IQ_EBITDA_MARGIN", IQ_LTM, $L$2, $L$4, $L$3, $L$5, $L$6)/100)</f>
        <v>n/a</v>
      </c>
      <c r="AH27" s="519" t="str">
        <f ca="1">IF(ISERROR(_xll.ciqfunctions.udf.CIQ($A27,"IQ_EBIT_MARGIN", IQ_LTM, $L$2, $L$4, $L$3, $L$5, $L$6)/100), "n/a", _xll.ciqfunctions.udf.CIQ($A27, "IQ_EBIT_MARGIN", IQ_LTM, $L$2, $L$4, $L$3, $L$5, $L$6)/100)</f>
        <v>n/a</v>
      </c>
      <c r="AI27" s="519" t="str">
        <f ca="1">IF(ISERROR(_xll.ciqfunctions.udf.CIQ($A27,"IQ_NI_MARGIN", IQ_LTM, $L$2, $L$4, $L$3, $L$5, $L$6)/100), "n/a", _xll.ciqfunctions.udf.CIQ($A27, "IQ_NI_MARGIN", IQ_LTM, $L$2, $L$4, $L$3, $L$5, $L$6)/100)</f>
        <v>n/a</v>
      </c>
      <c r="AJ27" s="518" t="str">
        <f ca="1">IF(ISERROR(_xll.ciqfunctions.udf.CIQ($A27, "IQ_NET_WORKING_CAP", IQ_LTM-8, $L$2, $L$4, $L$3, $L$5, $L$6)), "n/a", _xll.ciqfunctions.udf.CIQ($A27, "IQ_NET_WORKING_CAP", IQ_LTM-8, $L$2, $L$4, $L$3, $L$5, $L$6))</f>
        <v>n/a</v>
      </c>
      <c r="AK27" s="518" t="str">
        <f ca="1">IF(ISERROR(_xll.ciqfunctions.udf.CIQ($A27, "IQ_NET_WORKING_CAP", IQ_LTM-4, $L$2, $L$4, $L$3, $L$5, $L$6)), "n/a", _xll.ciqfunctions.udf.CIQ($A27, "IQ_NET_WORKING_CAP", IQ_LTM-4, $L$2, $L$4, $L$3, $L$5, $L$6))</f>
        <v>n/a</v>
      </c>
      <c r="AL27" s="518" t="str">
        <f ca="1">IF(ISERROR(_xll.ciqfunctions.udf.CIQ($A27, "IQ_NET_WORKING_CAP", IQ_LTM, $L$2,$L$4, $L$3, $L$5, $L$6)), "n/a", _xll.ciqfunctions.udf.CIQ($A27, "IQ_NET_WORKING_CAP", IQ_LTM, $L$2, $L$4, $L$3, $L$5, $L$6))</f>
        <v>n/a</v>
      </c>
      <c r="AM27" s="518" t="str">
        <f ca="1">IF(ISERROR(_xll.ciqfunctions.udf.CIQ($A27, "IQ_Capex", IQ_LTM-8, $L$2,$L$4, $L$3, $L$5, $L$6)), "n/a", _xll.ciqfunctions.udf.CIQ($A27, "IQ_Capex", IQ_LTM-8, $L$2, $L$4, $L$3, $L$5, $L$6))</f>
        <v>n/a</v>
      </c>
      <c r="AN27" s="518" t="str">
        <f ca="1">IF(ISERROR(_xll.ciqfunctions.udf.CIQ($A27, "IQ_Capex", IQ_LTM-4, $L$2,$L$4, $L$3, $L$5, $L$6)), "n/a", _xll.ciqfunctions.udf.CIQ($A27, "IQ_Capex", IQ_LTM-4, $L$2,$L$4, $L$3, $L$5, $L$6))</f>
        <v>n/a</v>
      </c>
      <c r="AO27" s="518" t="str">
        <f ca="1">IF(ISERROR(_xll.ciqfunctions.udf.CIQ($A27, "IQ_Capex", IQ_LTM, $L$2, $L$4, $L$3, $L$5, $L$6)), "n/a", _xll.ciqfunctions.udf.CIQ($A27, "IQ_Capex", IQ_LTM, $L$2, $L$4, $L$3, $L$5, $L$6))</f>
        <v>n/a</v>
      </c>
      <c r="AP27" s="520" t="e">
        <f ca="1">_xll.ciqfunctions.udf.CIQ(A27, "IQ_BUSINESS_DESCRIPTION")</f>
        <v>#NAME?</v>
      </c>
      <c r="AQ27" s="521" t="e">
        <f ca="1">_xll.ciqfunctions.udf.CIQ($A27, "IQ_BETA_1YR", $B$1)</f>
        <v>#NAME?</v>
      </c>
      <c r="AR27" s="521" t="e">
        <f ca="1">_xll.ciqfunctions.udf.CIQ($A27, "IQ_BETA_2YR", $B$1)</f>
        <v>#NAME?</v>
      </c>
      <c r="AS27" s="521" t="e">
        <f ca="1">_xll.ciqfunctions.udf.CIQ($A27, "IQ_BETA_5YR", $B$1)</f>
        <v>#NAME?</v>
      </c>
      <c r="AT27" s="519" t="e">
        <f ca="1">_xll.ciqfunctions.udf.CIQ($A27, "IQ_DIVIDEND_YIELD", $B$1)/100</f>
        <v>#NAME?</v>
      </c>
      <c r="AU27" s="518" t="e">
        <f ca="1">_xll.ciqfunctions.udf.CIQ($A27, "IQ_EARNING_CO", IQ_LTM-8, $L$2, $L$4, $L$3, $L$5, $L$6)</f>
        <v>#NAME?</v>
      </c>
      <c r="AV27" s="518" t="e">
        <f ca="1">_xll.ciqfunctions.udf.CIQ($A27, "IQ_EARNING_CO", IQ_LTM-4, $L$2, $L$4, $L$3, $L$5, $L$6)</f>
        <v>#NAME?</v>
      </c>
      <c r="AW27" s="518" t="e">
        <f ca="1">_xll.ciqfunctions.udf.CIQ($A27, "IQ_EARNING_CO", IQ_LTM, $L$2, $L$4, $L$3, $L$5, $L$6)</f>
        <v>#NAME?</v>
      </c>
      <c r="AX27" s="518" t="e">
        <f ca="1">_xll.ciqfunctions.udf.CIQ($A27, "IQ_EARNING_CO", $B$2, $L$2, $L$4, $L$3, $L$5, $L$6)</f>
        <v>#NAME?</v>
      </c>
      <c r="AY27" s="518" t="e">
        <f ca="1">IF(_xll.ciqfunctions.udf.CIQ($A27, "IQ_EARNING_CO", $B$3, $L$2,$L$4, $L$3, $L$5, $L$6)=0,AW27,_xll.ciqfunctions.udf.CIQ($A27, "IQ_EARNING_CO", $B$3, $L$2,$L$4, $L$3, $L$5, $L$6))</f>
        <v>#NAME?</v>
      </c>
      <c r="AZ27" s="518" t="e">
        <f ca="1">_xll.ciqfunctions.udf.CIQ($A27, "IQ_TOTAL_EQUITY", IQ_LTM-8, $L$2, $L$4, $L$3, $L$5, $L$6)</f>
        <v>#NAME?</v>
      </c>
      <c r="BA27" s="518" t="e">
        <f ca="1">_xll.ciqfunctions.udf.CIQ($A27, "IQ_TOTAL_EQUITY", IQ_LTM-4, $L$2, $L$4, $L$3, $L$5, $L$6)</f>
        <v>#NAME?</v>
      </c>
      <c r="BB27" s="518" t="e">
        <f ca="1">_xll.ciqfunctions.udf.CIQ($A27, "IQ_TOTAL_EQUITY", IQ_LTM, $L$2, $L$4, $L$3, $L$5, $L$6)</f>
        <v>#NAME?</v>
      </c>
      <c r="BC27" s="518" t="e">
        <f ca="1">_xll.ciqfunctions.udf.CIQ($A27, "IQ_TOTAL_EQUITY", $B$2, $L$2, $L$4, $L$3, $L$5, $L$6)</f>
        <v>#NAME?</v>
      </c>
      <c r="BD27" s="518" t="e">
        <f ca="1">IF(_xll.ciqfunctions.udf.CIQ($A27, "IQ_TOTAL_EQUITY", $B$3, $L$2,$L$4, $L$3, $L$5, $L$6)=0,BB27,_xll.ciqfunctions.udf.CIQ($A27, "IQ_TOTAL_EQUITY", $B$3, $L$2,$L$4, $L$3, $L$5, $L$6))</f>
        <v>#NAME?</v>
      </c>
      <c r="BE27" s="518" t="e">
        <f ca="1">_xll.ciqfunctions.udf.CIQ(A27, "IQ_LASTSALEPRICE", $B$8)</f>
        <v>#NAME?</v>
      </c>
      <c r="BF27" s="518" t="e">
        <f ca="1">_xll.ciqfunctions.udf.CIQ($A27, "IQ_MARKETCAP", $B$8, $L$5, $L$6)</f>
        <v>#NAME?</v>
      </c>
      <c r="BG27" s="518" t="e">
        <f ca="1">_xll.ciqfunctions.udf.CIQ($A27, "IQ_TOTAL_DEBT", IQ_LTM, $B$8,$L$4, $L$3, $L$5, $L$6)</f>
        <v>#NAME?</v>
      </c>
      <c r="BH27" s="466" t="e">
        <f ca="1">_xll.ciqfunctions.udf.CIQ($A27,"IQ_PREF_EQUITY",IQ_LTM,$B$8,$L$4,$L$3,$L$5,$L$6)</f>
        <v>#NAME?</v>
      </c>
      <c r="BI27" s="466" t="e">
        <f ca="1">_xll.ciqfunctions.udf.CIQ($A27, "IQ_MINORITY_INTEREST_TOTAL", IQ_LTM,$B$8,$L$4,$L$3,$L$5,$L$6)</f>
        <v>#NAME?</v>
      </c>
      <c r="BJ27" s="518" t="e">
        <f ca="1">_xll.ciqfunctions.udf.CIQ($A27, "IQ_CASH_ST_INVEST", IQ_LTM, $B$8, $L$4, $L$3, $L$5, $L$6)</f>
        <v>#NAME?</v>
      </c>
      <c r="BK27" s="466" t="e">
        <f ca="1">_xll.ciqfunctions.udf.CIQ($A27, "IQ_EFFECT_TAX_RATE")</f>
        <v>#NAME?</v>
      </c>
      <c r="BL27" s="466" t="e">
        <f ca="1">IF(_xll.ciqfunctions.udf.CIQ($A27, "IQ_TOTAL_REV_2YR_ANN_CAGR", IQ_LTM, $B$1,$L$4, $L$3, $L$5, $L$6)="NM","n/a",(_xll.ciqfunctions.udf.CIQ($A27, "IQ_TOTAL_REV_2YR_ANN_CAGR", IQ_LTM, $B$1,$L$4, $L$3, $L$5, $L$6)/100))</f>
        <v>#NAME?</v>
      </c>
      <c r="BM27" s="466" t="e">
        <f ca="1">IF(_xll.ciqfunctions.udf.CIQ($A27, "IQ_TOTAL_REV_3YR_ANN_CAGR", IQ_LTM, $B$1,$L$4, $L$3, $L$5, $L$6)="NM","n/a",(_xll.ciqfunctions.udf.CIQ($A27, "IQ_TOTAL_REV_3YR_ANN_CAGR", IQ_LTM, $B$1,$L$4, $L$3, $L$5, $L$6)/100))</f>
        <v>#NAME?</v>
      </c>
      <c r="BN27" s="466" t="e">
        <f ca="1">IF(_xll.ciqfunctions.udf.CIQ($A27, "IQ_TOTAL_REV_5YR_ANN_CAGR", IQ_LTM, $B$1,$L$4, $L$3, $L$5, $L$6)="NM","n/a",(_xll.ciqfunctions.udf.CIQ($A27, "IQ_TOTAL_REV_5YR_ANN_CAGR", IQ_LTM, $B$1,$L$4, $L$3, $L$5, $L$6)/100))</f>
        <v>#NAME?</v>
      </c>
      <c r="BO27" s="466" t="e">
        <f ca="1">IF(_xll.ciqfunctions.udf.CIQ($A27,"IQ_EBITDA_2YR_ANN_CAGR", IQ_LTM,$B$1,$L$4, $L$3, $L$5, $L$6)="NM","n/a",(_xll.ciqfunctions.udf.CIQ($A27,"IQ_EBITDA_2YR_ANN_CAGR", IQ_LTM,$B$1,$L$4, $L$3, $L$5, $L$6)/100))</f>
        <v>#NAME?</v>
      </c>
      <c r="BP27" s="466" t="e">
        <f ca="1">IF(_xll.ciqfunctions.udf.CIQ($A27,"IQ_EBITDA_3YR_ANN_CAGR", IQ_LTM,$B$1,$L$4, $L$3, $L$5, $L$6)="NM","n/a",(_xll.ciqfunctions.udf.CIQ($A27,"IQ_EBITDA_3YR_ANN_CAGR", IQ_LTM,$B$1,$L$4, $L$3, $L$5, $L$6)/100))</f>
        <v>#NAME?</v>
      </c>
      <c r="BQ27" s="466" t="e">
        <f ca="1">IF(_xll.ciqfunctions.udf.CIQ($A27,"IQ_EBITDA_5YR_ANN_CAGR", IQ_LTM,$B$1,$L$4, $L$3, $L$5, $L$6)="NM","n/a",(_xll.ciqfunctions.udf.CIQ($A27,"IQ_EBITDA_5YR_ANN_CAGR", IQ_LTM,$B$1,$L$4, $L$3, $L$5, $L$6)/100))</f>
        <v>#NAME?</v>
      </c>
      <c r="BR27" s="470" t="str">
        <f ca="1">IFERROR((_xll.ciqfunctions.udf.CIQ($A27, "IQ_DA_CF", IQ_LTM, $B$1, $L$4, $L$3, $L$5, $L$6)/Q27),"NM")</f>
        <v>NM</v>
      </c>
      <c r="BS27" s="522">
        <f>'Capital IQ Sheet-GPC'!BS27</f>
        <v>0.64500000000000002</v>
      </c>
      <c r="BT27" s="522">
        <f>'Capital IQ Sheet-GPC'!BT27</f>
        <v>0.69599999999999995</v>
      </c>
      <c r="BU27" s="522" t="str">
        <f>'Capital IQ Sheet-GPC'!BU27</f>
        <v>n/a</v>
      </c>
      <c r="BV27" s="522" t="str">
        <f>'Capital IQ Sheet-GPC'!BV27</f>
        <v>n/a</v>
      </c>
      <c r="BW27" s="522" t="str">
        <f>'Capital IQ Sheet-GPC'!BW27</f>
        <v>n/a</v>
      </c>
      <c r="BX27" s="522" t="str">
        <f>'Capital IQ Sheet-GPC'!BX27</f>
        <v>n/a</v>
      </c>
      <c r="BY27" s="522" t="str">
        <f>'Capital IQ Sheet-GPC'!BY27</f>
        <v>n/a</v>
      </c>
      <c r="BZ27" s="522" t="str">
        <f>'Capital IQ Sheet-GPC'!BZ27</f>
        <v>n/a</v>
      </c>
      <c r="CB27" s="466">
        <v>2</v>
      </c>
      <c r="CC27" s="614" t="s">
        <v>155</v>
      </c>
      <c r="CD27" s="614" t="s">
        <v>154</v>
      </c>
      <c r="CE27" s="468">
        <f t="shared" si="1"/>
        <v>42582</v>
      </c>
    </row>
    <row r="28" spans="1:83" s="466" customFormat="1" ht="12.75">
      <c r="A28" s="467" t="e">
        <f ca="1">_xll.ciqfunctions.udf.CIQ($B28,"IQ_COMPANY_TICKER")</f>
        <v>#NAME?</v>
      </c>
      <c r="B28" s="517" t="str">
        <f>'Capital IQ Sheet-GPC'!B28</f>
        <v>IQ30828389</v>
      </c>
      <c r="C28" s="467" t="e">
        <f ca="1">_xll.ciqfunctions.udf.CIQ($A28,"IQ_COMPANY_NAME")</f>
        <v>#NAME?</v>
      </c>
      <c r="D28" s="467" t="e">
        <f ca="1">_xll.ciqfunctions.udf.CIQ($A28, "IQ_EXCHANGE")</f>
        <v>#NAME?</v>
      </c>
      <c r="E28" s="516" t="e">
        <f ca="1">_xll.ciqfunctions.udf.CIQ($A28, "IQ_PERIODDATE_IS", IQ_FY)</f>
        <v>#NAME?</v>
      </c>
      <c r="F28" s="516" t="e">
        <f ca="1">_xll.ciqfunctions.udf.CIQ(A28, "IQ_PERIODDATE_IS", IQ_LTM, $B$1,$L$4,$L$3)</f>
        <v>#NAME?</v>
      </c>
      <c r="G28" s="516" t="e">
        <f ca="1">_xll.ciqfunctions.udf.CIQ($A28, "IQ_FIRSTPRICINGDATE")</f>
        <v>#NAME?</v>
      </c>
      <c r="H28" s="518" t="e">
        <f ca="1">_xll.ciqfunctions.udf.CIQ($A28, "IQ_TEV", $L$2, $L$5, $L$6)</f>
        <v>#NAME?</v>
      </c>
      <c r="I28" s="518" t="e">
        <f ca="1">_xll.ciqfunctions.udf.CIQ(A28, "IQ_LASTSALEPRICE", $B$1,$L$5)</f>
        <v>#NAME?</v>
      </c>
      <c r="J28" s="518" t="e">
        <f ca="1">_xll.ciqfunctions.udf.CIQ($A28, "IQ_MARKETCAP", $L$2, $L$5, $L$6)</f>
        <v>#NAME?</v>
      </c>
      <c r="K28" s="518" t="e">
        <f ca="1">_xll.ciqfunctions.udf.CIQ($A28, "IQ_TOTAL_DEBT", IQ_LTM, $L$2,$L$4, $L$3, $L$5, $L$6)</f>
        <v>#NAME?</v>
      </c>
      <c r="L28" s="518" t="e">
        <f ca="1">_xll.ciqfunctions.udf.CIQ($A28, "IQ_PREF_EQUITY", IQ_LTM, $L$2, $L$4, $L$3, $L$5, $L$6)</f>
        <v>#NAME?</v>
      </c>
      <c r="M28" s="518" t="e">
        <f ca="1">_xll.ciqfunctions.udf.CIQ($A28, "IQ_MINORITY_INTEREST_TOTAL", IQ_LTM, $L$2, $L$4, $L$3, $L$5, $L$6)</f>
        <v>#NAME?</v>
      </c>
      <c r="N28" s="518" t="e">
        <f ca="1">_xll.ciqfunctions.udf.CIQ($A28, "IQ_CASH_ST_INVEST", IQ_LTM, $L$2, $L$4, $L$3, $L$5, $L$6)</f>
        <v>#NAME?</v>
      </c>
      <c r="O28" s="518" t="e">
        <f ca="1">_xll.ciqfunctions.udf.CIQ($A28, "IQ_TOTAL_REV", IQ_LTM-8, $L$2, $L$4, $L$3, $L$5, $L$6)</f>
        <v>#NAME?</v>
      </c>
      <c r="P28" s="518" t="e">
        <f ca="1">_xll.ciqfunctions.udf.CIQ($A28, "IQ_TOTAL_REV", IQ_LTM - 4, $L$2, $L$4, $L$3, $L$5,$L$6)</f>
        <v>#NAME?</v>
      </c>
      <c r="Q28" s="518" t="e">
        <f ca="1">_xll.ciqfunctions.udf.CIQ($A28, "IQ_TOTAL_REV", IQ_LTM, $L$2, $L$4, $L$3, $L$5, $L$6)</f>
        <v>#NAME?</v>
      </c>
      <c r="R28" s="518" t="e">
        <f ca="1">_xll.ciqfunctions.udf.CIQ($A28, "IQ_TOTAL_REV", $B$2, $L$2, $L$4, $L$3, $L$5, $L$6)</f>
        <v>#NAME?</v>
      </c>
      <c r="S28" s="518" t="e">
        <f ca="1">IF(_xll.ciqfunctions.udf.CIQ($A28, "IQ_TOTAL_REV", $B$3, $L$2,$L$4, $L$3, $L$5, $L$6)=0,Q28,_xll.ciqfunctions.udf.CIQ($A28, "IQ_TOTAL_REV", $B$3, $L$2,$L$4, $L$3, $L$5, $L$6))</f>
        <v>#NAME?</v>
      </c>
      <c r="T28" s="518" t="e">
        <f ca="1">IF(_xll.ciqfunctions.udf.CIQ($A28, "IQ_REVENUE_EST",$B$4, $L$2, "CON", $L$3, $L$5, $L$6)=0,"n/a",_xll.ciqfunctions.udf.CIQ($A28, "IQ_REVENUE_EST",$B$4, $L$2, "CON", $L$3, $L$5, $L$6))</f>
        <v>#NAME?</v>
      </c>
      <c r="U28" s="518" t="e">
        <f ca="1">IF(_xll.ciqfunctions.udf.CIQ($A28, "IQ_REVENUE_EST",$B$5, $L$2, "CON", $L$3, $L$5, $L$6)=0,"n/a",_xll.ciqfunctions.udf.CIQ($A28, "IQ_REVENUE_EST",$B$5, $L$2, "CON", $L$3, $L$5, $L$6))</f>
        <v>#NAME?</v>
      </c>
      <c r="V28" s="518" t="e">
        <f ca="1">IF(_xll.ciqfunctions.udf.CIQ($A28, "IQ_REVENUE_EST",$B$6, $L$2, "CON", $L$3, $L$5, $L$6)=0,"n/a",_xll.ciqfunctions.udf.CIQ($A28, "IQ_REVENUE_EST",$B$6, $L$2, "CON", $L$3, $L$5, $L$6))</f>
        <v>#NAME?</v>
      </c>
      <c r="W28" s="518" t="e">
        <f ca="1">IF(_xll.ciqfunctions.udf.CIQ($A28, "IQ_REVENUE_EST", $B$7, $L$2, "CON", $L$3, $L$5, $L$6)=0,"n/a",_xll.ciqfunctions.udf.CIQ($A28, "IQ_REVENUE_EST",$B$7, $L$2, "CON", $L$3, $L$5, $L$6))</f>
        <v>#NAME?</v>
      </c>
      <c r="X28" s="518" t="e">
        <f ca="1">_xll.ciqfunctions.udf.CIQ($A28, "IQ_EBITDA", IQ_LTM-8, $L$2, $L$4, $L$3, $L$5, $L$6)</f>
        <v>#NAME?</v>
      </c>
      <c r="Y28" s="518" t="e">
        <f ca="1">_xll.ciqfunctions.udf.CIQ($A28, "IQ_EBITDA", IQ_LTM-4, $L$2,$L$4, $L$3, $L$5, $L$6)</f>
        <v>#NAME?</v>
      </c>
      <c r="Z28" s="518" t="e">
        <f ca="1">_xll.ciqfunctions.udf.CIQ($A28, "IQ_EBITDA", IQ_LTM, $L$2, $L$4, $L$3, $L$5, $L$6)</f>
        <v>#NAME?</v>
      </c>
      <c r="AA28" s="518" t="e">
        <f ca="1">_xll.ciqfunctions.udf.CIQ($A28, "IQ_EBITDA", $B$2, $L$2, $L$4, $L$3, $L$5, $L$6)</f>
        <v>#NAME?</v>
      </c>
      <c r="AB28" s="518" t="e">
        <f ca="1">IF(_xll.ciqfunctions.udf.CIQ($A28, "IQ_EBITDA", $B$3, $L$2,$L$4, $L$3, $L$5, $L$6)=0,Z28,_xll.ciqfunctions.udf.CIQ($A28, "IQ_EBITDA", $B$3, $L$2,$L$4, $L$3, $L$5, $L$6))</f>
        <v>#NAME?</v>
      </c>
      <c r="AC28" s="518" t="e">
        <f ca="1">IF(_xll.ciqfunctions.udf.CIQ($A28, "IQ_EBITDA_EST",$B$4, $L$2, "CON", $L$3, $L$5, $L$6)=0,"n/a",_xll.ciqfunctions.udf.CIQ($A28, "IQ_EBITDA_EST",$B$4, $L$2, "CON", $L$3, $L$5, $L$6))</f>
        <v>#NAME?</v>
      </c>
      <c r="AD28" s="518" t="e">
        <f ca="1">IF(_xll.ciqfunctions.udf.CIQ($A28, "IQ_EBITDA_EST",$B$5, $L$2, "CON", $L$3, $L$5, $L$6)=0,"n/a",_xll.ciqfunctions.udf.CIQ($A28, "IQ_EBITDA_EST",$B$5, $L$2, "CON", $L$3, $L$5, $L$6))</f>
        <v>#NAME?</v>
      </c>
      <c r="AE28" s="518" t="e">
        <f ca="1">IF(_xll.ciqfunctions.udf.CIQ($A28, "IQ_EBITDA_EST",$B$6, $L$2, "CON", $L$3, $L$5, $L$6)=0,"n/a",_xll.ciqfunctions.udf.CIQ($A28, "IQ_EBITDA_EST",$B$6, $L$2, "CON", $L$3, $L$5, $L$6))</f>
        <v>#NAME?</v>
      </c>
      <c r="AF28" s="519" t="str">
        <f ca="1">IF(ISERROR(_xll.ciqfunctions.udf.CIQ($A28, "IQ_GROSS_MARGIN", IQ_LTM, $L$2,$L$4, $L$3, $L$5, $L$6)/100), "n/a", _xll.ciqfunctions.udf.CIQ($A28,  "IQ_GROSS_MARGIN", IQ_LTM, $L$2, $L$4, $L$3, $L$5, $L$6)/100)</f>
        <v>n/a</v>
      </c>
      <c r="AG28" s="519" t="str">
        <f ca="1">IF(ISERROR(_xll.ciqfunctions.udf.CIQ($A28,"IQ_EBITDA_MARGIN", IQ_LTM, $L$2, $L$4, $L$3, $L$5, $L$6)/100), "n/a", _xll.ciqfunctions.udf.CIQ($A28, "IQ_EBITDA_MARGIN", IQ_LTM, $L$2, $L$4, $L$3, $L$5, $L$6)/100)</f>
        <v>n/a</v>
      </c>
      <c r="AH28" s="519" t="str">
        <f ca="1">IF(ISERROR(_xll.ciqfunctions.udf.CIQ($A28,"IQ_EBIT_MARGIN", IQ_LTM, $L$2, $L$4, $L$3, $L$5, $L$6)/100), "n/a", _xll.ciqfunctions.udf.CIQ($A28, "IQ_EBIT_MARGIN", IQ_LTM, $L$2, $L$4, $L$3, $L$5, $L$6)/100)</f>
        <v>n/a</v>
      </c>
      <c r="AI28" s="519" t="str">
        <f ca="1">IF(ISERROR(_xll.ciqfunctions.udf.CIQ($A28,"IQ_NI_MARGIN", IQ_LTM, $L$2, $L$4, $L$3, $L$5, $L$6)/100), "n/a", _xll.ciqfunctions.udf.CIQ($A28, "IQ_NI_MARGIN", IQ_LTM, $L$2, $L$4, $L$3, $L$5, $L$6)/100)</f>
        <v>n/a</v>
      </c>
      <c r="AJ28" s="518" t="str">
        <f ca="1">IF(ISERROR(_xll.ciqfunctions.udf.CIQ($A28, "IQ_NET_WORKING_CAP", IQ_LTM-8, $L$2, $L$4, $L$3, $L$5, $L$6)), "n/a", _xll.ciqfunctions.udf.CIQ($A28, "IQ_NET_WORKING_CAP", IQ_LTM-8, $L$2, $L$4, $L$3, $L$5, $L$6))</f>
        <v>n/a</v>
      </c>
      <c r="AK28" s="518" t="str">
        <f ca="1">IF(ISERROR(_xll.ciqfunctions.udf.CIQ($A28, "IQ_NET_WORKING_CAP", IQ_LTM-4, $L$2, $L$4, $L$3, $L$5, $L$6)), "n/a", _xll.ciqfunctions.udf.CIQ($A28, "IQ_NET_WORKING_CAP", IQ_LTM-4, $L$2, $L$4, $L$3, $L$5, $L$6))</f>
        <v>n/a</v>
      </c>
      <c r="AL28" s="518" t="str">
        <f ca="1">IF(ISERROR(_xll.ciqfunctions.udf.CIQ($A28, "IQ_NET_WORKING_CAP", IQ_LTM, $L$2,$L$4, $L$3, $L$5, $L$6)), "n/a", _xll.ciqfunctions.udf.CIQ($A28, "IQ_NET_WORKING_CAP", IQ_LTM, $L$2, $L$4, $L$3, $L$5, $L$6))</f>
        <v>n/a</v>
      </c>
      <c r="AM28" s="518" t="str">
        <f ca="1">IF(ISERROR(_xll.ciqfunctions.udf.CIQ($A28, "IQ_Capex", IQ_LTM-8, $L$2,$L$4, $L$3, $L$5, $L$6)), "n/a", _xll.ciqfunctions.udf.CIQ($A28, "IQ_Capex", IQ_LTM-8, $L$2, $L$4, $L$3, $L$5, $L$6))</f>
        <v>n/a</v>
      </c>
      <c r="AN28" s="518" t="str">
        <f ca="1">IF(ISERROR(_xll.ciqfunctions.udf.CIQ($A28, "IQ_Capex", IQ_LTM-4, $L$2,$L$4, $L$3, $L$5, $L$6)), "n/a", _xll.ciqfunctions.udf.CIQ($A28, "IQ_Capex", IQ_LTM-4, $L$2,$L$4, $L$3, $L$5, $L$6))</f>
        <v>n/a</v>
      </c>
      <c r="AO28" s="518" t="str">
        <f ca="1">IF(ISERROR(_xll.ciqfunctions.udf.CIQ($A28, "IQ_Capex", IQ_LTM, $L$2, $L$4, $L$3, $L$5, $L$6)), "n/a", _xll.ciqfunctions.udf.CIQ($A28, "IQ_Capex", IQ_LTM, $L$2, $L$4, $L$3, $L$5, $L$6))</f>
        <v>n/a</v>
      </c>
      <c r="AP28" s="520" t="e">
        <f ca="1">_xll.ciqfunctions.udf.CIQ(A28, "IQ_BUSINESS_DESCRIPTION")</f>
        <v>#NAME?</v>
      </c>
      <c r="AQ28" s="521" t="e">
        <f ca="1">_xll.ciqfunctions.udf.CIQ($A28, "IQ_BETA_1YR", $B$1)</f>
        <v>#NAME?</v>
      </c>
      <c r="AR28" s="521" t="e">
        <f ca="1">_xll.ciqfunctions.udf.CIQ($A28, "IQ_BETA_2YR", $B$1)</f>
        <v>#NAME?</v>
      </c>
      <c r="AS28" s="521" t="e">
        <f ca="1">_xll.ciqfunctions.udf.CIQ($A28, "IQ_BETA_5YR", $B$1)</f>
        <v>#NAME?</v>
      </c>
      <c r="AT28" s="519" t="e">
        <f ca="1">_xll.ciqfunctions.udf.CIQ($A28, "IQ_DIVIDEND_YIELD", $B$1)/100</f>
        <v>#NAME?</v>
      </c>
      <c r="AU28" s="518" t="e">
        <f ca="1">_xll.ciqfunctions.udf.CIQ($A28, "IQ_EARNING_CO", IQ_LTM-8, $L$2, $L$4, $L$3, $L$5, $L$6)</f>
        <v>#NAME?</v>
      </c>
      <c r="AV28" s="518" t="e">
        <f ca="1">_xll.ciqfunctions.udf.CIQ($A28, "IQ_EARNING_CO", IQ_LTM-4, $L$2, $L$4, $L$3, $L$5, $L$6)</f>
        <v>#NAME?</v>
      </c>
      <c r="AW28" s="518" t="e">
        <f ca="1">_xll.ciqfunctions.udf.CIQ($A28, "IQ_EARNING_CO", IQ_LTM, $L$2, $L$4, $L$3, $L$5, $L$6)</f>
        <v>#NAME?</v>
      </c>
      <c r="AX28" s="518" t="e">
        <f ca="1">_xll.ciqfunctions.udf.CIQ($A28, "IQ_EARNING_CO", $B$2, $L$2, $L$4, $L$3, $L$5, $L$6)</f>
        <v>#NAME?</v>
      </c>
      <c r="AY28" s="518" t="e">
        <f ca="1">IF(_xll.ciqfunctions.udf.CIQ($A28, "IQ_EARNING_CO", $B$3, $L$2,$L$4, $L$3, $L$5, $L$6)=0,AW28,_xll.ciqfunctions.udf.CIQ($A28, "IQ_EARNING_CO", $B$3, $L$2,$L$4, $L$3, $L$5, $L$6))</f>
        <v>#NAME?</v>
      </c>
      <c r="AZ28" s="518" t="e">
        <f ca="1">_xll.ciqfunctions.udf.CIQ($A28, "IQ_TOTAL_EQUITY", IQ_LTM-8, $L$2, $L$4, $L$3, $L$5, $L$6)</f>
        <v>#NAME?</v>
      </c>
      <c r="BA28" s="518" t="e">
        <f ca="1">_xll.ciqfunctions.udf.CIQ($A28, "IQ_TOTAL_EQUITY", IQ_LTM-4, $L$2, $L$4, $L$3, $L$5, $L$6)</f>
        <v>#NAME?</v>
      </c>
      <c r="BB28" s="518" t="e">
        <f ca="1">_xll.ciqfunctions.udf.CIQ($A28, "IQ_TOTAL_EQUITY", IQ_LTM, $L$2, $L$4, $L$3, $L$5, $L$6)</f>
        <v>#NAME?</v>
      </c>
      <c r="BC28" s="518" t="e">
        <f ca="1">_xll.ciqfunctions.udf.CIQ($A28, "IQ_TOTAL_EQUITY", $B$2, $L$2, $L$4, $L$3, $L$5, $L$6)</f>
        <v>#NAME?</v>
      </c>
      <c r="BD28" s="518" t="e">
        <f ca="1">IF(_xll.ciqfunctions.udf.CIQ($A28, "IQ_TOTAL_EQUITY", $B$3, $L$2,$L$4, $L$3, $L$5, $L$6)=0,BB28,_xll.ciqfunctions.udf.CIQ($A28, "IQ_TOTAL_EQUITY", $B$3, $L$2,$L$4, $L$3, $L$5, $L$6))</f>
        <v>#NAME?</v>
      </c>
      <c r="BE28" s="518" t="e">
        <f ca="1">_xll.ciqfunctions.udf.CIQ(A28, "IQ_LASTSALEPRICE", $B$8)</f>
        <v>#NAME?</v>
      </c>
      <c r="BF28" s="518" t="e">
        <f ca="1">_xll.ciqfunctions.udf.CIQ($A28, "IQ_MARKETCAP", $B$8, $L$5, $L$6)</f>
        <v>#NAME?</v>
      </c>
      <c r="BG28" s="518" t="e">
        <f ca="1">_xll.ciqfunctions.udf.CIQ($A28, "IQ_TOTAL_DEBT", IQ_LTM, $B$8,$L$4, $L$3, $L$5, $L$6)</f>
        <v>#NAME?</v>
      </c>
      <c r="BH28" s="466" t="e">
        <f ca="1">_xll.ciqfunctions.udf.CIQ($A28,"IQ_PREF_EQUITY",IQ_LTM,$B$8,$L$4,$L$3,$L$5,$L$6)</f>
        <v>#NAME?</v>
      </c>
      <c r="BI28" s="466" t="e">
        <f ca="1">_xll.ciqfunctions.udf.CIQ($A28, "IQ_MINORITY_INTEREST_TOTAL", IQ_LTM,$B$8,$L$4,$L$3,$L$5,$L$6)</f>
        <v>#NAME?</v>
      </c>
      <c r="BJ28" s="518" t="e">
        <f ca="1">_xll.ciqfunctions.udf.CIQ($A28, "IQ_CASH_ST_INVEST", IQ_LTM, $B$8, $L$4, $L$3, $L$5, $L$6)</f>
        <v>#NAME?</v>
      </c>
      <c r="BK28" s="466" t="e">
        <f ca="1">_xll.ciqfunctions.udf.CIQ($A28, "IQ_EFFECT_TAX_RATE")</f>
        <v>#NAME?</v>
      </c>
      <c r="BL28" s="466" t="e">
        <f ca="1">IF(_xll.ciqfunctions.udf.CIQ($A28, "IQ_TOTAL_REV_2YR_ANN_CAGR", IQ_LTM, $B$1,$L$4, $L$3, $L$5, $L$6)="NM","n/a",(_xll.ciqfunctions.udf.CIQ($A28, "IQ_TOTAL_REV_2YR_ANN_CAGR", IQ_LTM, $B$1,$L$4, $L$3, $L$5, $L$6)/100))</f>
        <v>#NAME?</v>
      </c>
      <c r="BM28" s="466" t="e">
        <f ca="1">IF(_xll.ciqfunctions.udf.CIQ($A28, "IQ_TOTAL_REV_3YR_ANN_CAGR", IQ_LTM, $B$1,$L$4, $L$3, $L$5, $L$6)="NM","n/a",(_xll.ciqfunctions.udf.CIQ($A28, "IQ_TOTAL_REV_3YR_ANN_CAGR", IQ_LTM, $B$1,$L$4, $L$3, $L$5, $L$6)/100))</f>
        <v>#NAME?</v>
      </c>
      <c r="BN28" s="466" t="e">
        <f ca="1">IF(_xll.ciqfunctions.udf.CIQ($A28, "IQ_TOTAL_REV_5YR_ANN_CAGR", IQ_LTM, $B$1,$L$4, $L$3, $L$5, $L$6)="NM","n/a",(_xll.ciqfunctions.udf.CIQ($A28, "IQ_TOTAL_REV_5YR_ANN_CAGR", IQ_LTM, $B$1,$L$4, $L$3, $L$5, $L$6)/100))</f>
        <v>#NAME?</v>
      </c>
      <c r="BO28" s="466" t="e">
        <f ca="1">IF(_xll.ciqfunctions.udf.CIQ($A28,"IQ_EBITDA_2YR_ANN_CAGR", IQ_LTM,$B$1,$L$4, $L$3, $L$5, $L$6)="NM","n/a",(_xll.ciqfunctions.udf.CIQ($A28,"IQ_EBITDA_2YR_ANN_CAGR", IQ_LTM,$B$1,$L$4, $L$3, $L$5, $L$6)/100))</f>
        <v>#NAME?</v>
      </c>
      <c r="BP28" s="466" t="e">
        <f ca="1">IF(_xll.ciqfunctions.udf.CIQ($A28,"IQ_EBITDA_3YR_ANN_CAGR", IQ_LTM,$B$1,$L$4, $L$3, $L$5, $L$6)="NM","n/a",(_xll.ciqfunctions.udf.CIQ($A28,"IQ_EBITDA_3YR_ANN_CAGR", IQ_LTM,$B$1,$L$4, $L$3, $L$5, $L$6)/100))</f>
        <v>#NAME?</v>
      </c>
      <c r="BQ28" s="466" t="e">
        <f ca="1">IF(_xll.ciqfunctions.udf.CIQ($A28,"IQ_EBITDA_5YR_ANN_CAGR", IQ_LTM,$B$1,$L$4, $L$3, $L$5, $L$6)="NM","n/a",(_xll.ciqfunctions.udf.CIQ($A28,"IQ_EBITDA_5YR_ANN_CAGR", IQ_LTM,$B$1,$L$4, $L$3, $L$5, $L$6)/100))</f>
        <v>#NAME?</v>
      </c>
      <c r="BR28" s="470" t="str">
        <f ca="1">IFERROR((_xll.ciqfunctions.udf.CIQ($A28, "IQ_DA_CF", IQ_LTM, $B$1, $L$4, $L$3, $L$5, $L$6)/Q28),"NM")</f>
        <v>NM</v>
      </c>
      <c r="BS28" s="522">
        <f>'Capital IQ Sheet-GPC'!BS28</f>
        <v>0.70399999999999996</v>
      </c>
      <c r="BT28" s="522">
        <f>'Capital IQ Sheet-GPC'!BT28</f>
        <v>0.98499999999999999</v>
      </c>
      <c r="BU28" s="522">
        <f>'Capital IQ Sheet-GPC'!BU28</f>
        <v>0.93</v>
      </c>
      <c r="BV28" s="522">
        <f>'Capital IQ Sheet-GPC'!BV28</f>
        <v>0.90100000000000002</v>
      </c>
      <c r="BW28" s="522">
        <f>'Capital IQ Sheet-GPC'!BW28</f>
        <v>0.93400000000000005</v>
      </c>
      <c r="BX28" s="522">
        <f>'Capital IQ Sheet-GPC'!BX28</f>
        <v>0.93300000000000005</v>
      </c>
      <c r="BY28" s="522" t="str">
        <f>'Capital IQ Sheet-GPC'!BY28</f>
        <v>n/a</v>
      </c>
      <c r="BZ28" s="522" t="str">
        <f>'Capital IQ Sheet-GPC'!BZ28</f>
        <v>n/a</v>
      </c>
      <c r="CB28" s="466">
        <v>2</v>
      </c>
      <c r="CC28" s="614" t="s">
        <v>155</v>
      </c>
      <c r="CD28" s="614" t="s">
        <v>154</v>
      </c>
      <c r="CE28" s="468">
        <f t="shared" si="1"/>
        <v>42582</v>
      </c>
    </row>
    <row r="29" spans="1:83" s="466" customFormat="1" ht="12.75">
      <c r="A29" s="467" t="e">
        <f ca="1">_xll.ciqfunctions.udf.CIQ($B29,"IQ_COMPANY_TICKER")</f>
        <v>#NAME?</v>
      </c>
      <c r="B29" s="517" t="str">
        <f>'Capital IQ Sheet-GPC'!B29</f>
        <v>IQ7687411</v>
      </c>
      <c r="C29" s="467" t="e">
        <f ca="1">_xll.ciqfunctions.udf.CIQ($A29,"IQ_COMPANY_NAME")</f>
        <v>#NAME?</v>
      </c>
      <c r="D29" s="467" t="e">
        <f ca="1">_xll.ciqfunctions.udf.CIQ($A29, "IQ_EXCHANGE")</f>
        <v>#NAME?</v>
      </c>
      <c r="E29" s="516" t="e">
        <f ca="1">_xll.ciqfunctions.udf.CIQ($A29, "IQ_PERIODDATE_IS", IQ_FY)</f>
        <v>#NAME?</v>
      </c>
      <c r="F29" s="516" t="e">
        <f ca="1">_xll.ciqfunctions.udf.CIQ(A29, "IQ_PERIODDATE_IS", IQ_LTM, $B$1,$L$4,$L$3)</f>
        <v>#NAME?</v>
      </c>
      <c r="G29" s="516" t="e">
        <f ca="1">_xll.ciqfunctions.udf.CIQ($A29, "IQ_FIRSTPRICINGDATE")</f>
        <v>#NAME?</v>
      </c>
      <c r="H29" s="518" t="e">
        <f ca="1">_xll.ciqfunctions.udf.CIQ($A29, "IQ_TEV", $L$2, $L$5, $L$6)</f>
        <v>#NAME?</v>
      </c>
      <c r="I29" s="518" t="e">
        <f ca="1">_xll.ciqfunctions.udf.CIQ(A29, "IQ_LASTSALEPRICE", $B$1,$L$5)</f>
        <v>#NAME?</v>
      </c>
      <c r="J29" s="518" t="e">
        <f ca="1">_xll.ciqfunctions.udf.CIQ($A29, "IQ_MARKETCAP", $L$2, $L$5, $L$6)</f>
        <v>#NAME?</v>
      </c>
      <c r="K29" s="518" t="e">
        <f ca="1">_xll.ciqfunctions.udf.CIQ($A29, "IQ_TOTAL_DEBT", IQ_LTM, $L$2,$L$4, $L$3, $L$5, $L$6)</f>
        <v>#NAME?</v>
      </c>
      <c r="L29" s="518" t="e">
        <f ca="1">_xll.ciqfunctions.udf.CIQ($A29, "IQ_PREF_EQUITY", IQ_LTM, $L$2, $L$4, $L$3, $L$5, $L$6)</f>
        <v>#NAME?</v>
      </c>
      <c r="M29" s="518" t="e">
        <f ca="1">_xll.ciqfunctions.udf.CIQ($A29, "IQ_MINORITY_INTEREST_TOTAL", IQ_LTM, $L$2, $L$4, $L$3, $L$5, $L$6)</f>
        <v>#NAME?</v>
      </c>
      <c r="N29" s="518" t="e">
        <f ca="1">_xll.ciqfunctions.udf.CIQ($A29, "IQ_CASH_ST_INVEST", IQ_LTM, $L$2, $L$4, $L$3, $L$5, $L$6)</f>
        <v>#NAME?</v>
      </c>
      <c r="O29" s="518" t="e">
        <f ca="1">_xll.ciqfunctions.udf.CIQ($A29, "IQ_TOTAL_REV", IQ_LTM-8, $L$2, $L$4, $L$3, $L$5, $L$6)</f>
        <v>#NAME?</v>
      </c>
      <c r="P29" s="518" t="e">
        <f ca="1">_xll.ciqfunctions.udf.CIQ($A29, "IQ_TOTAL_REV", IQ_LTM - 4, $L$2, $L$4, $L$3, $L$5,$L$6)</f>
        <v>#NAME?</v>
      </c>
      <c r="Q29" s="518" t="e">
        <f ca="1">_xll.ciqfunctions.udf.CIQ($A29, "IQ_TOTAL_REV", IQ_LTM, $L$2, $L$4, $L$3, $L$5, $L$6)</f>
        <v>#NAME?</v>
      </c>
      <c r="R29" s="518" t="e">
        <f ca="1">_xll.ciqfunctions.udf.CIQ($A29, "IQ_TOTAL_REV", $B$2, $L$2, $L$4, $L$3, $L$5, $L$6)</f>
        <v>#NAME?</v>
      </c>
      <c r="S29" s="518" t="e">
        <f ca="1">IF(_xll.ciqfunctions.udf.CIQ($A29, "IQ_TOTAL_REV", $B$3, $L$2,$L$4, $L$3, $L$5, $L$6)=0,Q29,_xll.ciqfunctions.udf.CIQ($A29, "IQ_TOTAL_REV", $B$3, $L$2,$L$4, $L$3, $L$5, $L$6))</f>
        <v>#NAME?</v>
      </c>
      <c r="T29" s="518" t="e">
        <f ca="1">IF(_xll.ciqfunctions.udf.CIQ($A29, "IQ_REVENUE_EST",$B$4, $L$2, "CON", $L$3, $L$5, $L$6)=0,"n/a",_xll.ciqfunctions.udf.CIQ($A29, "IQ_REVENUE_EST",$B$4, $L$2, "CON", $L$3, $L$5, $L$6))</f>
        <v>#NAME?</v>
      </c>
      <c r="U29" s="518" t="e">
        <f ca="1">IF(_xll.ciqfunctions.udf.CIQ($A29, "IQ_REVENUE_EST",$B$5, $L$2, "CON", $L$3, $L$5, $L$6)=0,"n/a",_xll.ciqfunctions.udf.CIQ($A29, "IQ_REVENUE_EST",$B$5, $L$2, "CON", $L$3, $L$5, $L$6))</f>
        <v>#NAME?</v>
      </c>
      <c r="V29" s="518" t="e">
        <f ca="1">IF(_xll.ciqfunctions.udf.CIQ($A29, "IQ_REVENUE_EST",$B$6, $L$2, "CON", $L$3, $L$5, $L$6)=0,"n/a",_xll.ciqfunctions.udf.CIQ($A29, "IQ_REVENUE_EST",$B$6, $L$2, "CON", $L$3, $L$5, $L$6))</f>
        <v>#NAME?</v>
      </c>
      <c r="W29" s="518" t="e">
        <f ca="1">IF(_xll.ciqfunctions.udf.CIQ($A29, "IQ_REVENUE_EST", $B$7, $L$2, "CON", $L$3, $L$5, $L$6)=0,"n/a",_xll.ciqfunctions.udf.CIQ($A29, "IQ_REVENUE_EST",$B$7, $L$2, "CON", $L$3, $L$5, $L$6))</f>
        <v>#NAME?</v>
      </c>
      <c r="X29" s="518" t="e">
        <f ca="1">_xll.ciqfunctions.udf.CIQ($A29, "IQ_EBITDA", IQ_LTM-8, $L$2, $L$4, $L$3, $L$5, $L$6)</f>
        <v>#NAME?</v>
      </c>
      <c r="Y29" s="518" t="e">
        <f ca="1">_xll.ciqfunctions.udf.CIQ($A29, "IQ_EBITDA", IQ_LTM-4, $L$2,$L$4, $L$3, $L$5, $L$6)</f>
        <v>#NAME?</v>
      </c>
      <c r="Z29" s="518" t="e">
        <f ca="1">_xll.ciqfunctions.udf.CIQ($A29, "IQ_EBITDA", IQ_LTM, $L$2, $L$4, $L$3, $L$5, $L$6)</f>
        <v>#NAME?</v>
      </c>
      <c r="AA29" s="518" t="e">
        <f ca="1">_xll.ciqfunctions.udf.CIQ($A29, "IQ_EBITDA", $B$2, $L$2, $L$4, $L$3, $L$5, $L$6)</f>
        <v>#NAME?</v>
      </c>
      <c r="AB29" s="518" t="e">
        <f ca="1">IF(_xll.ciqfunctions.udf.CIQ($A29, "IQ_EBITDA", $B$3, $L$2,$L$4, $L$3, $L$5, $L$6)=0,Z29,_xll.ciqfunctions.udf.CIQ($A29, "IQ_EBITDA", $B$3, $L$2,$L$4, $L$3, $L$5, $L$6))</f>
        <v>#NAME?</v>
      </c>
      <c r="AC29" s="518" t="e">
        <f ca="1">IF(_xll.ciqfunctions.udf.CIQ($A29, "IQ_EBITDA_EST",$B$4, $L$2, "CON", $L$3, $L$5, $L$6)=0,"n/a",_xll.ciqfunctions.udf.CIQ($A29, "IQ_EBITDA_EST",$B$4, $L$2, "CON", $L$3, $L$5, $L$6))</f>
        <v>#NAME?</v>
      </c>
      <c r="AD29" s="518" t="e">
        <f ca="1">IF(_xll.ciqfunctions.udf.CIQ($A29, "IQ_EBITDA_EST",$B$5, $L$2, "CON", $L$3, $L$5, $L$6)=0,"n/a",_xll.ciqfunctions.udf.CIQ($A29, "IQ_EBITDA_EST",$B$5, $L$2, "CON", $L$3, $L$5, $L$6))</f>
        <v>#NAME?</v>
      </c>
      <c r="AE29" s="518" t="e">
        <f ca="1">IF(_xll.ciqfunctions.udf.CIQ($A29, "IQ_EBITDA_EST",$B$6, $L$2, "CON", $L$3, $L$5, $L$6)=0,"n/a",_xll.ciqfunctions.udf.CIQ($A29, "IQ_EBITDA_EST",$B$6, $L$2, "CON", $L$3, $L$5, $L$6))</f>
        <v>#NAME?</v>
      </c>
      <c r="AF29" s="519" t="str">
        <f ca="1">IF(ISERROR(_xll.ciqfunctions.udf.CIQ($A29, "IQ_GROSS_MARGIN", IQ_LTM, $L$2,$L$4, $L$3, $L$5, $L$6)/100), "n/a", _xll.ciqfunctions.udf.CIQ($A29,  "IQ_GROSS_MARGIN", IQ_LTM, $L$2, $L$4, $L$3, $L$5, $L$6)/100)</f>
        <v>n/a</v>
      </c>
      <c r="AG29" s="519" t="str">
        <f ca="1">IF(ISERROR(_xll.ciqfunctions.udf.CIQ($A29,"IQ_EBITDA_MARGIN", IQ_LTM, $L$2, $L$4, $L$3, $L$5, $L$6)/100), "n/a", _xll.ciqfunctions.udf.CIQ($A29, "IQ_EBITDA_MARGIN", IQ_LTM, $L$2, $L$4, $L$3, $L$5, $L$6)/100)</f>
        <v>n/a</v>
      </c>
      <c r="AH29" s="519" t="str">
        <f ca="1">IF(ISERROR(_xll.ciqfunctions.udf.CIQ($A29,"IQ_EBIT_MARGIN", IQ_LTM, $L$2, $L$4, $L$3, $L$5, $L$6)/100), "n/a", _xll.ciqfunctions.udf.CIQ($A29, "IQ_EBIT_MARGIN", IQ_LTM, $L$2, $L$4, $L$3, $L$5, $L$6)/100)</f>
        <v>n/a</v>
      </c>
      <c r="AI29" s="519" t="str">
        <f ca="1">IF(ISERROR(_xll.ciqfunctions.udf.CIQ($A29,"IQ_NI_MARGIN", IQ_LTM, $L$2, $L$4, $L$3, $L$5, $L$6)/100), "n/a", _xll.ciqfunctions.udf.CIQ($A29, "IQ_NI_MARGIN", IQ_LTM, $L$2, $L$4, $L$3, $L$5, $L$6)/100)</f>
        <v>n/a</v>
      </c>
      <c r="AJ29" s="518" t="str">
        <f ca="1">IF(ISERROR(_xll.ciqfunctions.udf.CIQ($A29, "IQ_NET_WORKING_CAP", IQ_LTM-8, $L$2, $L$4, $L$3, $L$5, $L$6)), "n/a", _xll.ciqfunctions.udf.CIQ($A29, "IQ_NET_WORKING_CAP", IQ_LTM-8, $L$2, $L$4, $L$3, $L$5, $L$6))</f>
        <v>n/a</v>
      </c>
      <c r="AK29" s="518" t="str">
        <f ca="1">IF(ISERROR(_xll.ciqfunctions.udf.CIQ($A29, "IQ_NET_WORKING_CAP", IQ_LTM-4, $L$2, $L$4, $L$3, $L$5, $L$6)), "n/a", _xll.ciqfunctions.udf.CIQ($A29, "IQ_NET_WORKING_CAP", IQ_LTM-4, $L$2, $L$4, $L$3, $L$5, $L$6))</f>
        <v>n/a</v>
      </c>
      <c r="AL29" s="518" t="str">
        <f ca="1">IF(ISERROR(_xll.ciqfunctions.udf.CIQ($A29, "IQ_NET_WORKING_CAP", IQ_LTM, $L$2,$L$4, $L$3, $L$5, $L$6)), "n/a", _xll.ciqfunctions.udf.CIQ($A29, "IQ_NET_WORKING_CAP", IQ_LTM, $L$2, $L$4, $L$3, $L$5, $L$6))</f>
        <v>n/a</v>
      </c>
      <c r="AM29" s="518" t="str">
        <f ca="1">IF(ISERROR(_xll.ciqfunctions.udf.CIQ($A29, "IQ_Capex", IQ_LTM-8, $L$2,$L$4, $L$3, $L$5, $L$6)), "n/a", _xll.ciqfunctions.udf.CIQ($A29, "IQ_Capex", IQ_LTM-8, $L$2, $L$4, $L$3, $L$5, $L$6))</f>
        <v>n/a</v>
      </c>
      <c r="AN29" s="518" t="str">
        <f ca="1">IF(ISERROR(_xll.ciqfunctions.udf.CIQ($A29, "IQ_Capex", IQ_LTM-4, $L$2,$L$4, $L$3, $L$5, $L$6)), "n/a", _xll.ciqfunctions.udf.CIQ($A29, "IQ_Capex", IQ_LTM-4, $L$2,$L$4, $L$3, $L$5, $L$6))</f>
        <v>n/a</v>
      </c>
      <c r="AO29" s="518" t="str">
        <f ca="1">IF(ISERROR(_xll.ciqfunctions.udf.CIQ($A29, "IQ_Capex", IQ_LTM, $L$2, $L$4, $L$3, $L$5, $L$6)), "n/a", _xll.ciqfunctions.udf.CIQ($A29, "IQ_Capex", IQ_LTM, $L$2, $L$4, $L$3, $L$5, $L$6))</f>
        <v>n/a</v>
      </c>
      <c r="AP29" s="520" t="e">
        <f ca="1">_xll.ciqfunctions.udf.CIQ(A29, "IQ_BUSINESS_DESCRIPTION")</f>
        <v>#NAME?</v>
      </c>
      <c r="AQ29" s="521" t="e">
        <f ca="1">_xll.ciqfunctions.udf.CIQ($A29, "IQ_BETA_1YR", $B$1)</f>
        <v>#NAME?</v>
      </c>
      <c r="AR29" s="521" t="e">
        <f ca="1">_xll.ciqfunctions.udf.CIQ($A29, "IQ_BETA_2YR", $B$1)</f>
        <v>#NAME?</v>
      </c>
      <c r="AS29" s="521" t="e">
        <f ca="1">_xll.ciqfunctions.udf.CIQ($A29, "IQ_BETA_5YR", $B$1)</f>
        <v>#NAME?</v>
      </c>
      <c r="AT29" s="519" t="e">
        <f ca="1">_xll.ciqfunctions.udf.CIQ($A29, "IQ_DIVIDEND_YIELD", $B$1)/100</f>
        <v>#NAME?</v>
      </c>
      <c r="AU29" s="518" t="e">
        <f ca="1">_xll.ciqfunctions.udf.CIQ($A29, "IQ_EARNING_CO", IQ_LTM-8, $L$2, $L$4, $L$3, $L$5, $L$6)</f>
        <v>#NAME?</v>
      </c>
      <c r="AV29" s="518" t="e">
        <f ca="1">_xll.ciqfunctions.udf.CIQ($A29, "IQ_EARNING_CO", IQ_LTM-4, $L$2, $L$4, $L$3, $L$5, $L$6)</f>
        <v>#NAME?</v>
      </c>
      <c r="AW29" s="518" t="e">
        <f ca="1">_xll.ciqfunctions.udf.CIQ($A29, "IQ_EARNING_CO", IQ_LTM, $L$2, $L$4, $L$3, $L$5, $L$6)</f>
        <v>#NAME?</v>
      </c>
      <c r="AX29" s="518" t="e">
        <f ca="1">_xll.ciqfunctions.udf.CIQ($A29, "IQ_EARNING_CO", $B$2, $L$2, $L$4, $L$3, $L$5, $L$6)</f>
        <v>#NAME?</v>
      </c>
      <c r="AY29" s="518" t="e">
        <f ca="1">IF(_xll.ciqfunctions.udf.CIQ($A29, "IQ_EARNING_CO", $B$3, $L$2,$L$4, $L$3, $L$5, $L$6)=0,AW29,_xll.ciqfunctions.udf.CIQ($A29, "IQ_EARNING_CO", $B$3, $L$2,$L$4, $L$3, $L$5, $L$6))</f>
        <v>#NAME?</v>
      </c>
      <c r="AZ29" s="518" t="e">
        <f ca="1">_xll.ciqfunctions.udf.CIQ($A29, "IQ_TOTAL_EQUITY", IQ_LTM-8, $L$2, $L$4, $L$3, $L$5, $L$6)</f>
        <v>#NAME?</v>
      </c>
      <c r="BA29" s="518" t="e">
        <f ca="1">_xll.ciqfunctions.udf.CIQ($A29, "IQ_TOTAL_EQUITY", IQ_LTM-4, $L$2, $L$4, $L$3, $L$5, $L$6)</f>
        <v>#NAME?</v>
      </c>
      <c r="BB29" s="518" t="e">
        <f ca="1">_xll.ciqfunctions.udf.CIQ($A29, "IQ_TOTAL_EQUITY", IQ_LTM, $L$2, $L$4, $L$3, $L$5, $L$6)</f>
        <v>#NAME?</v>
      </c>
      <c r="BC29" s="518" t="e">
        <f ca="1">_xll.ciqfunctions.udf.CIQ($A29, "IQ_TOTAL_EQUITY", $B$2, $L$2, $L$4, $L$3, $L$5, $L$6)</f>
        <v>#NAME?</v>
      </c>
      <c r="BD29" s="518" t="e">
        <f ca="1">IF(_xll.ciqfunctions.udf.CIQ($A29, "IQ_TOTAL_EQUITY", $B$3, $L$2,$L$4, $L$3, $L$5, $L$6)=0,BB29,_xll.ciqfunctions.udf.CIQ($A29, "IQ_TOTAL_EQUITY", $B$3, $L$2,$L$4, $L$3, $L$5, $L$6))</f>
        <v>#NAME?</v>
      </c>
      <c r="BE29" s="518" t="e">
        <f ca="1">_xll.ciqfunctions.udf.CIQ(A29, "IQ_LASTSALEPRICE", $B$8)</f>
        <v>#NAME?</v>
      </c>
      <c r="BF29" s="518" t="e">
        <f ca="1">_xll.ciqfunctions.udf.CIQ($A29, "IQ_MARKETCAP", $B$8, $L$5, $L$6)</f>
        <v>#NAME?</v>
      </c>
      <c r="BG29" s="518" t="e">
        <f ca="1">_xll.ciqfunctions.udf.CIQ($A29, "IQ_TOTAL_DEBT", IQ_LTM, $B$8,$L$4, $L$3, $L$5, $L$6)</f>
        <v>#NAME?</v>
      </c>
      <c r="BH29" s="466" t="e">
        <f ca="1">_xll.ciqfunctions.udf.CIQ($A29,"IQ_PREF_EQUITY",IQ_LTM,$B$8,$L$4,$L$3,$L$5,$L$6)</f>
        <v>#NAME?</v>
      </c>
      <c r="BI29" s="466" t="e">
        <f ca="1">_xll.ciqfunctions.udf.CIQ($A29, "IQ_MINORITY_INTEREST_TOTAL", IQ_LTM,$B$8,$L$4,$L$3,$L$5,$L$6)</f>
        <v>#NAME?</v>
      </c>
      <c r="BJ29" s="518" t="e">
        <f ca="1">_xll.ciqfunctions.udf.CIQ($A29, "IQ_CASH_ST_INVEST", IQ_LTM, $B$8, $L$4, $L$3, $L$5, $L$6)</f>
        <v>#NAME?</v>
      </c>
      <c r="BK29" s="466" t="e">
        <f ca="1">_xll.ciqfunctions.udf.CIQ($A29, "IQ_EFFECT_TAX_RATE")</f>
        <v>#NAME?</v>
      </c>
      <c r="BL29" s="466" t="e">
        <f ca="1">IF(_xll.ciqfunctions.udf.CIQ($A29, "IQ_TOTAL_REV_2YR_ANN_CAGR", IQ_LTM, $B$1,$L$4, $L$3, $L$5, $L$6)="NM","n/a",(_xll.ciqfunctions.udf.CIQ($A29, "IQ_TOTAL_REV_2YR_ANN_CAGR", IQ_LTM, $B$1,$L$4, $L$3, $L$5, $L$6)/100))</f>
        <v>#NAME?</v>
      </c>
      <c r="BM29" s="466" t="e">
        <f ca="1">IF(_xll.ciqfunctions.udf.CIQ($A29, "IQ_TOTAL_REV_3YR_ANN_CAGR", IQ_LTM, $B$1,$L$4, $L$3, $L$5, $L$6)="NM","n/a",(_xll.ciqfunctions.udf.CIQ($A29, "IQ_TOTAL_REV_3YR_ANN_CAGR", IQ_LTM, $B$1,$L$4, $L$3, $L$5, $L$6)/100))</f>
        <v>#NAME?</v>
      </c>
      <c r="BN29" s="466" t="e">
        <f ca="1">IF(_xll.ciqfunctions.udf.CIQ($A29, "IQ_TOTAL_REV_5YR_ANN_CAGR", IQ_LTM, $B$1,$L$4, $L$3, $L$5, $L$6)="NM","n/a",(_xll.ciqfunctions.udf.CIQ($A29, "IQ_TOTAL_REV_5YR_ANN_CAGR", IQ_LTM, $B$1,$L$4, $L$3, $L$5, $L$6)/100))</f>
        <v>#NAME?</v>
      </c>
      <c r="BO29" s="466" t="e">
        <f ca="1">IF(_xll.ciqfunctions.udf.CIQ($A29,"IQ_EBITDA_2YR_ANN_CAGR", IQ_LTM,$B$1,$L$4, $L$3, $L$5, $L$6)="NM","n/a",(_xll.ciqfunctions.udf.CIQ($A29,"IQ_EBITDA_2YR_ANN_CAGR", IQ_LTM,$B$1,$L$4, $L$3, $L$5, $L$6)/100))</f>
        <v>#NAME?</v>
      </c>
      <c r="BP29" s="466" t="e">
        <f ca="1">IF(_xll.ciqfunctions.udf.CIQ($A29,"IQ_EBITDA_3YR_ANN_CAGR", IQ_LTM,$B$1,$L$4, $L$3, $L$5, $L$6)="NM","n/a",(_xll.ciqfunctions.udf.CIQ($A29,"IQ_EBITDA_3YR_ANN_CAGR", IQ_LTM,$B$1,$L$4, $L$3, $L$5, $L$6)/100))</f>
        <v>#NAME?</v>
      </c>
      <c r="BQ29" s="466" t="e">
        <f ca="1">IF(_xll.ciqfunctions.udf.CIQ($A29,"IQ_EBITDA_5YR_ANN_CAGR", IQ_LTM,$B$1,$L$4, $L$3, $L$5, $L$6)="NM","n/a",(_xll.ciqfunctions.udf.CIQ($A29,"IQ_EBITDA_5YR_ANN_CAGR", IQ_LTM,$B$1,$L$4, $L$3, $L$5, $L$6)/100))</f>
        <v>#NAME?</v>
      </c>
      <c r="BR29" s="470" t="str">
        <f ca="1">IFERROR((_xll.ciqfunctions.udf.CIQ($A29, "IQ_DA_CF", IQ_LTM, $B$1, $L$4, $L$3, $L$5, $L$6)/Q29),"NM")</f>
        <v>NM</v>
      </c>
      <c r="BS29" s="522">
        <f>'Capital IQ Sheet-GPC'!BS29</f>
        <v>0.89</v>
      </c>
      <c r="BT29" s="522">
        <f>'Capital IQ Sheet-GPC'!BT29</f>
        <v>0.97499999999999998</v>
      </c>
      <c r="BU29" s="522">
        <f>'Capital IQ Sheet-GPC'!BU29</f>
        <v>0.96199999999999997</v>
      </c>
      <c r="BV29" s="522">
        <f>'Capital IQ Sheet-GPC'!BV29</f>
        <v>1.012</v>
      </c>
      <c r="BW29" s="522">
        <f>'Capital IQ Sheet-GPC'!BW29</f>
        <v>1.3120000000000001</v>
      </c>
      <c r="BX29" s="522">
        <f>'Capital IQ Sheet-GPC'!BX29</f>
        <v>1.431</v>
      </c>
      <c r="BY29" s="522">
        <f>'Capital IQ Sheet-GPC'!BY29</f>
        <v>1.397</v>
      </c>
      <c r="BZ29" s="522">
        <f>'Capital IQ Sheet-GPC'!BZ29</f>
        <v>1.35</v>
      </c>
      <c r="CB29" s="466">
        <v>2</v>
      </c>
      <c r="CC29" s="614" t="s">
        <v>155</v>
      </c>
      <c r="CD29" s="614" t="s">
        <v>154</v>
      </c>
      <c r="CE29" s="468">
        <f t="shared" si="1"/>
        <v>42582</v>
      </c>
    </row>
    <row r="30" spans="1:83" s="466" customFormat="1" ht="12.75">
      <c r="A30" s="467" t="e">
        <f ca="1">_xll.ciqfunctions.udf.CIQ($B30,"IQ_COMPANY_TICKER")</f>
        <v>#NAME?</v>
      </c>
      <c r="B30" s="517" t="str">
        <f>'Capital IQ Sheet-GPC'!B30</f>
        <v>IQ61120709</v>
      </c>
      <c r="C30" s="467" t="e">
        <f ca="1">_xll.ciqfunctions.udf.CIQ($A30,"IQ_COMPANY_NAME")</f>
        <v>#NAME?</v>
      </c>
      <c r="D30" s="467" t="e">
        <f ca="1">_xll.ciqfunctions.udf.CIQ($A30, "IQ_EXCHANGE")</f>
        <v>#NAME?</v>
      </c>
      <c r="E30" s="516" t="e">
        <f ca="1">_xll.ciqfunctions.udf.CIQ($A30, "IQ_PERIODDATE_IS", IQ_FY)</f>
        <v>#NAME?</v>
      </c>
      <c r="F30" s="516" t="e">
        <f ca="1">_xll.ciqfunctions.udf.CIQ(A30, "IQ_PERIODDATE_IS", IQ_LTM, $B$1,$L$4,$L$3)</f>
        <v>#NAME?</v>
      </c>
      <c r="G30" s="516" t="e">
        <f ca="1">_xll.ciqfunctions.udf.CIQ($A30, "IQ_FIRSTPRICINGDATE")</f>
        <v>#NAME?</v>
      </c>
      <c r="H30" s="518" t="e">
        <f ca="1">_xll.ciqfunctions.udf.CIQ($A30, "IQ_TEV", $L$2, $L$5, $L$6)</f>
        <v>#NAME?</v>
      </c>
      <c r="I30" s="518" t="e">
        <f ca="1">_xll.ciqfunctions.udf.CIQ(A30, "IQ_LASTSALEPRICE", $B$1,$L$5)</f>
        <v>#NAME?</v>
      </c>
      <c r="J30" s="518" t="e">
        <f ca="1">_xll.ciqfunctions.udf.CIQ($A30, "IQ_MARKETCAP", $L$2, $L$5, $L$6)</f>
        <v>#NAME?</v>
      </c>
      <c r="K30" s="518" t="e">
        <f ca="1">_xll.ciqfunctions.udf.CIQ($A30, "IQ_TOTAL_DEBT", IQ_LTM, $L$2,$L$4, $L$3, $L$5, $L$6)</f>
        <v>#NAME?</v>
      </c>
      <c r="L30" s="518" t="e">
        <f ca="1">_xll.ciqfunctions.udf.CIQ($A30, "IQ_PREF_EQUITY", IQ_LTM, $L$2, $L$4, $L$3, $L$5, $L$6)</f>
        <v>#NAME?</v>
      </c>
      <c r="M30" s="518" t="e">
        <f ca="1">_xll.ciqfunctions.udf.CIQ($A30, "IQ_MINORITY_INTEREST_TOTAL", IQ_LTM, $L$2, $L$4, $L$3, $L$5, $L$6)</f>
        <v>#NAME?</v>
      </c>
      <c r="N30" s="518" t="e">
        <f ca="1">_xll.ciqfunctions.udf.CIQ($A30, "IQ_CASH_ST_INVEST", IQ_LTM, $L$2, $L$4, $L$3, $L$5, $L$6)</f>
        <v>#NAME?</v>
      </c>
      <c r="O30" s="518" t="e">
        <f ca="1">_xll.ciqfunctions.udf.CIQ($A30, "IQ_TOTAL_REV", IQ_LTM-8, $L$2, $L$4, $L$3, $L$5, $L$6)</f>
        <v>#NAME?</v>
      </c>
      <c r="P30" s="518" t="e">
        <f ca="1">_xll.ciqfunctions.udf.CIQ($A30, "IQ_TOTAL_REV", IQ_LTM - 4, $L$2, $L$4, $L$3, $L$5,$L$6)</f>
        <v>#NAME?</v>
      </c>
      <c r="Q30" s="518" t="e">
        <f ca="1">_xll.ciqfunctions.udf.CIQ($A30, "IQ_TOTAL_REV", IQ_LTM, $L$2, $L$4, $L$3, $L$5, $L$6)</f>
        <v>#NAME?</v>
      </c>
      <c r="R30" s="518" t="e">
        <f ca="1">_xll.ciqfunctions.udf.CIQ($A30, "IQ_TOTAL_REV", $B$2, $L$2, $L$4, $L$3, $L$5, $L$6)</f>
        <v>#NAME?</v>
      </c>
      <c r="S30" s="518" t="e">
        <f ca="1">IF(_xll.ciqfunctions.udf.CIQ($A30, "IQ_TOTAL_REV", $B$3, $L$2,$L$4, $L$3, $L$5, $L$6)=0,Q30,_xll.ciqfunctions.udf.CIQ($A30, "IQ_TOTAL_REV", $B$3, $L$2,$L$4, $L$3, $L$5, $L$6))</f>
        <v>#NAME?</v>
      </c>
      <c r="T30" s="518" t="e">
        <f ca="1">IF(_xll.ciqfunctions.udf.CIQ($A30, "IQ_REVENUE_EST",$B$4, $L$2, "CON", $L$3, $L$5, $L$6)=0,"n/a",_xll.ciqfunctions.udf.CIQ($A30, "IQ_REVENUE_EST",$B$4, $L$2, "CON", $L$3, $L$5, $L$6))</f>
        <v>#NAME?</v>
      </c>
      <c r="U30" s="518" t="e">
        <f ca="1">IF(_xll.ciqfunctions.udf.CIQ($A30, "IQ_REVENUE_EST",$B$5, $L$2, "CON", $L$3, $L$5, $L$6)=0,"n/a",_xll.ciqfunctions.udf.CIQ($A30, "IQ_REVENUE_EST",$B$5, $L$2, "CON", $L$3, $L$5, $L$6))</f>
        <v>#NAME?</v>
      </c>
      <c r="V30" s="518" t="e">
        <f ca="1">IF(_xll.ciqfunctions.udf.CIQ($A30, "IQ_REVENUE_EST",$B$6, $L$2, "CON", $L$3, $L$5, $L$6)=0,"n/a",_xll.ciqfunctions.udf.CIQ($A30, "IQ_REVENUE_EST",$B$6, $L$2, "CON", $L$3, $L$5, $L$6))</f>
        <v>#NAME?</v>
      </c>
      <c r="W30" s="518" t="e">
        <f ca="1">IF(_xll.ciqfunctions.udf.CIQ($A30, "IQ_REVENUE_EST", $B$7, $L$2, "CON", $L$3, $L$5, $L$6)=0,"n/a",_xll.ciqfunctions.udf.CIQ($A30, "IQ_REVENUE_EST",$B$7, $L$2, "CON", $L$3, $L$5, $L$6))</f>
        <v>#NAME?</v>
      </c>
      <c r="X30" s="518" t="e">
        <f ca="1">_xll.ciqfunctions.udf.CIQ($A30, "IQ_EBITDA", IQ_LTM-8, $L$2, $L$4, $L$3, $L$5, $L$6)</f>
        <v>#NAME?</v>
      </c>
      <c r="Y30" s="518" t="e">
        <f ca="1">_xll.ciqfunctions.udf.CIQ($A30, "IQ_EBITDA", IQ_LTM-4, $L$2,$L$4, $L$3, $L$5, $L$6)</f>
        <v>#NAME?</v>
      </c>
      <c r="Z30" s="518" t="e">
        <f ca="1">_xll.ciqfunctions.udf.CIQ($A30, "IQ_EBITDA", IQ_LTM, $L$2, $L$4, $L$3, $L$5, $L$6)</f>
        <v>#NAME?</v>
      </c>
      <c r="AA30" s="518" t="e">
        <f ca="1">_xll.ciqfunctions.udf.CIQ($A30, "IQ_EBITDA", $B$2, $L$2, $L$4, $L$3, $L$5, $L$6)</f>
        <v>#NAME?</v>
      </c>
      <c r="AB30" s="518" t="e">
        <f ca="1">IF(_xll.ciqfunctions.udf.CIQ($A30, "IQ_EBITDA", $B$3, $L$2,$L$4, $L$3, $L$5, $L$6)=0,Z30,_xll.ciqfunctions.udf.CIQ($A30, "IQ_EBITDA", $B$3, $L$2,$L$4, $L$3, $L$5, $L$6))</f>
        <v>#NAME?</v>
      </c>
      <c r="AC30" s="518" t="e">
        <f ca="1">IF(_xll.ciqfunctions.udf.CIQ($A30, "IQ_EBITDA_EST",$B$4, $L$2, "CON", $L$3, $L$5, $L$6)=0,"n/a",_xll.ciqfunctions.udf.CIQ($A30, "IQ_EBITDA_EST",$B$4, $L$2, "CON", $L$3, $L$5, $L$6))</f>
        <v>#NAME?</v>
      </c>
      <c r="AD30" s="518" t="e">
        <f ca="1">IF(_xll.ciqfunctions.udf.CIQ($A30, "IQ_EBITDA_EST",$B$5, $L$2, "CON", $L$3, $L$5, $L$6)=0,"n/a",_xll.ciqfunctions.udf.CIQ($A30, "IQ_EBITDA_EST",$B$5, $L$2, "CON", $L$3, $L$5, $L$6))</f>
        <v>#NAME?</v>
      </c>
      <c r="AE30" s="518" t="e">
        <f ca="1">IF(_xll.ciqfunctions.udf.CIQ($A30, "IQ_EBITDA_EST",$B$6, $L$2, "CON", $L$3, $L$5, $L$6)=0,"n/a",_xll.ciqfunctions.udf.CIQ($A30, "IQ_EBITDA_EST",$B$6, $L$2, "CON", $L$3, $L$5, $L$6))</f>
        <v>#NAME?</v>
      </c>
      <c r="AF30" s="519" t="str">
        <f ca="1">IF(ISERROR(_xll.ciqfunctions.udf.CIQ($A30, "IQ_GROSS_MARGIN", IQ_LTM, $L$2,$L$4, $L$3, $L$5, $L$6)/100), "n/a", _xll.ciqfunctions.udf.CIQ($A30,  "IQ_GROSS_MARGIN", IQ_LTM, $L$2, $L$4, $L$3, $L$5, $L$6)/100)</f>
        <v>n/a</v>
      </c>
      <c r="AG30" s="519" t="str">
        <f ca="1">IF(ISERROR(_xll.ciqfunctions.udf.CIQ($A30,"IQ_EBITDA_MARGIN", IQ_LTM, $L$2, $L$4, $L$3, $L$5, $L$6)/100), "n/a", _xll.ciqfunctions.udf.CIQ($A30, "IQ_EBITDA_MARGIN", IQ_LTM, $L$2, $L$4, $L$3, $L$5, $L$6)/100)</f>
        <v>n/a</v>
      </c>
      <c r="AH30" s="519" t="str">
        <f ca="1">IF(ISERROR(_xll.ciqfunctions.udf.CIQ($A30,"IQ_EBIT_MARGIN", IQ_LTM, $L$2, $L$4, $L$3, $L$5, $L$6)/100), "n/a", _xll.ciqfunctions.udf.CIQ($A30, "IQ_EBIT_MARGIN", IQ_LTM, $L$2, $L$4, $L$3, $L$5, $L$6)/100)</f>
        <v>n/a</v>
      </c>
      <c r="AI30" s="519" t="str">
        <f ca="1">IF(ISERROR(_xll.ciqfunctions.udf.CIQ($A30,"IQ_NI_MARGIN", IQ_LTM, $L$2, $L$4, $L$3, $L$5, $L$6)/100), "n/a", _xll.ciqfunctions.udf.CIQ($A30, "IQ_NI_MARGIN", IQ_LTM, $L$2, $L$4, $L$3, $L$5, $L$6)/100)</f>
        <v>n/a</v>
      </c>
      <c r="AJ30" s="518" t="str">
        <f ca="1">IF(ISERROR(_xll.ciqfunctions.udf.CIQ($A30, "IQ_NET_WORKING_CAP", IQ_LTM-8, $L$2, $L$4, $L$3, $L$5, $L$6)), "n/a", _xll.ciqfunctions.udf.CIQ($A30, "IQ_NET_WORKING_CAP", IQ_LTM-8, $L$2, $L$4, $L$3, $L$5, $L$6))</f>
        <v>n/a</v>
      </c>
      <c r="AK30" s="518" t="str">
        <f ca="1">IF(ISERROR(_xll.ciqfunctions.udf.CIQ($A30, "IQ_NET_WORKING_CAP", IQ_LTM-4, $L$2, $L$4, $L$3, $L$5, $L$6)), "n/a", _xll.ciqfunctions.udf.CIQ($A30, "IQ_NET_WORKING_CAP", IQ_LTM-4, $L$2, $L$4, $L$3, $L$5, $L$6))</f>
        <v>n/a</v>
      </c>
      <c r="AL30" s="518" t="str">
        <f ca="1">IF(ISERROR(_xll.ciqfunctions.udf.CIQ($A30, "IQ_NET_WORKING_CAP", IQ_LTM, $L$2,$L$4, $L$3, $L$5, $L$6)), "n/a", _xll.ciqfunctions.udf.CIQ($A30, "IQ_NET_WORKING_CAP", IQ_LTM, $L$2, $L$4, $L$3, $L$5, $L$6))</f>
        <v>n/a</v>
      </c>
      <c r="AM30" s="518" t="str">
        <f ca="1">IF(ISERROR(_xll.ciqfunctions.udf.CIQ($A30, "IQ_Capex", IQ_LTM-8, $L$2,$L$4, $L$3, $L$5, $L$6)), "n/a", _xll.ciqfunctions.udf.CIQ($A30, "IQ_Capex", IQ_LTM-8, $L$2, $L$4, $L$3, $L$5, $L$6))</f>
        <v>n/a</v>
      </c>
      <c r="AN30" s="518" t="str">
        <f ca="1">IF(ISERROR(_xll.ciqfunctions.udf.CIQ($A30, "IQ_Capex", IQ_LTM-4, $L$2,$L$4, $L$3, $L$5, $L$6)), "n/a", _xll.ciqfunctions.udf.CIQ($A30, "IQ_Capex", IQ_LTM-4, $L$2,$L$4, $L$3, $L$5, $L$6))</f>
        <v>n/a</v>
      </c>
      <c r="AO30" s="518" t="str">
        <f ca="1">IF(ISERROR(_xll.ciqfunctions.udf.CIQ($A30, "IQ_Capex", IQ_LTM, $L$2, $L$4, $L$3, $L$5, $L$6)), "n/a", _xll.ciqfunctions.udf.CIQ($A30, "IQ_Capex", IQ_LTM, $L$2, $L$4, $L$3, $L$5, $L$6))</f>
        <v>n/a</v>
      </c>
      <c r="AP30" s="520" t="e">
        <f ca="1">_xll.ciqfunctions.udf.CIQ(A30, "IQ_BUSINESS_DESCRIPTION")</f>
        <v>#NAME?</v>
      </c>
      <c r="AQ30" s="521" t="e">
        <f ca="1">_xll.ciqfunctions.udf.CIQ($A30, "IQ_BETA_1YR", $B$1)</f>
        <v>#NAME?</v>
      </c>
      <c r="AR30" s="521" t="e">
        <f ca="1">_xll.ciqfunctions.udf.CIQ($A30, "IQ_BETA_2YR", $B$1)</f>
        <v>#NAME?</v>
      </c>
      <c r="AS30" s="521" t="e">
        <f ca="1">_xll.ciqfunctions.udf.CIQ($A30, "IQ_BETA_5YR", $B$1)</f>
        <v>#NAME?</v>
      </c>
      <c r="AT30" s="519" t="e">
        <f ca="1">_xll.ciqfunctions.udf.CIQ($A30, "IQ_DIVIDEND_YIELD", $B$1)/100</f>
        <v>#NAME?</v>
      </c>
      <c r="AU30" s="518" t="e">
        <f ca="1">_xll.ciqfunctions.udf.CIQ($A30, "IQ_EARNING_CO", IQ_LTM-8, $L$2, $L$4, $L$3, $L$5, $L$6)</f>
        <v>#NAME?</v>
      </c>
      <c r="AV30" s="518" t="e">
        <f ca="1">_xll.ciqfunctions.udf.CIQ($A30, "IQ_EARNING_CO", IQ_LTM-4, $L$2, $L$4, $L$3, $L$5, $L$6)</f>
        <v>#NAME?</v>
      </c>
      <c r="AW30" s="518" t="e">
        <f ca="1">_xll.ciqfunctions.udf.CIQ($A30, "IQ_EARNING_CO", IQ_LTM, $L$2, $L$4, $L$3, $L$5, $L$6)</f>
        <v>#NAME?</v>
      </c>
      <c r="AX30" s="518" t="e">
        <f ca="1">_xll.ciqfunctions.udf.CIQ($A30, "IQ_EARNING_CO", $B$2, $L$2, $L$4, $L$3, $L$5, $L$6)</f>
        <v>#NAME?</v>
      </c>
      <c r="AY30" s="518" t="e">
        <f ca="1">IF(_xll.ciqfunctions.udf.CIQ($A30, "IQ_EARNING_CO", $B$3, $L$2,$L$4, $L$3, $L$5, $L$6)=0,AW30,_xll.ciqfunctions.udf.CIQ($A30, "IQ_EARNING_CO", $B$3, $L$2,$L$4, $L$3, $L$5, $L$6))</f>
        <v>#NAME?</v>
      </c>
      <c r="AZ30" s="518" t="e">
        <f ca="1">_xll.ciqfunctions.udf.CIQ($A30, "IQ_TOTAL_EQUITY", IQ_LTM-8, $L$2, $L$4, $L$3, $L$5, $L$6)</f>
        <v>#NAME?</v>
      </c>
      <c r="BA30" s="518" t="e">
        <f ca="1">_xll.ciqfunctions.udf.CIQ($A30, "IQ_TOTAL_EQUITY", IQ_LTM-4, $L$2, $L$4, $L$3, $L$5, $L$6)</f>
        <v>#NAME?</v>
      </c>
      <c r="BB30" s="518" t="e">
        <f ca="1">_xll.ciqfunctions.udf.CIQ($A30, "IQ_TOTAL_EQUITY", IQ_LTM, $L$2, $L$4, $L$3, $L$5, $L$6)</f>
        <v>#NAME?</v>
      </c>
      <c r="BC30" s="518" t="e">
        <f ca="1">_xll.ciqfunctions.udf.CIQ($A30, "IQ_TOTAL_EQUITY", $B$2, $L$2, $L$4, $L$3, $L$5, $L$6)</f>
        <v>#NAME?</v>
      </c>
      <c r="BD30" s="518" t="e">
        <f ca="1">IF(_xll.ciqfunctions.udf.CIQ($A30, "IQ_TOTAL_EQUITY", $B$3, $L$2,$L$4, $L$3, $L$5, $L$6)=0,BB30,_xll.ciqfunctions.udf.CIQ($A30, "IQ_TOTAL_EQUITY", $B$3, $L$2,$L$4, $L$3, $L$5, $L$6))</f>
        <v>#NAME?</v>
      </c>
      <c r="BE30" s="518" t="e">
        <f ca="1">_xll.ciqfunctions.udf.CIQ(A30, "IQ_LASTSALEPRICE", $B$8)</f>
        <v>#NAME?</v>
      </c>
      <c r="BF30" s="518" t="e">
        <f ca="1">_xll.ciqfunctions.udf.CIQ($A30, "IQ_MARKETCAP", $B$8, $L$5, $L$6)</f>
        <v>#NAME?</v>
      </c>
      <c r="BG30" s="518" t="e">
        <f ca="1">_xll.ciqfunctions.udf.CIQ($A30, "IQ_TOTAL_DEBT", IQ_LTM, $B$8,$L$4, $L$3, $L$5, $L$6)</f>
        <v>#NAME?</v>
      </c>
      <c r="BH30" s="466" t="e">
        <f ca="1">_xll.ciqfunctions.udf.CIQ($A30,"IQ_PREF_EQUITY",IQ_LTM,$B$8,$L$4,$L$3,$L$5,$L$6)</f>
        <v>#NAME?</v>
      </c>
      <c r="BI30" s="466" t="e">
        <f ca="1">_xll.ciqfunctions.udf.CIQ($A30, "IQ_MINORITY_INTEREST_TOTAL", IQ_LTM,$B$8,$L$4,$L$3,$L$5,$L$6)</f>
        <v>#NAME?</v>
      </c>
      <c r="BJ30" s="518" t="e">
        <f ca="1">_xll.ciqfunctions.udf.CIQ($A30, "IQ_CASH_ST_INVEST", IQ_LTM, $B$8, $L$4, $L$3, $L$5, $L$6)</f>
        <v>#NAME?</v>
      </c>
      <c r="BK30" s="466" t="e">
        <f ca="1">_xll.ciqfunctions.udf.CIQ($A30, "IQ_EFFECT_TAX_RATE")</f>
        <v>#NAME?</v>
      </c>
      <c r="BL30" s="466" t="e">
        <f ca="1">IF(_xll.ciqfunctions.udf.CIQ($A30, "IQ_TOTAL_REV_2YR_ANN_CAGR", IQ_LTM, $B$1,$L$4, $L$3, $L$5, $L$6)="NM","n/a",(_xll.ciqfunctions.udf.CIQ($A30, "IQ_TOTAL_REV_2YR_ANN_CAGR", IQ_LTM, $B$1,$L$4, $L$3, $L$5, $L$6)/100))</f>
        <v>#NAME?</v>
      </c>
      <c r="BM30" s="466" t="e">
        <f ca="1">IF(_xll.ciqfunctions.udf.CIQ($A30, "IQ_TOTAL_REV_3YR_ANN_CAGR", IQ_LTM, $B$1,$L$4, $L$3, $L$5, $L$6)="NM","n/a",(_xll.ciqfunctions.udf.CIQ($A30, "IQ_TOTAL_REV_3YR_ANN_CAGR", IQ_LTM, $B$1,$L$4, $L$3, $L$5, $L$6)/100))</f>
        <v>#NAME?</v>
      </c>
      <c r="BN30" s="466" t="e">
        <f ca="1">IF(_xll.ciqfunctions.udf.CIQ($A30, "IQ_TOTAL_REV_5YR_ANN_CAGR", IQ_LTM, $B$1,$L$4, $L$3, $L$5, $L$6)="NM","n/a",(_xll.ciqfunctions.udf.CIQ($A30, "IQ_TOTAL_REV_5YR_ANN_CAGR", IQ_LTM, $B$1,$L$4, $L$3, $L$5, $L$6)/100))</f>
        <v>#NAME?</v>
      </c>
      <c r="BO30" s="466" t="e">
        <f ca="1">IF(_xll.ciqfunctions.udf.CIQ($A30,"IQ_EBITDA_2YR_ANN_CAGR", IQ_LTM,$B$1,$L$4, $L$3, $L$5, $L$6)="NM","n/a",(_xll.ciqfunctions.udf.CIQ($A30,"IQ_EBITDA_2YR_ANN_CAGR", IQ_LTM,$B$1,$L$4, $L$3, $L$5, $L$6)/100))</f>
        <v>#NAME?</v>
      </c>
      <c r="BP30" s="466" t="e">
        <f ca="1">IF(_xll.ciqfunctions.udf.CIQ($A30,"IQ_EBITDA_3YR_ANN_CAGR", IQ_LTM,$B$1,$L$4, $L$3, $L$5, $L$6)="NM","n/a",(_xll.ciqfunctions.udf.CIQ($A30,"IQ_EBITDA_3YR_ANN_CAGR", IQ_LTM,$B$1,$L$4, $L$3, $L$5, $L$6)/100))</f>
        <v>#NAME?</v>
      </c>
      <c r="BQ30" s="466" t="e">
        <f ca="1">IF(_xll.ciqfunctions.udf.CIQ($A30,"IQ_EBITDA_5YR_ANN_CAGR", IQ_LTM,$B$1,$L$4, $L$3, $L$5, $L$6)="NM","n/a",(_xll.ciqfunctions.udf.CIQ($A30,"IQ_EBITDA_5YR_ANN_CAGR", IQ_LTM,$B$1,$L$4, $L$3, $L$5, $L$6)/100))</f>
        <v>#NAME?</v>
      </c>
      <c r="BR30" s="470" t="str">
        <f ca="1">IFERROR((_xll.ciqfunctions.udf.CIQ($A30, "IQ_DA_CF", IQ_LTM, $B$1, $L$4, $L$3, $L$5, $L$6)/Q30),"NM")</f>
        <v>NM</v>
      </c>
      <c r="BS30" s="522">
        <f>'Capital IQ Sheet-GPC'!BS30</f>
        <v>0.64400000000000002</v>
      </c>
      <c r="BT30" s="522">
        <f>'Capital IQ Sheet-GPC'!BT30</f>
        <v>0.89800000000000002</v>
      </c>
      <c r="BU30" s="522" t="str">
        <f>'Capital IQ Sheet-GPC'!BU30</f>
        <v>n/a</v>
      </c>
      <c r="BV30" s="522" t="str">
        <f>'Capital IQ Sheet-GPC'!BV30</f>
        <v>n/a</v>
      </c>
      <c r="BW30" s="522" t="str">
        <f>'Capital IQ Sheet-GPC'!BW30</f>
        <v>n/a</v>
      </c>
      <c r="BX30" s="522" t="str">
        <f>'Capital IQ Sheet-GPC'!BX30</f>
        <v>n/a</v>
      </c>
      <c r="BY30" s="522" t="str">
        <f>'Capital IQ Sheet-GPC'!BY30</f>
        <v>n/a</v>
      </c>
      <c r="BZ30" s="522" t="str">
        <f>'Capital IQ Sheet-GPC'!BZ30</f>
        <v>n/a</v>
      </c>
      <c r="CB30" s="466">
        <v>2</v>
      </c>
      <c r="CC30" s="614" t="s">
        <v>155</v>
      </c>
      <c r="CD30" s="614" t="s">
        <v>154</v>
      </c>
      <c r="CE30" s="468">
        <f t="shared" si="1"/>
        <v>42582</v>
      </c>
    </row>
    <row r="31" spans="1:83" s="466" customFormat="1" ht="12.75">
      <c r="A31" s="467" t="e">
        <f ca="1">_xll.ciqfunctions.udf.CIQ($B31,"IQ_COMPANY_TICKER")</f>
        <v>#NAME?</v>
      </c>
      <c r="B31" s="517" t="str">
        <f>'Capital IQ Sheet-GPC'!B31</f>
        <v>IQ26897567</v>
      </c>
      <c r="C31" s="467" t="e">
        <f ca="1">_xll.ciqfunctions.udf.CIQ($A31,"IQ_COMPANY_NAME")</f>
        <v>#NAME?</v>
      </c>
      <c r="D31" s="467" t="e">
        <f ca="1">_xll.ciqfunctions.udf.CIQ($A31, "IQ_EXCHANGE")</f>
        <v>#NAME?</v>
      </c>
      <c r="E31" s="516" t="e">
        <f ca="1">_xll.ciqfunctions.udf.CIQ($A31, "IQ_PERIODDATE_IS", IQ_FY)</f>
        <v>#NAME?</v>
      </c>
      <c r="F31" s="516" t="e">
        <f ca="1">_xll.ciqfunctions.udf.CIQ(A31, "IQ_PERIODDATE_IS", IQ_LTM, $B$1,$L$4,$L$3)</f>
        <v>#NAME?</v>
      </c>
      <c r="G31" s="516" t="e">
        <f ca="1">_xll.ciqfunctions.udf.CIQ($A31, "IQ_FIRSTPRICINGDATE")</f>
        <v>#NAME?</v>
      </c>
      <c r="H31" s="518" t="e">
        <f ca="1">_xll.ciqfunctions.udf.CIQ($A31, "IQ_TEV", $L$2, $L$5, $L$6)</f>
        <v>#NAME?</v>
      </c>
      <c r="I31" s="518" t="e">
        <f ca="1">_xll.ciqfunctions.udf.CIQ(A31, "IQ_LASTSALEPRICE", $B$1,$L$5)</f>
        <v>#NAME?</v>
      </c>
      <c r="J31" s="518" t="e">
        <f ca="1">_xll.ciqfunctions.udf.CIQ($A31, "IQ_MARKETCAP", $L$2, $L$5, $L$6)</f>
        <v>#NAME?</v>
      </c>
      <c r="K31" s="518" t="e">
        <f ca="1">_xll.ciqfunctions.udf.CIQ($A31, "IQ_TOTAL_DEBT", IQ_LTM, $L$2,$L$4, $L$3, $L$5, $L$6)</f>
        <v>#NAME?</v>
      </c>
      <c r="L31" s="518" t="e">
        <f ca="1">_xll.ciqfunctions.udf.CIQ($A31, "IQ_PREF_EQUITY", IQ_LTM, $L$2, $L$4, $L$3, $L$5, $L$6)</f>
        <v>#NAME?</v>
      </c>
      <c r="M31" s="518" t="e">
        <f ca="1">_xll.ciqfunctions.udf.CIQ($A31, "IQ_MINORITY_INTEREST_TOTAL", IQ_LTM, $L$2, $L$4, $L$3, $L$5, $L$6)</f>
        <v>#NAME?</v>
      </c>
      <c r="N31" s="518" t="e">
        <f ca="1">_xll.ciqfunctions.udf.CIQ($A31, "IQ_CASH_ST_INVEST", IQ_LTM, $L$2, $L$4, $L$3, $L$5, $L$6)</f>
        <v>#NAME?</v>
      </c>
      <c r="O31" s="518" t="e">
        <f ca="1">_xll.ciqfunctions.udf.CIQ($A31, "IQ_TOTAL_REV", IQ_LTM-8, $L$2, $L$4, $L$3, $L$5, $L$6)</f>
        <v>#NAME?</v>
      </c>
      <c r="P31" s="518" t="e">
        <f ca="1">_xll.ciqfunctions.udf.CIQ($A31, "IQ_TOTAL_REV", IQ_LTM - 4, $L$2, $L$4, $L$3, $L$5,$L$6)</f>
        <v>#NAME?</v>
      </c>
      <c r="Q31" s="518" t="e">
        <f ca="1">_xll.ciqfunctions.udf.CIQ($A31, "IQ_TOTAL_REV", IQ_LTM, $L$2, $L$4, $L$3, $L$5, $L$6)</f>
        <v>#NAME?</v>
      </c>
      <c r="R31" s="518" t="e">
        <f ca="1">_xll.ciqfunctions.udf.CIQ($A31, "IQ_TOTAL_REV", $B$2, $L$2, $L$4, $L$3, $L$5, $L$6)</f>
        <v>#NAME?</v>
      </c>
      <c r="S31" s="518" t="e">
        <f ca="1">IF(_xll.ciqfunctions.udf.CIQ($A31, "IQ_TOTAL_REV", $B$3, $L$2,$L$4, $L$3, $L$5, $L$6)=0,Q31,_xll.ciqfunctions.udf.CIQ($A31, "IQ_TOTAL_REV", $B$3, $L$2,$L$4, $L$3, $L$5, $L$6))</f>
        <v>#NAME?</v>
      </c>
      <c r="T31" s="518" t="e">
        <f ca="1">IF(_xll.ciqfunctions.udf.CIQ($A31, "IQ_REVENUE_EST",$B$4, $L$2, "CON", $L$3, $L$5, $L$6)=0,"n/a",_xll.ciqfunctions.udf.CIQ($A31, "IQ_REVENUE_EST",$B$4, $L$2, "CON", $L$3, $L$5, $L$6))</f>
        <v>#NAME?</v>
      </c>
      <c r="U31" s="518" t="e">
        <f ca="1">IF(_xll.ciqfunctions.udf.CIQ($A31, "IQ_REVENUE_EST",$B$5, $L$2, "CON", $L$3, $L$5, $L$6)=0,"n/a",_xll.ciqfunctions.udf.CIQ($A31, "IQ_REVENUE_EST",$B$5, $L$2, "CON", $L$3, $L$5, $L$6))</f>
        <v>#NAME?</v>
      </c>
      <c r="V31" s="518" t="e">
        <f ca="1">IF(_xll.ciqfunctions.udf.CIQ($A31, "IQ_REVENUE_EST",$B$6, $L$2, "CON", $L$3, $L$5, $L$6)=0,"n/a",_xll.ciqfunctions.udf.CIQ($A31, "IQ_REVENUE_EST",$B$6, $L$2, "CON", $L$3, $L$5, $L$6))</f>
        <v>#NAME?</v>
      </c>
      <c r="W31" s="518" t="e">
        <f ca="1">IF(_xll.ciqfunctions.udf.CIQ($A31, "IQ_REVENUE_EST", $B$7, $L$2, "CON", $L$3, $L$5, $L$6)=0,"n/a",_xll.ciqfunctions.udf.CIQ($A31, "IQ_REVENUE_EST",$B$7, $L$2, "CON", $L$3, $L$5, $L$6))</f>
        <v>#NAME?</v>
      </c>
      <c r="X31" s="518" t="e">
        <f ca="1">_xll.ciqfunctions.udf.CIQ($A31, "IQ_EBITDA", IQ_LTM-8, $L$2, $L$4, $L$3, $L$5, $L$6)</f>
        <v>#NAME?</v>
      </c>
      <c r="Y31" s="518" t="e">
        <f ca="1">_xll.ciqfunctions.udf.CIQ($A31, "IQ_EBITDA", IQ_LTM-4, $L$2,$L$4, $L$3, $L$5, $L$6)</f>
        <v>#NAME?</v>
      </c>
      <c r="Z31" s="518" t="e">
        <f ca="1">_xll.ciqfunctions.udf.CIQ($A31, "IQ_EBITDA", IQ_LTM, $L$2, $L$4, $L$3, $L$5, $L$6)</f>
        <v>#NAME?</v>
      </c>
      <c r="AA31" s="518" t="e">
        <f ca="1">_xll.ciqfunctions.udf.CIQ($A31, "IQ_EBITDA", $B$2, $L$2, $L$4, $L$3, $L$5, $L$6)</f>
        <v>#NAME?</v>
      </c>
      <c r="AB31" s="518" t="e">
        <f ca="1">IF(_xll.ciqfunctions.udf.CIQ($A31, "IQ_EBITDA", $B$3, $L$2,$L$4, $L$3, $L$5, $L$6)=0,Z31,_xll.ciqfunctions.udf.CIQ($A31, "IQ_EBITDA", $B$3, $L$2,$L$4, $L$3, $L$5, $L$6))</f>
        <v>#NAME?</v>
      </c>
      <c r="AC31" s="518" t="e">
        <f ca="1">IF(_xll.ciqfunctions.udf.CIQ($A31, "IQ_EBITDA_EST",$B$4, $L$2, "CON", $L$3, $L$5, $L$6)=0,"n/a",_xll.ciqfunctions.udf.CIQ($A31, "IQ_EBITDA_EST",$B$4, $L$2, "CON", $L$3, $L$5, $L$6))</f>
        <v>#NAME?</v>
      </c>
      <c r="AD31" s="518" t="e">
        <f ca="1">IF(_xll.ciqfunctions.udf.CIQ($A31, "IQ_EBITDA_EST",$B$5, $L$2, "CON", $L$3, $L$5, $L$6)=0,"n/a",_xll.ciqfunctions.udf.CIQ($A31, "IQ_EBITDA_EST",$B$5, $L$2, "CON", $L$3, $L$5, $L$6))</f>
        <v>#NAME?</v>
      </c>
      <c r="AE31" s="518" t="e">
        <f ca="1">IF(_xll.ciqfunctions.udf.CIQ($A31, "IQ_EBITDA_EST",$B$6, $L$2, "CON", $L$3, $L$5, $L$6)=0,"n/a",_xll.ciqfunctions.udf.CIQ($A31, "IQ_EBITDA_EST",$B$6, $L$2, "CON", $L$3, $L$5, $L$6))</f>
        <v>#NAME?</v>
      </c>
      <c r="AF31" s="519" t="str">
        <f ca="1">IF(ISERROR(_xll.ciqfunctions.udf.CIQ($A31, "IQ_GROSS_MARGIN", IQ_LTM, $L$2,$L$4, $L$3, $L$5, $L$6)/100), "n/a", _xll.ciqfunctions.udf.CIQ($A31,  "IQ_GROSS_MARGIN", IQ_LTM, $L$2, $L$4, $L$3, $L$5, $L$6)/100)</f>
        <v>n/a</v>
      </c>
      <c r="AG31" s="519" t="str">
        <f ca="1">IF(ISERROR(_xll.ciqfunctions.udf.CIQ($A31,"IQ_EBITDA_MARGIN", IQ_LTM, $L$2, $L$4, $L$3, $L$5, $L$6)/100), "n/a", _xll.ciqfunctions.udf.CIQ($A31, "IQ_EBITDA_MARGIN", IQ_LTM, $L$2, $L$4, $L$3, $L$5, $L$6)/100)</f>
        <v>n/a</v>
      </c>
      <c r="AH31" s="519" t="str">
        <f ca="1">IF(ISERROR(_xll.ciqfunctions.udf.CIQ($A31,"IQ_EBIT_MARGIN", IQ_LTM, $L$2, $L$4, $L$3, $L$5, $L$6)/100), "n/a", _xll.ciqfunctions.udf.CIQ($A31, "IQ_EBIT_MARGIN", IQ_LTM, $L$2, $L$4, $L$3, $L$5, $L$6)/100)</f>
        <v>n/a</v>
      </c>
      <c r="AI31" s="519" t="str">
        <f ca="1">IF(ISERROR(_xll.ciqfunctions.udf.CIQ($A31,"IQ_NI_MARGIN", IQ_LTM, $L$2, $L$4, $L$3, $L$5, $L$6)/100), "n/a", _xll.ciqfunctions.udf.CIQ($A31, "IQ_NI_MARGIN", IQ_LTM, $L$2, $L$4, $L$3, $L$5, $L$6)/100)</f>
        <v>n/a</v>
      </c>
      <c r="AJ31" s="518" t="str">
        <f ca="1">IF(ISERROR(_xll.ciqfunctions.udf.CIQ($A31, "IQ_NET_WORKING_CAP", IQ_LTM-8, $L$2, $L$4, $L$3, $L$5, $L$6)), "n/a", _xll.ciqfunctions.udf.CIQ($A31, "IQ_NET_WORKING_CAP", IQ_LTM-8, $L$2, $L$4, $L$3, $L$5, $L$6))</f>
        <v>n/a</v>
      </c>
      <c r="AK31" s="518" t="str">
        <f ca="1">IF(ISERROR(_xll.ciqfunctions.udf.CIQ($A31, "IQ_NET_WORKING_CAP", IQ_LTM-4, $L$2, $L$4, $L$3, $L$5, $L$6)), "n/a", _xll.ciqfunctions.udf.CIQ($A31, "IQ_NET_WORKING_CAP", IQ_LTM-4, $L$2, $L$4, $L$3, $L$5, $L$6))</f>
        <v>n/a</v>
      </c>
      <c r="AL31" s="518" t="str">
        <f ca="1">IF(ISERROR(_xll.ciqfunctions.udf.CIQ($A31, "IQ_NET_WORKING_CAP", IQ_LTM, $L$2,$L$4, $L$3, $L$5, $L$6)), "n/a", _xll.ciqfunctions.udf.CIQ($A31, "IQ_NET_WORKING_CAP", IQ_LTM, $L$2, $L$4, $L$3, $L$5, $L$6))</f>
        <v>n/a</v>
      </c>
      <c r="AM31" s="518" t="str">
        <f ca="1">IF(ISERROR(_xll.ciqfunctions.udf.CIQ($A31, "IQ_Capex", IQ_LTM-8, $L$2,$L$4, $L$3, $L$5, $L$6)), "n/a", _xll.ciqfunctions.udf.CIQ($A31, "IQ_Capex", IQ_LTM-8, $L$2, $L$4, $L$3, $L$5, $L$6))</f>
        <v>n/a</v>
      </c>
      <c r="AN31" s="518" t="str">
        <f ca="1">IF(ISERROR(_xll.ciqfunctions.udf.CIQ($A31, "IQ_Capex", IQ_LTM-4, $L$2,$L$4, $L$3, $L$5, $L$6)), "n/a", _xll.ciqfunctions.udf.CIQ($A31, "IQ_Capex", IQ_LTM-4, $L$2,$L$4, $L$3, $L$5, $L$6))</f>
        <v>n/a</v>
      </c>
      <c r="AO31" s="518" t="str">
        <f ca="1">IF(ISERROR(_xll.ciqfunctions.udf.CIQ($A31, "IQ_Capex", IQ_LTM, $L$2, $L$4, $L$3, $L$5, $L$6)), "n/a", _xll.ciqfunctions.udf.CIQ($A31, "IQ_Capex", IQ_LTM, $L$2, $L$4, $L$3, $L$5, $L$6))</f>
        <v>n/a</v>
      </c>
      <c r="AP31" s="520" t="e">
        <f ca="1">_xll.ciqfunctions.udf.CIQ(A31, "IQ_BUSINESS_DESCRIPTION")</f>
        <v>#NAME?</v>
      </c>
      <c r="AQ31" s="521" t="e">
        <f ca="1">_xll.ciqfunctions.udf.CIQ($A31, "IQ_BETA_1YR", $B$1)</f>
        <v>#NAME?</v>
      </c>
      <c r="AR31" s="521" t="e">
        <f ca="1">_xll.ciqfunctions.udf.CIQ($A31, "IQ_BETA_2YR", $B$1)</f>
        <v>#NAME?</v>
      </c>
      <c r="AS31" s="521" t="e">
        <f ca="1">_xll.ciqfunctions.udf.CIQ($A31, "IQ_BETA_5YR", $B$1)</f>
        <v>#NAME?</v>
      </c>
      <c r="AT31" s="519" t="e">
        <f ca="1">_xll.ciqfunctions.udf.CIQ($A31, "IQ_DIVIDEND_YIELD", $B$1)/100</f>
        <v>#NAME?</v>
      </c>
      <c r="AU31" s="518" t="e">
        <f ca="1">_xll.ciqfunctions.udf.CIQ($A31, "IQ_EARNING_CO", IQ_LTM-8, $L$2, $L$4, $L$3, $L$5, $L$6)</f>
        <v>#NAME?</v>
      </c>
      <c r="AV31" s="518" t="e">
        <f ca="1">_xll.ciqfunctions.udf.CIQ($A31, "IQ_EARNING_CO", IQ_LTM-4, $L$2, $L$4, $L$3, $L$5, $L$6)</f>
        <v>#NAME?</v>
      </c>
      <c r="AW31" s="518" t="e">
        <f ca="1">_xll.ciqfunctions.udf.CIQ($A31, "IQ_EARNING_CO", IQ_LTM, $L$2, $L$4, $L$3, $L$5, $L$6)</f>
        <v>#NAME?</v>
      </c>
      <c r="AX31" s="518" t="e">
        <f ca="1">_xll.ciqfunctions.udf.CIQ($A31, "IQ_EARNING_CO", $B$2, $L$2, $L$4, $L$3, $L$5, $L$6)</f>
        <v>#NAME?</v>
      </c>
      <c r="AY31" s="518" t="e">
        <f ca="1">IF(_xll.ciqfunctions.udf.CIQ($A31, "IQ_EARNING_CO", $B$3, $L$2,$L$4, $L$3, $L$5, $L$6)=0,AW31,_xll.ciqfunctions.udf.CIQ($A31, "IQ_EARNING_CO", $B$3, $L$2,$L$4, $L$3, $L$5, $L$6))</f>
        <v>#NAME?</v>
      </c>
      <c r="AZ31" s="518" t="e">
        <f ca="1">_xll.ciqfunctions.udf.CIQ($A31, "IQ_TOTAL_EQUITY", IQ_LTM-8, $L$2, $L$4, $L$3, $L$5, $L$6)</f>
        <v>#NAME?</v>
      </c>
      <c r="BA31" s="518" t="e">
        <f ca="1">_xll.ciqfunctions.udf.CIQ($A31, "IQ_TOTAL_EQUITY", IQ_LTM-4, $L$2, $L$4, $L$3, $L$5, $L$6)</f>
        <v>#NAME?</v>
      </c>
      <c r="BB31" s="518" t="e">
        <f ca="1">_xll.ciqfunctions.udf.CIQ($A31, "IQ_TOTAL_EQUITY", IQ_LTM, $L$2, $L$4, $L$3, $L$5, $L$6)</f>
        <v>#NAME?</v>
      </c>
      <c r="BC31" s="518" t="e">
        <f ca="1">_xll.ciqfunctions.udf.CIQ($A31, "IQ_TOTAL_EQUITY", $B$2, $L$2, $L$4, $L$3, $L$5, $L$6)</f>
        <v>#NAME?</v>
      </c>
      <c r="BD31" s="518" t="e">
        <f ca="1">IF(_xll.ciqfunctions.udf.CIQ($A31, "IQ_TOTAL_EQUITY", $B$3, $L$2,$L$4, $L$3, $L$5, $L$6)=0,BB31,_xll.ciqfunctions.udf.CIQ($A31, "IQ_TOTAL_EQUITY", $B$3, $L$2,$L$4, $L$3, $L$5, $L$6))</f>
        <v>#NAME?</v>
      </c>
      <c r="BE31" s="518" t="e">
        <f ca="1">_xll.ciqfunctions.udf.CIQ(A31, "IQ_LASTSALEPRICE", $B$8)</f>
        <v>#NAME?</v>
      </c>
      <c r="BF31" s="518" t="e">
        <f ca="1">_xll.ciqfunctions.udf.CIQ($A31, "IQ_MARKETCAP", $B$8, $L$5, $L$6)</f>
        <v>#NAME?</v>
      </c>
      <c r="BG31" s="518" t="e">
        <f ca="1">_xll.ciqfunctions.udf.CIQ($A31, "IQ_TOTAL_DEBT", IQ_LTM, $B$8,$L$4, $L$3, $L$5, $L$6)</f>
        <v>#NAME?</v>
      </c>
      <c r="BH31" s="466" t="e">
        <f ca="1">_xll.ciqfunctions.udf.CIQ($A31,"IQ_PREF_EQUITY",IQ_LTM,$B$8,$L$4,$L$3,$L$5,$L$6)</f>
        <v>#NAME?</v>
      </c>
      <c r="BI31" s="466" t="e">
        <f ca="1">_xll.ciqfunctions.udf.CIQ($A31, "IQ_MINORITY_INTEREST_TOTAL", IQ_LTM,$B$8,$L$4,$L$3,$L$5,$L$6)</f>
        <v>#NAME?</v>
      </c>
      <c r="BJ31" s="518" t="e">
        <f ca="1">_xll.ciqfunctions.udf.CIQ($A31, "IQ_CASH_ST_INVEST", IQ_LTM, $B$8, $L$4, $L$3, $L$5, $L$6)</f>
        <v>#NAME?</v>
      </c>
      <c r="BK31" s="466" t="e">
        <f ca="1">_xll.ciqfunctions.udf.CIQ($A31, "IQ_EFFECT_TAX_RATE")</f>
        <v>#NAME?</v>
      </c>
      <c r="BL31" s="466" t="e">
        <f ca="1">IF(_xll.ciqfunctions.udf.CIQ($A31, "IQ_TOTAL_REV_2YR_ANN_CAGR", IQ_LTM, $B$1,$L$4, $L$3, $L$5, $L$6)="NM","n/a",(_xll.ciqfunctions.udf.CIQ($A31, "IQ_TOTAL_REV_2YR_ANN_CAGR", IQ_LTM, $B$1,$L$4, $L$3, $L$5, $L$6)/100))</f>
        <v>#NAME?</v>
      </c>
      <c r="BM31" s="466" t="e">
        <f ca="1">IF(_xll.ciqfunctions.udf.CIQ($A31, "IQ_TOTAL_REV_3YR_ANN_CAGR", IQ_LTM, $B$1,$L$4, $L$3, $L$5, $L$6)="NM","n/a",(_xll.ciqfunctions.udf.CIQ($A31, "IQ_TOTAL_REV_3YR_ANN_CAGR", IQ_LTM, $B$1,$L$4, $L$3, $L$5, $L$6)/100))</f>
        <v>#NAME?</v>
      </c>
      <c r="BN31" s="466" t="e">
        <f ca="1">IF(_xll.ciqfunctions.udf.CIQ($A31, "IQ_TOTAL_REV_5YR_ANN_CAGR", IQ_LTM, $B$1,$L$4, $L$3, $L$5, $L$6)="NM","n/a",(_xll.ciqfunctions.udf.CIQ($A31, "IQ_TOTAL_REV_5YR_ANN_CAGR", IQ_LTM, $B$1,$L$4, $L$3, $L$5, $L$6)/100))</f>
        <v>#NAME?</v>
      </c>
      <c r="BO31" s="466" t="e">
        <f ca="1">IF(_xll.ciqfunctions.udf.CIQ($A31,"IQ_EBITDA_2YR_ANN_CAGR", IQ_LTM,$B$1,$L$4, $L$3, $L$5, $L$6)="NM","n/a",(_xll.ciqfunctions.udf.CIQ($A31,"IQ_EBITDA_2YR_ANN_CAGR", IQ_LTM,$B$1,$L$4, $L$3, $L$5, $L$6)/100))</f>
        <v>#NAME?</v>
      </c>
      <c r="BP31" s="466" t="e">
        <f ca="1">IF(_xll.ciqfunctions.udf.CIQ($A31,"IQ_EBITDA_3YR_ANN_CAGR", IQ_LTM,$B$1,$L$4, $L$3, $L$5, $L$6)="NM","n/a",(_xll.ciqfunctions.udf.CIQ($A31,"IQ_EBITDA_3YR_ANN_CAGR", IQ_LTM,$B$1,$L$4, $L$3, $L$5, $L$6)/100))</f>
        <v>#NAME?</v>
      </c>
      <c r="BQ31" s="466" t="e">
        <f ca="1">IF(_xll.ciqfunctions.udf.CIQ($A31,"IQ_EBITDA_5YR_ANN_CAGR", IQ_LTM,$B$1,$L$4, $L$3, $L$5, $L$6)="NM","n/a",(_xll.ciqfunctions.udf.CIQ($A31,"IQ_EBITDA_5YR_ANN_CAGR", IQ_LTM,$B$1,$L$4, $L$3, $L$5, $L$6)/100))</f>
        <v>#NAME?</v>
      </c>
      <c r="BR31" s="470" t="str">
        <f ca="1">IFERROR((_xll.ciqfunctions.udf.CIQ($A31, "IQ_DA_CF", IQ_LTM, $B$1, $L$4, $L$3, $L$5, $L$6)/Q31),"NM")</f>
        <v>NM</v>
      </c>
      <c r="BS31" s="522">
        <f>'Capital IQ Sheet-GPC'!BS31</f>
        <v>0.88200000000000001</v>
      </c>
      <c r="BT31" s="522">
        <f>'Capital IQ Sheet-GPC'!BT31</f>
        <v>1.339</v>
      </c>
      <c r="BU31" s="522">
        <f>'Capital IQ Sheet-GPC'!BU31</f>
        <v>1.226</v>
      </c>
      <c r="BV31" s="522">
        <f>'Capital IQ Sheet-GPC'!BV31</f>
        <v>1.212</v>
      </c>
      <c r="BW31" s="522" t="str">
        <f>'Capital IQ Sheet-GPC'!BW31</f>
        <v>n/a</v>
      </c>
      <c r="BX31" s="522" t="str">
        <f>'Capital IQ Sheet-GPC'!BX31</f>
        <v>n/a</v>
      </c>
      <c r="BY31" s="522" t="str">
        <f>'Capital IQ Sheet-GPC'!BY31</f>
        <v>n/a</v>
      </c>
      <c r="BZ31" s="522" t="str">
        <f>'Capital IQ Sheet-GPC'!BZ31</f>
        <v>n/a</v>
      </c>
      <c r="CB31" s="466">
        <v>2</v>
      </c>
      <c r="CC31" s="614" t="s">
        <v>155</v>
      </c>
      <c r="CD31" s="614" t="s">
        <v>154</v>
      </c>
      <c r="CE31" s="468">
        <f t="shared" si="1"/>
        <v>42582</v>
      </c>
    </row>
    <row r="32" spans="1:83" s="466" customFormat="1" ht="12.75">
      <c r="A32" s="467" t="e">
        <f ca="1">_xll.ciqfunctions.udf.CIQ($B32,"IQ_COMPANY_TICKER")</f>
        <v>#NAME?</v>
      </c>
      <c r="B32" s="517" t="str">
        <f>'Capital IQ Sheet-GPC'!B32</f>
        <v>IQ35106</v>
      </c>
      <c r="C32" s="467" t="e">
        <f ca="1">_xll.ciqfunctions.udf.CIQ($A32,"IQ_COMPANY_NAME")</f>
        <v>#NAME?</v>
      </c>
      <c r="D32" s="467" t="e">
        <f ca="1">_xll.ciqfunctions.udf.CIQ($A32, "IQ_EXCHANGE")</f>
        <v>#NAME?</v>
      </c>
      <c r="E32" s="516" t="e">
        <f ca="1">_xll.ciqfunctions.udf.CIQ($A32, "IQ_PERIODDATE_IS", IQ_FY)</f>
        <v>#NAME?</v>
      </c>
      <c r="F32" s="516" t="e">
        <f ca="1">_xll.ciqfunctions.udf.CIQ(A32, "IQ_PERIODDATE_IS", IQ_LTM, $B$1,$L$4,$L$3)</f>
        <v>#NAME?</v>
      </c>
      <c r="G32" s="516" t="e">
        <f ca="1">_xll.ciqfunctions.udf.CIQ($A32, "IQ_FIRSTPRICINGDATE")</f>
        <v>#NAME?</v>
      </c>
      <c r="H32" s="518" t="e">
        <f ca="1">_xll.ciqfunctions.udf.CIQ($A32, "IQ_TEV", $L$2, $L$5, $L$6)</f>
        <v>#NAME?</v>
      </c>
      <c r="I32" s="518" t="e">
        <f ca="1">_xll.ciqfunctions.udf.CIQ(A32, "IQ_LASTSALEPRICE", $B$1,$L$5)</f>
        <v>#NAME?</v>
      </c>
      <c r="J32" s="518" t="e">
        <f ca="1">_xll.ciqfunctions.udf.CIQ($A32, "IQ_MARKETCAP", $L$2, $L$5, $L$6)</f>
        <v>#NAME?</v>
      </c>
      <c r="K32" s="518" t="e">
        <f ca="1">_xll.ciqfunctions.udf.CIQ($A32, "IQ_TOTAL_DEBT", IQ_LTM, $L$2,$L$4, $L$3, $L$5, $L$6)</f>
        <v>#NAME?</v>
      </c>
      <c r="L32" s="518" t="e">
        <f ca="1">_xll.ciqfunctions.udf.CIQ($A32, "IQ_PREF_EQUITY", IQ_LTM, $L$2, $L$4, $L$3, $L$5, $L$6)</f>
        <v>#NAME?</v>
      </c>
      <c r="M32" s="518" t="e">
        <f ca="1">_xll.ciqfunctions.udf.CIQ($A32, "IQ_MINORITY_INTEREST_TOTAL", IQ_LTM, $L$2, $L$4, $L$3, $L$5, $L$6)</f>
        <v>#NAME?</v>
      </c>
      <c r="N32" s="518" t="e">
        <f ca="1">_xll.ciqfunctions.udf.CIQ($A32, "IQ_CASH_ST_INVEST", IQ_LTM, $L$2, $L$4, $L$3, $L$5, $L$6)</f>
        <v>#NAME?</v>
      </c>
      <c r="O32" s="518" t="e">
        <f ca="1">_xll.ciqfunctions.udf.CIQ($A32, "IQ_TOTAL_REV", IQ_LTM-8, $L$2, $L$4, $L$3, $L$5, $L$6)</f>
        <v>#NAME?</v>
      </c>
      <c r="P32" s="518" t="e">
        <f ca="1">_xll.ciqfunctions.udf.CIQ($A32, "IQ_TOTAL_REV", IQ_LTM - 4, $L$2, $L$4, $L$3, $L$5,$L$6)</f>
        <v>#NAME?</v>
      </c>
      <c r="Q32" s="518" t="e">
        <f ca="1">_xll.ciqfunctions.udf.CIQ($A32, "IQ_TOTAL_REV", IQ_LTM, $L$2, $L$4, $L$3, $L$5, $L$6)</f>
        <v>#NAME?</v>
      </c>
      <c r="R32" s="518" t="e">
        <f ca="1">_xll.ciqfunctions.udf.CIQ($A32, "IQ_TOTAL_REV", $B$2, $L$2, $L$4, $L$3, $L$5, $L$6)</f>
        <v>#NAME?</v>
      </c>
      <c r="S32" s="518" t="e">
        <f ca="1">IF(_xll.ciqfunctions.udf.CIQ($A32, "IQ_TOTAL_REV", $B$3, $L$2,$L$4, $L$3, $L$5, $L$6)=0,Q32,_xll.ciqfunctions.udf.CIQ($A32, "IQ_TOTAL_REV", $B$3, $L$2,$L$4, $L$3, $L$5, $L$6))</f>
        <v>#NAME?</v>
      </c>
      <c r="T32" s="518" t="e">
        <f ca="1">IF(_xll.ciqfunctions.udf.CIQ($A32, "IQ_REVENUE_EST",$B$4, $L$2, "CON", $L$3, $L$5, $L$6)=0,"n/a",_xll.ciqfunctions.udf.CIQ($A32, "IQ_REVENUE_EST",$B$4, $L$2, "CON", $L$3, $L$5, $L$6))</f>
        <v>#NAME?</v>
      </c>
      <c r="U32" s="518" t="e">
        <f ca="1">IF(_xll.ciqfunctions.udf.CIQ($A32, "IQ_REVENUE_EST",$B$5, $L$2, "CON", $L$3, $L$5, $L$6)=0,"n/a",_xll.ciqfunctions.udf.CIQ($A32, "IQ_REVENUE_EST",$B$5, $L$2, "CON", $L$3, $L$5, $L$6))</f>
        <v>#NAME?</v>
      </c>
      <c r="V32" s="518" t="e">
        <f ca="1">IF(_xll.ciqfunctions.udf.CIQ($A32, "IQ_REVENUE_EST",$B$6, $L$2, "CON", $L$3, $L$5, $L$6)=0,"n/a",_xll.ciqfunctions.udf.CIQ($A32, "IQ_REVENUE_EST",$B$6, $L$2, "CON", $L$3, $L$5, $L$6))</f>
        <v>#NAME?</v>
      </c>
      <c r="W32" s="518" t="e">
        <f ca="1">IF(_xll.ciqfunctions.udf.CIQ($A32, "IQ_REVENUE_EST", $B$7, $L$2, "CON", $L$3, $L$5, $L$6)=0,"n/a",_xll.ciqfunctions.udf.CIQ($A32, "IQ_REVENUE_EST",$B$7, $L$2, "CON", $L$3, $L$5, $L$6))</f>
        <v>#NAME?</v>
      </c>
      <c r="X32" s="518" t="e">
        <f ca="1">_xll.ciqfunctions.udf.CIQ($A32, "IQ_EBITDA", IQ_LTM-8, $L$2, $L$4, $L$3, $L$5, $L$6)</f>
        <v>#NAME?</v>
      </c>
      <c r="Y32" s="518" t="e">
        <f ca="1">_xll.ciqfunctions.udf.CIQ($A32, "IQ_EBITDA", IQ_LTM-4, $L$2,$L$4, $L$3, $L$5, $L$6)</f>
        <v>#NAME?</v>
      </c>
      <c r="Z32" s="518" t="e">
        <f ca="1">_xll.ciqfunctions.udf.CIQ($A32, "IQ_EBITDA", IQ_LTM, $L$2, $L$4, $L$3, $L$5, $L$6)</f>
        <v>#NAME?</v>
      </c>
      <c r="AA32" s="518" t="e">
        <f ca="1">_xll.ciqfunctions.udf.CIQ($A32, "IQ_EBITDA", $B$2, $L$2, $L$4, $L$3, $L$5, $L$6)</f>
        <v>#NAME?</v>
      </c>
      <c r="AB32" s="518" t="e">
        <f ca="1">IF(_xll.ciqfunctions.udf.CIQ($A32, "IQ_EBITDA", $B$3, $L$2,$L$4, $L$3, $L$5, $L$6)=0,Z32,_xll.ciqfunctions.udf.CIQ($A32, "IQ_EBITDA", $B$3, $L$2,$L$4, $L$3, $L$5, $L$6))</f>
        <v>#NAME?</v>
      </c>
      <c r="AC32" s="518" t="e">
        <f ca="1">IF(_xll.ciqfunctions.udf.CIQ($A32, "IQ_EBITDA_EST",$B$4, $L$2, "CON", $L$3, $L$5, $L$6)=0,"n/a",_xll.ciqfunctions.udf.CIQ($A32, "IQ_EBITDA_EST",$B$4, $L$2, "CON", $L$3, $L$5, $L$6))</f>
        <v>#NAME?</v>
      </c>
      <c r="AD32" s="518" t="e">
        <f ca="1">IF(_xll.ciqfunctions.udf.CIQ($A32, "IQ_EBITDA_EST",$B$5, $L$2, "CON", $L$3, $L$5, $L$6)=0,"n/a",_xll.ciqfunctions.udf.CIQ($A32, "IQ_EBITDA_EST",$B$5, $L$2, "CON", $L$3, $L$5, $L$6))</f>
        <v>#NAME?</v>
      </c>
      <c r="AE32" s="518" t="e">
        <f ca="1">IF(_xll.ciqfunctions.udf.CIQ($A32, "IQ_EBITDA_EST",$B$6, $L$2, "CON", $L$3, $L$5, $L$6)=0,"n/a",_xll.ciqfunctions.udf.CIQ($A32, "IQ_EBITDA_EST",$B$6, $L$2, "CON", $L$3, $L$5, $L$6))</f>
        <v>#NAME?</v>
      </c>
      <c r="AF32" s="519" t="str">
        <f ca="1">IF(ISERROR(_xll.ciqfunctions.udf.CIQ($A32, "IQ_GROSS_MARGIN", IQ_LTM, $L$2,$L$4, $L$3, $L$5, $L$6)/100), "n/a", _xll.ciqfunctions.udf.CIQ($A32,  "IQ_GROSS_MARGIN", IQ_LTM, $L$2, $L$4, $L$3, $L$5, $L$6)/100)</f>
        <v>n/a</v>
      </c>
      <c r="AG32" s="519" t="str">
        <f ca="1">IF(ISERROR(_xll.ciqfunctions.udf.CIQ($A32,"IQ_EBITDA_MARGIN", IQ_LTM, $L$2, $L$4, $L$3, $L$5, $L$6)/100), "n/a", _xll.ciqfunctions.udf.CIQ($A32, "IQ_EBITDA_MARGIN", IQ_LTM, $L$2, $L$4, $L$3, $L$5, $L$6)/100)</f>
        <v>n/a</v>
      </c>
      <c r="AH32" s="519" t="str">
        <f ca="1">IF(ISERROR(_xll.ciqfunctions.udf.CIQ($A32,"IQ_EBIT_MARGIN", IQ_LTM, $L$2, $L$4, $L$3, $L$5, $L$6)/100), "n/a", _xll.ciqfunctions.udf.CIQ($A32, "IQ_EBIT_MARGIN", IQ_LTM, $L$2, $L$4, $L$3, $L$5, $L$6)/100)</f>
        <v>n/a</v>
      </c>
      <c r="AI32" s="519" t="str">
        <f ca="1">IF(ISERROR(_xll.ciqfunctions.udf.CIQ($A32,"IQ_NI_MARGIN", IQ_LTM, $L$2, $L$4, $L$3, $L$5, $L$6)/100), "n/a", _xll.ciqfunctions.udf.CIQ($A32, "IQ_NI_MARGIN", IQ_LTM, $L$2, $L$4, $L$3, $L$5, $L$6)/100)</f>
        <v>n/a</v>
      </c>
      <c r="AJ32" s="518" t="str">
        <f ca="1">IF(ISERROR(_xll.ciqfunctions.udf.CIQ($A32, "IQ_NET_WORKING_CAP", IQ_LTM-8, $L$2, $L$4, $L$3, $L$5, $L$6)), "n/a", _xll.ciqfunctions.udf.CIQ($A32, "IQ_NET_WORKING_CAP", IQ_LTM-8, $L$2, $L$4, $L$3, $L$5, $L$6))</f>
        <v>n/a</v>
      </c>
      <c r="AK32" s="518" t="str">
        <f ca="1">IF(ISERROR(_xll.ciqfunctions.udf.CIQ($A32, "IQ_NET_WORKING_CAP", IQ_LTM-4, $L$2, $L$4, $L$3, $L$5, $L$6)), "n/a", _xll.ciqfunctions.udf.CIQ($A32, "IQ_NET_WORKING_CAP", IQ_LTM-4, $L$2, $L$4, $L$3, $L$5, $L$6))</f>
        <v>n/a</v>
      </c>
      <c r="AL32" s="518" t="str">
        <f ca="1">IF(ISERROR(_xll.ciqfunctions.udf.CIQ($A32, "IQ_NET_WORKING_CAP", IQ_LTM, $L$2,$L$4, $L$3, $L$5, $L$6)), "n/a", _xll.ciqfunctions.udf.CIQ($A32, "IQ_NET_WORKING_CAP", IQ_LTM, $L$2, $L$4, $L$3, $L$5, $L$6))</f>
        <v>n/a</v>
      </c>
      <c r="AM32" s="518" t="str">
        <f ca="1">IF(ISERROR(_xll.ciqfunctions.udf.CIQ($A32, "IQ_Capex", IQ_LTM-8, $L$2,$L$4, $L$3, $L$5, $L$6)), "n/a", _xll.ciqfunctions.udf.CIQ($A32, "IQ_Capex", IQ_LTM-8, $L$2, $L$4, $L$3, $L$5, $L$6))</f>
        <v>n/a</v>
      </c>
      <c r="AN32" s="518" t="str">
        <f ca="1">IF(ISERROR(_xll.ciqfunctions.udf.CIQ($A32, "IQ_Capex", IQ_LTM-4, $L$2,$L$4, $L$3, $L$5, $L$6)), "n/a", _xll.ciqfunctions.udf.CIQ($A32, "IQ_Capex", IQ_LTM-4, $L$2,$L$4, $L$3, $L$5, $L$6))</f>
        <v>n/a</v>
      </c>
      <c r="AO32" s="518" t="str">
        <f ca="1">IF(ISERROR(_xll.ciqfunctions.udf.CIQ($A32, "IQ_Capex", IQ_LTM, $L$2, $L$4, $L$3, $L$5, $L$6)), "n/a", _xll.ciqfunctions.udf.CIQ($A32, "IQ_Capex", IQ_LTM, $L$2, $L$4, $L$3, $L$5, $L$6))</f>
        <v>n/a</v>
      </c>
      <c r="AP32" s="520" t="e">
        <f ca="1">_xll.ciqfunctions.udf.CIQ(A32, "IQ_BUSINESS_DESCRIPTION")</f>
        <v>#NAME?</v>
      </c>
      <c r="AQ32" s="521" t="e">
        <f ca="1">_xll.ciqfunctions.udf.CIQ($A32, "IQ_BETA_1YR", $B$1)</f>
        <v>#NAME?</v>
      </c>
      <c r="AR32" s="521" t="e">
        <f ca="1">_xll.ciqfunctions.udf.CIQ($A32, "IQ_BETA_2YR", $B$1)</f>
        <v>#NAME?</v>
      </c>
      <c r="AS32" s="521" t="e">
        <f ca="1">_xll.ciqfunctions.udf.CIQ($A32, "IQ_BETA_5YR", $B$1)</f>
        <v>#NAME?</v>
      </c>
      <c r="AT32" s="519" t="e">
        <f ca="1">_xll.ciqfunctions.udf.CIQ($A32, "IQ_DIVIDEND_YIELD", $B$1)/100</f>
        <v>#NAME?</v>
      </c>
      <c r="AU32" s="518" t="e">
        <f ca="1">_xll.ciqfunctions.udf.CIQ($A32, "IQ_EARNING_CO", IQ_LTM-8, $L$2, $L$4, $L$3, $L$5, $L$6)</f>
        <v>#NAME?</v>
      </c>
      <c r="AV32" s="518" t="e">
        <f ca="1">_xll.ciqfunctions.udf.CIQ($A32, "IQ_EARNING_CO", IQ_LTM-4, $L$2, $L$4, $L$3, $L$5, $L$6)</f>
        <v>#NAME?</v>
      </c>
      <c r="AW32" s="518" t="e">
        <f ca="1">_xll.ciqfunctions.udf.CIQ($A32, "IQ_EARNING_CO", IQ_LTM, $L$2, $L$4, $L$3, $L$5, $L$6)</f>
        <v>#NAME?</v>
      </c>
      <c r="AX32" s="518" t="e">
        <f ca="1">_xll.ciqfunctions.udf.CIQ($A32, "IQ_EARNING_CO", $B$2, $L$2, $L$4, $L$3, $L$5, $L$6)</f>
        <v>#NAME?</v>
      </c>
      <c r="AY32" s="518" t="e">
        <f ca="1">IF(_xll.ciqfunctions.udf.CIQ($A32, "IQ_EARNING_CO", $B$3, $L$2,$L$4, $L$3, $L$5, $L$6)=0,AW32,_xll.ciqfunctions.udf.CIQ($A32, "IQ_EARNING_CO", $B$3, $L$2,$L$4, $L$3, $L$5, $L$6))</f>
        <v>#NAME?</v>
      </c>
      <c r="AZ32" s="518" t="e">
        <f ca="1">_xll.ciqfunctions.udf.CIQ($A32, "IQ_TOTAL_EQUITY", IQ_LTM-8, $L$2, $L$4, $L$3, $L$5, $L$6)</f>
        <v>#NAME?</v>
      </c>
      <c r="BA32" s="518" t="e">
        <f ca="1">_xll.ciqfunctions.udf.CIQ($A32, "IQ_TOTAL_EQUITY", IQ_LTM-4, $L$2, $L$4, $L$3, $L$5, $L$6)</f>
        <v>#NAME?</v>
      </c>
      <c r="BB32" s="518" t="e">
        <f ca="1">_xll.ciqfunctions.udf.CIQ($A32, "IQ_TOTAL_EQUITY", IQ_LTM, $L$2, $L$4, $L$3, $L$5, $L$6)</f>
        <v>#NAME?</v>
      </c>
      <c r="BC32" s="518" t="e">
        <f ca="1">_xll.ciqfunctions.udf.CIQ($A32, "IQ_TOTAL_EQUITY", $B$2, $L$2, $L$4, $L$3, $L$5, $L$6)</f>
        <v>#NAME?</v>
      </c>
      <c r="BD32" s="518" t="e">
        <f ca="1">IF(_xll.ciqfunctions.udf.CIQ($A32, "IQ_TOTAL_EQUITY", $B$3, $L$2,$L$4, $L$3, $L$5, $L$6)=0,BB32,_xll.ciqfunctions.udf.CIQ($A32, "IQ_TOTAL_EQUITY", $B$3, $L$2,$L$4, $L$3, $L$5, $L$6))</f>
        <v>#NAME?</v>
      </c>
      <c r="BE32" s="518" t="e">
        <f ca="1">_xll.ciqfunctions.udf.CIQ(A32, "IQ_LASTSALEPRICE", $B$8)</f>
        <v>#NAME?</v>
      </c>
      <c r="BF32" s="518" t="e">
        <f ca="1">_xll.ciqfunctions.udf.CIQ($A32, "IQ_MARKETCAP", $B$8, $L$5, $L$6)</f>
        <v>#NAME?</v>
      </c>
      <c r="BG32" s="518" t="e">
        <f ca="1">_xll.ciqfunctions.udf.CIQ($A32, "IQ_TOTAL_DEBT", IQ_LTM, $B$8,$L$4, $L$3, $L$5, $L$6)</f>
        <v>#NAME?</v>
      </c>
      <c r="BH32" s="466" t="e">
        <f ca="1">_xll.ciqfunctions.udf.CIQ($A32,"IQ_PREF_EQUITY",IQ_LTM,$B$8,$L$4,$L$3,$L$5,$L$6)</f>
        <v>#NAME?</v>
      </c>
      <c r="BI32" s="466" t="e">
        <f ca="1">_xll.ciqfunctions.udf.CIQ($A32, "IQ_MINORITY_INTEREST_TOTAL", IQ_LTM,$B$8,$L$4,$L$3,$L$5,$L$6)</f>
        <v>#NAME?</v>
      </c>
      <c r="BJ32" s="518" t="e">
        <f ca="1">_xll.ciqfunctions.udf.CIQ($A32, "IQ_CASH_ST_INVEST", IQ_LTM, $B$8, $L$4, $L$3, $L$5, $L$6)</f>
        <v>#NAME?</v>
      </c>
      <c r="BK32" s="466" t="e">
        <f ca="1">_xll.ciqfunctions.udf.CIQ($A32, "IQ_EFFECT_TAX_RATE")</f>
        <v>#NAME?</v>
      </c>
      <c r="BL32" s="466" t="e">
        <f ca="1">IF(_xll.ciqfunctions.udf.CIQ($A32, "IQ_TOTAL_REV_2YR_ANN_CAGR", IQ_LTM, $B$1,$L$4, $L$3, $L$5, $L$6)="NM","n/a",(_xll.ciqfunctions.udf.CIQ($A32, "IQ_TOTAL_REV_2YR_ANN_CAGR", IQ_LTM, $B$1,$L$4, $L$3, $L$5, $L$6)/100))</f>
        <v>#NAME?</v>
      </c>
      <c r="BM32" s="466" t="e">
        <f ca="1">IF(_xll.ciqfunctions.udf.CIQ($A32, "IQ_TOTAL_REV_3YR_ANN_CAGR", IQ_LTM, $B$1,$L$4, $L$3, $L$5, $L$6)="NM","n/a",(_xll.ciqfunctions.udf.CIQ($A32, "IQ_TOTAL_REV_3YR_ANN_CAGR", IQ_LTM, $B$1,$L$4, $L$3, $L$5, $L$6)/100))</f>
        <v>#NAME?</v>
      </c>
      <c r="BN32" s="466" t="e">
        <f ca="1">IF(_xll.ciqfunctions.udf.CIQ($A32, "IQ_TOTAL_REV_5YR_ANN_CAGR", IQ_LTM, $B$1,$L$4, $L$3, $L$5, $L$6)="NM","n/a",(_xll.ciqfunctions.udf.CIQ($A32, "IQ_TOTAL_REV_5YR_ANN_CAGR", IQ_LTM, $B$1,$L$4, $L$3, $L$5, $L$6)/100))</f>
        <v>#NAME?</v>
      </c>
      <c r="BO32" s="466" t="e">
        <f ca="1">IF(_xll.ciqfunctions.udf.CIQ($A32,"IQ_EBITDA_2YR_ANN_CAGR", IQ_LTM,$B$1,$L$4, $L$3, $L$5, $L$6)="NM","n/a",(_xll.ciqfunctions.udf.CIQ($A32,"IQ_EBITDA_2YR_ANN_CAGR", IQ_LTM,$B$1,$L$4, $L$3, $L$5, $L$6)/100))</f>
        <v>#NAME?</v>
      </c>
      <c r="BP32" s="466" t="e">
        <f ca="1">IF(_xll.ciqfunctions.udf.CIQ($A32,"IQ_EBITDA_3YR_ANN_CAGR", IQ_LTM,$B$1,$L$4, $L$3, $L$5, $L$6)="NM","n/a",(_xll.ciqfunctions.udf.CIQ($A32,"IQ_EBITDA_3YR_ANN_CAGR", IQ_LTM,$B$1,$L$4, $L$3, $L$5, $L$6)/100))</f>
        <v>#NAME?</v>
      </c>
      <c r="BQ32" s="466" t="e">
        <f ca="1">IF(_xll.ciqfunctions.udf.CIQ($A32,"IQ_EBITDA_5YR_ANN_CAGR", IQ_LTM,$B$1,$L$4, $L$3, $L$5, $L$6)="NM","n/a",(_xll.ciqfunctions.udf.CIQ($A32,"IQ_EBITDA_5YR_ANN_CAGR", IQ_LTM,$B$1,$L$4, $L$3, $L$5, $L$6)/100))</f>
        <v>#NAME?</v>
      </c>
      <c r="BR32" s="470" t="str">
        <f ca="1">IFERROR((_xll.ciqfunctions.udf.CIQ($A32, "IQ_DA_CF", IQ_LTM, $B$1, $L$4, $L$3, $L$5, $L$6)/Q32),"NM")</f>
        <v>NM</v>
      </c>
      <c r="BS32" s="522">
        <f>'Capital IQ Sheet-GPC'!BS32</f>
        <v>0.88100000000000001</v>
      </c>
      <c r="BT32" s="522">
        <f>'Capital IQ Sheet-GPC'!BT32</f>
        <v>1.214</v>
      </c>
      <c r="BU32" s="522">
        <f>'Capital IQ Sheet-GPC'!BU32</f>
        <v>1.2470000000000001</v>
      </c>
      <c r="BV32" s="522">
        <f>'Capital IQ Sheet-GPC'!BV32</f>
        <v>1.2</v>
      </c>
      <c r="BW32" s="522">
        <f>'Capital IQ Sheet-GPC'!BW32</f>
        <v>1.141</v>
      </c>
      <c r="BX32" s="522">
        <f>'Capital IQ Sheet-GPC'!BX32</f>
        <v>1.28</v>
      </c>
      <c r="BY32" s="522">
        <f>'Capital IQ Sheet-GPC'!BY32</f>
        <v>1.3959999999999999</v>
      </c>
      <c r="BZ32" s="522">
        <f>'Capital IQ Sheet-GPC'!BZ32</f>
        <v>1.3540000000000001</v>
      </c>
      <c r="CB32" s="466">
        <v>2</v>
      </c>
      <c r="CC32" s="614" t="s">
        <v>155</v>
      </c>
      <c r="CD32" s="614" t="s">
        <v>154</v>
      </c>
      <c r="CE32" s="468">
        <f t="shared" si="1"/>
        <v>42582</v>
      </c>
    </row>
    <row r="33" spans="1:83" s="466" customFormat="1" ht="12.75">
      <c r="A33" s="467" t="e">
        <f ca="1">_xll.ciqfunctions.udf.CIQ($B33,"IQ_COMPANY_TICKER")</f>
        <v>#NAME?</v>
      </c>
      <c r="B33" s="517" t="str">
        <f>'Capital IQ Sheet-GPC'!B33</f>
        <v>(Invalid Identifier)</v>
      </c>
      <c r="C33" s="467" t="e">
        <f ca="1">_xll.ciqfunctions.udf.CIQ($A33,"IQ_COMPANY_NAME")</f>
        <v>#NAME?</v>
      </c>
      <c r="D33" s="467" t="e">
        <f ca="1">_xll.ciqfunctions.udf.CIQ($A33, "IQ_EXCHANGE")</f>
        <v>#NAME?</v>
      </c>
      <c r="E33" s="516" t="e">
        <f ca="1">_xll.ciqfunctions.udf.CIQ($A33, "IQ_PERIODDATE_IS", IQ_FY)</f>
        <v>#NAME?</v>
      </c>
      <c r="F33" s="516" t="e">
        <f ca="1">_xll.ciqfunctions.udf.CIQ(A33, "IQ_PERIODDATE_IS", IQ_LTM, $B$1,$L$4,$L$3)</f>
        <v>#NAME?</v>
      </c>
      <c r="G33" s="516" t="e">
        <f ca="1">_xll.ciqfunctions.udf.CIQ($A33, "IQ_FIRSTPRICINGDATE")</f>
        <v>#NAME?</v>
      </c>
      <c r="H33" s="518" t="e">
        <f ca="1">_xll.ciqfunctions.udf.CIQ($A33, "IQ_TEV", $L$2, $L$5, $L$6)</f>
        <v>#NAME?</v>
      </c>
      <c r="I33" s="518" t="e">
        <f ca="1">_xll.ciqfunctions.udf.CIQ(A33, "IQ_LASTSALEPRICE", $B$1,$L$5)</f>
        <v>#NAME?</v>
      </c>
      <c r="J33" s="518" t="e">
        <f ca="1">_xll.ciqfunctions.udf.CIQ($A33, "IQ_MARKETCAP", $L$2, $L$5, $L$6)</f>
        <v>#NAME?</v>
      </c>
      <c r="K33" s="518" t="e">
        <f ca="1">_xll.ciqfunctions.udf.CIQ($A33, "IQ_TOTAL_DEBT", IQ_LTM, $L$2,$L$4, $L$3, $L$5, $L$6)</f>
        <v>#NAME?</v>
      </c>
      <c r="L33" s="518" t="e">
        <f ca="1">_xll.ciqfunctions.udf.CIQ($A33, "IQ_PREF_EQUITY", IQ_LTM, $L$2, $L$4, $L$3, $L$5, $L$6)</f>
        <v>#NAME?</v>
      </c>
      <c r="M33" s="518" t="e">
        <f ca="1">_xll.ciqfunctions.udf.CIQ($A33, "IQ_MINORITY_INTEREST_TOTAL", IQ_LTM, $L$2, $L$4, $L$3, $L$5, $L$6)</f>
        <v>#NAME?</v>
      </c>
      <c r="N33" s="518" t="e">
        <f ca="1">_xll.ciqfunctions.udf.CIQ($A33, "IQ_CASH_ST_INVEST", IQ_LTM, $L$2, $L$4, $L$3, $L$5, $L$6)</f>
        <v>#NAME?</v>
      </c>
      <c r="O33" s="518" t="e">
        <f ca="1">_xll.ciqfunctions.udf.CIQ($A33, "IQ_TOTAL_REV", IQ_LTM-8, $L$2, $L$4, $L$3, $L$5, $L$6)</f>
        <v>#NAME?</v>
      </c>
      <c r="P33" s="518" t="e">
        <f ca="1">_xll.ciqfunctions.udf.CIQ($A33, "IQ_TOTAL_REV", IQ_LTM - 4, $L$2, $L$4, $L$3, $L$5,$L$6)</f>
        <v>#NAME?</v>
      </c>
      <c r="Q33" s="518" t="e">
        <f ca="1">_xll.ciqfunctions.udf.CIQ($A33, "IQ_TOTAL_REV", IQ_LTM, $L$2, $L$4, $L$3, $L$5, $L$6)</f>
        <v>#NAME?</v>
      </c>
      <c r="R33" s="518" t="e">
        <f ca="1">_xll.ciqfunctions.udf.CIQ($A33, "IQ_TOTAL_REV", $B$2, $L$2, $L$4, $L$3, $L$5, $L$6)</f>
        <v>#NAME?</v>
      </c>
      <c r="S33" s="518" t="e">
        <f ca="1">IF(_xll.ciqfunctions.udf.CIQ($A33, "IQ_TOTAL_REV", $B$3, $L$2,$L$4, $L$3, $L$5, $L$6)=0,Q33,_xll.ciqfunctions.udf.CIQ($A33, "IQ_TOTAL_REV", $B$3, $L$2,$L$4, $L$3, $L$5, $L$6))</f>
        <v>#NAME?</v>
      </c>
      <c r="T33" s="518" t="e">
        <f ca="1">IF(_xll.ciqfunctions.udf.CIQ($A33, "IQ_REVENUE_EST",$B$4, $L$2, "CON", $L$3, $L$5, $L$6)=0,"n/a",_xll.ciqfunctions.udf.CIQ($A33, "IQ_REVENUE_EST",$B$4, $L$2, "CON", $L$3, $L$5, $L$6))</f>
        <v>#NAME?</v>
      </c>
      <c r="U33" s="518" t="e">
        <f ca="1">IF(_xll.ciqfunctions.udf.CIQ($A33, "IQ_REVENUE_EST",$B$5, $L$2, "CON", $L$3, $L$5, $L$6)=0,"n/a",_xll.ciqfunctions.udf.CIQ($A33, "IQ_REVENUE_EST",$B$5, $L$2, "CON", $L$3, $L$5, $L$6))</f>
        <v>#NAME?</v>
      </c>
      <c r="V33" s="518" t="e">
        <f ca="1">IF(_xll.ciqfunctions.udf.CIQ($A33, "IQ_REVENUE_EST",$B$6, $L$2, "CON", $L$3, $L$5, $L$6)=0,"n/a",_xll.ciqfunctions.udf.CIQ($A33, "IQ_REVENUE_EST",$B$6, $L$2, "CON", $L$3, $L$5, $L$6))</f>
        <v>#NAME?</v>
      </c>
      <c r="W33" s="518" t="e">
        <f ca="1">IF(_xll.ciqfunctions.udf.CIQ($A33, "IQ_REVENUE_EST", $B$7, $L$2, "CON", $L$3, $L$5, $L$6)=0,"n/a",_xll.ciqfunctions.udf.CIQ($A33, "IQ_REVENUE_EST",$B$7, $L$2, "CON", $L$3, $L$5, $L$6))</f>
        <v>#NAME?</v>
      </c>
      <c r="X33" s="518" t="e">
        <f ca="1">_xll.ciqfunctions.udf.CIQ($A33, "IQ_EBITDA", IQ_LTM-8, $L$2, $L$4, $L$3, $L$5, $L$6)</f>
        <v>#NAME?</v>
      </c>
      <c r="Y33" s="518" t="e">
        <f ca="1">_xll.ciqfunctions.udf.CIQ($A33, "IQ_EBITDA", IQ_LTM-4, $L$2,$L$4, $L$3, $L$5, $L$6)</f>
        <v>#NAME?</v>
      </c>
      <c r="Z33" s="518" t="e">
        <f ca="1">_xll.ciqfunctions.udf.CIQ($A33, "IQ_EBITDA", IQ_LTM, $L$2, $L$4, $L$3, $L$5, $L$6)</f>
        <v>#NAME?</v>
      </c>
      <c r="AA33" s="518" t="e">
        <f ca="1">_xll.ciqfunctions.udf.CIQ($A33, "IQ_EBITDA", $B$2, $L$2, $L$4, $L$3, $L$5, $L$6)</f>
        <v>#NAME?</v>
      </c>
      <c r="AB33" s="518" t="e">
        <f ca="1">IF(_xll.ciqfunctions.udf.CIQ($A33, "IQ_EBITDA", $B$3, $L$2,$L$4, $L$3, $L$5, $L$6)=0,Z33,_xll.ciqfunctions.udf.CIQ($A33, "IQ_EBITDA", $B$3, $L$2,$L$4, $L$3, $L$5, $L$6))</f>
        <v>#NAME?</v>
      </c>
      <c r="AC33" s="518" t="e">
        <f ca="1">IF(_xll.ciqfunctions.udf.CIQ($A33, "IQ_EBITDA_EST",$B$4, $L$2, "CON", $L$3, $L$5, $L$6)=0,"n/a",_xll.ciqfunctions.udf.CIQ($A33, "IQ_EBITDA_EST",$B$4, $L$2, "CON", $L$3, $L$5, $L$6))</f>
        <v>#NAME?</v>
      </c>
      <c r="AD33" s="518" t="e">
        <f ca="1">IF(_xll.ciqfunctions.udf.CIQ($A33, "IQ_EBITDA_EST",$B$5, $L$2, "CON", $L$3, $L$5, $L$6)=0,"n/a",_xll.ciqfunctions.udf.CIQ($A33, "IQ_EBITDA_EST",$B$5, $L$2, "CON", $L$3, $L$5, $L$6))</f>
        <v>#NAME?</v>
      </c>
      <c r="AE33" s="518" t="e">
        <f ca="1">IF(_xll.ciqfunctions.udf.CIQ($A33, "IQ_EBITDA_EST",$B$6, $L$2, "CON", $L$3, $L$5, $L$6)=0,"n/a",_xll.ciqfunctions.udf.CIQ($A33, "IQ_EBITDA_EST",$B$6, $L$2, "CON", $L$3, $L$5, $L$6))</f>
        <v>#NAME?</v>
      </c>
      <c r="AF33" s="519" t="str">
        <f ca="1">IF(ISERROR(_xll.ciqfunctions.udf.CIQ($A33, "IQ_GROSS_MARGIN", IQ_LTM, $L$2,$L$4, $L$3, $L$5, $L$6)/100), "n/a", _xll.ciqfunctions.udf.CIQ($A33,  "IQ_GROSS_MARGIN", IQ_LTM, $L$2, $L$4, $L$3, $L$5, $L$6)/100)</f>
        <v>n/a</v>
      </c>
      <c r="AG33" s="519" t="str">
        <f ca="1">IF(ISERROR(_xll.ciqfunctions.udf.CIQ($A33,"IQ_EBITDA_MARGIN", IQ_LTM, $L$2, $L$4, $L$3, $L$5, $L$6)/100), "n/a", _xll.ciqfunctions.udf.CIQ($A33, "IQ_EBITDA_MARGIN", IQ_LTM, $L$2, $L$4, $L$3, $L$5, $L$6)/100)</f>
        <v>n/a</v>
      </c>
      <c r="AH33" s="519" t="str">
        <f ca="1">IF(ISERROR(_xll.ciqfunctions.udf.CIQ($A33,"IQ_EBIT_MARGIN", IQ_LTM, $L$2, $L$4, $L$3, $L$5, $L$6)/100), "n/a", _xll.ciqfunctions.udf.CIQ($A33, "IQ_EBIT_MARGIN", IQ_LTM, $L$2, $L$4, $L$3, $L$5, $L$6)/100)</f>
        <v>n/a</v>
      </c>
      <c r="AI33" s="519" t="str">
        <f ca="1">IF(ISERROR(_xll.ciqfunctions.udf.CIQ($A33,"IQ_NI_MARGIN", IQ_LTM, $L$2, $L$4, $L$3, $L$5, $L$6)/100), "n/a", _xll.ciqfunctions.udf.CIQ($A33, "IQ_NI_MARGIN", IQ_LTM, $L$2, $L$4, $L$3, $L$5, $L$6)/100)</f>
        <v>n/a</v>
      </c>
      <c r="AJ33" s="518" t="str">
        <f ca="1">IF(ISERROR(_xll.ciqfunctions.udf.CIQ($A33, "IQ_NET_WORKING_CAP", IQ_LTM-8, $L$2, $L$4, $L$3, $L$5, $L$6)), "n/a", _xll.ciqfunctions.udf.CIQ($A33, "IQ_NET_WORKING_CAP", IQ_LTM-8, $L$2, $L$4, $L$3, $L$5, $L$6))</f>
        <v>n/a</v>
      </c>
      <c r="AK33" s="518" t="str">
        <f ca="1">IF(ISERROR(_xll.ciqfunctions.udf.CIQ($A33, "IQ_NET_WORKING_CAP", IQ_LTM-4, $L$2, $L$4, $L$3, $L$5, $L$6)), "n/a", _xll.ciqfunctions.udf.CIQ($A33, "IQ_NET_WORKING_CAP", IQ_LTM-4, $L$2, $L$4, $L$3, $L$5, $L$6))</f>
        <v>n/a</v>
      </c>
      <c r="AL33" s="518" t="str">
        <f ca="1">IF(ISERROR(_xll.ciqfunctions.udf.CIQ($A33, "IQ_NET_WORKING_CAP", IQ_LTM, $L$2,$L$4, $L$3, $L$5, $L$6)), "n/a", _xll.ciqfunctions.udf.CIQ($A33, "IQ_NET_WORKING_CAP", IQ_LTM, $L$2, $L$4, $L$3, $L$5, $L$6))</f>
        <v>n/a</v>
      </c>
      <c r="AM33" s="518" t="str">
        <f ca="1">IF(ISERROR(_xll.ciqfunctions.udf.CIQ($A33, "IQ_Capex", IQ_LTM-8, $L$2,$L$4, $L$3, $L$5, $L$6)), "n/a", _xll.ciqfunctions.udf.CIQ($A33, "IQ_Capex", IQ_LTM-8, $L$2, $L$4, $L$3, $L$5, $L$6))</f>
        <v>n/a</v>
      </c>
      <c r="AN33" s="518" t="str">
        <f ca="1">IF(ISERROR(_xll.ciqfunctions.udf.CIQ($A33, "IQ_Capex", IQ_LTM-4, $L$2,$L$4, $L$3, $L$5, $L$6)), "n/a", _xll.ciqfunctions.udf.CIQ($A33, "IQ_Capex", IQ_LTM-4, $L$2,$L$4, $L$3, $L$5, $L$6))</f>
        <v>n/a</v>
      </c>
      <c r="AO33" s="518" t="str">
        <f ca="1">IF(ISERROR(_xll.ciqfunctions.udf.CIQ($A33, "IQ_Capex", IQ_LTM, $L$2, $L$4, $L$3, $L$5, $L$6)), "n/a", _xll.ciqfunctions.udf.CIQ($A33, "IQ_Capex", IQ_LTM, $L$2, $L$4, $L$3, $L$5, $L$6))</f>
        <v>n/a</v>
      </c>
      <c r="AP33" s="520" t="e">
        <f ca="1">_xll.ciqfunctions.udf.CIQ(A33, "IQ_BUSINESS_DESCRIPTION")</f>
        <v>#NAME?</v>
      </c>
      <c r="AQ33" s="521" t="e">
        <f ca="1">_xll.ciqfunctions.udf.CIQ($A33, "IQ_BETA_1YR", $B$1)</f>
        <v>#NAME?</v>
      </c>
      <c r="AR33" s="521" t="e">
        <f ca="1">_xll.ciqfunctions.udf.CIQ($A33, "IQ_BETA_2YR", $B$1)</f>
        <v>#NAME?</v>
      </c>
      <c r="AS33" s="521" t="e">
        <f ca="1">_xll.ciqfunctions.udf.CIQ($A33, "IQ_BETA_5YR", $B$1)</f>
        <v>#NAME?</v>
      </c>
      <c r="AT33" s="519" t="e">
        <f ca="1">_xll.ciqfunctions.udf.CIQ($A33, "IQ_DIVIDEND_YIELD", $B$1)/100</f>
        <v>#NAME?</v>
      </c>
      <c r="AU33" s="518" t="e">
        <f ca="1">_xll.ciqfunctions.udf.CIQ($A33, "IQ_EARNING_CO", IQ_LTM-8, $L$2, $L$4, $L$3, $L$5, $L$6)</f>
        <v>#NAME?</v>
      </c>
      <c r="AV33" s="518" t="e">
        <f ca="1">_xll.ciqfunctions.udf.CIQ($A33, "IQ_EARNING_CO", IQ_LTM-4, $L$2, $L$4, $L$3, $L$5, $L$6)</f>
        <v>#NAME?</v>
      </c>
      <c r="AW33" s="518" t="e">
        <f ca="1">_xll.ciqfunctions.udf.CIQ($A33, "IQ_EARNING_CO", IQ_LTM, $L$2, $L$4, $L$3, $L$5, $L$6)</f>
        <v>#NAME?</v>
      </c>
      <c r="AX33" s="518" t="e">
        <f ca="1">_xll.ciqfunctions.udf.CIQ($A33, "IQ_EARNING_CO", $B$2, $L$2, $L$4, $L$3, $L$5, $L$6)</f>
        <v>#NAME?</v>
      </c>
      <c r="AY33" s="518" t="e">
        <f ca="1">IF(_xll.ciqfunctions.udf.CIQ($A33, "IQ_EARNING_CO", $B$3, $L$2,$L$4, $L$3, $L$5, $L$6)=0,AW33,_xll.ciqfunctions.udf.CIQ($A33, "IQ_EARNING_CO", $B$3, $L$2,$L$4, $L$3, $L$5, $L$6))</f>
        <v>#NAME?</v>
      </c>
      <c r="AZ33" s="518" t="e">
        <f ca="1">_xll.ciqfunctions.udf.CIQ($A33, "IQ_TOTAL_EQUITY", IQ_LTM-8, $L$2, $L$4, $L$3, $L$5, $L$6)</f>
        <v>#NAME?</v>
      </c>
      <c r="BA33" s="518" t="e">
        <f ca="1">_xll.ciqfunctions.udf.CIQ($A33, "IQ_TOTAL_EQUITY", IQ_LTM-4, $L$2, $L$4, $L$3, $L$5, $L$6)</f>
        <v>#NAME?</v>
      </c>
      <c r="BB33" s="518" t="e">
        <f ca="1">_xll.ciqfunctions.udf.CIQ($A33, "IQ_TOTAL_EQUITY", IQ_LTM, $L$2, $L$4, $L$3, $L$5, $L$6)</f>
        <v>#NAME?</v>
      </c>
      <c r="BC33" s="518" t="e">
        <f ca="1">_xll.ciqfunctions.udf.CIQ($A33, "IQ_TOTAL_EQUITY", $B$2, $L$2, $L$4, $L$3, $L$5, $L$6)</f>
        <v>#NAME?</v>
      </c>
      <c r="BD33" s="518" t="e">
        <f ca="1">IF(_xll.ciqfunctions.udf.CIQ($A33, "IQ_TOTAL_EQUITY", $B$3, $L$2,$L$4, $L$3, $L$5, $L$6)=0,BB33,_xll.ciqfunctions.udf.CIQ($A33, "IQ_TOTAL_EQUITY", $B$3, $L$2,$L$4, $L$3, $L$5, $L$6))</f>
        <v>#NAME?</v>
      </c>
      <c r="BE33" s="518" t="e">
        <f ca="1">_xll.ciqfunctions.udf.CIQ(A33, "IQ_LASTSALEPRICE", $B$8)</f>
        <v>#NAME?</v>
      </c>
      <c r="BF33" s="518" t="e">
        <f ca="1">_xll.ciqfunctions.udf.CIQ($A33, "IQ_MARKETCAP", $B$8, $L$5, $L$6)</f>
        <v>#NAME?</v>
      </c>
      <c r="BG33" s="518" t="e">
        <f ca="1">_xll.ciqfunctions.udf.CIQ($A33, "IQ_TOTAL_DEBT", IQ_LTM, $B$8,$L$4, $L$3, $L$5, $L$6)</f>
        <v>#NAME?</v>
      </c>
      <c r="BH33" s="466" t="e">
        <f ca="1">_xll.ciqfunctions.udf.CIQ($A33,"IQ_PREF_EQUITY",IQ_LTM,$B$8,$L$4,$L$3,$L$5,$L$6)</f>
        <v>#NAME?</v>
      </c>
      <c r="BI33" s="466" t="e">
        <f ca="1">_xll.ciqfunctions.udf.CIQ($A33, "IQ_MINORITY_INTEREST_TOTAL", IQ_LTM,$B$8,$L$4,$L$3,$L$5,$L$6)</f>
        <v>#NAME?</v>
      </c>
      <c r="BJ33" s="518" t="e">
        <f ca="1">_xll.ciqfunctions.udf.CIQ($A33, "IQ_CASH_ST_INVEST", IQ_LTM, $B$8, $L$4, $L$3, $L$5, $L$6)</f>
        <v>#NAME?</v>
      </c>
      <c r="BK33" s="466" t="e">
        <f ca="1">_xll.ciqfunctions.udf.CIQ($A33, "IQ_EFFECT_TAX_RATE")</f>
        <v>#NAME?</v>
      </c>
      <c r="BL33" s="466" t="e">
        <f ca="1">IF(_xll.ciqfunctions.udf.CIQ($A33, "IQ_TOTAL_REV_2YR_ANN_CAGR", IQ_LTM, $B$1,$L$4, $L$3, $L$5, $L$6)="NM","n/a",(_xll.ciqfunctions.udf.CIQ($A33, "IQ_TOTAL_REV_2YR_ANN_CAGR", IQ_LTM, $B$1,$L$4, $L$3, $L$5, $L$6)/100))</f>
        <v>#NAME?</v>
      </c>
      <c r="BM33" s="466" t="e">
        <f ca="1">IF(_xll.ciqfunctions.udf.CIQ($A33, "IQ_TOTAL_REV_3YR_ANN_CAGR", IQ_LTM, $B$1,$L$4, $L$3, $L$5, $L$6)="NM","n/a",(_xll.ciqfunctions.udf.CIQ($A33, "IQ_TOTAL_REV_3YR_ANN_CAGR", IQ_LTM, $B$1,$L$4, $L$3, $L$5, $L$6)/100))</f>
        <v>#NAME?</v>
      </c>
      <c r="BN33" s="466" t="e">
        <f ca="1">IF(_xll.ciqfunctions.udf.CIQ($A33, "IQ_TOTAL_REV_5YR_ANN_CAGR", IQ_LTM, $B$1,$L$4, $L$3, $L$5, $L$6)="NM","n/a",(_xll.ciqfunctions.udf.CIQ($A33, "IQ_TOTAL_REV_5YR_ANN_CAGR", IQ_LTM, $B$1,$L$4, $L$3, $L$5, $L$6)/100))</f>
        <v>#NAME?</v>
      </c>
      <c r="BO33" s="466" t="e">
        <f ca="1">IF(_xll.ciqfunctions.udf.CIQ($A33,"IQ_EBITDA_2YR_ANN_CAGR", IQ_LTM,$B$1,$L$4, $L$3, $L$5, $L$6)="NM","n/a",(_xll.ciqfunctions.udf.CIQ($A33,"IQ_EBITDA_2YR_ANN_CAGR", IQ_LTM,$B$1,$L$4, $L$3, $L$5, $L$6)/100))</f>
        <v>#NAME?</v>
      </c>
      <c r="BP33" s="466" t="e">
        <f ca="1">IF(_xll.ciqfunctions.udf.CIQ($A33,"IQ_EBITDA_3YR_ANN_CAGR", IQ_LTM,$B$1,$L$4, $L$3, $L$5, $L$6)="NM","n/a",(_xll.ciqfunctions.udf.CIQ($A33,"IQ_EBITDA_3YR_ANN_CAGR", IQ_LTM,$B$1,$L$4, $L$3, $L$5, $L$6)/100))</f>
        <v>#NAME?</v>
      </c>
      <c r="BQ33" s="466" t="e">
        <f ca="1">IF(_xll.ciqfunctions.udf.CIQ($A33,"IQ_EBITDA_5YR_ANN_CAGR", IQ_LTM,$B$1,$L$4, $L$3, $L$5, $L$6)="NM","n/a",(_xll.ciqfunctions.udf.CIQ($A33,"IQ_EBITDA_5YR_ANN_CAGR", IQ_LTM,$B$1,$L$4, $L$3, $L$5, $L$6)/100))</f>
        <v>#NAME?</v>
      </c>
      <c r="BR33" s="470" t="str">
        <f ca="1">IFERROR((_xll.ciqfunctions.udf.CIQ($A33, "IQ_DA_CF", IQ_LTM, $B$1, $L$4, $L$3, $L$5, $L$6)/Q33),"NM")</f>
        <v>NM</v>
      </c>
      <c r="BS33" s="522" t="e">
        <f>'Capital IQ Sheet-GPC'!BS33</f>
        <v>#VALUE!</v>
      </c>
      <c r="BT33" s="522" t="e">
        <f>'Capital IQ Sheet-GPC'!BT33</f>
        <v>#VALUE!</v>
      </c>
      <c r="BU33" s="522" t="e">
        <f>'Capital IQ Sheet-GPC'!BU33</f>
        <v>#VALUE!</v>
      </c>
      <c r="BV33" s="522" t="e">
        <f>'Capital IQ Sheet-GPC'!BV33</f>
        <v>#VALUE!</v>
      </c>
      <c r="BW33" s="522" t="e">
        <f>'Capital IQ Sheet-GPC'!BW33</f>
        <v>#VALUE!</v>
      </c>
      <c r="BX33" s="522" t="e">
        <f>'Capital IQ Sheet-GPC'!BX33</f>
        <v>#VALUE!</v>
      </c>
      <c r="BY33" s="522" t="e">
        <f>'Capital IQ Sheet-GPC'!BY33</f>
        <v>#VALUE!</v>
      </c>
      <c r="BZ33" s="522" t="e">
        <f>'Capital IQ Sheet-GPC'!BZ33</f>
        <v>#VALUE!</v>
      </c>
      <c r="CB33" s="466">
        <v>2</v>
      </c>
      <c r="CC33" s="614" t="s">
        <v>155</v>
      </c>
      <c r="CD33" s="614" t="s">
        <v>154</v>
      </c>
      <c r="CE33" s="468">
        <f t="shared" si="1"/>
        <v>42582</v>
      </c>
    </row>
    <row r="34" spans="1:83" s="466" customFormat="1" ht="12.75">
      <c r="A34" s="467" t="e">
        <f ca="1">_xll.ciqfunctions.udf.CIQ($B34,"IQ_COMPANY_TICKER")</f>
        <v>#NAME?</v>
      </c>
      <c r="B34" s="517" t="str">
        <f>'Capital IQ Sheet-GPC'!B34</f>
        <v>(Invalid Identifier)</v>
      </c>
      <c r="C34" s="467" t="e">
        <f ca="1">_xll.ciqfunctions.udf.CIQ($A34,"IQ_COMPANY_NAME")</f>
        <v>#NAME?</v>
      </c>
      <c r="D34" s="467" t="e">
        <f ca="1">_xll.ciqfunctions.udf.CIQ($A34, "IQ_EXCHANGE")</f>
        <v>#NAME?</v>
      </c>
      <c r="E34" s="516" t="e">
        <f ca="1">_xll.ciqfunctions.udf.CIQ($A34, "IQ_PERIODDATE_IS", IQ_FY)</f>
        <v>#NAME?</v>
      </c>
      <c r="F34" s="516" t="e">
        <f ca="1">_xll.ciqfunctions.udf.CIQ(A34, "IQ_PERIODDATE_IS", IQ_LTM, $B$1,$L$4,$L$3)</f>
        <v>#NAME?</v>
      </c>
      <c r="G34" s="516" t="e">
        <f ca="1">_xll.ciqfunctions.udf.CIQ($A34, "IQ_FIRSTPRICINGDATE")</f>
        <v>#NAME?</v>
      </c>
      <c r="H34" s="518" t="e">
        <f ca="1">_xll.ciqfunctions.udf.CIQ($A34, "IQ_TEV", $L$2, $L$5, $L$6)</f>
        <v>#NAME?</v>
      </c>
      <c r="I34" s="518" t="e">
        <f ca="1">_xll.ciqfunctions.udf.CIQ(A34, "IQ_LASTSALEPRICE", $B$1,$L$5)</f>
        <v>#NAME?</v>
      </c>
      <c r="J34" s="518" t="e">
        <f ca="1">_xll.ciqfunctions.udf.CIQ($A34, "IQ_MARKETCAP", $L$2, $L$5, $L$6)</f>
        <v>#NAME?</v>
      </c>
      <c r="K34" s="518" t="e">
        <f ca="1">_xll.ciqfunctions.udf.CIQ($A34, "IQ_TOTAL_DEBT", IQ_LTM, $L$2,$L$4, $L$3, $L$5, $L$6)</f>
        <v>#NAME?</v>
      </c>
      <c r="L34" s="518" t="e">
        <f ca="1">_xll.ciqfunctions.udf.CIQ($A34, "IQ_PREF_EQUITY", IQ_LTM, $L$2, $L$4, $L$3, $L$5, $L$6)</f>
        <v>#NAME?</v>
      </c>
      <c r="M34" s="518" t="e">
        <f ca="1">_xll.ciqfunctions.udf.CIQ($A34, "IQ_MINORITY_INTEREST_TOTAL", IQ_LTM, $L$2, $L$4, $L$3, $L$5, $L$6)</f>
        <v>#NAME?</v>
      </c>
      <c r="N34" s="518" t="e">
        <f ca="1">_xll.ciqfunctions.udf.CIQ($A34, "IQ_CASH_ST_INVEST", IQ_LTM, $L$2, $L$4, $L$3, $L$5, $L$6)</f>
        <v>#NAME?</v>
      </c>
      <c r="O34" s="518" t="e">
        <f ca="1">_xll.ciqfunctions.udf.CIQ($A34, "IQ_TOTAL_REV", IQ_LTM-8, $L$2, $L$4, $L$3, $L$5, $L$6)</f>
        <v>#NAME?</v>
      </c>
      <c r="P34" s="518" t="e">
        <f ca="1">_xll.ciqfunctions.udf.CIQ($A34, "IQ_TOTAL_REV", IQ_LTM - 4, $L$2, $L$4, $L$3, $L$5,$L$6)</f>
        <v>#NAME?</v>
      </c>
      <c r="Q34" s="518" t="e">
        <f ca="1">_xll.ciqfunctions.udf.CIQ($A34, "IQ_TOTAL_REV", IQ_LTM, $L$2, $L$4, $L$3, $L$5, $L$6)</f>
        <v>#NAME?</v>
      </c>
      <c r="R34" s="518" t="e">
        <f ca="1">_xll.ciqfunctions.udf.CIQ($A34, "IQ_TOTAL_REV", $B$2, $L$2, $L$4, $L$3, $L$5, $L$6)</f>
        <v>#NAME?</v>
      </c>
      <c r="S34" s="518" t="e">
        <f ca="1">IF(_xll.ciqfunctions.udf.CIQ($A34, "IQ_TOTAL_REV", $B$3, $L$2,$L$4, $L$3, $L$5, $L$6)=0,Q34,_xll.ciqfunctions.udf.CIQ($A34, "IQ_TOTAL_REV", $B$3, $L$2,$L$4, $L$3, $L$5, $L$6))</f>
        <v>#NAME?</v>
      </c>
      <c r="T34" s="518" t="e">
        <f ca="1">IF(_xll.ciqfunctions.udf.CIQ($A34, "IQ_REVENUE_EST",$B$4, $L$2, "CON", $L$3, $L$5, $L$6)=0,"n/a",_xll.ciqfunctions.udf.CIQ($A34, "IQ_REVENUE_EST",$B$4, $L$2, "CON", $L$3, $L$5, $L$6))</f>
        <v>#NAME?</v>
      </c>
      <c r="U34" s="518" t="e">
        <f ca="1">IF(_xll.ciqfunctions.udf.CIQ($A34, "IQ_REVENUE_EST",$B$5, $L$2, "CON", $L$3, $L$5, $L$6)=0,"n/a",_xll.ciqfunctions.udf.CIQ($A34, "IQ_REVENUE_EST",$B$5, $L$2, "CON", $L$3, $L$5, $L$6))</f>
        <v>#NAME?</v>
      </c>
      <c r="V34" s="518" t="e">
        <f ca="1">IF(_xll.ciqfunctions.udf.CIQ($A34, "IQ_REVENUE_EST",$B$6, $L$2, "CON", $L$3, $L$5, $L$6)=0,"n/a",_xll.ciqfunctions.udf.CIQ($A34, "IQ_REVENUE_EST",$B$6, $L$2, "CON", $L$3, $L$5, $L$6))</f>
        <v>#NAME?</v>
      </c>
      <c r="W34" s="518" t="e">
        <f ca="1">IF(_xll.ciqfunctions.udf.CIQ($A34, "IQ_REVENUE_EST", $B$7, $L$2, "CON", $L$3, $L$5, $L$6)=0,"n/a",_xll.ciqfunctions.udf.CIQ($A34, "IQ_REVENUE_EST",$B$7, $L$2, "CON", $L$3, $L$5, $L$6))</f>
        <v>#NAME?</v>
      </c>
      <c r="X34" s="518" t="e">
        <f ca="1">_xll.ciqfunctions.udf.CIQ($A34, "IQ_EBITDA", IQ_LTM-8, $L$2, $L$4, $L$3, $L$5, $L$6)</f>
        <v>#NAME?</v>
      </c>
      <c r="Y34" s="518" t="e">
        <f ca="1">_xll.ciqfunctions.udf.CIQ($A34, "IQ_EBITDA", IQ_LTM-4, $L$2,$L$4, $L$3, $L$5, $L$6)</f>
        <v>#NAME?</v>
      </c>
      <c r="Z34" s="518" t="e">
        <f ca="1">_xll.ciqfunctions.udf.CIQ($A34, "IQ_EBITDA", IQ_LTM, $L$2, $L$4, $L$3, $L$5, $L$6)</f>
        <v>#NAME?</v>
      </c>
      <c r="AA34" s="518" t="e">
        <f ca="1">_xll.ciqfunctions.udf.CIQ($A34, "IQ_EBITDA", $B$2, $L$2, $L$4, $L$3, $L$5, $L$6)</f>
        <v>#NAME?</v>
      </c>
      <c r="AB34" s="518" t="e">
        <f ca="1">IF(_xll.ciqfunctions.udf.CIQ($A34, "IQ_EBITDA", $B$3, $L$2,$L$4, $L$3, $L$5, $L$6)=0,Z34,_xll.ciqfunctions.udf.CIQ($A34, "IQ_EBITDA", $B$3, $L$2,$L$4, $L$3, $L$5, $L$6))</f>
        <v>#NAME?</v>
      </c>
      <c r="AC34" s="518" t="e">
        <f ca="1">IF(_xll.ciqfunctions.udf.CIQ($A34, "IQ_EBITDA_EST",$B$4, $L$2, "CON", $L$3, $L$5, $L$6)=0,"n/a",_xll.ciqfunctions.udf.CIQ($A34, "IQ_EBITDA_EST",$B$4, $L$2, "CON", $L$3, $L$5, $L$6))</f>
        <v>#NAME?</v>
      </c>
      <c r="AD34" s="518" t="e">
        <f ca="1">IF(_xll.ciqfunctions.udf.CIQ($A34, "IQ_EBITDA_EST",$B$5, $L$2, "CON", $L$3, $L$5, $L$6)=0,"n/a",_xll.ciqfunctions.udf.CIQ($A34, "IQ_EBITDA_EST",$B$5, $L$2, "CON", $L$3, $L$5, $L$6))</f>
        <v>#NAME?</v>
      </c>
      <c r="AE34" s="518" t="e">
        <f ca="1">IF(_xll.ciqfunctions.udf.CIQ($A34, "IQ_EBITDA_EST",$B$6, $L$2, "CON", $L$3, $L$5, $L$6)=0,"n/a",_xll.ciqfunctions.udf.CIQ($A34, "IQ_EBITDA_EST",$B$6, $L$2, "CON", $L$3, $L$5, $L$6))</f>
        <v>#NAME?</v>
      </c>
      <c r="AF34" s="519" t="str">
        <f ca="1">IF(ISERROR(_xll.ciqfunctions.udf.CIQ($A34, "IQ_GROSS_MARGIN", IQ_LTM, $L$2,$L$4, $L$3, $L$5, $L$6)/100), "n/a", _xll.ciqfunctions.udf.CIQ($A34,  "IQ_GROSS_MARGIN", IQ_LTM, $L$2, $L$4, $L$3, $L$5, $L$6)/100)</f>
        <v>n/a</v>
      </c>
      <c r="AG34" s="519" t="str">
        <f ca="1">IF(ISERROR(_xll.ciqfunctions.udf.CIQ($A34,"IQ_EBITDA_MARGIN", IQ_LTM, $L$2, $L$4, $L$3, $L$5, $L$6)/100), "n/a", _xll.ciqfunctions.udf.CIQ($A34, "IQ_EBITDA_MARGIN", IQ_LTM, $L$2, $L$4, $L$3, $L$5, $L$6)/100)</f>
        <v>n/a</v>
      </c>
      <c r="AH34" s="519" t="str">
        <f ca="1">IF(ISERROR(_xll.ciqfunctions.udf.CIQ($A34,"IQ_EBIT_MARGIN", IQ_LTM, $L$2, $L$4, $L$3, $L$5, $L$6)/100), "n/a", _xll.ciqfunctions.udf.CIQ($A34, "IQ_EBIT_MARGIN", IQ_LTM, $L$2, $L$4, $L$3, $L$5, $L$6)/100)</f>
        <v>n/a</v>
      </c>
      <c r="AI34" s="519" t="str">
        <f ca="1">IF(ISERROR(_xll.ciqfunctions.udf.CIQ($A34,"IQ_NI_MARGIN", IQ_LTM, $L$2, $L$4, $L$3, $L$5, $L$6)/100), "n/a", _xll.ciqfunctions.udf.CIQ($A34, "IQ_NI_MARGIN", IQ_LTM, $L$2, $L$4, $L$3, $L$5, $L$6)/100)</f>
        <v>n/a</v>
      </c>
      <c r="AJ34" s="518" t="str">
        <f ca="1">IF(ISERROR(_xll.ciqfunctions.udf.CIQ($A34, "IQ_NET_WORKING_CAP", IQ_LTM-8, $L$2, $L$4, $L$3, $L$5, $L$6)), "n/a", _xll.ciqfunctions.udf.CIQ($A34, "IQ_NET_WORKING_CAP", IQ_LTM-8, $L$2, $L$4, $L$3, $L$5, $L$6))</f>
        <v>n/a</v>
      </c>
      <c r="AK34" s="518" t="str">
        <f ca="1">IF(ISERROR(_xll.ciqfunctions.udf.CIQ($A34, "IQ_NET_WORKING_CAP", IQ_LTM-4, $L$2, $L$4, $L$3, $L$5, $L$6)), "n/a", _xll.ciqfunctions.udf.CIQ($A34, "IQ_NET_WORKING_CAP", IQ_LTM-4, $L$2, $L$4, $L$3, $L$5, $L$6))</f>
        <v>n/a</v>
      </c>
      <c r="AL34" s="518" t="str">
        <f ca="1">IF(ISERROR(_xll.ciqfunctions.udf.CIQ($A34, "IQ_NET_WORKING_CAP", IQ_LTM, $L$2,$L$4, $L$3, $L$5, $L$6)), "n/a", _xll.ciqfunctions.udf.CIQ($A34, "IQ_NET_WORKING_CAP", IQ_LTM, $L$2, $L$4, $L$3, $L$5, $L$6))</f>
        <v>n/a</v>
      </c>
      <c r="AM34" s="518" t="str">
        <f ca="1">IF(ISERROR(_xll.ciqfunctions.udf.CIQ($A34, "IQ_Capex", IQ_LTM-8, $L$2,$L$4, $L$3, $L$5, $L$6)), "n/a", _xll.ciqfunctions.udf.CIQ($A34, "IQ_Capex", IQ_LTM-8, $L$2, $L$4, $L$3, $L$5, $L$6))</f>
        <v>n/a</v>
      </c>
      <c r="AN34" s="518" t="str">
        <f ca="1">IF(ISERROR(_xll.ciqfunctions.udf.CIQ($A34, "IQ_Capex", IQ_LTM-4, $L$2,$L$4, $L$3, $L$5, $L$6)), "n/a", _xll.ciqfunctions.udf.CIQ($A34, "IQ_Capex", IQ_LTM-4, $L$2,$L$4, $L$3, $L$5, $L$6))</f>
        <v>n/a</v>
      </c>
      <c r="AO34" s="518" t="str">
        <f ca="1">IF(ISERROR(_xll.ciqfunctions.udf.CIQ($A34, "IQ_Capex", IQ_LTM, $L$2, $L$4, $L$3, $L$5, $L$6)), "n/a", _xll.ciqfunctions.udf.CIQ($A34, "IQ_Capex", IQ_LTM, $L$2, $L$4, $L$3, $L$5, $L$6))</f>
        <v>n/a</v>
      </c>
      <c r="AP34" s="520" t="e">
        <f ca="1">_xll.ciqfunctions.udf.CIQ(A34, "IQ_BUSINESS_DESCRIPTION")</f>
        <v>#NAME?</v>
      </c>
      <c r="AQ34" s="521" t="e">
        <f ca="1">_xll.ciqfunctions.udf.CIQ($A34, "IQ_BETA_1YR", $B$1)</f>
        <v>#NAME?</v>
      </c>
      <c r="AR34" s="521" t="e">
        <f ca="1">_xll.ciqfunctions.udf.CIQ($A34, "IQ_BETA_2YR", $B$1)</f>
        <v>#NAME?</v>
      </c>
      <c r="AS34" s="521" t="e">
        <f ca="1">_xll.ciqfunctions.udf.CIQ($A34, "IQ_BETA_5YR", $B$1)</f>
        <v>#NAME?</v>
      </c>
      <c r="AT34" s="519" t="e">
        <f ca="1">_xll.ciqfunctions.udf.CIQ($A34, "IQ_DIVIDEND_YIELD", $B$1)/100</f>
        <v>#NAME?</v>
      </c>
      <c r="AU34" s="518" t="e">
        <f ca="1">_xll.ciqfunctions.udf.CIQ($A34, "IQ_EARNING_CO", IQ_LTM-8, $L$2, $L$4, $L$3, $L$5, $L$6)</f>
        <v>#NAME?</v>
      </c>
      <c r="AV34" s="518" t="e">
        <f ca="1">_xll.ciqfunctions.udf.CIQ($A34, "IQ_EARNING_CO", IQ_LTM-4, $L$2, $L$4, $L$3, $L$5, $L$6)</f>
        <v>#NAME?</v>
      </c>
      <c r="AW34" s="518" t="e">
        <f ca="1">_xll.ciqfunctions.udf.CIQ($A34, "IQ_EARNING_CO", IQ_LTM, $L$2, $L$4, $L$3, $L$5, $L$6)</f>
        <v>#NAME?</v>
      </c>
      <c r="AX34" s="518" t="e">
        <f ca="1">_xll.ciqfunctions.udf.CIQ($A34, "IQ_EARNING_CO", $B$2, $L$2, $L$4, $L$3, $L$5, $L$6)</f>
        <v>#NAME?</v>
      </c>
      <c r="AY34" s="518" t="e">
        <f ca="1">IF(_xll.ciqfunctions.udf.CIQ($A34, "IQ_EARNING_CO", $B$3, $L$2,$L$4, $L$3, $L$5, $L$6)=0,AW34,_xll.ciqfunctions.udf.CIQ($A34, "IQ_EARNING_CO", $B$3, $L$2,$L$4, $L$3, $L$5, $L$6))</f>
        <v>#NAME?</v>
      </c>
      <c r="AZ34" s="518" t="e">
        <f ca="1">_xll.ciqfunctions.udf.CIQ($A34, "IQ_TOTAL_EQUITY", IQ_LTM-8, $L$2, $L$4, $L$3, $L$5, $L$6)</f>
        <v>#NAME?</v>
      </c>
      <c r="BA34" s="518" t="e">
        <f ca="1">_xll.ciqfunctions.udf.CIQ($A34, "IQ_TOTAL_EQUITY", IQ_LTM-4, $L$2, $L$4, $L$3, $L$5, $L$6)</f>
        <v>#NAME?</v>
      </c>
      <c r="BB34" s="518" t="e">
        <f ca="1">_xll.ciqfunctions.udf.CIQ($A34, "IQ_TOTAL_EQUITY", IQ_LTM, $L$2, $L$4, $L$3, $L$5, $L$6)</f>
        <v>#NAME?</v>
      </c>
      <c r="BC34" s="518" t="e">
        <f ca="1">_xll.ciqfunctions.udf.CIQ($A34, "IQ_TOTAL_EQUITY", $B$2, $L$2, $L$4, $L$3, $L$5, $L$6)</f>
        <v>#NAME?</v>
      </c>
      <c r="BD34" s="518" t="e">
        <f ca="1">IF(_xll.ciqfunctions.udf.CIQ($A34, "IQ_TOTAL_EQUITY", $B$3, $L$2,$L$4, $L$3, $L$5, $L$6)=0,BB34,_xll.ciqfunctions.udf.CIQ($A34, "IQ_TOTAL_EQUITY", $B$3, $L$2,$L$4, $L$3, $L$5, $L$6))</f>
        <v>#NAME?</v>
      </c>
      <c r="BE34" s="518" t="e">
        <f ca="1">_xll.ciqfunctions.udf.CIQ(A34, "IQ_LASTSALEPRICE", $B$8)</f>
        <v>#NAME?</v>
      </c>
      <c r="BF34" s="518" t="e">
        <f ca="1">_xll.ciqfunctions.udf.CIQ($A34, "IQ_MARKETCAP", $B$8, $L$5, $L$6)</f>
        <v>#NAME?</v>
      </c>
      <c r="BG34" s="518" t="e">
        <f ca="1">_xll.ciqfunctions.udf.CIQ($A34, "IQ_TOTAL_DEBT", IQ_LTM, $B$8,$L$4, $L$3, $L$5, $L$6)</f>
        <v>#NAME?</v>
      </c>
      <c r="BH34" s="466" t="e">
        <f ca="1">_xll.ciqfunctions.udf.CIQ($A34,"IQ_PREF_EQUITY",IQ_LTM,$B$8,$L$4,$L$3,$L$5,$L$6)</f>
        <v>#NAME?</v>
      </c>
      <c r="BI34" s="466" t="e">
        <f ca="1">_xll.ciqfunctions.udf.CIQ($A34, "IQ_MINORITY_INTEREST_TOTAL", IQ_LTM,$B$8,$L$4,$L$3,$L$5,$L$6)</f>
        <v>#NAME?</v>
      </c>
      <c r="BJ34" s="518" t="e">
        <f ca="1">_xll.ciqfunctions.udf.CIQ($A34, "IQ_CASH_ST_INVEST", IQ_LTM, $B$8, $L$4, $L$3, $L$5, $L$6)</f>
        <v>#NAME?</v>
      </c>
      <c r="BK34" s="466" t="e">
        <f ca="1">_xll.ciqfunctions.udf.CIQ($A34, "IQ_EFFECT_TAX_RATE")</f>
        <v>#NAME?</v>
      </c>
      <c r="BL34" s="466" t="e">
        <f ca="1">IF(_xll.ciqfunctions.udf.CIQ($A34, "IQ_TOTAL_REV_2YR_ANN_CAGR", IQ_LTM, $B$1,$L$4, $L$3, $L$5, $L$6)="NM","n/a",(_xll.ciqfunctions.udf.CIQ($A34, "IQ_TOTAL_REV_2YR_ANN_CAGR", IQ_LTM, $B$1,$L$4, $L$3, $L$5, $L$6)/100))</f>
        <v>#NAME?</v>
      </c>
      <c r="BM34" s="466" t="e">
        <f ca="1">IF(_xll.ciqfunctions.udf.CIQ($A34, "IQ_TOTAL_REV_3YR_ANN_CAGR", IQ_LTM, $B$1,$L$4, $L$3, $L$5, $L$6)="NM","n/a",(_xll.ciqfunctions.udf.CIQ($A34, "IQ_TOTAL_REV_3YR_ANN_CAGR", IQ_LTM, $B$1,$L$4, $L$3, $L$5, $L$6)/100))</f>
        <v>#NAME?</v>
      </c>
      <c r="BN34" s="466" t="e">
        <f ca="1">IF(_xll.ciqfunctions.udf.CIQ($A34, "IQ_TOTAL_REV_5YR_ANN_CAGR", IQ_LTM, $B$1,$L$4, $L$3, $L$5, $L$6)="NM","n/a",(_xll.ciqfunctions.udf.CIQ($A34, "IQ_TOTAL_REV_5YR_ANN_CAGR", IQ_LTM, $B$1,$L$4, $L$3, $L$5, $L$6)/100))</f>
        <v>#NAME?</v>
      </c>
      <c r="BO34" s="466" t="e">
        <f ca="1">IF(_xll.ciqfunctions.udf.CIQ($A34,"IQ_EBITDA_2YR_ANN_CAGR", IQ_LTM,$B$1,$L$4, $L$3, $L$5, $L$6)="NM","n/a",(_xll.ciqfunctions.udf.CIQ($A34,"IQ_EBITDA_2YR_ANN_CAGR", IQ_LTM,$B$1,$L$4, $L$3, $L$5, $L$6)/100))</f>
        <v>#NAME?</v>
      </c>
      <c r="BP34" s="466" t="e">
        <f ca="1">IF(_xll.ciqfunctions.udf.CIQ($A34,"IQ_EBITDA_3YR_ANN_CAGR", IQ_LTM,$B$1,$L$4, $L$3, $L$5, $L$6)="NM","n/a",(_xll.ciqfunctions.udf.CIQ($A34,"IQ_EBITDA_3YR_ANN_CAGR", IQ_LTM,$B$1,$L$4, $L$3, $L$5, $L$6)/100))</f>
        <v>#NAME?</v>
      </c>
      <c r="BQ34" s="466" t="e">
        <f ca="1">IF(_xll.ciqfunctions.udf.CIQ($A34,"IQ_EBITDA_5YR_ANN_CAGR", IQ_LTM,$B$1,$L$4, $L$3, $L$5, $L$6)="NM","n/a",(_xll.ciqfunctions.udf.CIQ($A34,"IQ_EBITDA_5YR_ANN_CAGR", IQ_LTM,$B$1,$L$4, $L$3, $L$5, $L$6)/100))</f>
        <v>#NAME?</v>
      </c>
      <c r="BR34" s="470" t="str">
        <f ca="1">IFERROR((_xll.ciqfunctions.udf.CIQ($A34, "IQ_DA_CF", IQ_LTM, $B$1, $L$4, $L$3, $L$5, $L$6)/Q34),"NM")</f>
        <v>NM</v>
      </c>
      <c r="BS34" s="522" t="e">
        <f>'Capital IQ Sheet-GPC'!BS34</f>
        <v>#VALUE!</v>
      </c>
      <c r="BT34" s="522" t="e">
        <f>'Capital IQ Sheet-GPC'!BT34</f>
        <v>#VALUE!</v>
      </c>
      <c r="BU34" s="522" t="e">
        <f>'Capital IQ Sheet-GPC'!BU34</f>
        <v>#VALUE!</v>
      </c>
      <c r="BV34" s="522" t="e">
        <f>'Capital IQ Sheet-GPC'!BV34</f>
        <v>#VALUE!</v>
      </c>
      <c r="BW34" s="522" t="e">
        <f>'Capital IQ Sheet-GPC'!BW34</f>
        <v>#VALUE!</v>
      </c>
      <c r="BX34" s="522" t="e">
        <f>'Capital IQ Sheet-GPC'!BX34</f>
        <v>#VALUE!</v>
      </c>
      <c r="BY34" s="522" t="e">
        <f>'Capital IQ Sheet-GPC'!BY34</f>
        <v>#VALUE!</v>
      </c>
      <c r="BZ34" s="522" t="e">
        <f>'Capital IQ Sheet-GPC'!BZ34</f>
        <v>#VALUE!</v>
      </c>
      <c r="CB34" s="466">
        <v>2</v>
      </c>
      <c r="CC34" s="614" t="s">
        <v>155</v>
      </c>
      <c r="CD34" s="614" t="s">
        <v>154</v>
      </c>
      <c r="CE34" s="468">
        <f t="shared" si="1"/>
        <v>42582</v>
      </c>
    </row>
    <row r="35" spans="1:83" s="466" customFormat="1" ht="12.75">
      <c r="A35" s="467" t="e">
        <f ca="1">_xll.ciqfunctions.udf.CIQ($B35,"IQ_COMPANY_TICKER")</f>
        <v>#NAME?</v>
      </c>
      <c r="B35" s="517" t="str">
        <f>'Capital IQ Sheet-GPC'!B35</f>
        <v>(Invalid Identifier)</v>
      </c>
      <c r="C35" s="467" t="e">
        <f ca="1">_xll.ciqfunctions.udf.CIQ($A35,"IQ_COMPANY_NAME")</f>
        <v>#NAME?</v>
      </c>
      <c r="D35" s="467" t="e">
        <f ca="1">_xll.ciqfunctions.udf.CIQ($A35, "IQ_EXCHANGE")</f>
        <v>#NAME?</v>
      </c>
      <c r="E35" s="516" t="e">
        <f ca="1">_xll.ciqfunctions.udf.CIQ($A35, "IQ_PERIODDATE_IS", IQ_FY)</f>
        <v>#NAME?</v>
      </c>
      <c r="F35" s="516" t="e">
        <f ca="1">_xll.ciqfunctions.udf.CIQ(A35, "IQ_PERIODDATE_IS", IQ_LTM, $B$1,$L$4,$L$3)</f>
        <v>#NAME?</v>
      </c>
      <c r="G35" s="516" t="e">
        <f ca="1">_xll.ciqfunctions.udf.CIQ($A35, "IQ_FIRSTPRICINGDATE")</f>
        <v>#NAME?</v>
      </c>
      <c r="H35" s="518" t="e">
        <f ca="1">_xll.ciqfunctions.udf.CIQ($A35, "IQ_TEV", $L$2, $L$5, $L$6)</f>
        <v>#NAME?</v>
      </c>
      <c r="I35" s="518" t="e">
        <f ca="1">_xll.ciqfunctions.udf.CIQ(A35, "IQ_LASTSALEPRICE", $B$1,$L$5)</f>
        <v>#NAME?</v>
      </c>
      <c r="J35" s="518" t="e">
        <f ca="1">_xll.ciqfunctions.udf.CIQ($A35, "IQ_MARKETCAP", $L$2, $L$5, $L$6)</f>
        <v>#NAME?</v>
      </c>
      <c r="K35" s="518" t="e">
        <f ca="1">_xll.ciqfunctions.udf.CIQ($A35, "IQ_TOTAL_DEBT", IQ_LTM, $L$2,$L$4, $L$3, $L$5, $L$6)</f>
        <v>#NAME?</v>
      </c>
      <c r="L35" s="518" t="e">
        <f ca="1">_xll.ciqfunctions.udf.CIQ($A35, "IQ_PREF_EQUITY", IQ_LTM, $L$2, $L$4, $L$3, $L$5, $L$6)</f>
        <v>#NAME?</v>
      </c>
      <c r="M35" s="518" t="e">
        <f ca="1">_xll.ciqfunctions.udf.CIQ($A35, "IQ_MINORITY_INTEREST_TOTAL", IQ_LTM, $L$2, $L$4, $L$3, $L$5, $L$6)</f>
        <v>#NAME?</v>
      </c>
      <c r="N35" s="518" t="e">
        <f ca="1">_xll.ciqfunctions.udf.CIQ($A35, "IQ_CASH_ST_INVEST", IQ_LTM, $L$2, $L$4, $L$3, $L$5, $L$6)</f>
        <v>#NAME?</v>
      </c>
      <c r="O35" s="518" t="e">
        <f ca="1">_xll.ciqfunctions.udf.CIQ($A35, "IQ_TOTAL_REV", IQ_LTM-8, $L$2, $L$4, $L$3, $L$5, $L$6)</f>
        <v>#NAME?</v>
      </c>
      <c r="P35" s="518" t="e">
        <f ca="1">_xll.ciqfunctions.udf.CIQ($A35, "IQ_TOTAL_REV", IQ_LTM - 4, $L$2, $L$4, $L$3, $L$5,$L$6)</f>
        <v>#NAME?</v>
      </c>
      <c r="Q35" s="518" t="e">
        <f ca="1">_xll.ciqfunctions.udf.CIQ($A35, "IQ_TOTAL_REV", IQ_LTM, $L$2, $L$4, $L$3, $L$5, $L$6)</f>
        <v>#NAME?</v>
      </c>
      <c r="R35" s="518" t="e">
        <f ca="1">_xll.ciqfunctions.udf.CIQ($A35, "IQ_TOTAL_REV", $B$2, $L$2, $L$4, $L$3, $L$5, $L$6)</f>
        <v>#NAME?</v>
      </c>
      <c r="S35" s="518" t="e">
        <f ca="1">IF(_xll.ciqfunctions.udf.CIQ($A35, "IQ_TOTAL_REV", $B$3, $L$2,$L$4, $L$3, $L$5, $L$6)=0,Q35,_xll.ciqfunctions.udf.CIQ($A35, "IQ_TOTAL_REV", $B$3, $L$2,$L$4, $L$3, $L$5, $L$6))</f>
        <v>#NAME?</v>
      </c>
      <c r="T35" s="518" t="e">
        <f ca="1">IF(_xll.ciqfunctions.udf.CIQ($A35, "IQ_REVENUE_EST",$B$4, $L$2, "CON", $L$3, $L$5, $L$6)=0,"n/a",_xll.ciqfunctions.udf.CIQ($A35, "IQ_REVENUE_EST",$B$4, $L$2, "CON", $L$3, $L$5, $L$6))</f>
        <v>#NAME?</v>
      </c>
      <c r="U35" s="518" t="e">
        <f ca="1">IF(_xll.ciqfunctions.udf.CIQ($A35, "IQ_REVENUE_EST",$B$5, $L$2, "CON", $L$3, $L$5, $L$6)=0,"n/a",_xll.ciqfunctions.udf.CIQ($A35, "IQ_REVENUE_EST",$B$5, $L$2, "CON", $L$3, $L$5, $L$6))</f>
        <v>#NAME?</v>
      </c>
      <c r="V35" s="518" t="e">
        <f ca="1">IF(_xll.ciqfunctions.udf.CIQ($A35, "IQ_REVENUE_EST",$B$6, $L$2, "CON", $L$3, $L$5, $L$6)=0,"n/a",_xll.ciqfunctions.udf.CIQ($A35, "IQ_REVENUE_EST",$B$6, $L$2, "CON", $L$3, $L$5, $L$6))</f>
        <v>#NAME?</v>
      </c>
      <c r="W35" s="518" t="e">
        <f ca="1">IF(_xll.ciqfunctions.udf.CIQ($A35, "IQ_REVENUE_EST", $B$7, $L$2, "CON", $L$3, $L$5, $L$6)=0,"n/a",_xll.ciqfunctions.udf.CIQ($A35, "IQ_REVENUE_EST",$B$7, $L$2, "CON", $L$3, $L$5, $L$6))</f>
        <v>#NAME?</v>
      </c>
      <c r="X35" s="518" t="e">
        <f ca="1">_xll.ciqfunctions.udf.CIQ($A35, "IQ_EBITDA", IQ_LTM-8, $L$2, $L$4, $L$3, $L$5, $L$6)</f>
        <v>#NAME?</v>
      </c>
      <c r="Y35" s="518" t="e">
        <f ca="1">_xll.ciqfunctions.udf.CIQ($A35, "IQ_EBITDA", IQ_LTM-4, $L$2,$L$4, $L$3, $L$5, $L$6)</f>
        <v>#NAME?</v>
      </c>
      <c r="Z35" s="518" t="e">
        <f ca="1">_xll.ciqfunctions.udf.CIQ($A35, "IQ_EBITDA", IQ_LTM, $L$2, $L$4, $L$3, $L$5, $L$6)</f>
        <v>#NAME?</v>
      </c>
      <c r="AA35" s="518" t="e">
        <f ca="1">_xll.ciqfunctions.udf.CIQ($A35, "IQ_EBITDA", $B$2, $L$2, $L$4, $L$3, $L$5, $L$6)</f>
        <v>#NAME?</v>
      </c>
      <c r="AB35" s="518" t="e">
        <f ca="1">IF(_xll.ciqfunctions.udf.CIQ($A35, "IQ_EBITDA", $B$3, $L$2,$L$4, $L$3, $L$5, $L$6)=0,Z35,_xll.ciqfunctions.udf.CIQ($A35, "IQ_EBITDA", $B$3, $L$2,$L$4, $L$3, $L$5, $L$6))</f>
        <v>#NAME?</v>
      </c>
      <c r="AC35" s="518" t="e">
        <f ca="1">IF(_xll.ciqfunctions.udf.CIQ($A35, "IQ_EBITDA_EST",$B$4, $L$2, "CON", $L$3, $L$5, $L$6)=0,"n/a",_xll.ciqfunctions.udf.CIQ($A35, "IQ_EBITDA_EST",$B$4, $L$2, "CON", $L$3, $L$5, $L$6))</f>
        <v>#NAME?</v>
      </c>
      <c r="AD35" s="518" t="e">
        <f ca="1">IF(_xll.ciqfunctions.udf.CIQ($A35, "IQ_EBITDA_EST",$B$5, $L$2, "CON", $L$3, $L$5, $L$6)=0,"n/a",_xll.ciqfunctions.udf.CIQ($A35, "IQ_EBITDA_EST",$B$5, $L$2, "CON", $L$3, $L$5, $L$6))</f>
        <v>#NAME?</v>
      </c>
      <c r="AE35" s="518" t="e">
        <f ca="1">IF(_xll.ciqfunctions.udf.CIQ($A35, "IQ_EBITDA_EST",$B$6, $L$2, "CON", $L$3, $L$5, $L$6)=0,"n/a",_xll.ciqfunctions.udf.CIQ($A35, "IQ_EBITDA_EST",$B$6, $L$2, "CON", $L$3, $L$5, $L$6))</f>
        <v>#NAME?</v>
      </c>
      <c r="AF35" s="519" t="str">
        <f ca="1">IF(ISERROR(_xll.ciqfunctions.udf.CIQ($A35, "IQ_GROSS_MARGIN", IQ_LTM, $L$2,$L$4, $L$3, $L$5, $L$6)/100), "n/a", _xll.ciqfunctions.udf.CIQ($A35,  "IQ_GROSS_MARGIN", IQ_LTM, $L$2, $L$4, $L$3, $L$5, $L$6)/100)</f>
        <v>n/a</v>
      </c>
      <c r="AG35" s="519" t="str">
        <f ca="1">IF(ISERROR(_xll.ciqfunctions.udf.CIQ($A35,"IQ_EBITDA_MARGIN", IQ_LTM, $L$2, $L$4, $L$3, $L$5, $L$6)/100), "n/a", _xll.ciqfunctions.udf.CIQ($A35, "IQ_EBITDA_MARGIN", IQ_LTM, $L$2, $L$4, $L$3, $L$5, $L$6)/100)</f>
        <v>n/a</v>
      </c>
      <c r="AH35" s="519" t="str">
        <f ca="1">IF(ISERROR(_xll.ciqfunctions.udf.CIQ($A35,"IQ_EBIT_MARGIN", IQ_LTM, $L$2, $L$4, $L$3, $L$5, $L$6)/100), "n/a", _xll.ciqfunctions.udf.CIQ($A35, "IQ_EBIT_MARGIN", IQ_LTM, $L$2, $L$4, $L$3, $L$5, $L$6)/100)</f>
        <v>n/a</v>
      </c>
      <c r="AI35" s="519" t="str">
        <f ca="1">IF(ISERROR(_xll.ciqfunctions.udf.CIQ($A35,"IQ_NI_MARGIN", IQ_LTM, $L$2, $L$4, $L$3, $L$5, $L$6)/100), "n/a", _xll.ciqfunctions.udf.CIQ($A35, "IQ_NI_MARGIN", IQ_LTM, $L$2, $L$4, $L$3, $L$5, $L$6)/100)</f>
        <v>n/a</v>
      </c>
      <c r="AJ35" s="518" t="str">
        <f ca="1">IF(ISERROR(_xll.ciqfunctions.udf.CIQ($A35, "IQ_NET_WORKING_CAP", IQ_LTM-8, $L$2, $L$4, $L$3, $L$5, $L$6)), "n/a", _xll.ciqfunctions.udf.CIQ($A35, "IQ_NET_WORKING_CAP", IQ_LTM-8, $L$2, $L$4, $L$3, $L$5, $L$6))</f>
        <v>n/a</v>
      </c>
      <c r="AK35" s="518" t="str">
        <f ca="1">IF(ISERROR(_xll.ciqfunctions.udf.CIQ($A35, "IQ_NET_WORKING_CAP", IQ_LTM-4, $L$2, $L$4, $L$3, $L$5, $L$6)), "n/a", _xll.ciqfunctions.udf.CIQ($A35, "IQ_NET_WORKING_CAP", IQ_LTM-4, $L$2, $L$4, $L$3, $L$5, $L$6))</f>
        <v>n/a</v>
      </c>
      <c r="AL35" s="518" t="str">
        <f ca="1">IF(ISERROR(_xll.ciqfunctions.udf.CIQ($A35, "IQ_NET_WORKING_CAP", IQ_LTM, $L$2,$L$4, $L$3, $L$5, $L$6)), "n/a", _xll.ciqfunctions.udf.CIQ($A35, "IQ_NET_WORKING_CAP", IQ_LTM, $L$2, $L$4, $L$3, $L$5, $L$6))</f>
        <v>n/a</v>
      </c>
      <c r="AM35" s="518" t="str">
        <f ca="1">IF(ISERROR(_xll.ciqfunctions.udf.CIQ($A35, "IQ_Capex", IQ_LTM-8, $L$2,$L$4, $L$3, $L$5, $L$6)), "n/a", _xll.ciqfunctions.udf.CIQ($A35, "IQ_Capex", IQ_LTM-8, $L$2, $L$4, $L$3, $L$5, $L$6))</f>
        <v>n/a</v>
      </c>
      <c r="AN35" s="518" t="str">
        <f ca="1">IF(ISERROR(_xll.ciqfunctions.udf.CIQ($A35, "IQ_Capex", IQ_LTM-4, $L$2,$L$4, $L$3, $L$5, $L$6)), "n/a", _xll.ciqfunctions.udf.CIQ($A35, "IQ_Capex", IQ_LTM-4, $L$2,$L$4, $L$3, $L$5, $L$6))</f>
        <v>n/a</v>
      </c>
      <c r="AO35" s="518" t="str">
        <f ca="1">IF(ISERROR(_xll.ciqfunctions.udf.CIQ($A35, "IQ_Capex", IQ_LTM, $L$2, $L$4, $L$3, $L$5, $L$6)), "n/a", _xll.ciqfunctions.udf.CIQ($A35, "IQ_Capex", IQ_LTM, $L$2, $L$4, $L$3, $L$5, $L$6))</f>
        <v>n/a</v>
      </c>
      <c r="AP35" s="520" t="e">
        <f ca="1">_xll.ciqfunctions.udf.CIQ(A35, "IQ_BUSINESS_DESCRIPTION")</f>
        <v>#NAME?</v>
      </c>
      <c r="AQ35" s="521" t="e">
        <f ca="1">_xll.ciqfunctions.udf.CIQ($A35, "IQ_BETA_1YR", $B$1)</f>
        <v>#NAME?</v>
      </c>
      <c r="AR35" s="521" t="e">
        <f ca="1">_xll.ciqfunctions.udf.CIQ($A35, "IQ_BETA_2YR", $B$1)</f>
        <v>#NAME?</v>
      </c>
      <c r="AS35" s="521" t="e">
        <f ca="1">_xll.ciqfunctions.udf.CIQ($A35, "IQ_BETA_5YR", $B$1)</f>
        <v>#NAME?</v>
      </c>
      <c r="AT35" s="519" t="e">
        <f ca="1">_xll.ciqfunctions.udf.CIQ($A35, "IQ_DIVIDEND_YIELD", $B$1)/100</f>
        <v>#NAME?</v>
      </c>
      <c r="AU35" s="518" t="e">
        <f ca="1">_xll.ciqfunctions.udf.CIQ($A35, "IQ_EARNING_CO", IQ_LTM-8, $L$2, $L$4, $L$3, $L$5, $L$6)</f>
        <v>#NAME?</v>
      </c>
      <c r="AV35" s="518" t="e">
        <f ca="1">_xll.ciqfunctions.udf.CIQ($A35, "IQ_EARNING_CO", IQ_LTM-4, $L$2, $L$4, $L$3, $L$5, $L$6)</f>
        <v>#NAME?</v>
      </c>
      <c r="AW35" s="518" t="e">
        <f ca="1">_xll.ciqfunctions.udf.CIQ($A35, "IQ_EARNING_CO", IQ_LTM, $L$2, $L$4, $L$3, $L$5, $L$6)</f>
        <v>#NAME?</v>
      </c>
      <c r="AX35" s="518" t="e">
        <f ca="1">_xll.ciqfunctions.udf.CIQ($A35, "IQ_EARNING_CO", $B$2, $L$2, $L$4, $L$3, $L$5, $L$6)</f>
        <v>#NAME?</v>
      </c>
      <c r="AY35" s="518" t="e">
        <f ca="1">IF(_xll.ciqfunctions.udf.CIQ($A35, "IQ_EARNING_CO", $B$3, $L$2,$L$4, $L$3, $L$5, $L$6)=0,AW35,_xll.ciqfunctions.udf.CIQ($A35, "IQ_EARNING_CO", $B$3, $L$2,$L$4, $L$3, $L$5, $L$6))</f>
        <v>#NAME?</v>
      </c>
      <c r="AZ35" s="518" t="e">
        <f ca="1">_xll.ciqfunctions.udf.CIQ($A35, "IQ_TOTAL_EQUITY", IQ_LTM-8, $L$2, $L$4, $L$3, $L$5, $L$6)</f>
        <v>#NAME?</v>
      </c>
      <c r="BA35" s="518" t="e">
        <f ca="1">_xll.ciqfunctions.udf.CIQ($A35, "IQ_TOTAL_EQUITY", IQ_LTM-4, $L$2, $L$4, $L$3, $L$5, $L$6)</f>
        <v>#NAME?</v>
      </c>
      <c r="BB35" s="518" t="e">
        <f ca="1">_xll.ciqfunctions.udf.CIQ($A35, "IQ_TOTAL_EQUITY", IQ_LTM, $L$2, $L$4, $L$3, $L$5, $L$6)</f>
        <v>#NAME?</v>
      </c>
      <c r="BC35" s="518" t="e">
        <f ca="1">_xll.ciqfunctions.udf.CIQ($A35, "IQ_TOTAL_EQUITY", $B$2, $L$2, $L$4, $L$3, $L$5, $L$6)</f>
        <v>#NAME?</v>
      </c>
      <c r="BD35" s="518" t="e">
        <f ca="1">IF(_xll.ciqfunctions.udf.CIQ($A35, "IQ_TOTAL_EQUITY", $B$3, $L$2,$L$4, $L$3, $L$5, $L$6)=0,BB35,_xll.ciqfunctions.udf.CIQ($A35, "IQ_TOTAL_EQUITY", $B$3, $L$2,$L$4, $L$3, $L$5, $L$6))</f>
        <v>#NAME?</v>
      </c>
      <c r="BE35" s="518" t="e">
        <f ca="1">_xll.ciqfunctions.udf.CIQ(A35, "IQ_LASTSALEPRICE", $B$8)</f>
        <v>#NAME?</v>
      </c>
      <c r="BF35" s="518" t="e">
        <f ca="1">_xll.ciqfunctions.udf.CIQ($A35, "IQ_MARKETCAP", $B$8, $L$5, $L$6)</f>
        <v>#NAME?</v>
      </c>
      <c r="BG35" s="518" t="e">
        <f ca="1">_xll.ciqfunctions.udf.CIQ($A35, "IQ_TOTAL_DEBT", IQ_LTM, $B$8,$L$4, $L$3, $L$5, $L$6)</f>
        <v>#NAME?</v>
      </c>
      <c r="BH35" s="466" t="e">
        <f ca="1">_xll.ciqfunctions.udf.CIQ($A35,"IQ_PREF_EQUITY",IQ_LTM,$B$8,$L$4,$L$3,$L$5,$L$6)</f>
        <v>#NAME?</v>
      </c>
      <c r="BI35" s="466" t="e">
        <f ca="1">_xll.ciqfunctions.udf.CIQ($A35, "IQ_MINORITY_INTEREST_TOTAL", IQ_LTM,$B$8,$L$4,$L$3,$L$5,$L$6)</f>
        <v>#NAME?</v>
      </c>
      <c r="BJ35" s="518" t="e">
        <f ca="1">_xll.ciqfunctions.udf.CIQ($A35, "IQ_CASH_ST_INVEST", IQ_LTM, $B$8, $L$4, $L$3, $L$5, $L$6)</f>
        <v>#NAME?</v>
      </c>
      <c r="BK35" s="466" t="e">
        <f ca="1">_xll.ciqfunctions.udf.CIQ($A35, "IQ_EFFECT_TAX_RATE")</f>
        <v>#NAME?</v>
      </c>
      <c r="BL35" s="466" t="e">
        <f ca="1">IF(_xll.ciqfunctions.udf.CIQ($A35, "IQ_TOTAL_REV_2YR_ANN_CAGR", IQ_LTM, $B$1,$L$4, $L$3, $L$5, $L$6)="NM","n/a",(_xll.ciqfunctions.udf.CIQ($A35, "IQ_TOTAL_REV_2YR_ANN_CAGR", IQ_LTM, $B$1,$L$4, $L$3, $L$5, $L$6)/100))</f>
        <v>#NAME?</v>
      </c>
      <c r="BM35" s="466" t="e">
        <f ca="1">IF(_xll.ciqfunctions.udf.CIQ($A35, "IQ_TOTAL_REV_3YR_ANN_CAGR", IQ_LTM, $B$1,$L$4, $L$3, $L$5, $L$6)="NM","n/a",(_xll.ciqfunctions.udf.CIQ($A35, "IQ_TOTAL_REV_3YR_ANN_CAGR", IQ_LTM, $B$1,$L$4, $L$3, $L$5, $L$6)/100))</f>
        <v>#NAME?</v>
      </c>
      <c r="BN35" s="466" t="e">
        <f ca="1">IF(_xll.ciqfunctions.udf.CIQ($A35, "IQ_TOTAL_REV_5YR_ANN_CAGR", IQ_LTM, $B$1,$L$4, $L$3, $L$5, $L$6)="NM","n/a",(_xll.ciqfunctions.udf.CIQ($A35, "IQ_TOTAL_REV_5YR_ANN_CAGR", IQ_LTM, $B$1,$L$4, $L$3, $L$5, $L$6)/100))</f>
        <v>#NAME?</v>
      </c>
      <c r="BO35" s="466" t="e">
        <f ca="1">IF(_xll.ciqfunctions.udf.CIQ($A35,"IQ_EBITDA_2YR_ANN_CAGR", IQ_LTM,$B$1,$L$4, $L$3, $L$5, $L$6)="NM","n/a",(_xll.ciqfunctions.udf.CIQ($A35,"IQ_EBITDA_2YR_ANN_CAGR", IQ_LTM,$B$1,$L$4, $L$3, $L$5, $L$6)/100))</f>
        <v>#NAME?</v>
      </c>
      <c r="BP35" s="466" t="e">
        <f ca="1">IF(_xll.ciqfunctions.udf.CIQ($A35,"IQ_EBITDA_3YR_ANN_CAGR", IQ_LTM,$B$1,$L$4, $L$3, $L$5, $L$6)="NM","n/a",(_xll.ciqfunctions.udf.CIQ($A35,"IQ_EBITDA_3YR_ANN_CAGR", IQ_LTM,$B$1,$L$4, $L$3, $L$5, $L$6)/100))</f>
        <v>#NAME?</v>
      </c>
      <c r="BQ35" s="466" t="e">
        <f ca="1">IF(_xll.ciqfunctions.udf.CIQ($A35,"IQ_EBITDA_5YR_ANN_CAGR", IQ_LTM,$B$1,$L$4, $L$3, $L$5, $L$6)="NM","n/a",(_xll.ciqfunctions.udf.CIQ($A35,"IQ_EBITDA_5YR_ANN_CAGR", IQ_LTM,$B$1,$L$4, $L$3, $L$5, $L$6)/100))</f>
        <v>#NAME?</v>
      </c>
      <c r="BR35" s="470" t="str">
        <f ca="1">IFERROR((_xll.ciqfunctions.udf.CIQ($A35, "IQ_DA_CF", IQ_LTM, $B$1, $L$4, $L$3, $L$5, $L$6)/Q35),"NM")</f>
        <v>NM</v>
      </c>
      <c r="BS35" s="522" t="e">
        <f>'Capital IQ Sheet-GPC'!BS35</f>
        <v>#VALUE!</v>
      </c>
      <c r="BT35" s="522" t="e">
        <f>'Capital IQ Sheet-GPC'!BT35</f>
        <v>#VALUE!</v>
      </c>
      <c r="BU35" s="522" t="e">
        <f>'Capital IQ Sheet-GPC'!BU35</f>
        <v>#VALUE!</v>
      </c>
      <c r="BV35" s="522" t="e">
        <f>'Capital IQ Sheet-GPC'!BV35</f>
        <v>#VALUE!</v>
      </c>
      <c r="BW35" s="522" t="e">
        <f>'Capital IQ Sheet-GPC'!BW35</f>
        <v>#VALUE!</v>
      </c>
      <c r="BX35" s="522" t="e">
        <f>'Capital IQ Sheet-GPC'!BX35</f>
        <v>#VALUE!</v>
      </c>
      <c r="BY35" s="522" t="e">
        <f>'Capital IQ Sheet-GPC'!BY35</f>
        <v>#VALUE!</v>
      </c>
      <c r="BZ35" s="522" t="e">
        <f>'Capital IQ Sheet-GPC'!BZ35</f>
        <v>#VALUE!</v>
      </c>
      <c r="CB35" s="466">
        <v>2</v>
      </c>
      <c r="CC35" s="614" t="s">
        <v>155</v>
      </c>
      <c r="CD35" s="614" t="s">
        <v>154</v>
      </c>
      <c r="CE35" s="468">
        <f t="shared" si="0"/>
        <v>42582</v>
      </c>
    </row>
    <row r="36" spans="1:83" s="466" customFormat="1" ht="12.75">
      <c r="A36" s="467" t="e">
        <f ca="1">_xll.ciqfunctions.udf.CIQ($B36,"IQ_COMPANY_TICKER")</f>
        <v>#NAME?</v>
      </c>
      <c r="B36" s="517" t="str">
        <f>'Capital IQ Sheet-GPC'!B36</f>
        <v>(Invalid Identifier)</v>
      </c>
      <c r="C36" s="467" t="e">
        <f ca="1">_xll.ciqfunctions.udf.CIQ($A36,"IQ_COMPANY_NAME")</f>
        <v>#NAME?</v>
      </c>
      <c r="D36" s="467" t="e">
        <f ca="1">_xll.ciqfunctions.udf.CIQ($A36, "IQ_EXCHANGE")</f>
        <v>#NAME?</v>
      </c>
      <c r="E36" s="516" t="e">
        <f ca="1">_xll.ciqfunctions.udf.CIQ($A36, "IQ_PERIODDATE_IS", IQ_FY)</f>
        <v>#NAME?</v>
      </c>
      <c r="F36" s="516" t="e">
        <f ca="1">_xll.ciqfunctions.udf.CIQ(A36, "IQ_PERIODDATE_IS", IQ_LTM, $B$1,$L$4,$L$3)</f>
        <v>#NAME?</v>
      </c>
      <c r="G36" s="516" t="e">
        <f ca="1">_xll.ciqfunctions.udf.CIQ($A36, "IQ_FIRSTPRICINGDATE")</f>
        <v>#NAME?</v>
      </c>
      <c r="H36" s="518" t="e">
        <f ca="1">_xll.ciqfunctions.udf.CIQ($A36, "IQ_TEV", $L$2, $L$5, $L$6)</f>
        <v>#NAME?</v>
      </c>
      <c r="I36" s="518" t="e">
        <f ca="1">_xll.ciqfunctions.udf.CIQ(A36, "IQ_LASTSALEPRICE", $B$1,$L$5)</f>
        <v>#NAME?</v>
      </c>
      <c r="J36" s="518" t="e">
        <f ca="1">_xll.ciqfunctions.udf.CIQ($A36, "IQ_MARKETCAP", $L$2, $L$5, $L$6)</f>
        <v>#NAME?</v>
      </c>
      <c r="K36" s="518" t="e">
        <f ca="1">_xll.ciqfunctions.udf.CIQ($A36, "IQ_TOTAL_DEBT", IQ_LTM, $L$2,$L$4, $L$3, $L$5, $L$6)</f>
        <v>#NAME?</v>
      </c>
      <c r="L36" s="518" t="e">
        <f ca="1">_xll.ciqfunctions.udf.CIQ($A36, "IQ_PREF_EQUITY", IQ_LTM, $L$2, $L$4, $L$3, $L$5, $L$6)</f>
        <v>#NAME?</v>
      </c>
      <c r="M36" s="518" t="e">
        <f ca="1">_xll.ciqfunctions.udf.CIQ($A36, "IQ_MINORITY_INTEREST_TOTAL", IQ_LTM, $L$2, $L$4, $L$3, $L$5, $L$6)</f>
        <v>#NAME?</v>
      </c>
      <c r="N36" s="518" t="e">
        <f ca="1">_xll.ciqfunctions.udf.CIQ($A36, "IQ_CASH_ST_INVEST", IQ_LTM, $L$2, $L$4, $L$3, $L$5, $L$6)</f>
        <v>#NAME?</v>
      </c>
      <c r="O36" s="518" t="e">
        <f ca="1">_xll.ciqfunctions.udf.CIQ($A36, "IQ_TOTAL_REV", IQ_LTM-8, $L$2, $L$4, $L$3, $L$5, $L$6)</f>
        <v>#NAME?</v>
      </c>
      <c r="P36" s="518" t="e">
        <f ca="1">_xll.ciqfunctions.udf.CIQ($A36, "IQ_TOTAL_REV", IQ_LTM - 4, $L$2, $L$4, $L$3, $L$5,$L$6)</f>
        <v>#NAME?</v>
      </c>
      <c r="Q36" s="518" t="e">
        <f ca="1">_xll.ciqfunctions.udf.CIQ($A36, "IQ_TOTAL_REV", IQ_LTM, $L$2, $L$4, $L$3, $L$5, $L$6)</f>
        <v>#NAME?</v>
      </c>
      <c r="R36" s="518" t="e">
        <f ca="1">_xll.ciqfunctions.udf.CIQ($A36, "IQ_TOTAL_REV", $B$2, $L$2, $L$4, $L$3, $L$5, $L$6)</f>
        <v>#NAME?</v>
      </c>
      <c r="S36" s="518" t="e">
        <f ca="1">IF(_xll.ciqfunctions.udf.CIQ($A36, "IQ_TOTAL_REV", $B$3, $L$2,$L$4, $L$3, $L$5, $L$6)=0,Q36,_xll.ciqfunctions.udf.CIQ($A36, "IQ_TOTAL_REV", $B$3, $L$2,$L$4, $L$3, $L$5, $L$6))</f>
        <v>#NAME?</v>
      </c>
      <c r="T36" s="518" t="e">
        <f ca="1">IF(_xll.ciqfunctions.udf.CIQ($A36, "IQ_REVENUE_EST",$B$4, $L$2, "CON", $L$3, $L$5, $L$6)=0,"n/a",_xll.ciqfunctions.udf.CIQ($A36, "IQ_REVENUE_EST",$B$4, $L$2, "CON", $L$3, $L$5, $L$6))</f>
        <v>#NAME?</v>
      </c>
      <c r="U36" s="518" t="e">
        <f ca="1">IF(_xll.ciqfunctions.udf.CIQ($A36, "IQ_REVENUE_EST",$B$5, $L$2, "CON", $L$3, $L$5, $L$6)=0,"n/a",_xll.ciqfunctions.udf.CIQ($A36, "IQ_REVENUE_EST",$B$5, $L$2, "CON", $L$3, $L$5, $L$6))</f>
        <v>#NAME?</v>
      </c>
      <c r="V36" s="518" t="e">
        <f ca="1">IF(_xll.ciqfunctions.udf.CIQ($A36, "IQ_REVENUE_EST",$B$6, $L$2, "CON", $L$3, $L$5, $L$6)=0,"n/a",_xll.ciqfunctions.udf.CIQ($A36, "IQ_REVENUE_EST",$B$6, $L$2, "CON", $L$3, $L$5, $L$6))</f>
        <v>#NAME?</v>
      </c>
      <c r="W36" s="518" t="e">
        <f ca="1">IF(_xll.ciqfunctions.udf.CIQ($A36, "IQ_REVENUE_EST", $B$7, $L$2, "CON", $L$3, $L$5, $L$6)=0,"n/a",_xll.ciqfunctions.udf.CIQ($A36, "IQ_REVENUE_EST",$B$7, $L$2, "CON", $L$3, $L$5, $L$6))</f>
        <v>#NAME?</v>
      </c>
      <c r="X36" s="518" t="e">
        <f ca="1">_xll.ciqfunctions.udf.CIQ($A36, "IQ_EBITDA", IQ_LTM-8, $L$2, $L$4, $L$3, $L$5, $L$6)</f>
        <v>#NAME?</v>
      </c>
      <c r="Y36" s="518" t="e">
        <f ca="1">_xll.ciqfunctions.udf.CIQ($A36, "IQ_EBITDA", IQ_LTM-4, $L$2,$L$4, $L$3, $L$5, $L$6)</f>
        <v>#NAME?</v>
      </c>
      <c r="Z36" s="518" t="e">
        <f ca="1">_xll.ciqfunctions.udf.CIQ($A36, "IQ_EBITDA", IQ_LTM, $L$2, $L$4, $L$3, $L$5, $L$6)</f>
        <v>#NAME?</v>
      </c>
      <c r="AA36" s="518" t="e">
        <f ca="1">_xll.ciqfunctions.udf.CIQ($A36, "IQ_EBITDA", $B$2, $L$2, $L$4, $L$3, $L$5, $L$6)</f>
        <v>#NAME?</v>
      </c>
      <c r="AB36" s="518" t="e">
        <f ca="1">IF(_xll.ciqfunctions.udf.CIQ($A36, "IQ_EBITDA", $B$3, $L$2,$L$4, $L$3, $L$5, $L$6)=0,Z36,_xll.ciqfunctions.udf.CIQ($A36, "IQ_EBITDA", $B$3, $L$2,$L$4, $L$3, $L$5, $L$6))</f>
        <v>#NAME?</v>
      </c>
      <c r="AC36" s="518" t="e">
        <f ca="1">IF(_xll.ciqfunctions.udf.CIQ($A36, "IQ_EBITDA_EST",$B$4, $L$2, "CON", $L$3, $L$5, $L$6)=0,"n/a",_xll.ciqfunctions.udf.CIQ($A36, "IQ_EBITDA_EST",$B$4, $L$2, "CON", $L$3, $L$5, $L$6))</f>
        <v>#NAME?</v>
      </c>
      <c r="AD36" s="518" t="e">
        <f ca="1">IF(_xll.ciqfunctions.udf.CIQ($A36, "IQ_EBITDA_EST",$B$5, $L$2, "CON", $L$3, $L$5, $L$6)=0,"n/a",_xll.ciqfunctions.udf.CIQ($A36, "IQ_EBITDA_EST",$B$5, $L$2, "CON", $L$3, $L$5, $L$6))</f>
        <v>#NAME?</v>
      </c>
      <c r="AE36" s="518" t="e">
        <f ca="1">IF(_xll.ciqfunctions.udf.CIQ($A36, "IQ_EBITDA_EST",$B$6, $L$2, "CON", $L$3, $L$5, $L$6)=0,"n/a",_xll.ciqfunctions.udf.CIQ($A36, "IQ_EBITDA_EST",$B$6, $L$2, "CON", $L$3, $L$5, $L$6))</f>
        <v>#NAME?</v>
      </c>
      <c r="AF36" s="519" t="str">
        <f ca="1">IF(ISERROR(_xll.ciqfunctions.udf.CIQ($A36, "IQ_GROSS_MARGIN", IQ_LTM, $L$2,$L$4, $L$3, $L$5, $L$6)/100), "n/a", _xll.ciqfunctions.udf.CIQ($A36,  "IQ_GROSS_MARGIN", IQ_LTM, $L$2, $L$4, $L$3, $L$5, $L$6)/100)</f>
        <v>n/a</v>
      </c>
      <c r="AG36" s="519" t="str">
        <f ca="1">IF(ISERROR(_xll.ciqfunctions.udf.CIQ($A36,"IQ_EBITDA_MARGIN", IQ_LTM, $L$2, $L$4, $L$3, $L$5, $L$6)/100), "n/a", _xll.ciqfunctions.udf.CIQ($A36, "IQ_EBITDA_MARGIN", IQ_LTM, $L$2, $L$4, $L$3, $L$5, $L$6)/100)</f>
        <v>n/a</v>
      </c>
      <c r="AH36" s="519" t="str">
        <f ca="1">IF(ISERROR(_xll.ciqfunctions.udf.CIQ($A36,"IQ_EBIT_MARGIN", IQ_LTM, $L$2, $L$4, $L$3, $L$5, $L$6)/100), "n/a", _xll.ciqfunctions.udf.CIQ($A36, "IQ_EBIT_MARGIN", IQ_LTM, $L$2, $L$4, $L$3, $L$5, $L$6)/100)</f>
        <v>n/a</v>
      </c>
      <c r="AI36" s="519" t="str">
        <f ca="1">IF(ISERROR(_xll.ciqfunctions.udf.CIQ($A36,"IQ_NI_MARGIN", IQ_LTM, $L$2, $L$4, $L$3, $L$5, $L$6)/100), "n/a", _xll.ciqfunctions.udf.CIQ($A36, "IQ_NI_MARGIN", IQ_LTM, $L$2, $L$4, $L$3, $L$5, $L$6)/100)</f>
        <v>n/a</v>
      </c>
      <c r="AJ36" s="518" t="str">
        <f ca="1">IF(ISERROR(_xll.ciqfunctions.udf.CIQ($A36, "IQ_NET_WORKING_CAP", IQ_LTM-8, $L$2, $L$4, $L$3, $L$5, $L$6)), "n/a", _xll.ciqfunctions.udf.CIQ($A36, "IQ_NET_WORKING_CAP", IQ_LTM-8, $L$2, $L$4, $L$3, $L$5, $L$6))</f>
        <v>n/a</v>
      </c>
      <c r="AK36" s="518" t="str">
        <f ca="1">IF(ISERROR(_xll.ciqfunctions.udf.CIQ($A36, "IQ_NET_WORKING_CAP", IQ_LTM-4, $L$2, $L$4, $L$3, $L$5, $L$6)), "n/a", _xll.ciqfunctions.udf.CIQ($A36, "IQ_NET_WORKING_CAP", IQ_LTM-4, $L$2, $L$4, $L$3, $L$5, $L$6))</f>
        <v>n/a</v>
      </c>
      <c r="AL36" s="518" t="str">
        <f ca="1">IF(ISERROR(_xll.ciqfunctions.udf.CIQ($A36, "IQ_NET_WORKING_CAP", IQ_LTM, $L$2,$L$4, $L$3, $L$5, $L$6)), "n/a", _xll.ciqfunctions.udf.CIQ($A36, "IQ_NET_WORKING_CAP", IQ_LTM, $L$2, $L$4, $L$3, $L$5, $L$6))</f>
        <v>n/a</v>
      </c>
      <c r="AM36" s="518" t="str">
        <f ca="1">IF(ISERROR(_xll.ciqfunctions.udf.CIQ($A36, "IQ_Capex", IQ_LTM-8, $L$2,$L$4, $L$3, $L$5, $L$6)), "n/a", _xll.ciqfunctions.udf.CIQ($A36, "IQ_Capex", IQ_LTM-8, $L$2, $L$4, $L$3, $L$5, $L$6))</f>
        <v>n/a</v>
      </c>
      <c r="AN36" s="518" t="str">
        <f ca="1">IF(ISERROR(_xll.ciqfunctions.udf.CIQ($A36, "IQ_Capex", IQ_LTM-4, $L$2,$L$4, $L$3, $L$5, $L$6)), "n/a", _xll.ciqfunctions.udf.CIQ($A36, "IQ_Capex", IQ_LTM-4, $L$2,$L$4, $L$3, $L$5, $L$6))</f>
        <v>n/a</v>
      </c>
      <c r="AO36" s="518" t="str">
        <f ca="1">IF(ISERROR(_xll.ciqfunctions.udf.CIQ($A36, "IQ_Capex", IQ_LTM, $L$2, $L$4, $L$3, $L$5, $L$6)), "n/a", _xll.ciqfunctions.udf.CIQ($A36, "IQ_Capex", IQ_LTM, $L$2, $L$4, $L$3, $L$5, $L$6))</f>
        <v>n/a</v>
      </c>
      <c r="AP36" s="520" t="e">
        <f ca="1">_xll.ciqfunctions.udf.CIQ(A36, "IQ_BUSINESS_DESCRIPTION")</f>
        <v>#NAME?</v>
      </c>
      <c r="AQ36" s="521" t="e">
        <f ca="1">_xll.ciqfunctions.udf.CIQ($A36, "IQ_BETA_1YR", $B$1)</f>
        <v>#NAME?</v>
      </c>
      <c r="AR36" s="521" t="e">
        <f ca="1">_xll.ciqfunctions.udf.CIQ($A36, "IQ_BETA_2YR", $B$1)</f>
        <v>#NAME?</v>
      </c>
      <c r="AS36" s="521" t="e">
        <f ca="1">_xll.ciqfunctions.udf.CIQ($A36, "IQ_BETA_5YR", $B$1)</f>
        <v>#NAME?</v>
      </c>
      <c r="AT36" s="519" t="e">
        <f ca="1">_xll.ciqfunctions.udf.CIQ($A36, "IQ_DIVIDEND_YIELD", $B$1)/100</f>
        <v>#NAME?</v>
      </c>
      <c r="AU36" s="518" t="e">
        <f ca="1">_xll.ciqfunctions.udf.CIQ($A36, "IQ_EARNING_CO", IQ_LTM-8, $L$2, $L$4, $L$3, $L$5, $L$6)</f>
        <v>#NAME?</v>
      </c>
      <c r="AV36" s="518" t="e">
        <f ca="1">_xll.ciqfunctions.udf.CIQ($A36, "IQ_EARNING_CO", IQ_LTM-4, $L$2, $L$4, $L$3, $L$5, $L$6)</f>
        <v>#NAME?</v>
      </c>
      <c r="AW36" s="518" t="e">
        <f ca="1">_xll.ciqfunctions.udf.CIQ($A36, "IQ_EARNING_CO", IQ_LTM, $L$2, $L$4, $L$3, $L$5, $L$6)</f>
        <v>#NAME?</v>
      </c>
      <c r="AX36" s="518" t="e">
        <f ca="1">_xll.ciqfunctions.udf.CIQ($A36, "IQ_EARNING_CO", $B$2, $L$2, $L$4, $L$3, $L$5, $L$6)</f>
        <v>#NAME?</v>
      </c>
      <c r="AY36" s="518" t="e">
        <f ca="1">IF(_xll.ciqfunctions.udf.CIQ($A36, "IQ_EARNING_CO", $B$3, $L$2,$L$4, $L$3, $L$5, $L$6)=0,AW36,_xll.ciqfunctions.udf.CIQ($A36, "IQ_EARNING_CO", $B$3, $L$2,$L$4, $L$3, $L$5, $L$6))</f>
        <v>#NAME?</v>
      </c>
      <c r="AZ36" s="518" t="e">
        <f ca="1">_xll.ciqfunctions.udf.CIQ($A36, "IQ_TOTAL_EQUITY", IQ_LTM-8, $L$2, $L$4, $L$3, $L$5, $L$6)</f>
        <v>#NAME?</v>
      </c>
      <c r="BA36" s="518" t="e">
        <f ca="1">_xll.ciqfunctions.udf.CIQ($A36, "IQ_TOTAL_EQUITY", IQ_LTM-4, $L$2, $L$4, $L$3, $L$5, $L$6)</f>
        <v>#NAME?</v>
      </c>
      <c r="BB36" s="518" t="e">
        <f ca="1">_xll.ciqfunctions.udf.CIQ($A36, "IQ_TOTAL_EQUITY", IQ_LTM, $L$2, $L$4, $L$3, $L$5, $L$6)</f>
        <v>#NAME?</v>
      </c>
      <c r="BC36" s="518" t="e">
        <f ca="1">_xll.ciqfunctions.udf.CIQ($A36, "IQ_TOTAL_EQUITY", $B$2, $L$2, $L$4, $L$3, $L$5, $L$6)</f>
        <v>#NAME?</v>
      </c>
      <c r="BD36" s="518" t="e">
        <f ca="1">IF(_xll.ciqfunctions.udf.CIQ($A36, "IQ_TOTAL_EQUITY", $B$3, $L$2,$L$4, $L$3, $L$5, $L$6)=0,BB36,_xll.ciqfunctions.udf.CIQ($A36, "IQ_TOTAL_EQUITY", $B$3, $L$2,$L$4, $L$3, $L$5, $L$6))</f>
        <v>#NAME?</v>
      </c>
      <c r="BE36" s="518" t="e">
        <f ca="1">_xll.ciqfunctions.udf.CIQ(A36, "IQ_LASTSALEPRICE", $B$8)</f>
        <v>#NAME?</v>
      </c>
      <c r="BF36" s="518" t="e">
        <f ca="1">_xll.ciqfunctions.udf.CIQ($A36, "IQ_MARKETCAP", $B$8, $L$5, $L$6)</f>
        <v>#NAME?</v>
      </c>
      <c r="BG36" s="518" t="e">
        <f ca="1">_xll.ciqfunctions.udf.CIQ($A36, "IQ_TOTAL_DEBT", IQ_LTM, $B$8,$L$4, $L$3, $L$5, $L$6)</f>
        <v>#NAME?</v>
      </c>
      <c r="BH36" s="466" t="e">
        <f ca="1">_xll.ciqfunctions.udf.CIQ($A36,"IQ_PREF_EQUITY",IQ_LTM,$B$8,$L$4,$L$3,$L$5,$L$6)</f>
        <v>#NAME?</v>
      </c>
      <c r="BI36" s="466" t="e">
        <f ca="1">_xll.ciqfunctions.udf.CIQ($A36, "IQ_MINORITY_INTEREST_TOTAL", IQ_LTM,$B$8,$L$4,$L$3,$L$5,$L$6)</f>
        <v>#NAME?</v>
      </c>
      <c r="BJ36" s="518" t="e">
        <f ca="1">_xll.ciqfunctions.udf.CIQ($A36, "IQ_CASH_ST_INVEST", IQ_LTM, $B$8, $L$4, $L$3, $L$5, $L$6)</f>
        <v>#NAME?</v>
      </c>
      <c r="BK36" s="466" t="e">
        <f ca="1">_xll.ciqfunctions.udf.CIQ($A36, "IQ_EFFECT_TAX_RATE")</f>
        <v>#NAME?</v>
      </c>
      <c r="BL36" s="466" t="e">
        <f ca="1">IF(_xll.ciqfunctions.udf.CIQ($A36, "IQ_TOTAL_REV_2YR_ANN_CAGR", IQ_LTM, $B$1,$L$4, $L$3, $L$5, $L$6)="NM","n/a",(_xll.ciqfunctions.udf.CIQ($A36, "IQ_TOTAL_REV_2YR_ANN_CAGR", IQ_LTM, $B$1,$L$4, $L$3, $L$5, $L$6)/100))</f>
        <v>#NAME?</v>
      </c>
      <c r="BM36" s="466" t="e">
        <f ca="1">IF(_xll.ciqfunctions.udf.CIQ($A36, "IQ_TOTAL_REV_3YR_ANN_CAGR", IQ_LTM, $B$1,$L$4, $L$3, $L$5, $L$6)="NM","n/a",(_xll.ciqfunctions.udf.CIQ($A36, "IQ_TOTAL_REV_3YR_ANN_CAGR", IQ_LTM, $B$1,$L$4, $L$3, $L$5, $L$6)/100))</f>
        <v>#NAME?</v>
      </c>
      <c r="BN36" s="466" t="e">
        <f ca="1">IF(_xll.ciqfunctions.udf.CIQ($A36, "IQ_TOTAL_REV_5YR_ANN_CAGR", IQ_LTM, $B$1,$L$4, $L$3, $L$5, $L$6)="NM","n/a",(_xll.ciqfunctions.udf.CIQ($A36, "IQ_TOTAL_REV_5YR_ANN_CAGR", IQ_LTM, $B$1,$L$4, $L$3, $L$5, $L$6)/100))</f>
        <v>#NAME?</v>
      </c>
      <c r="BO36" s="466" t="e">
        <f ca="1">IF(_xll.ciqfunctions.udf.CIQ($A36,"IQ_EBITDA_2YR_ANN_CAGR", IQ_LTM,$B$1,$L$4, $L$3, $L$5, $L$6)="NM","n/a",(_xll.ciqfunctions.udf.CIQ($A36,"IQ_EBITDA_2YR_ANN_CAGR", IQ_LTM,$B$1,$L$4, $L$3, $L$5, $L$6)/100))</f>
        <v>#NAME?</v>
      </c>
      <c r="BP36" s="466" t="e">
        <f ca="1">IF(_xll.ciqfunctions.udf.CIQ($A36,"IQ_EBITDA_3YR_ANN_CAGR", IQ_LTM,$B$1,$L$4, $L$3, $L$5, $L$6)="NM","n/a",(_xll.ciqfunctions.udf.CIQ($A36,"IQ_EBITDA_3YR_ANN_CAGR", IQ_LTM,$B$1,$L$4, $L$3, $L$5, $L$6)/100))</f>
        <v>#NAME?</v>
      </c>
      <c r="BQ36" s="466" t="e">
        <f ca="1">IF(_xll.ciqfunctions.udf.CIQ($A36,"IQ_EBITDA_5YR_ANN_CAGR", IQ_LTM,$B$1,$L$4, $L$3, $L$5, $L$6)="NM","n/a",(_xll.ciqfunctions.udf.CIQ($A36,"IQ_EBITDA_5YR_ANN_CAGR", IQ_LTM,$B$1,$L$4, $L$3, $L$5, $L$6)/100))</f>
        <v>#NAME?</v>
      </c>
      <c r="BR36" s="470" t="str">
        <f ca="1">IFERROR((_xll.ciqfunctions.udf.CIQ($A36, "IQ_DA_CF", IQ_LTM, $B$1, $L$4, $L$3, $L$5, $L$6)/Q36),"NM")</f>
        <v>NM</v>
      </c>
      <c r="BS36" s="522" t="e">
        <f>'Capital IQ Sheet-GPC'!BS36</f>
        <v>#VALUE!</v>
      </c>
      <c r="BT36" s="522" t="e">
        <f>'Capital IQ Sheet-GPC'!BT36</f>
        <v>#VALUE!</v>
      </c>
      <c r="BU36" s="522" t="e">
        <f>'Capital IQ Sheet-GPC'!BU36</f>
        <v>#VALUE!</v>
      </c>
      <c r="BV36" s="522" t="e">
        <f>'Capital IQ Sheet-GPC'!BV36</f>
        <v>#VALUE!</v>
      </c>
      <c r="BW36" s="522" t="e">
        <f>'Capital IQ Sheet-GPC'!BW36</f>
        <v>#VALUE!</v>
      </c>
      <c r="BX36" s="522" t="e">
        <f>'Capital IQ Sheet-GPC'!BX36</f>
        <v>#VALUE!</v>
      </c>
      <c r="BY36" s="522" t="e">
        <f>'Capital IQ Sheet-GPC'!BY36</f>
        <v>#VALUE!</v>
      </c>
      <c r="BZ36" s="522" t="e">
        <f>'Capital IQ Sheet-GPC'!BZ36</f>
        <v>#VALUE!</v>
      </c>
      <c r="CB36" s="466">
        <v>2</v>
      </c>
      <c r="CC36" s="614" t="s">
        <v>155</v>
      </c>
      <c r="CD36" s="614" t="s">
        <v>154</v>
      </c>
      <c r="CE36" s="468">
        <f t="shared" si="0"/>
        <v>42582</v>
      </c>
    </row>
    <row r="37" spans="1:83" s="466" customFormat="1" ht="12.75">
      <c r="A37" s="467" t="e">
        <f ca="1">_xll.ciqfunctions.udf.CIQ($B37,"IQ_COMPANY_TICKER")</f>
        <v>#NAME?</v>
      </c>
      <c r="B37" s="517" t="str">
        <f>'Capital IQ Sheet-GPC'!B37</f>
        <v>(Invalid Identifier)</v>
      </c>
      <c r="C37" s="467" t="e">
        <f ca="1">_xll.ciqfunctions.udf.CIQ($A37,"IQ_COMPANY_NAME")</f>
        <v>#NAME?</v>
      </c>
      <c r="D37" s="467" t="e">
        <f ca="1">_xll.ciqfunctions.udf.CIQ($A37, "IQ_EXCHANGE")</f>
        <v>#NAME?</v>
      </c>
      <c r="E37" s="516" t="e">
        <f ca="1">_xll.ciqfunctions.udf.CIQ($A37, "IQ_PERIODDATE_IS", IQ_FY)</f>
        <v>#NAME?</v>
      </c>
      <c r="F37" s="516" t="e">
        <f ca="1">_xll.ciqfunctions.udf.CIQ(A37, "IQ_PERIODDATE_IS", IQ_LTM, $B$1,$L$4,$L$3)</f>
        <v>#NAME?</v>
      </c>
      <c r="G37" s="516" t="e">
        <f ca="1">_xll.ciqfunctions.udf.CIQ($A37, "IQ_FIRSTPRICINGDATE")</f>
        <v>#NAME?</v>
      </c>
      <c r="H37" s="518" t="e">
        <f ca="1">_xll.ciqfunctions.udf.CIQ($A37, "IQ_TEV", $L$2, $L$5, $L$6)</f>
        <v>#NAME?</v>
      </c>
      <c r="I37" s="518" t="e">
        <f ca="1">_xll.ciqfunctions.udf.CIQ(A37, "IQ_LASTSALEPRICE", $B$1,$L$5)</f>
        <v>#NAME?</v>
      </c>
      <c r="J37" s="518" t="e">
        <f ca="1">_xll.ciqfunctions.udf.CIQ($A37, "IQ_MARKETCAP", $L$2, $L$5, $L$6)</f>
        <v>#NAME?</v>
      </c>
      <c r="K37" s="518" t="e">
        <f ca="1">_xll.ciqfunctions.udf.CIQ($A37, "IQ_TOTAL_DEBT", IQ_LTM, $L$2,$L$4, $L$3, $L$5, $L$6)</f>
        <v>#NAME?</v>
      </c>
      <c r="L37" s="518" t="e">
        <f ca="1">_xll.ciqfunctions.udf.CIQ($A37, "IQ_PREF_EQUITY", IQ_LTM, $L$2, $L$4, $L$3, $L$5, $L$6)</f>
        <v>#NAME?</v>
      </c>
      <c r="M37" s="518" t="e">
        <f ca="1">_xll.ciqfunctions.udf.CIQ($A37, "IQ_MINORITY_INTEREST_TOTAL", IQ_LTM, $L$2, $L$4, $L$3, $L$5, $L$6)</f>
        <v>#NAME?</v>
      </c>
      <c r="N37" s="518" t="e">
        <f ca="1">_xll.ciqfunctions.udf.CIQ($A37, "IQ_CASH_ST_INVEST", IQ_LTM, $L$2, $L$4, $L$3, $L$5, $L$6)</f>
        <v>#NAME?</v>
      </c>
      <c r="O37" s="518" t="e">
        <f ca="1">_xll.ciqfunctions.udf.CIQ($A37, "IQ_TOTAL_REV", IQ_LTM-8, $L$2, $L$4, $L$3, $L$5, $L$6)</f>
        <v>#NAME?</v>
      </c>
      <c r="P37" s="518" t="e">
        <f ca="1">_xll.ciqfunctions.udf.CIQ($A37, "IQ_TOTAL_REV", IQ_LTM - 4, $L$2, $L$4, $L$3, $L$5,$L$6)</f>
        <v>#NAME?</v>
      </c>
      <c r="Q37" s="518" t="e">
        <f ca="1">_xll.ciqfunctions.udf.CIQ($A37, "IQ_TOTAL_REV", IQ_LTM, $L$2, $L$4, $L$3, $L$5, $L$6)</f>
        <v>#NAME?</v>
      </c>
      <c r="R37" s="518" t="e">
        <f ca="1">_xll.ciqfunctions.udf.CIQ($A37, "IQ_TOTAL_REV", $B$2, $L$2, $L$4, $L$3, $L$5, $L$6)</f>
        <v>#NAME?</v>
      </c>
      <c r="S37" s="518" t="e">
        <f ca="1">IF(_xll.ciqfunctions.udf.CIQ($A37, "IQ_TOTAL_REV", $B$3, $L$2,$L$4, $L$3, $L$5, $L$6)=0,Q37,_xll.ciqfunctions.udf.CIQ($A37, "IQ_TOTAL_REV", $B$3, $L$2,$L$4, $L$3, $L$5, $L$6))</f>
        <v>#NAME?</v>
      </c>
      <c r="T37" s="518" t="e">
        <f ca="1">IF(_xll.ciqfunctions.udf.CIQ($A37, "IQ_REVENUE_EST",$B$4, $L$2, "CON", $L$3, $L$5, $L$6)=0,"n/a",_xll.ciqfunctions.udf.CIQ($A37, "IQ_REVENUE_EST",$B$4, $L$2, "CON", $L$3, $L$5, $L$6))</f>
        <v>#NAME?</v>
      </c>
      <c r="U37" s="518" t="e">
        <f ca="1">IF(_xll.ciqfunctions.udf.CIQ($A37, "IQ_REVENUE_EST",$B$5, $L$2, "CON", $L$3, $L$5, $L$6)=0,"n/a",_xll.ciqfunctions.udf.CIQ($A37, "IQ_REVENUE_EST",$B$5, $L$2, "CON", $L$3, $L$5, $L$6))</f>
        <v>#NAME?</v>
      </c>
      <c r="V37" s="518" t="e">
        <f ca="1">IF(_xll.ciqfunctions.udf.CIQ($A37, "IQ_REVENUE_EST",$B$6, $L$2, "CON", $L$3, $L$5, $L$6)=0,"n/a",_xll.ciqfunctions.udf.CIQ($A37, "IQ_REVENUE_EST",$B$6, $L$2, "CON", $L$3, $L$5, $L$6))</f>
        <v>#NAME?</v>
      </c>
      <c r="W37" s="518" t="e">
        <f ca="1">IF(_xll.ciqfunctions.udf.CIQ($A37, "IQ_REVENUE_EST", $B$7, $L$2, "CON", $L$3, $L$5, $L$6)=0,"n/a",_xll.ciqfunctions.udf.CIQ($A37, "IQ_REVENUE_EST",$B$7, $L$2, "CON", $L$3, $L$5, $L$6))</f>
        <v>#NAME?</v>
      </c>
      <c r="X37" s="518" t="e">
        <f ca="1">_xll.ciqfunctions.udf.CIQ($A37, "IQ_EBITDA", IQ_LTM-8, $L$2, $L$4, $L$3, $L$5, $L$6)</f>
        <v>#NAME?</v>
      </c>
      <c r="Y37" s="518" t="e">
        <f ca="1">_xll.ciqfunctions.udf.CIQ($A37, "IQ_EBITDA", IQ_LTM-4, $L$2,$L$4, $L$3, $L$5, $L$6)</f>
        <v>#NAME?</v>
      </c>
      <c r="Z37" s="518" t="e">
        <f ca="1">_xll.ciqfunctions.udf.CIQ($A37, "IQ_EBITDA", IQ_LTM, $L$2, $L$4, $L$3, $L$5, $L$6)</f>
        <v>#NAME?</v>
      </c>
      <c r="AA37" s="518" t="e">
        <f ca="1">_xll.ciqfunctions.udf.CIQ($A37, "IQ_EBITDA", $B$2, $L$2, $L$4, $L$3, $L$5, $L$6)</f>
        <v>#NAME?</v>
      </c>
      <c r="AB37" s="518" t="e">
        <f ca="1">IF(_xll.ciqfunctions.udf.CIQ($A37, "IQ_EBITDA", $B$3, $L$2,$L$4, $L$3, $L$5, $L$6)=0,Z37,_xll.ciqfunctions.udf.CIQ($A37, "IQ_EBITDA", $B$3, $L$2,$L$4, $L$3, $L$5, $L$6))</f>
        <v>#NAME?</v>
      </c>
      <c r="AC37" s="518" t="e">
        <f ca="1">IF(_xll.ciqfunctions.udf.CIQ($A37, "IQ_EBITDA_EST",$B$4, $L$2, "CON", $L$3, $L$5, $L$6)=0,"n/a",_xll.ciqfunctions.udf.CIQ($A37, "IQ_EBITDA_EST",$B$4, $L$2, "CON", $L$3, $L$5, $L$6))</f>
        <v>#NAME?</v>
      </c>
      <c r="AD37" s="518" t="e">
        <f ca="1">IF(_xll.ciqfunctions.udf.CIQ($A37, "IQ_EBITDA_EST",$B$5, $L$2, "CON", $L$3, $L$5, $L$6)=0,"n/a",_xll.ciqfunctions.udf.CIQ($A37, "IQ_EBITDA_EST",$B$5, $L$2, "CON", $L$3, $L$5, $L$6))</f>
        <v>#NAME?</v>
      </c>
      <c r="AE37" s="518" t="e">
        <f ca="1">IF(_xll.ciqfunctions.udf.CIQ($A37, "IQ_EBITDA_EST",$B$6, $L$2, "CON", $L$3, $L$5, $L$6)=0,"n/a",_xll.ciqfunctions.udf.CIQ($A37, "IQ_EBITDA_EST",$B$6, $L$2, "CON", $L$3, $L$5, $L$6))</f>
        <v>#NAME?</v>
      </c>
      <c r="AF37" s="519" t="str">
        <f ca="1">IF(ISERROR(_xll.ciqfunctions.udf.CIQ($A37, "IQ_GROSS_MARGIN", IQ_LTM, $L$2,$L$4, $L$3, $L$5, $L$6)/100), "n/a", _xll.ciqfunctions.udf.CIQ($A37,  "IQ_GROSS_MARGIN", IQ_LTM, $L$2, $L$4, $L$3, $L$5, $L$6)/100)</f>
        <v>n/a</v>
      </c>
      <c r="AG37" s="519" t="str">
        <f ca="1">IF(ISERROR(_xll.ciqfunctions.udf.CIQ($A37,"IQ_EBITDA_MARGIN", IQ_LTM, $L$2, $L$4, $L$3, $L$5, $L$6)/100), "n/a", _xll.ciqfunctions.udf.CIQ($A37, "IQ_EBITDA_MARGIN", IQ_LTM, $L$2, $L$4, $L$3, $L$5, $L$6)/100)</f>
        <v>n/a</v>
      </c>
      <c r="AH37" s="519" t="str">
        <f ca="1">IF(ISERROR(_xll.ciqfunctions.udf.CIQ($A37,"IQ_EBIT_MARGIN", IQ_LTM, $L$2, $L$4, $L$3, $L$5, $L$6)/100), "n/a", _xll.ciqfunctions.udf.CIQ($A37, "IQ_EBIT_MARGIN", IQ_LTM, $L$2, $L$4, $L$3, $L$5, $L$6)/100)</f>
        <v>n/a</v>
      </c>
      <c r="AI37" s="519" t="str">
        <f ca="1">IF(ISERROR(_xll.ciqfunctions.udf.CIQ($A37,"IQ_NI_MARGIN", IQ_LTM, $L$2, $L$4, $L$3, $L$5, $L$6)/100), "n/a", _xll.ciqfunctions.udf.CIQ($A37, "IQ_NI_MARGIN", IQ_LTM, $L$2, $L$4, $L$3, $L$5, $L$6)/100)</f>
        <v>n/a</v>
      </c>
      <c r="AJ37" s="518" t="str">
        <f ca="1">IF(ISERROR(_xll.ciqfunctions.udf.CIQ($A37, "IQ_NET_WORKING_CAP", IQ_LTM-8, $L$2, $L$4, $L$3, $L$5, $L$6)), "n/a", _xll.ciqfunctions.udf.CIQ($A37, "IQ_NET_WORKING_CAP", IQ_LTM-8, $L$2, $L$4, $L$3, $L$5, $L$6))</f>
        <v>n/a</v>
      </c>
      <c r="AK37" s="518" t="str">
        <f ca="1">IF(ISERROR(_xll.ciqfunctions.udf.CIQ($A37, "IQ_NET_WORKING_CAP", IQ_LTM-4, $L$2, $L$4, $L$3, $L$5, $L$6)), "n/a", _xll.ciqfunctions.udf.CIQ($A37, "IQ_NET_WORKING_CAP", IQ_LTM-4, $L$2, $L$4, $L$3, $L$5, $L$6))</f>
        <v>n/a</v>
      </c>
      <c r="AL37" s="518" t="str">
        <f ca="1">IF(ISERROR(_xll.ciqfunctions.udf.CIQ($A37, "IQ_NET_WORKING_CAP", IQ_LTM, $L$2,$L$4, $L$3, $L$5, $L$6)), "n/a", _xll.ciqfunctions.udf.CIQ($A37, "IQ_NET_WORKING_CAP", IQ_LTM, $L$2, $L$4, $L$3, $L$5, $L$6))</f>
        <v>n/a</v>
      </c>
      <c r="AM37" s="518" t="str">
        <f ca="1">IF(ISERROR(_xll.ciqfunctions.udf.CIQ($A37, "IQ_Capex", IQ_LTM-8, $L$2,$L$4, $L$3, $L$5, $L$6)), "n/a", _xll.ciqfunctions.udf.CIQ($A37, "IQ_Capex", IQ_LTM-8, $L$2, $L$4, $L$3, $L$5, $L$6))</f>
        <v>n/a</v>
      </c>
      <c r="AN37" s="518" t="str">
        <f ca="1">IF(ISERROR(_xll.ciqfunctions.udf.CIQ($A37, "IQ_Capex", IQ_LTM-4, $L$2,$L$4, $L$3, $L$5, $L$6)), "n/a", _xll.ciqfunctions.udf.CIQ($A37, "IQ_Capex", IQ_LTM-4, $L$2,$L$4, $L$3, $L$5, $L$6))</f>
        <v>n/a</v>
      </c>
      <c r="AO37" s="518" t="str">
        <f ca="1">IF(ISERROR(_xll.ciqfunctions.udf.CIQ($A37, "IQ_Capex", IQ_LTM, $L$2, $L$4, $L$3, $L$5, $L$6)), "n/a", _xll.ciqfunctions.udf.CIQ($A37, "IQ_Capex", IQ_LTM, $L$2, $L$4, $L$3, $L$5, $L$6))</f>
        <v>n/a</v>
      </c>
      <c r="AP37" s="520" t="e">
        <f ca="1">_xll.ciqfunctions.udf.CIQ(A37, "IQ_BUSINESS_DESCRIPTION")</f>
        <v>#NAME?</v>
      </c>
      <c r="AQ37" s="521" t="e">
        <f ca="1">_xll.ciqfunctions.udf.CIQ($A37, "IQ_BETA_1YR", $B$1)</f>
        <v>#NAME?</v>
      </c>
      <c r="AR37" s="521" t="e">
        <f ca="1">_xll.ciqfunctions.udf.CIQ($A37, "IQ_BETA_2YR", $B$1)</f>
        <v>#NAME?</v>
      </c>
      <c r="AS37" s="521" t="e">
        <f ca="1">_xll.ciqfunctions.udf.CIQ($A37, "IQ_BETA_5YR", $B$1)</f>
        <v>#NAME?</v>
      </c>
      <c r="AT37" s="519" t="e">
        <f ca="1">_xll.ciqfunctions.udf.CIQ($A37, "IQ_DIVIDEND_YIELD", $B$1)/100</f>
        <v>#NAME?</v>
      </c>
      <c r="AU37" s="518" t="e">
        <f ca="1">_xll.ciqfunctions.udf.CIQ($A37, "IQ_EARNING_CO", IQ_LTM-8, $L$2, $L$4, $L$3, $L$5, $L$6)</f>
        <v>#NAME?</v>
      </c>
      <c r="AV37" s="518" t="e">
        <f ca="1">_xll.ciqfunctions.udf.CIQ($A37, "IQ_EARNING_CO", IQ_LTM-4, $L$2, $L$4, $L$3, $L$5, $L$6)</f>
        <v>#NAME?</v>
      </c>
      <c r="AW37" s="518" t="e">
        <f ca="1">_xll.ciqfunctions.udf.CIQ($A37, "IQ_EARNING_CO", IQ_LTM, $L$2, $L$4, $L$3, $L$5, $L$6)</f>
        <v>#NAME?</v>
      </c>
      <c r="AX37" s="518" t="e">
        <f ca="1">_xll.ciqfunctions.udf.CIQ($A37, "IQ_EARNING_CO", $B$2, $L$2, $L$4, $L$3, $L$5, $L$6)</f>
        <v>#NAME?</v>
      </c>
      <c r="AY37" s="518" t="e">
        <f ca="1">IF(_xll.ciqfunctions.udf.CIQ($A37, "IQ_EARNING_CO", $B$3, $L$2,$L$4, $L$3, $L$5, $L$6)=0,AW37,_xll.ciqfunctions.udf.CIQ($A37, "IQ_EARNING_CO", $B$3, $L$2,$L$4, $L$3, $L$5, $L$6))</f>
        <v>#NAME?</v>
      </c>
      <c r="AZ37" s="518" t="e">
        <f ca="1">_xll.ciqfunctions.udf.CIQ($A37, "IQ_TOTAL_EQUITY", IQ_LTM-8, $L$2, $L$4, $L$3, $L$5, $L$6)</f>
        <v>#NAME?</v>
      </c>
      <c r="BA37" s="518" t="e">
        <f ca="1">_xll.ciqfunctions.udf.CIQ($A37, "IQ_TOTAL_EQUITY", IQ_LTM-4, $L$2, $L$4, $L$3, $L$5, $L$6)</f>
        <v>#NAME?</v>
      </c>
      <c r="BB37" s="518" t="e">
        <f ca="1">_xll.ciqfunctions.udf.CIQ($A37, "IQ_TOTAL_EQUITY", IQ_LTM, $L$2, $L$4, $L$3, $L$5, $L$6)</f>
        <v>#NAME?</v>
      </c>
      <c r="BC37" s="518" t="e">
        <f ca="1">_xll.ciqfunctions.udf.CIQ($A37, "IQ_TOTAL_EQUITY", $B$2, $L$2, $L$4, $L$3, $L$5, $L$6)</f>
        <v>#NAME?</v>
      </c>
      <c r="BD37" s="518" t="e">
        <f ca="1">IF(_xll.ciqfunctions.udf.CIQ($A37, "IQ_TOTAL_EQUITY", $B$3, $L$2,$L$4, $L$3, $L$5, $L$6)=0,BB37,_xll.ciqfunctions.udf.CIQ($A37, "IQ_TOTAL_EQUITY", $B$3, $L$2,$L$4, $L$3, $L$5, $L$6))</f>
        <v>#NAME?</v>
      </c>
      <c r="BE37" s="518" t="e">
        <f ca="1">_xll.ciqfunctions.udf.CIQ(A37, "IQ_LASTSALEPRICE", $B$8)</f>
        <v>#NAME?</v>
      </c>
      <c r="BF37" s="518" t="e">
        <f ca="1">_xll.ciqfunctions.udf.CIQ($A37, "IQ_MARKETCAP", $B$8, $L$5, $L$6)</f>
        <v>#NAME?</v>
      </c>
      <c r="BG37" s="518" t="e">
        <f ca="1">_xll.ciqfunctions.udf.CIQ($A37, "IQ_TOTAL_DEBT", IQ_LTM, $B$8,$L$4, $L$3, $L$5, $L$6)</f>
        <v>#NAME?</v>
      </c>
      <c r="BH37" s="466" t="e">
        <f ca="1">_xll.ciqfunctions.udf.CIQ($A37,"IQ_PREF_EQUITY",IQ_LTM,$B$8,$L$4,$L$3,$L$5,$L$6)</f>
        <v>#NAME?</v>
      </c>
      <c r="BI37" s="466" t="e">
        <f ca="1">_xll.ciqfunctions.udf.CIQ($A37, "IQ_MINORITY_INTEREST_TOTAL", IQ_LTM,$B$8,$L$4,$L$3,$L$5,$L$6)</f>
        <v>#NAME?</v>
      </c>
      <c r="BJ37" s="518" t="e">
        <f ca="1">_xll.ciqfunctions.udf.CIQ($A37, "IQ_CASH_ST_INVEST", IQ_LTM, $B$8, $L$4, $L$3, $L$5, $L$6)</f>
        <v>#NAME?</v>
      </c>
      <c r="BK37" s="466" t="e">
        <f ca="1">_xll.ciqfunctions.udf.CIQ($A37, "IQ_EFFECT_TAX_RATE")</f>
        <v>#NAME?</v>
      </c>
      <c r="BL37" s="466" t="e">
        <f ca="1">IF(_xll.ciqfunctions.udf.CIQ($A37, "IQ_TOTAL_REV_2YR_ANN_CAGR", IQ_LTM, $B$1,$L$4, $L$3, $L$5, $L$6)="NM","n/a",(_xll.ciqfunctions.udf.CIQ($A37, "IQ_TOTAL_REV_2YR_ANN_CAGR", IQ_LTM, $B$1,$L$4, $L$3, $L$5, $L$6)/100))</f>
        <v>#NAME?</v>
      </c>
      <c r="BM37" s="466" t="e">
        <f ca="1">IF(_xll.ciqfunctions.udf.CIQ($A37, "IQ_TOTAL_REV_3YR_ANN_CAGR", IQ_LTM, $B$1,$L$4, $L$3, $L$5, $L$6)="NM","n/a",(_xll.ciqfunctions.udf.CIQ($A37, "IQ_TOTAL_REV_3YR_ANN_CAGR", IQ_LTM, $B$1,$L$4, $L$3, $L$5, $L$6)/100))</f>
        <v>#NAME?</v>
      </c>
      <c r="BN37" s="466" t="e">
        <f ca="1">IF(_xll.ciqfunctions.udf.CIQ($A37, "IQ_TOTAL_REV_5YR_ANN_CAGR", IQ_LTM, $B$1,$L$4, $L$3, $L$5, $L$6)="NM","n/a",(_xll.ciqfunctions.udf.CIQ($A37, "IQ_TOTAL_REV_5YR_ANN_CAGR", IQ_LTM, $B$1,$L$4, $L$3, $L$5, $L$6)/100))</f>
        <v>#NAME?</v>
      </c>
      <c r="BO37" s="466" t="e">
        <f ca="1">IF(_xll.ciqfunctions.udf.CIQ($A37,"IQ_EBITDA_2YR_ANN_CAGR", IQ_LTM,$B$1,$L$4, $L$3, $L$5, $L$6)="NM","n/a",(_xll.ciqfunctions.udf.CIQ($A37,"IQ_EBITDA_2YR_ANN_CAGR", IQ_LTM,$B$1,$L$4, $L$3, $L$5, $L$6)/100))</f>
        <v>#NAME?</v>
      </c>
      <c r="BP37" s="466" t="e">
        <f ca="1">IF(_xll.ciqfunctions.udf.CIQ($A37,"IQ_EBITDA_3YR_ANN_CAGR", IQ_LTM,$B$1,$L$4, $L$3, $L$5, $L$6)="NM","n/a",(_xll.ciqfunctions.udf.CIQ($A37,"IQ_EBITDA_3YR_ANN_CAGR", IQ_LTM,$B$1,$L$4, $L$3, $L$5, $L$6)/100))</f>
        <v>#NAME?</v>
      </c>
      <c r="BQ37" s="466" t="e">
        <f ca="1">IF(_xll.ciqfunctions.udf.CIQ($A37,"IQ_EBITDA_5YR_ANN_CAGR", IQ_LTM,$B$1,$L$4, $L$3, $L$5, $L$6)="NM","n/a",(_xll.ciqfunctions.udf.CIQ($A37,"IQ_EBITDA_5YR_ANN_CAGR", IQ_LTM,$B$1,$L$4, $L$3, $L$5, $L$6)/100))</f>
        <v>#NAME?</v>
      </c>
      <c r="BR37" s="470" t="str">
        <f ca="1">IFERROR((_xll.ciqfunctions.udf.CIQ($A37, "IQ_DA_CF", IQ_LTM, $B$1, $L$4, $L$3, $L$5, $L$6)/Q37),"NM")</f>
        <v>NM</v>
      </c>
      <c r="BS37" s="522" t="e">
        <f>'Capital IQ Sheet-GPC'!BS37</f>
        <v>#VALUE!</v>
      </c>
      <c r="BT37" s="522" t="e">
        <f>'Capital IQ Sheet-GPC'!BT37</f>
        <v>#VALUE!</v>
      </c>
      <c r="BU37" s="522" t="e">
        <f>'Capital IQ Sheet-GPC'!BU37</f>
        <v>#VALUE!</v>
      </c>
      <c r="BV37" s="522" t="e">
        <f>'Capital IQ Sheet-GPC'!BV37</f>
        <v>#VALUE!</v>
      </c>
      <c r="BW37" s="522" t="e">
        <f>'Capital IQ Sheet-GPC'!BW37</f>
        <v>#VALUE!</v>
      </c>
      <c r="BX37" s="522" t="e">
        <f>'Capital IQ Sheet-GPC'!BX37</f>
        <v>#VALUE!</v>
      </c>
      <c r="BY37" s="522" t="e">
        <f>'Capital IQ Sheet-GPC'!BY37</f>
        <v>#VALUE!</v>
      </c>
      <c r="BZ37" s="522" t="e">
        <f>'Capital IQ Sheet-GPC'!BZ37</f>
        <v>#VALUE!</v>
      </c>
      <c r="CB37" s="466">
        <v>2</v>
      </c>
      <c r="CC37" s="614" t="s">
        <v>155</v>
      </c>
      <c r="CD37" s="614" t="s">
        <v>154</v>
      </c>
      <c r="CE37" s="468">
        <f t="shared" si="0"/>
        <v>42582</v>
      </c>
    </row>
    <row r="38" spans="1:83" s="466" customFormat="1" ht="12.75">
      <c r="A38" s="467" t="e">
        <f ca="1">_xll.ciqfunctions.udf.CIQ($B38,"IQ_COMPANY_TICKER")</f>
        <v>#NAME?</v>
      </c>
      <c r="B38" s="517" t="str">
        <f>'Capital IQ Sheet-GPC'!B38</f>
        <v>(Invalid Identifier)</v>
      </c>
      <c r="C38" s="467" t="e">
        <f ca="1">_xll.ciqfunctions.udf.CIQ($A38,"IQ_COMPANY_NAME")</f>
        <v>#NAME?</v>
      </c>
      <c r="D38" s="467" t="e">
        <f ca="1">_xll.ciqfunctions.udf.CIQ($A38, "IQ_EXCHANGE")</f>
        <v>#NAME?</v>
      </c>
      <c r="E38" s="516" t="e">
        <f ca="1">_xll.ciqfunctions.udf.CIQ($A38, "IQ_PERIODDATE_IS", IQ_FY)</f>
        <v>#NAME?</v>
      </c>
      <c r="F38" s="516" t="e">
        <f ca="1">_xll.ciqfunctions.udf.CIQ(A38, "IQ_PERIODDATE_IS", IQ_LTM, $B$1,$L$4,$L$3)</f>
        <v>#NAME?</v>
      </c>
      <c r="G38" s="516" t="e">
        <f ca="1">_xll.ciqfunctions.udf.CIQ($A38, "IQ_FIRSTPRICINGDATE")</f>
        <v>#NAME?</v>
      </c>
      <c r="H38" s="518" t="e">
        <f ca="1">_xll.ciqfunctions.udf.CIQ($A38, "IQ_TEV", $L$2, $L$5, $L$6)</f>
        <v>#NAME?</v>
      </c>
      <c r="I38" s="518" t="e">
        <f ca="1">_xll.ciqfunctions.udf.CIQ(A38, "IQ_LASTSALEPRICE", $B$1,$L$5)</f>
        <v>#NAME?</v>
      </c>
      <c r="J38" s="518" t="e">
        <f ca="1">_xll.ciqfunctions.udf.CIQ($A38, "IQ_MARKETCAP", $L$2, $L$5, $L$6)</f>
        <v>#NAME?</v>
      </c>
      <c r="K38" s="518" t="e">
        <f ca="1">_xll.ciqfunctions.udf.CIQ($A38, "IQ_TOTAL_DEBT", IQ_LTM, $L$2,$L$4, $L$3, $L$5, $L$6)</f>
        <v>#NAME?</v>
      </c>
      <c r="L38" s="518" t="e">
        <f ca="1">_xll.ciqfunctions.udf.CIQ($A38, "IQ_PREF_EQUITY", IQ_LTM, $L$2, $L$4, $L$3, $L$5, $L$6)</f>
        <v>#NAME?</v>
      </c>
      <c r="M38" s="518" t="e">
        <f ca="1">_xll.ciqfunctions.udf.CIQ($A38, "IQ_MINORITY_INTEREST_TOTAL", IQ_LTM, $L$2, $L$4, $L$3, $L$5, $L$6)</f>
        <v>#NAME?</v>
      </c>
      <c r="N38" s="518" t="e">
        <f ca="1">_xll.ciqfunctions.udf.CIQ($A38, "IQ_CASH_ST_INVEST", IQ_LTM, $L$2, $L$4, $L$3, $L$5, $L$6)</f>
        <v>#NAME?</v>
      </c>
      <c r="O38" s="518" t="e">
        <f ca="1">_xll.ciqfunctions.udf.CIQ($A38, "IQ_TOTAL_REV", IQ_LTM-8, $L$2, $L$4, $L$3, $L$5, $L$6)</f>
        <v>#NAME?</v>
      </c>
      <c r="P38" s="518" t="e">
        <f ca="1">_xll.ciqfunctions.udf.CIQ($A38, "IQ_TOTAL_REV", IQ_LTM - 4, $L$2, $L$4, $L$3, $L$5,$L$6)</f>
        <v>#NAME?</v>
      </c>
      <c r="Q38" s="518" t="e">
        <f ca="1">_xll.ciqfunctions.udf.CIQ($A38, "IQ_TOTAL_REV", IQ_LTM, $L$2, $L$4, $L$3, $L$5, $L$6)</f>
        <v>#NAME?</v>
      </c>
      <c r="R38" s="518" t="e">
        <f ca="1">_xll.ciqfunctions.udf.CIQ($A38, "IQ_TOTAL_REV", $B$2, $L$2, $L$4, $L$3, $L$5, $L$6)</f>
        <v>#NAME?</v>
      </c>
      <c r="S38" s="518" t="e">
        <f ca="1">IF(_xll.ciqfunctions.udf.CIQ($A38, "IQ_TOTAL_REV", $B$3, $L$2,$L$4, $L$3, $L$5, $L$6)=0,Q38,_xll.ciqfunctions.udf.CIQ($A38, "IQ_TOTAL_REV", $B$3, $L$2,$L$4, $L$3, $L$5, $L$6))</f>
        <v>#NAME?</v>
      </c>
      <c r="T38" s="518" t="e">
        <f ca="1">IF(_xll.ciqfunctions.udf.CIQ($A38, "IQ_REVENUE_EST",$B$4, $L$2, "CON", $L$3, $L$5, $L$6)=0,"n/a",_xll.ciqfunctions.udf.CIQ($A38, "IQ_REVENUE_EST",$B$4, $L$2, "CON", $L$3, $L$5, $L$6))</f>
        <v>#NAME?</v>
      </c>
      <c r="U38" s="518" t="e">
        <f ca="1">IF(_xll.ciqfunctions.udf.CIQ($A38, "IQ_REVENUE_EST",$B$5, $L$2, "CON", $L$3, $L$5, $L$6)=0,"n/a",_xll.ciqfunctions.udf.CIQ($A38, "IQ_REVENUE_EST",$B$5, $L$2, "CON", $L$3, $L$5, $L$6))</f>
        <v>#NAME?</v>
      </c>
      <c r="V38" s="518" t="e">
        <f ca="1">IF(_xll.ciqfunctions.udf.CIQ($A38, "IQ_REVENUE_EST",$B$6, $L$2, "CON", $L$3, $L$5, $L$6)=0,"n/a",_xll.ciqfunctions.udf.CIQ($A38, "IQ_REVENUE_EST",$B$6, $L$2, "CON", $L$3, $L$5, $L$6))</f>
        <v>#NAME?</v>
      </c>
      <c r="W38" s="518" t="e">
        <f ca="1">IF(_xll.ciqfunctions.udf.CIQ($A38, "IQ_REVENUE_EST", $B$7, $L$2, "CON", $L$3, $L$5, $L$6)=0,"n/a",_xll.ciqfunctions.udf.CIQ($A38, "IQ_REVENUE_EST",$B$7, $L$2, "CON", $L$3, $L$5, $L$6))</f>
        <v>#NAME?</v>
      </c>
      <c r="X38" s="518" t="e">
        <f ca="1">_xll.ciqfunctions.udf.CIQ($A38, "IQ_EBITDA", IQ_LTM-8, $L$2, $L$4, $L$3, $L$5, $L$6)</f>
        <v>#NAME?</v>
      </c>
      <c r="Y38" s="518" t="e">
        <f ca="1">_xll.ciqfunctions.udf.CIQ($A38, "IQ_EBITDA", IQ_LTM-4, $L$2,$L$4, $L$3, $L$5, $L$6)</f>
        <v>#NAME?</v>
      </c>
      <c r="Z38" s="518" t="e">
        <f ca="1">_xll.ciqfunctions.udf.CIQ($A38, "IQ_EBITDA", IQ_LTM, $L$2, $L$4, $L$3, $L$5, $L$6)</f>
        <v>#NAME?</v>
      </c>
      <c r="AA38" s="518" t="e">
        <f ca="1">_xll.ciqfunctions.udf.CIQ($A38, "IQ_EBITDA", $B$2, $L$2, $L$4, $L$3, $L$5, $L$6)</f>
        <v>#NAME?</v>
      </c>
      <c r="AB38" s="518" t="e">
        <f ca="1">IF(_xll.ciqfunctions.udf.CIQ($A38, "IQ_EBITDA", $B$3, $L$2,$L$4, $L$3, $L$5, $L$6)=0,Z38,_xll.ciqfunctions.udf.CIQ($A38, "IQ_EBITDA", $B$3, $L$2,$L$4, $L$3, $L$5, $L$6))</f>
        <v>#NAME?</v>
      </c>
      <c r="AC38" s="518" t="e">
        <f ca="1">IF(_xll.ciqfunctions.udf.CIQ($A38, "IQ_EBITDA_EST",$B$4, $L$2, "CON", $L$3, $L$5, $L$6)=0,"n/a",_xll.ciqfunctions.udf.CIQ($A38, "IQ_EBITDA_EST",$B$4, $L$2, "CON", $L$3, $L$5, $L$6))</f>
        <v>#NAME?</v>
      </c>
      <c r="AD38" s="518" t="e">
        <f ca="1">IF(_xll.ciqfunctions.udf.CIQ($A38, "IQ_EBITDA_EST",$B$5, $L$2, "CON", $L$3, $L$5, $L$6)=0,"n/a",_xll.ciqfunctions.udf.CIQ($A38, "IQ_EBITDA_EST",$B$5, $L$2, "CON", $L$3, $L$5, $L$6))</f>
        <v>#NAME?</v>
      </c>
      <c r="AE38" s="518" t="e">
        <f ca="1">IF(_xll.ciqfunctions.udf.CIQ($A38, "IQ_EBITDA_EST",$B$6, $L$2, "CON", $L$3, $L$5, $L$6)=0,"n/a",_xll.ciqfunctions.udf.CIQ($A38, "IQ_EBITDA_EST",$B$6, $L$2, "CON", $L$3, $L$5, $L$6))</f>
        <v>#NAME?</v>
      </c>
      <c r="AF38" s="519" t="str">
        <f ca="1">IF(ISERROR(_xll.ciqfunctions.udf.CIQ($A38, "IQ_GROSS_MARGIN", IQ_LTM, $L$2,$L$4, $L$3, $L$5, $L$6)/100), "n/a", _xll.ciqfunctions.udf.CIQ($A38,  "IQ_GROSS_MARGIN", IQ_LTM, $L$2, $L$4, $L$3, $L$5, $L$6)/100)</f>
        <v>n/a</v>
      </c>
      <c r="AG38" s="519" t="str">
        <f ca="1">IF(ISERROR(_xll.ciqfunctions.udf.CIQ($A38,"IQ_EBITDA_MARGIN", IQ_LTM, $L$2, $L$4, $L$3, $L$5, $L$6)/100), "n/a", _xll.ciqfunctions.udf.CIQ($A38, "IQ_EBITDA_MARGIN", IQ_LTM, $L$2, $L$4, $L$3, $L$5, $L$6)/100)</f>
        <v>n/a</v>
      </c>
      <c r="AH38" s="519" t="str">
        <f ca="1">IF(ISERROR(_xll.ciqfunctions.udf.CIQ($A38,"IQ_EBIT_MARGIN", IQ_LTM, $L$2, $L$4, $L$3, $L$5, $L$6)/100), "n/a", _xll.ciqfunctions.udf.CIQ($A38, "IQ_EBIT_MARGIN", IQ_LTM, $L$2, $L$4, $L$3, $L$5, $L$6)/100)</f>
        <v>n/a</v>
      </c>
      <c r="AI38" s="519" t="str">
        <f ca="1">IF(ISERROR(_xll.ciqfunctions.udf.CIQ($A38,"IQ_NI_MARGIN", IQ_LTM, $L$2, $L$4, $L$3, $L$5, $L$6)/100), "n/a", _xll.ciqfunctions.udf.CIQ($A38, "IQ_NI_MARGIN", IQ_LTM, $L$2, $L$4, $L$3, $L$5, $L$6)/100)</f>
        <v>n/a</v>
      </c>
      <c r="AJ38" s="518" t="str">
        <f ca="1">IF(ISERROR(_xll.ciqfunctions.udf.CIQ($A38, "IQ_NET_WORKING_CAP", IQ_LTM-8, $L$2, $L$4, $L$3, $L$5, $L$6)), "n/a", _xll.ciqfunctions.udf.CIQ($A38, "IQ_NET_WORKING_CAP", IQ_LTM-8, $L$2, $L$4, $L$3, $L$5, $L$6))</f>
        <v>n/a</v>
      </c>
      <c r="AK38" s="518" t="str">
        <f ca="1">IF(ISERROR(_xll.ciqfunctions.udf.CIQ($A38, "IQ_NET_WORKING_CAP", IQ_LTM-4, $L$2, $L$4, $L$3, $L$5, $L$6)), "n/a", _xll.ciqfunctions.udf.CIQ($A38, "IQ_NET_WORKING_CAP", IQ_LTM-4, $L$2, $L$4, $L$3, $L$5, $L$6))</f>
        <v>n/a</v>
      </c>
      <c r="AL38" s="518" t="str">
        <f ca="1">IF(ISERROR(_xll.ciqfunctions.udf.CIQ($A38, "IQ_NET_WORKING_CAP", IQ_LTM, $L$2,$L$4, $L$3, $L$5, $L$6)), "n/a", _xll.ciqfunctions.udf.CIQ($A38, "IQ_NET_WORKING_CAP", IQ_LTM, $L$2, $L$4, $L$3, $L$5, $L$6))</f>
        <v>n/a</v>
      </c>
      <c r="AM38" s="518" t="str">
        <f ca="1">IF(ISERROR(_xll.ciqfunctions.udf.CIQ($A38, "IQ_Capex", IQ_LTM-8, $L$2,$L$4, $L$3, $L$5, $L$6)), "n/a", _xll.ciqfunctions.udf.CIQ($A38, "IQ_Capex", IQ_LTM-8, $L$2, $L$4, $L$3, $L$5, $L$6))</f>
        <v>n/a</v>
      </c>
      <c r="AN38" s="518" t="str">
        <f ca="1">IF(ISERROR(_xll.ciqfunctions.udf.CIQ($A38, "IQ_Capex", IQ_LTM-4, $L$2,$L$4, $L$3, $L$5, $L$6)), "n/a", _xll.ciqfunctions.udf.CIQ($A38, "IQ_Capex", IQ_LTM-4, $L$2,$L$4, $L$3, $L$5, $L$6))</f>
        <v>n/a</v>
      </c>
      <c r="AO38" s="518" t="str">
        <f ca="1">IF(ISERROR(_xll.ciqfunctions.udf.CIQ($A38, "IQ_Capex", IQ_LTM, $L$2, $L$4, $L$3, $L$5, $L$6)), "n/a", _xll.ciqfunctions.udf.CIQ($A38, "IQ_Capex", IQ_LTM, $L$2, $L$4, $L$3, $L$5, $L$6))</f>
        <v>n/a</v>
      </c>
      <c r="AP38" s="520" t="e">
        <f ca="1">_xll.ciqfunctions.udf.CIQ(A38, "IQ_BUSINESS_DESCRIPTION")</f>
        <v>#NAME?</v>
      </c>
      <c r="AQ38" s="521" t="e">
        <f ca="1">_xll.ciqfunctions.udf.CIQ($A38, "IQ_BETA_1YR", $B$1)</f>
        <v>#NAME?</v>
      </c>
      <c r="AR38" s="521" t="e">
        <f ca="1">_xll.ciqfunctions.udf.CIQ($A38, "IQ_BETA_2YR", $B$1)</f>
        <v>#NAME?</v>
      </c>
      <c r="AS38" s="521" t="e">
        <f ca="1">_xll.ciqfunctions.udf.CIQ($A38, "IQ_BETA_5YR", $B$1)</f>
        <v>#NAME?</v>
      </c>
      <c r="AT38" s="519" t="e">
        <f ca="1">_xll.ciqfunctions.udf.CIQ($A38, "IQ_DIVIDEND_YIELD", $B$1)/100</f>
        <v>#NAME?</v>
      </c>
      <c r="AU38" s="518" t="e">
        <f ca="1">_xll.ciqfunctions.udf.CIQ($A38, "IQ_EARNING_CO", IQ_LTM-8, $L$2, $L$4, $L$3, $L$5, $L$6)</f>
        <v>#NAME?</v>
      </c>
      <c r="AV38" s="518" t="e">
        <f ca="1">_xll.ciqfunctions.udf.CIQ($A38, "IQ_EARNING_CO", IQ_LTM-4, $L$2, $L$4, $L$3, $L$5, $L$6)</f>
        <v>#NAME?</v>
      </c>
      <c r="AW38" s="518" t="e">
        <f ca="1">_xll.ciqfunctions.udf.CIQ($A38, "IQ_EARNING_CO", IQ_LTM, $L$2, $L$4, $L$3, $L$5, $L$6)</f>
        <v>#NAME?</v>
      </c>
      <c r="AX38" s="518" t="e">
        <f ca="1">_xll.ciqfunctions.udf.CIQ($A38, "IQ_EARNING_CO", $B$2, $L$2, $L$4, $L$3, $L$5, $L$6)</f>
        <v>#NAME?</v>
      </c>
      <c r="AY38" s="518" t="e">
        <f ca="1">IF(_xll.ciqfunctions.udf.CIQ($A38, "IQ_EARNING_CO", $B$3, $L$2,$L$4, $L$3, $L$5, $L$6)=0,AW38,_xll.ciqfunctions.udf.CIQ($A38, "IQ_EARNING_CO", $B$3, $L$2,$L$4, $L$3, $L$5, $L$6))</f>
        <v>#NAME?</v>
      </c>
      <c r="AZ38" s="518" t="e">
        <f ca="1">_xll.ciqfunctions.udf.CIQ($A38, "IQ_TOTAL_EQUITY", IQ_LTM-8, $L$2, $L$4, $L$3, $L$5, $L$6)</f>
        <v>#NAME?</v>
      </c>
      <c r="BA38" s="518" t="e">
        <f ca="1">_xll.ciqfunctions.udf.CIQ($A38, "IQ_TOTAL_EQUITY", IQ_LTM-4, $L$2, $L$4, $L$3, $L$5, $L$6)</f>
        <v>#NAME?</v>
      </c>
      <c r="BB38" s="518" t="e">
        <f ca="1">_xll.ciqfunctions.udf.CIQ($A38, "IQ_TOTAL_EQUITY", IQ_LTM, $L$2, $L$4, $L$3, $L$5, $L$6)</f>
        <v>#NAME?</v>
      </c>
      <c r="BC38" s="518" t="e">
        <f ca="1">_xll.ciqfunctions.udf.CIQ($A38, "IQ_TOTAL_EQUITY", $B$2, $L$2, $L$4, $L$3, $L$5, $L$6)</f>
        <v>#NAME?</v>
      </c>
      <c r="BD38" s="518" t="e">
        <f ca="1">IF(_xll.ciqfunctions.udf.CIQ($A38, "IQ_TOTAL_EQUITY", $B$3, $L$2,$L$4, $L$3, $L$5, $L$6)=0,BB38,_xll.ciqfunctions.udf.CIQ($A38, "IQ_TOTAL_EQUITY", $B$3, $L$2,$L$4, $L$3, $L$5, $L$6))</f>
        <v>#NAME?</v>
      </c>
      <c r="BE38" s="518" t="e">
        <f ca="1">_xll.ciqfunctions.udf.CIQ(A38, "IQ_LASTSALEPRICE", $B$8)</f>
        <v>#NAME?</v>
      </c>
      <c r="BF38" s="518" t="e">
        <f ca="1">_xll.ciqfunctions.udf.CIQ($A38, "IQ_MARKETCAP", $B$8, $L$5, $L$6)</f>
        <v>#NAME?</v>
      </c>
      <c r="BG38" s="518" t="e">
        <f ca="1">_xll.ciqfunctions.udf.CIQ($A38, "IQ_TOTAL_DEBT", IQ_LTM, $B$8,$L$4, $L$3, $L$5, $L$6)</f>
        <v>#NAME?</v>
      </c>
      <c r="BH38" s="466" t="e">
        <f ca="1">_xll.ciqfunctions.udf.CIQ($A38,"IQ_PREF_EQUITY",IQ_LTM,$B$8,$L$4,$L$3,$L$5,$L$6)</f>
        <v>#NAME?</v>
      </c>
      <c r="BI38" s="466" t="e">
        <f ca="1">_xll.ciqfunctions.udf.CIQ($A38, "IQ_MINORITY_INTEREST_TOTAL", IQ_LTM,$B$8,$L$4,$L$3,$L$5,$L$6)</f>
        <v>#NAME?</v>
      </c>
      <c r="BJ38" s="518" t="e">
        <f ca="1">_xll.ciqfunctions.udf.CIQ($A38, "IQ_CASH_ST_INVEST", IQ_LTM, $B$8, $L$4, $L$3, $L$5, $L$6)</f>
        <v>#NAME?</v>
      </c>
      <c r="BK38" s="466" t="e">
        <f ca="1">_xll.ciqfunctions.udf.CIQ($A38, "IQ_EFFECT_TAX_RATE")</f>
        <v>#NAME?</v>
      </c>
      <c r="BL38" s="466" t="e">
        <f ca="1">IF(_xll.ciqfunctions.udf.CIQ($A38, "IQ_TOTAL_REV_2YR_ANN_CAGR", IQ_LTM, $B$1,$L$4, $L$3, $L$5, $L$6)="NM","n/a",(_xll.ciqfunctions.udf.CIQ($A38, "IQ_TOTAL_REV_2YR_ANN_CAGR", IQ_LTM, $B$1,$L$4, $L$3, $L$5, $L$6)/100))</f>
        <v>#NAME?</v>
      </c>
      <c r="BM38" s="466" t="e">
        <f ca="1">IF(_xll.ciqfunctions.udf.CIQ($A38, "IQ_TOTAL_REV_3YR_ANN_CAGR", IQ_LTM, $B$1,$L$4, $L$3, $L$5, $L$6)="NM","n/a",(_xll.ciqfunctions.udf.CIQ($A38, "IQ_TOTAL_REV_3YR_ANN_CAGR", IQ_LTM, $B$1,$L$4, $L$3, $L$5, $L$6)/100))</f>
        <v>#NAME?</v>
      </c>
      <c r="BN38" s="466" t="e">
        <f ca="1">IF(_xll.ciqfunctions.udf.CIQ($A38, "IQ_TOTAL_REV_5YR_ANN_CAGR", IQ_LTM, $B$1,$L$4, $L$3, $L$5, $L$6)="NM","n/a",(_xll.ciqfunctions.udf.CIQ($A38, "IQ_TOTAL_REV_5YR_ANN_CAGR", IQ_LTM, $B$1,$L$4, $L$3, $L$5, $L$6)/100))</f>
        <v>#NAME?</v>
      </c>
      <c r="BO38" s="466" t="e">
        <f ca="1">IF(_xll.ciqfunctions.udf.CIQ($A38,"IQ_EBITDA_2YR_ANN_CAGR", IQ_LTM,$B$1,$L$4, $L$3, $L$5, $L$6)="NM","n/a",(_xll.ciqfunctions.udf.CIQ($A38,"IQ_EBITDA_2YR_ANN_CAGR", IQ_LTM,$B$1,$L$4, $L$3, $L$5, $L$6)/100))</f>
        <v>#NAME?</v>
      </c>
      <c r="BP38" s="466" t="e">
        <f ca="1">IF(_xll.ciqfunctions.udf.CIQ($A38,"IQ_EBITDA_3YR_ANN_CAGR", IQ_LTM,$B$1,$L$4, $L$3, $L$5, $L$6)="NM","n/a",(_xll.ciqfunctions.udf.CIQ($A38,"IQ_EBITDA_3YR_ANN_CAGR", IQ_LTM,$B$1,$L$4, $L$3, $L$5, $L$6)/100))</f>
        <v>#NAME?</v>
      </c>
      <c r="BQ38" s="466" t="e">
        <f ca="1">IF(_xll.ciqfunctions.udf.CIQ($A38,"IQ_EBITDA_5YR_ANN_CAGR", IQ_LTM,$B$1,$L$4, $L$3, $L$5, $L$6)="NM","n/a",(_xll.ciqfunctions.udf.CIQ($A38,"IQ_EBITDA_5YR_ANN_CAGR", IQ_LTM,$B$1,$L$4, $L$3, $L$5, $L$6)/100))</f>
        <v>#NAME?</v>
      </c>
      <c r="BR38" s="470" t="str">
        <f ca="1">IFERROR((_xll.ciqfunctions.udf.CIQ($A38, "IQ_DA_CF", IQ_LTM, $B$1, $L$4, $L$3, $L$5, $L$6)/Q38),"NM")</f>
        <v>NM</v>
      </c>
      <c r="BS38" s="522" t="e">
        <f>'Capital IQ Sheet-GPC'!BS38</f>
        <v>#VALUE!</v>
      </c>
      <c r="BT38" s="522" t="e">
        <f>'Capital IQ Sheet-GPC'!BT38</f>
        <v>#VALUE!</v>
      </c>
      <c r="BU38" s="522" t="e">
        <f>'Capital IQ Sheet-GPC'!BU38</f>
        <v>#VALUE!</v>
      </c>
      <c r="BV38" s="522" t="e">
        <f>'Capital IQ Sheet-GPC'!BV38</f>
        <v>#VALUE!</v>
      </c>
      <c r="BW38" s="522" t="e">
        <f>'Capital IQ Sheet-GPC'!BW38</f>
        <v>#VALUE!</v>
      </c>
      <c r="BX38" s="522" t="e">
        <f>'Capital IQ Sheet-GPC'!BX38</f>
        <v>#VALUE!</v>
      </c>
      <c r="BY38" s="522" t="e">
        <f>'Capital IQ Sheet-GPC'!BY38</f>
        <v>#VALUE!</v>
      </c>
      <c r="BZ38" s="522" t="e">
        <f>'Capital IQ Sheet-GPC'!BZ38</f>
        <v>#VALUE!</v>
      </c>
      <c r="CB38" s="466">
        <v>2</v>
      </c>
      <c r="CC38" s="614" t="s">
        <v>155</v>
      </c>
      <c r="CD38" s="614" t="s">
        <v>154</v>
      </c>
      <c r="CE38" s="468">
        <f t="shared" si="0"/>
        <v>42582</v>
      </c>
    </row>
    <row r="39" spans="1:83" s="466" customFormat="1" ht="12.75">
      <c r="A39" s="467" t="e">
        <f ca="1">_xll.ciqfunctions.udf.CIQ($B39,"IQ_COMPANY_TICKER")</f>
        <v>#NAME?</v>
      </c>
      <c r="B39" s="517" t="str">
        <f>'Capital IQ Sheet-GPC'!B39</f>
        <v>(Invalid Identifier)</v>
      </c>
      <c r="C39" s="467" t="e">
        <f ca="1">_xll.ciqfunctions.udf.CIQ($A39,"IQ_COMPANY_NAME")</f>
        <v>#NAME?</v>
      </c>
      <c r="D39" s="467" t="e">
        <f ca="1">_xll.ciqfunctions.udf.CIQ($A39, "IQ_EXCHANGE")</f>
        <v>#NAME?</v>
      </c>
      <c r="E39" s="516" t="e">
        <f ca="1">_xll.ciqfunctions.udf.CIQ($A39, "IQ_PERIODDATE_IS", IQ_FY)</f>
        <v>#NAME?</v>
      </c>
      <c r="F39" s="516" t="e">
        <f ca="1">_xll.ciqfunctions.udf.CIQ(A39, "IQ_PERIODDATE_IS", IQ_LTM, $B$1,$L$4,$L$3)</f>
        <v>#NAME?</v>
      </c>
      <c r="G39" s="516" t="e">
        <f ca="1">_xll.ciqfunctions.udf.CIQ($A39, "IQ_FIRSTPRICINGDATE")</f>
        <v>#NAME?</v>
      </c>
      <c r="H39" s="518" t="e">
        <f ca="1">_xll.ciqfunctions.udf.CIQ($A39, "IQ_TEV", $L$2, $L$5, $L$6)</f>
        <v>#NAME?</v>
      </c>
      <c r="I39" s="518" t="e">
        <f ca="1">_xll.ciqfunctions.udf.CIQ(A39, "IQ_LASTSALEPRICE", $B$1,$L$5)</f>
        <v>#NAME?</v>
      </c>
      <c r="J39" s="518" t="e">
        <f ca="1">_xll.ciqfunctions.udf.CIQ($A39, "IQ_MARKETCAP", $L$2, $L$5, $L$6)</f>
        <v>#NAME?</v>
      </c>
      <c r="K39" s="518" t="e">
        <f ca="1">_xll.ciqfunctions.udf.CIQ($A39, "IQ_TOTAL_DEBT", IQ_LTM, $L$2,$L$4, $L$3, $L$5, $L$6)</f>
        <v>#NAME?</v>
      </c>
      <c r="L39" s="518" t="e">
        <f ca="1">_xll.ciqfunctions.udf.CIQ($A39, "IQ_PREF_EQUITY", IQ_LTM, $L$2, $L$4, $L$3, $L$5, $L$6)</f>
        <v>#NAME?</v>
      </c>
      <c r="M39" s="518" t="e">
        <f ca="1">_xll.ciqfunctions.udf.CIQ($A39, "IQ_MINORITY_INTEREST_TOTAL", IQ_LTM, $L$2, $L$4, $L$3, $L$5, $L$6)</f>
        <v>#NAME?</v>
      </c>
      <c r="N39" s="518" t="e">
        <f ca="1">_xll.ciqfunctions.udf.CIQ($A39, "IQ_CASH_ST_INVEST", IQ_LTM, $L$2, $L$4, $L$3, $L$5, $L$6)</f>
        <v>#NAME?</v>
      </c>
      <c r="O39" s="518" t="e">
        <f ca="1">_xll.ciqfunctions.udf.CIQ($A39, "IQ_TOTAL_REV", IQ_LTM-8, $L$2, $L$4, $L$3, $L$5, $L$6)</f>
        <v>#NAME?</v>
      </c>
      <c r="P39" s="518" t="e">
        <f ca="1">_xll.ciqfunctions.udf.CIQ($A39, "IQ_TOTAL_REV", IQ_LTM - 4, $L$2, $L$4, $L$3, $L$5,$L$6)</f>
        <v>#NAME?</v>
      </c>
      <c r="Q39" s="518" t="e">
        <f ca="1">_xll.ciqfunctions.udf.CIQ($A39, "IQ_TOTAL_REV", IQ_LTM, $L$2, $L$4, $L$3, $L$5, $L$6)</f>
        <v>#NAME?</v>
      </c>
      <c r="R39" s="518" t="e">
        <f ca="1">_xll.ciqfunctions.udf.CIQ($A39, "IQ_TOTAL_REV", $B$2, $L$2, $L$4, $L$3, $L$5, $L$6)</f>
        <v>#NAME?</v>
      </c>
      <c r="S39" s="518" t="e">
        <f ca="1">IF(_xll.ciqfunctions.udf.CIQ($A39, "IQ_TOTAL_REV", $B$3, $L$2,$L$4, $L$3, $L$5, $L$6)=0,Q39,_xll.ciqfunctions.udf.CIQ($A39, "IQ_TOTAL_REV", $B$3, $L$2,$L$4, $L$3, $L$5, $L$6))</f>
        <v>#NAME?</v>
      </c>
      <c r="T39" s="518" t="e">
        <f ca="1">IF(_xll.ciqfunctions.udf.CIQ($A39, "IQ_REVENUE_EST",$B$4, $L$2, "CON", $L$3, $L$5, $L$6)=0,"n/a",_xll.ciqfunctions.udf.CIQ($A39, "IQ_REVENUE_EST",$B$4, $L$2, "CON", $L$3, $L$5, $L$6))</f>
        <v>#NAME?</v>
      </c>
      <c r="U39" s="518" t="e">
        <f ca="1">IF(_xll.ciqfunctions.udf.CIQ($A39, "IQ_REVENUE_EST",$B$5, $L$2, "CON", $L$3, $L$5, $L$6)=0,"n/a",_xll.ciqfunctions.udf.CIQ($A39, "IQ_REVENUE_EST",$B$5, $L$2, "CON", $L$3, $L$5, $L$6))</f>
        <v>#NAME?</v>
      </c>
      <c r="V39" s="518" t="e">
        <f ca="1">IF(_xll.ciqfunctions.udf.CIQ($A39, "IQ_REVENUE_EST",$B$6, $L$2, "CON", $L$3, $L$5, $L$6)=0,"n/a",_xll.ciqfunctions.udf.CIQ($A39, "IQ_REVENUE_EST",$B$6, $L$2, "CON", $L$3, $L$5, $L$6))</f>
        <v>#NAME?</v>
      </c>
      <c r="W39" s="518" t="e">
        <f ca="1">IF(_xll.ciqfunctions.udf.CIQ($A39, "IQ_REVENUE_EST", $B$7, $L$2, "CON", $L$3, $L$5, $L$6)=0,"n/a",_xll.ciqfunctions.udf.CIQ($A39, "IQ_REVENUE_EST",$B$7, $L$2, "CON", $L$3, $L$5, $L$6))</f>
        <v>#NAME?</v>
      </c>
      <c r="X39" s="518" t="e">
        <f ca="1">_xll.ciqfunctions.udf.CIQ($A39, "IQ_EBITDA", IQ_LTM-8, $L$2, $L$4, $L$3, $L$5, $L$6)</f>
        <v>#NAME?</v>
      </c>
      <c r="Y39" s="518" t="e">
        <f ca="1">_xll.ciqfunctions.udf.CIQ($A39, "IQ_EBITDA", IQ_LTM-4, $L$2,$L$4, $L$3, $L$5, $L$6)</f>
        <v>#NAME?</v>
      </c>
      <c r="Z39" s="518" t="e">
        <f ca="1">_xll.ciqfunctions.udf.CIQ($A39, "IQ_EBITDA", IQ_LTM, $L$2, $L$4, $L$3, $L$5, $L$6)</f>
        <v>#NAME?</v>
      </c>
      <c r="AA39" s="518" t="e">
        <f ca="1">_xll.ciqfunctions.udf.CIQ($A39, "IQ_EBITDA", $B$2, $L$2, $L$4, $L$3, $L$5, $L$6)</f>
        <v>#NAME?</v>
      </c>
      <c r="AB39" s="518" t="e">
        <f ca="1">IF(_xll.ciqfunctions.udf.CIQ($A39, "IQ_EBITDA", $B$3, $L$2,$L$4, $L$3, $L$5, $L$6)=0,Z39,_xll.ciqfunctions.udf.CIQ($A39, "IQ_EBITDA", $B$3, $L$2,$L$4, $L$3, $L$5, $L$6))</f>
        <v>#NAME?</v>
      </c>
      <c r="AC39" s="518" t="e">
        <f ca="1">IF(_xll.ciqfunctions.udf.CIQ($A39, "IQ_EBITDA_EST",$B$4, $L$2, "CON", $L$3, $L$5, $L$6)=0,"n/a",_xll.ciqfunctions.udf.CIQ($A39, "IQ_EBITDA_EST",$B$4, $L$2, "CON", $L$3, $L$5, $L$6))</f>
        <v>#NAME?</v>
      </c>
      <c r="AD39" s="518" t="e">
        <f ca="1">IF(_xll.ciqfunctions.udf.CIQ($A39, "IQ_EBITDA_EST",$B$5, $L$2, "CON", $L$3, $L$5, $L$6)=0,"n/a",_xll.ciqfunctions.udf.CIQ($A39, "IQ_EBITDA_EST",$B$5, $L$2, "CON", $L$3, $L$5, $L$6))</f>
        <v>#NAME?</v>
      </c>
      <c r="AE39" s="518" t="e">
        <f ca="1">IF(_xll.ciqfunctions.udf.CIQ($A39, "IQ_EBITDA_EST",$B$6, $L$2, "CON", $L$3, $L$5, $L$6)=0,"n/a",_xll.ciqfunctions.udf.CIQ($A39, "IQ_EBITDA_EST",$B$6, $L$2, "CON", $L$3, $L$5, $L$6))</f>
        <v>#NAME?</v>
      </c>
      <c r="AF39" s="519" t="str">
        <f ca="1">IF(ISERROR(_xll.ciqfunctions.udf.CIQ($A39, "IQ_GROSS_MARGIN", IQ_LTM, $L$2,$L$4, $L$3, $L$5, $L$6)/100), "n/a", _xll.ciqfunctions.udf.CIQ($A39,  "IQ_GROSS_MARGIN", IQ_LTM, $L$2, $L$4, $L$3, $L$5, $L$6)/100)</f>
        <v>n/a</v>
      </c>
      <c r="AG39" s="519" t="str">
        <f ca="1">IF(ISERROR(_xll.ciqfunctions.udf.CIQ($A39,"IQ_EBITDA_MARGIN", IQ_LTM, $L$2, $L$4, $L$3, $L$5, $L$6)/100), "n/a", _xll.ciqfunctions.udf.CIQ($A39, "IQ_EBITDA_MARGIN", IQ_LTM, $L$2, $L$4, $L$3, $L$5, $L$6)/100)</f>
        <v>n/a</v>
      </c>
      <c r="AH39" s="519" t="str">
        <f ca="1">IF(ISERROR(_xll.ciqfunctions.udf.CIQ($A39,"IQ_EBIT_MARGIN", IQ_LTM, $L$2, $L$4, $L$3, $L$5, $L$6)/100), "n/a", _xll.ciqfunctions.udf.CIQ($A39, "IQ_EBIT_MARGIN", IQ_LTM, $L$2, $L$4, $L$3, $L$5, $L$6)/100)</f>
        <v>n/a</v>
      </c>
      <c r="AI39" s="519" t="str">
        <f ca="1">IF(ISERROR(_xll.ciqfunctions.udf.CIQ($A39,"IQ_NI_MARGIN", IQ_LTM, $L$2, $L$4, $L$3, $L$5, $L$6)/100), "n/a", _xll.ciqfunctions.udf.CIQ($A39, "IQ_NI_MARGIN", IQ_LTM, $L$2, $L$4, $L$3, $L$5, $L$6)/100)</f>
        <v>n/a</v>
      </c>
      <c r="AJ39" s="518" t="str">
        <f ca="1">IF(ISERROR(_xll.ciqfunctions.udf.CIQ($A39, "IQ_NET_WORKING_CAP", IQ_LTM-8, $L$2, $L$4, $L$3, $L$5, $L$6)), "n/a", _xll.ciqfunctions.udf.CIQ($A39, "IQ_NET_WORKING_CAP", IQ_LTM-8, $L$2, $L$4, $L$3, $L$5, $L$6))</f>
        <v>n/a</v>
      </c>
      <c r="AK39" s="518" t="str">
        <f ca="1">IF(ISERROR(_xll.ciqfunctions.udf.CIQ($A39, "IQ_NET_WORKING_CAP", IQ_LTM-4, $L$2, $L$4, $L$3, $L$5, $L$6)), "n/a", _xll.ciqfunctions.udf.CIQ($A39, "IQ_NET_WORKING_CAP", IQ_LTM-4, $L$2, $L$4, $L$3, $L$5, $L$6))</f>
        <v>n/a</v>
      </c>
      <c r="AL39" s="518" t="str">
        <f ca="1">IF(ISERROR(_xll.ciqfunctions.udf.CIQ($A39, "IQ_NET_WORKING_CAP", IQ_LTM, $L$2,$L$4, $L$3, $L$5, $L$6)), "n/a", _xll.ciqfunctions.udf.CIQ($A39, "IQ_NET_WORKING_CAP", IQ_LTM, $L$2, $L$4, $L$3, $L$5, $L$6))</f>
        <v>n/a</v>
      </c>
      <c r="AM39" s="518" t="str">
        <f ca="1">IF(ISERROR(_xll.ciqfunctions.udf.CIQ($A39, "IQ_Capex", IQ_LTM-8, $L$2,$L$4, $L$3, $L$5, $L$6)), "n/a", _xll.ciqfunctions.udf.CIQ($A39, "IQ_Capex", IQ_LTM-8, $L$2, $L$4, $L$3, $L$5, $L$6))</f>
        <v>n/a</v>
      </c>
      <c r="AN39" s="518" t="str">
        <f ca="1">IF(ISERROR(_xll.ciqfunctions.udf.CIQ($A39, "IQ_Capex", IQ_LTM-4, $L$2,$L$4, $L$3, $L$5, $L$6)), "n/a", _xll.ciqfunctions.udf.CIQ($A39, "IQ_Capex", IQ_LTM-4, $L$2,$L$4, $L$3, $L$5, $L$6))</f>
        <v>n/a</v>
      </c>
      <c r="AO39" s="518" t="str">
        <f ca="1">IF(ISERROR(_xll.ciqfunctions.udf.CIQ($A39, "IQ_Capex", IQ_LTM, $L$2, $L$4, $L$3, $L$5, $L$6)), "n/a", _xll.ciqfunctions.udf.CIQ($A39, "IQ_Capex", IQ_LTM, $L$2, $L$4, $L$3, $L$5, $L$6))</f>
        <v>n/a</v>
      </c>
      <c r="AP39" s="520" t="e">
        <f ca="1">_xll.ciqfunctions.udf.CIQ(A39, "IQ_BUSINESS_DESCRIPTION")</f>
        <v>#NAME?</v>
      </c>
      <c r="AQ39" s="521" t="e">
        <f ca="1">_xll.ciqfunctions.udf.CIQ($A39, "IQ_BETA_1YR", $B$1)</f>
        <v>#NAME?</v>
      </c>
      <c r="AR39" s="521" t="e">
        <f ca="1">_xll.ciqfunctions.udf.CIQ($A39, "IQ_BETA_2YR", $B$1)</f>
        <v>#NAME?</v>
      </c>
      <c r="AS39" s="521" t="e">
        <f ca="1">_xll.ciqfunctions.udf.CIQ($A39, "IQ_BETA_5YR", $B$1)</f>
        <v>#NAME?</v>
      </c>
      <c r="AT39" s="519" t="e">
        <f ca="1">_xll.ciqfunctions.udf.CIQ($A39, "IQ_DIVIDEND_YIELD", $B$1)/100</f>
        <v>#NAME?</v>
      </c>
      <c r="AU39" s="518" t="e">
        <f ca="1">_xll.ciqfunctions.udf.CIQ($A39, "IQ_EARNING_CO", IQ_LTM-8, $L$2, $L$4, $L$3, $L$5, $L$6)</f>
        <v>#NAME?</v>
      </c>
      <c r="AV39" s="518" t="e">
        <f ca="1">_xll.ciqfunctions.udf.CIQ($A39, "IQ_EARNING_CO", IQ_LTM-4, $L$2, $L$4, $L$3, $L$5, $L$6)</f>
        <v>#NAME?</v>
      </c>
      <c r="AW39" s="518" t="e">
        <f ca="1">_xll.ciqfunctions.udf.CIQ($A39, "IQ_EARNING_CO", IQ_LTM, $L$2, $L$4, $L$3, $L$5, $L$6)</f>
        <v>#NAME?</v>
      </c>
      <c r="AX39" s="518" t="e">
        <f ca="1">_xll.ciqfunctions.udf.CIQ($A39, "IQ_EARNING_CO", $B$2, $L$2, $L$4, $L$3, $L$5, $L$6)</f>
        <v>#NAME?</v>
      </c>
      <c r="AY39" s="518" t="e">
        <f ca="1">IF(_xll.ciqfunctions.udf.CIQ($A39, "IQ_EARNING_CO", $B$3, $L$2,$L$4, $L$3, $L$5, $L$6)=0,AW39,_xll.ciqfunctions.udf.CIQ($A39, "IQ_EARNING_CO", $B$3, $L$2,$L$4, $L$3, $L$5, $L$6))</f>
        <v>#NAME?</v>
      </c>
      <c r="AZ39" s="518" t="e">
        <f ca="1">_xll.ciqfunctions.udf.CIQ($A39, "IQ_TOTAL_EQUITY", IQ_LTM-8, $L$2, $L$4, $L$3, $L$5, $L$6)</f>
        <v>#NAME?</v>
      </c>
      <c r="BA39" s="518" t="e">
        <f ca="1">_xll.ciqfunctions.udf.CIQ($A39, "IQ_TOTAL_EQUITY", IQ_LTM-4, $L$2, $L$4, $L$3, $L$5, $L$6)</f>
        <v>#NAME?</v>
      </c>
      <c r="BB39" s="518" t="e">
        <f ca="1">_xll.ciqfunctions.udf.CIQ($A39, "IQ_TOTAL_EQUITY", IQ_LTM, $L$2, $L$4, $L$3, $L$5, $L$6)</f>
        <v>#NAME?</v>
      </c>
      <c r="BC39" s="518" t="e">
        <f ca="1">_xll.ciqfunctions.udf.CIQ($A39, "IQ_TOTAL_EQUITY", $B$2, $L$2, $L$4, $L$3, $L$5, $L$6)</f>
        <v>#NAME?</v>
      </c>
      <c r="BD39" s="518" t="e">
        <f ca="1">IF(_xll.ciqfunctions.udf.CIQ($A39, "IQ_TOTAL_EQUITY", $B$3, $L$2,$L$4, $L$3, $L$5, $L$6)=0,BB39,_xll.ciqfunctions.udf.CIQ($A39, "IQ_TOTAL_EQUITY", $B$3, $L$2,$L$4, $L$3, $L$5, $L$6))</f>
        <v>#NAME?</v>
      </c>
      <c r="BE39" s="518" t="e">
        <f ca="1">_xll.ciqfunctions.udf.CIQ(A39, "IQ_LASTSALEPRICE", $B$8)</f>
        <v>#NAME?</v>
      </c>
      <c r="BF39" s="518" t="e">
        <f ca="1">_xll.ciqfunctions.udf.CIQ($A39, "IQ_MARKETCAP", $B$8, $L$5, $L$6)</f>
        <v>#NAME?</v>
      </c>
      <c r="BG39" s="518" t="e">
        <f ca="1">_xll.ciqfunctions.udf.CIQ($A39, "IQ_TOTAL_DEBT", IQ_LTM, $B$8,$L$4, $L$3, $L$5, $L$6)</f>
        <v>#NAME?</v>
      </c>
      <c r="BH39" s="466" t="e">
        <f ca="1">_xll.ciqfunctions.udf.CIQ($A39,"IQ_PREF_EQUITY",IQ_LTM,$B$8,$L$4,$L$3,$L$5,$L$6)</f>
        <v>#NAME?</v>
      </c>
      <c r="BI39" s="466" t="e">
        <f ca="1">_xll.ciqfunctions.udf.CIQ($A39, "IQ_MINORITY_INTEREST_TOTAL", IQ_LTM,$B$8,$L$4,$L$3,$L$5,$L$6)</f>
        <v>#NAME?</v>
      </c>
      <c r="BJ39" s="518" t="e">
        <f ca="1">_xll.ciqfunctions.udf.CIQ($A39, "IQ_CASH_ST_INVEST", IQ_LTM, $B$8, $L$4, $L$3, $L$5, $L$6)</f>
        <v>#NAME?</v>
      </c>
      <c r="BK39" s="466" t="e">
        <f ca="1">_xll.ciqfunctions.udf.CIQ($A39, "IQ_EFFECT_TAX_RATE")</f>
        <v>#NAME?</v>
      </c>
      <c r="BL39" s="466" t="e">
        <f ca="1">IF(_xll.ciqfunctions.udf.CIQ($A39, "IQ_TOTAL_REV_2YR_ANN_CAGR", IQ_LTM, $B$1,$L$4, $L$3, $L$5, $L$6)="NM","n/a",(_xll.ciqfunctions.udf.CIQ($A39, "IQ_TOTAL_REV_2YR_ANN_CAGR", IQ_LTM, $B$1,$L$4, $L$3, $L$5, $L$6)/100))</f>
        <v>#NAME?</v>
      </c>
      <c r="BM39" s="466" t="e">
        <f ca="1">IF(_xll.ciqfunctions.udf.CIQ($A39, "IQ_TOTAL_REV_3YR_ANN_CAGR", IQ_LTM, $B$1,$L$4, $L$3, $L$5, $L$6)="NM","n/a",(_xll.ciqfunctions.udf.CIQ($A39, "IQ_TOTAL_REV_3YR_ANN_CAGR", IQ_LTM, $B$1,$L$4, $L$3, $L$5, $L$6)/100))</f>
        <v>#NAME?</v>
      </c>
      <c r="BN39" s="466" t="e">
        <f ca="1">IF(_xll.ciqfunctions.udf.CIQ($A39, "IQ_TOTAL_REV_5YR_ANN_CAGR", IQ_LTM, $B$1,$L$4, $L$3, $L$5, $L$6)="NM","n/a",(_xll.ciqfunctions.udf.CIQ($A39, "IQ_TOTAL_REV_5YR_ANN_CAGR", IQ_LTM, $B$1,$L$4, $L$3, $L$5, $L$6)/100))</f>
        <v>#NAME?</v>
      </c>
      <c r="BO39" s="466" t="e">
        <f ca="1">IF(_xll.ciqfunctions.udf.CIQ($A39,"IQ_EBITDA_2YR_ANN_CAGR", IQ_LTM,$B$1,$L$4, $L$3, $L$5, $L$6)="NM","n/a",(_xll.ciqfunctions.udf.CIQ($A39,"IQ_EBITDA_2YR_ANN_CAGR", IQ_LTM,$B$1,$L$4, $L$3, $L$5, $L$6)/100))</f>
        <v>#NAME?</v>
      </c>
      <c r="BP39" s="466" t="e">
        <f ca="1">IF(_xll.ciqfunctions.udf.CIQ($A39,"IQ_EBITDA_3YR_ANN_CAGR", IQ_LTM,$B$1,$L$4, $L$3, $L$5, $L$6)="NM","n/a",(_xll.ciqfunctions.udf.CIQ($A39,"IQ_EBITDA_3YR_ANN_CAGR", IQ_LTM,$B$1,$L$4, $L$3, $L$5, $L$6)/100))</f>
        <v>#NAME?</v>
      </c>
      <c r="BQ39" s="466" t="e">
        <f ca="1">IF(_xll.ciqfunctions.udf.CIQ($A39,"IQ_EBITDA_5YR_ANN_CAGR", IQ_LTM,$B$1,$L$4, $L$3, $L$5, $L$6)="NM","n/a",(_xll.ciqfunctions.udf.CIQ($A39,"IQ_EBITDA_5YR_ANN_CAGR", IQ_LTM,$B$1,$L$4, $L$3, $L$5, $L$6)/100))</f>
        <v>#NAME?</v>
      </c>
      <c r="BR39" s="470" t="str">
        <f ca="1">IFERROR((_xll.ciqfunctions.udf.CIQ($A39, "IQ_DA_CF", IQ_LTM, $B$1, $L$4, $L$3, $L$5, $L$6)/Q39),"NM")</f>
        <v>NM</v>
      </c>
      <c r="BS39" s="522" t="e">
        <f>'Capital IQ Sheet-GPC'!BS39</f>
        <v>#VALUE!</v>
      </c>
      <c r="BT39" s="522" t="e">
        <f>'Capital IQ Sheet-GPC'!BT39</f>
        <v>#VALUE!</v>
      </c>
      <c r="BU39" s="522" t="e">
        <f>'Capital IQ Sheet-GPC'!BU39</f>
        <v>#VALUE!</v>
      </c>
      <c r="BV39" s="522" t="e">
        <f>'Capital IQ Sheet-GPC'!BV39</f>
        <v>#VALUE!</v>
      </c>
      <c r="BW39" s="522" t="e">
        <f>'Capital IQ Sheet-GPC'!BW39</f>
        <v>#VALUE!</v>
      </c>
      <c r="BX39" s="522" t="e">
        <f>'Capital IQ Sheet-GPC'!BX39</f>
        <v>#VALUE!</v>
      </c>
      <c r="BY39" s="522" t="e">
        <f>'Capital IQ Sheet-GPC'!BY39</f>
        <v>#VALUE!</v>
      </c>
      <c r="BZ39" s="522" t="e">
        <f>'Capital IQ Sheet-GPC'!BZ39</f>
        <v>#VALUE!</v>
      </c>
      <c r="CB39" s="466">
        <v>2</v>
      </c>
      <c r="CC39" s="614" t="s">
        <v>155</v>
      </c>
      <c r="CD39" s="614" t="s">
        <v>154</v>
      </c>
      <c r="CE39" s="468">
        <f t="shared" si="0"/>
        <v>42582</v>
      </c>
    </row>
    <row r="40" spans="1:83" s="466" customFormat="1" ht="12.75">
      <c r="A40" s="467" t="e">
        <f ca="1">_xll.ciqfunctions.udf.CIQ($B40,"IQ_COMPANY_TICKER")</f>
        <v>#NAME?</v>
      </c>
      <c r="B40" s="517" t="str">
        <f>'Capital IQ Sheet-GPC'!B40</f>
        <v>(Invalid Identifier)</v>
      </c>
      <c r="C40" s="467" t="e">
        <f ca="1">_xll.ciqfunctions.udf.CIQ($A40,"IQ_COMPANY_NAME")</f>
        <v>#NAME?</v>
      </c>
      <c r="D40" s="467" t="e">
        <f ca="1">_xll.ciqfunctions.udf.CIQ($A40, "IQ_EXCHANGE")</f>
        <v>#NAME?</v>
      </c>
      <c r="E40" s="516" t="e">
        <f ca="1">_xll.ciqfunctions.udf.CIQ($A40, "IQ_PERIODDATE_IS", IQ_FY)</f>
        <v>#NAME?</v>
      </c>
      <c r="F40" s="516" t="e">
        <f ca="1">_xll.ciqfunctions.udf.CIQ(A40, "IQ_PERIODDATE_IS", IQ_LTM, $B$1,$L$4,$L$3)</f>
        <v>#NAME?</v>
      </c>
      <c r="G40" s="516" t="e">
        <f ca="1">_xll.ciqfunctions.udf.CIQ($A40, "IQ_FIRSTPRICINGDATE")</f>
        <v>#NAME?</v>
      </c>
      <c r="H40" s="518" t="e">
        <f ca="1">_xll.ciqfunctions.udf.CIQ($A40, "IQ_TEV", $L$2, $L$5, $L$6)</f>
        <v>#NAME?</v>
      </c>
      <c r="I40" s="518" t="e">
        <f ca="1">_xll.ciqfunctions.udf.CIQ(A40, "IQ_LASTSALEPRICE", $B$1,$L$5)</f>
        <v>#NAME?</v>
      </c>
      <c r="J40" s="518" t="e">
        <f ca="1">_xll.ciqfunctions.udf.CIQ($A40, "IQ_MARKETCAP", $L$2, $L$5, $L$6)</f>
        <v>#NAME?</v>
      </c>
      <c r="K40" s="518" t="e">
        <f ca="1">_xll.ciqfunctions.udf.CIQ($A40, "IQ_TOTAL_DEBT", IQ_LTM, $L$2,$L$4, $L$3, $L$5, $L$6)</f>
        <v>#NAME?</v>
      </c>
      <c r="L40" s="518" t="e">
        <f ca="1">_xll.ciqfunctions.udf.CIQ($A40, "IQ_PREF_EQUITY", IQ_LTM, $L$2, $L$4, $L$3, $L$5, $L$6)</f>
        <v>#NAME?</v>
      </c>
      <c r="M40" s="518" t="e">
        <f ca="1">_xll.ciqfunctions.udf.CIQ($A40, "IQ_MINORITY_INTEREST_TOTAL", IQ_LTM, $L$2, $L$4, $L$3, $L$5, $L$6)</f>
        <v>#NAME?</v>
      </c>
      <c r="N40" s="518" t="e">
        <f ca="1">_xll.ciqfunctions.udf.CIQ($A40, "IQ_CASH_ST_INVEST", IQ_LTM, $L$2, $L$4, $L$3, $L$5, $L$6)</f>
        <v>#NAME?</v>
      </c>
      <c r="O40" s="518" t="e">
        <f ca="1">_xll.ciqfunctions.udf.CIQ($A40, "IQ_TOTAL_REV", IQ_LTM-8, $L$2, $L$4, $L$3, $L$5, $L$6)</f>
        <v>#NAME?</v>
      </c>
      <c r="P40" s="518" t="e">
        <f ca="1">_xll.ciqfunctions.udf.CIQ($A40, "IQ_TOTAL_REV", IQ_LTM - 4, $L$2, $L$4, $L$3, $L$5,$L$6)</f>
        <v>#NAME?</v>
      </c>
      <c r="Q40" s="518" t="e">
        <f ca="1">_xll.ciqfunctions.udf.CIQ($A40, "IQ_TOTAL_REV", IQ_LTM, $L$2, $L$4, $L$3, $L$5, $L$6)</f>
        <v>#NAME?</v>
      </c>
      <c r="R40" s="518" t="e">
        <f ca="1">_xll.ciqfunctions.udf.CIQ($A40, "IQ_TOTAL_REV", $B$2, $L$2, $L$4, $L$3, $L$5, $L$6)</f>
        <v>#NAME?</v>
      </c>
      <c r="S40" s="518" t="e">
        <f ca="1">IF(_xll.ciqfunctions.udf.CIQ($A40, "IQ_TOTAL_REV", $B$3, $L$2,$L$4, $L$3, $L$5, $L$6)=0,Q40,_xll.ciqfunctions.udf.CIQ($A40, "IQ_TOTAL_REV", $B$3, $L$2,$L$4, $L$3, $L$5, $L$6))</f>
        <v>#NAME?</v>
      </c>
      <c r="T40" s="518" t="e">
        <f ca="1">IF(_xll.ciqfunctions.udf.CIQ($A40, "IQ_REVENUE_EST",$B$4, $L$2, "CON", $L$3, $L$5, $L$6)=0,"n/a",_xll.ciqfunctions.udf.CIQ($A40, "IQ_REVENUE_EST",$B$4, $L$2, "CON", $L$3, $L$5, $L$6))</f>
        <v>#NAME?</v>
      </c>
      <c r="U40" s="518" t="e">
        <f ca="1">IF(_xll.ciqfunctions.udf.CIQ($A40, "IQ_REVENUE_EST",$B$5, $L$2, "CON", $L$3, $L$5, $L$6)=0,"n/a",_xll.ciqfunctions.udf.CIQ($A40, "IQ_REVENUE_EST",$B$5, $L$2, "CON", $L$3, $L$5, $L$6))</f>
        <v>#NAME?</v>
      </c>
      <c r="V40" s="518" t="e">
        <f ca="1">IF(_xll.ciqfunctions.udf.CIQ($A40, "IQ_REVENUE_EST",$B$6, $L$2, "CON", $L$3, $L$5, $L$6)=0,"n/a",_xll.ciqfunctions.udf.CIQ($A40, "IQ_REVENUE_EST",$B$6, $L$2, "CON", $L$3, $L$5, $L$6))</f>
        <v>#NAME?</v>
      </c>
      <c r="W40" s="518" t="e">
        <f ca="1">IF(_xll.ciqfunctions.udf.CIQ($A40, "IQ_REVENUE_EST", $B$7, $L$2, "CON", $L$3, $L$5, $L$6)=0,"n/a",_xll.ciqfunctions.udf.CIQ($A40, "IQ_REVENUE_EST",$B$7, $L$2, "CON", $L$3, $L$5, $L$6))</f>
        <v>#NAME?</v>
      </c>
      <c r="X40" s="518" t="e">
        <f ca="1">_xll.ciqfunctions.udf.CIQ($A40, "IQ_EBITDA", IQ_LTM-8, $L$2, $L$4, $L$3, $L$5, $L$6)</f>
        <v>#NAME?</v>
      </c>
      <c r="Y40" s="518" t="e">
        <f ca="1">_xll.ciqfunctions.udf.CIQ($A40, "IQ_EBITDA", IQ_LTM-4, $L$2,$L$4, $L$3, $L$5, $L$6)</f>
        <v>#NAME?</v>
      </c>
      <c r="Z40" s="518" t="e">
        <f ca="1">_xll.ciqfunctions.udf.CIQ($A40, "IQ_EBITDA", IQ_LTM, $L$2, $L$4, $L$3, $L$5, $L$6)</f>
        <v>#NAME?</v>
      </c>
      <c r="AA40" s="518" t="e">
        <f ca="1">_xll.ciqfunctions.udf.CIQ($A40, "IQ_EBITDA", $B$2, $L$2, $L$4, $L$3, $L$5, $L$6)</f>
        <v>#NAME?</v>
      </c>
      <c r="AB40" s="518" t="e">
        <f ca="1">IF(_xll.ciqfunctions.udf.CIQ($A40, "IQ_EBITDA", $B$3, $L$2,$L$4, $L$3, $L$5, $L$6)=0,Z40,_xll.ciqfunctions.udf.CIQ($A40, "IQ_EBITDA", $B$3, $L$2,$L$4, $L$3, $L$5, $L$6))</f>
        <v>#NAME?</v>
      </c>
      <c r="AC40" s="518" t="e">
        <f ca="1">IF(_xll.ciqfunctions.udf.CIQ($A40, "IQ_EBITDA_EST",$B$4, $L$2, "CON", $L$3, $L$5, $L$6)=0,"n/a",_xll.ciqfunctions.udf.CIQ($A40, "IQ_EBITDA_EST",$B$4, $L$2, "CON", $L$3, $L$5, $L$6))</f>
        <v>#NAME?</v>
      </c>
      <c r="AD40" s="518" t="e">
        <f ca="1">IF(_xll.ciqfunctions.udf.CIQ($A40, "IQ_EBITDA_EST",$B$5, $L$2, "CON", $L$3, $L$5, $L$6)=0,"n/a",_xll.ciqfunctions.udf.CIQ($A40, "IQ_EBITDA_EST",$B$5, $L$2, "CON", $L$3, $L$5, $L$6))</f>
        <v>#NAME?</v>
      </c>
      <c r="AE40" s="518" t="e">
        <f ca="1">IF(_xll.ciqfunctions.udf.CIQ($A40, "IQ_EBITDA_EST",$B$6, $L$2, "CON", $L$3, $L$5, $L$6)=0,"n/a",_xll.ciqfunctions.udf.CIQ($A40, "IQ_EBITDA_EST",$B$6, $L$2, "CON", $L$3, $L$5, $L$6))</f>
        <v>#NAME?</v>
      </c>
      <c r="AF40" s="519" t="str">
        <f ca="1">IF(ISERROR(_xll.ciqfunctions.udf.CIQ($A40, "IQ_GROSS_MARGIN", IQ_LTM, $L$2,$L$4, $L$3, $L$5, $L$6)/100), "n/a", _xll.ciqfunctions.udf.CIQ($A40,  "IQ_GROSS_MARGIN", IQ_LTM, $L$2, $L$4, $L$3, $L$5, $L$6)/100)</f>
        <v>n/a</v>
      </c>
      <c r="AG40" s="519" t="str">
        <f ca="1">IF(ISERROR(_xll.ciqfunctions.udf.CIQ($A40,"IQ_EBITDA_MARGIN", IQ_LTM, $L$2, $L$4, $L$3, $L$5, $L$6)/100), "n/a", _xll.ciqfunctions.udf.CIQ($A40, "IQ_EBITDA_MARGIN", IQ_LTM, $L$2, $L$4, $L$3, $L$5, $L$6)/100)</f>
        <v>n/a</v>
      </c>
      <c r="AH40" s="519" t="str">
        <f ca="1">IF(ISERROR(_xll.ciqfunctions.udf.CIQ($A40,"IQ_EBIT_MARGIN", IQ_LTM, $L$2, $L$4, $L$3, $L$5, $L$6)/100), "n/a", _xll.ciqfunctions.udf.CIQ($A40, "IQ_EBIT_MARGIN", IQ_LTM, $L$2, $L$4, $L$3, $L$5, $L$6)/100)</f>
        <v>n/a</v>
      </c>
      <c r="AI40" s="519" t="str">
        <f ca="1">IF(ISERROR(_xll.ciqfunctions.udf.CIQ($A40,"IQ_NI_MARGIN", IQ_LTM, $L$2, $L$4, $L$3, $L$5, $L$6)/100), "n/a", _xll.ciqfunctions.udf.CIQ($A40, "IQ_NI_MARGIN", IQ_LTM, $L$2, $L$4, $L$3, $L$5, $L$6)/100)</f>
        <v>n/a</v>
      </c>
      <c r="AJ40" s="518" t="str">
        <f ca="1">IF(ISERROR(_xll.ciqfunctions.udf.CIQ($A40, "IQ_NET_WORKING_CAP", IQ_LTM-8, $L$2, $L$4, $L$3, $L$5, $L$6)), "n/a", _xll.ciqfunctions.udf.CIQ($A40, "IQ_NET_WORKING_CAP", IQ_LTM-8, $L$2, $L$4, $L$3, $L$5, $L$6))</f>
        <v>n/a</v>
      </c>
      <c r="AK40" s="518" t="str">
        <f ca="1">IF(ISERROR(_xll.ciqfunctions.udf.CIQ($A40, "IQ_NET_WORKING_CAP", IQ_LTM-4, $L$2, $L$4, $L$3, $L$5, $L$6)), "n/a", _xll.ciqfunctions.udf.CIQ($A40, "IQ_NET_WORKING_CAP", IQ_LTM-4, $L$2, $L$4, $L$3, $L$5, $L$6))</f>
        <v>n/a</v>
      </c>
      <c r="AL40" s="518" t="str">
        <f ca="1">IF(ISERROR(_xll.ciqfunctions.udf.CIQ($A40, "IQ_NET_WORKING_CAP", IQ_LTM, $L$2,$L$4, $L$3, $L$5, $L$6)), "n/a", _xll.ciqfunctions.udf.CIQ($A40, "IQ_NET_WORKING_CAP", IQ_LTM, $L$2, $L$4, $L$3, $L$5, $L$6))</f>
        <v>n/a</v>
      </c>
      <c r="AM40" s="518" t="str">
        <f ca="1">IF(ISERROR(_xll.ciqfunctions.udf.CIQ($A40, "IQ_Capex", IQ_LTM-8, $L$2,$L$4, $L$3, $L$5, $L$6)), "n/a", _xll.ciqfunctions.udf.CIQ($A40, "IQ_Capex", IQ_LTM-8, $L$2, $L$4, $L$3, $L$5, $L$6))</f>
        <v>n/a</v>
      </c>
      <c r="AN40" s="518" t="str">
        <f ca="1">IF(ISERROR(_xll.ciqfunctions.udf.CIQ($A40, "IQ_Capex", IQ_LTM-4, $L$2,$L$4, $L$3, $L$5, $L$6)), "n/a", _xll.ciqfunctions.udf.CIQ($A40, "IQ_Capex", IQ_LTM-4, $L$2,$L$4, $L$3, $L$5, $L$6))</f>
        <v>n/a</v>
      </c>
      <c r="AO40" s="518" t="str">
        <f ca="1">IF(ISERROR(_xll.ciqfunctions.udf.CIQ($A40, "IQ_Capex", IQ_LTM, $L$2, $L$4, $L$3, $L$5, $L$6)), "n/a", _xll.ciqfunctions.udf.CIQ($A40, "IQ_Capex", IQ_LTM, $L$2, $L$4, $L$3, $L$5, $L$6))</f>
        <v>n/a</v>
      </c>
      <c r="AP40" s="520" t="e">
        <f ca="1">_xll.ciqfunctions.udf.CIQ(A40, "IQ_BUSINESS_DESCRIPTION")</f>
        <v>#NAME?</v>
      </c>
      <c r="AQ40" s="521" t="e">
        <f ca="1">_xll.ciqfunctions.udf.CIQ($A40, "IQ_BETA_1YR", $B$1)</f>
        <v>#NAME?</v>
      </c>
      <c r="AR40" s="521" t="e">
        <f ca="1">_xll.ciqfunctions.udf.CIQ($A40, "IQ_BETA_2YR", $B$1)</f>
        <v>#NAME?</v>
      </c>
      <c r="AS40" s="521" t="e">
        <f ca="1">_xll.ciqfunctions.udf.CIQ($A40, "IQ_BETA_5YR", $B$1)</f>
        <v>#NAME?</v>
      </c>
      <c r="AT40" s="519" t="e">
        <f ca="1">_xll.ciqfunctions.udf.CIQ($A40, "IQ_DIVIDEND_YIELD", $B$1)/100</f>
        <v>#NAME?</v>
      </c>
      <c r="AU40" s="518" t="e">
        <f ca="1">_xll.ciqfunctions.udf.CIQ($A40, "IQ_EARNING_CO", IQ_LTM-8, $L$2, $L$4, $L$3, $L$5, $L$6)</f>
        <v>#NAME?</v>
      </c>
      <c r="AV40" s="518" t="e">
        <f ca="1">_xll.ciqfunctions.udf.CIQ($A40, "IQ_EARNING_CO", IQ_LTM-4, $L$2, $L$4, $L$3, $L$5, $L$6)</f>
        <v>#NAME?</v>
      </c>
      <c r="AW40" s="518" t="e">
        <f ca="1">_xll.ciqfunctions.udf.CIQ($A40, "IQ_EARNING_CO", IQ_LTM, $L$2, $L$4, $L$3, $L$5, $L$6)</f>
        <v>#NAME?</v>
      </c>
      <c r="AX40" s="518" t="e">
        <f ca="1">_xll.ciqfunctions.udf.CIQ($A40, "IQ_EARNING_CO", $B$2, $L$2, $L$4, $L$3, $L$5, $L$6)</f>
        <v>#NAME?</v>
      </c>
      <c r="AY40" s="518" t="e">
        <f ca="1">IF(_xll.ciqfunctions.udf.CIQ($A40, "IQ_EARNING_CO", $B$3, $L$2,$L$4, $L$3, $L$5, $L$6)=0,AW40,_xll.ciqfunctions.udf.CIQ($A40, "IQ_EARNING_CO", $B$3, $L$2,$L$4, $L$3, $L$5, $L$6))</f>
        <v>#NAME?</v>
      </c>
      <c r="AZ40" s="518" t="e">
        <f ca="1">_xll.ciqfunctions.udf.CIQ($A40, "IQ_TOTAL_EQUITY", IQ_LTM-8, $L$2, $L$4, $L$3, $L$5, $L$6)</f>
        <v>#NAME?</v>
      </c>
      <c r="BA40" s="518" t="e">
        <f ca="1">_xll.ciqfunctions.udf.CIQ($A40, "IQ_TOTAL_EQUITY", IQ_LTM-4, $L$2, $L$4, $L$3, $L$5, $L$6)</f>
        <v>#NAME?</v>
      </c>
      <c r="BB40" s="518" t="e">
        <f ca="1">_xll.ciqfunctions.udf.CIQ($A40, "IQ_TOTAL_EQUITY", IQ_LTM, $L$2, $L$4, $L$3, $L$5, $L$6)</f>
        <v>#NAME?</v>
      </c>
      <c r="BC40" s="518" t="e">
        <f ca="1">_xll.ciqfunctions.udf.CIQ($A40, "IQ_TOTAL_EQUITY", $B$2, $L$2, $L$4, $L$3, $L$5, $L$6)</f>
        <v>#NAME?</v>
      </c>
      <c r="BD40" s="518" t="e">
        <f ca="1">IF(_xll.ciqfunctions.udf.CIQ($A40, "IQ_TOTAL_EQUITY", $B$3, $L$2,$L$4, $L$3, $L$5, $L$6)=0,BB40,_xll.ciqfunctions.udf.CIQ($A40, "IQ_TOTAL_EQUITY", $B$3, $L$2,$L$4, $L$3, $L$5, $L$6))</f>
        <v>#NAME?</v>
      </c>
      <c r="BE40" s="518" t="e">
        <f ca="1">_xll.ciqfunctions.udf.CIQ(A40, "IQ_LASTSALEPRICE", $B$8)</f>
        <v>#NAME?</v>
      </c>
      <c r="BF40" s="518" t="e">
        <f ca="1">_xll.ciqfunctions.udf.CIQ($A40, "IQ_MARKETCAP", $B$8, $L$5, $L$6)</f>
        <v>#NAME?</v>
      </c>
      <c r="BG40" s="518" t="e">
        <f ca="1">_xll.ciqfunctions.udf.CIQ($A40, "IQ_TOTAL_DEBT", IQ_LTM, $B$8,$L$4, $L$3, $L$5, $L$6)</f>
        <v>#NAME?</v>
      </c>
      <c r="BH40" s="466" t="e">
        <f ca="1">_xll.ciqfunctions.udf.CIQ($A40,"IQ_PREF_EQUITY",IQ_LTM,$B$8,$L$4,$L$3,$L$5,$L$6)</f>
        <v>#NAME?</v>
      </c>
      <c r="BI40" s="466" t="e">
        <f ca="1">_xll.ciqfunctions.udf.CIQ($A40, "IQ_MINORITY_INTEREST_TOTAL", IQ_LTM,$B$8,$L$4,$L$3,$L$5,$L$6)</f>
        <v>#NAME?</v>
      </c>
      <c r="BJ40" s="518" t="e">
        <f ca="1">_xll.ciqfunctions.udf.CIQ($A40, "IQ_CASH_ST_INVEST", IQ_LTM, $B$8, $L$4, $L$3, $L$5, $L$6)</f>
        <v>#NAME?</v>
      </c>
      <c r="BK40" s="466" t="e">
        <f ca="1">_xll.ciqfunctions.udf.CIQ($A40, "IQ_EFFECT_TAX_RATE")</f>
        <v>#NAME?</v>
      </c>
      <c r="BL40" s="466" t="e">
        <f ca="1">IF(_xll.ciqfunctions.udf.CIQ($A40, "IQ_TOTAL_REV_2YR_ANN_CAGR", IQ_LTM, $B$1,$L$4, $L$3, $L$5, $L$6)="NM","n/a",(_xll.ciqfunctions.udf.CIQ($A40, "IQ_TOTAL_REV_2YR_ANN_CAGR", IQ_LTM, $B$1,$L$4, $L$3, $L$5, $L$6)/100))</f>
        <v>#NAME?</v>
      </c>
      <c r="BM40" s="466" t="e">
        <f ca="1">IF(_xll.ciqfunctions.udf.CIQ($A40, "IQ_TOTAL_REV_3YR_ANN_CAGR", IQ_LTM, $B$1,$L$4, $L$3, $L$5, $L$6)="NM","n/a",(_xll.ciqfunctions.udf.CIQ($A40, "IQ_TOTAL_REV_3YR_ANN_CAGR", IQ_LTM, $B$1,$L$4, $L$3, $L$5, $L$6)/100))</f>
        <v>#NAME?</v>
      </c>
      <c r="BN40" s="466" t="e">
        <f ca="1">IF(_xll.ciqfunctions.udf.CIQ($A40, "IQ_TOTAL_REV_5YR_ANN_CAGR", IQ_LTM, $B$1,$L$4, $L$3, $L$5, $L$6)="NM","n/a",(_xll.ciqfunctions.udf.CIQ($A40, "IQ_TOTAL_REV_5YR_ANN_CAGR", IQ_LTM, $B$1,$L$4, $L$3, $L$5, $L$6)/100))</f>
        <v>#NAME?</v>
      </c>
      <c r="BO40" s="466" t="e">
        <f ca="1">IF(_xll.ciqfunctions.udf.CIQ($A40,"IQ_EBITDA_2YR_ANN_CAGR", IQ_LTM,$B$1,$L$4, $L$3, $L$5, $L$6)="NM","n/a",(_xll.ciqfunctions.udf.CIQ($A40,"IQ_EBITDA_2YR_ANN_CAGR", IQ_LTM,$B$1,$L$4, $L$3, $L$5, $L$6)/100))</f>
        <v>#NAME?</v>
      </c>
      <c r="BP40" s="466" t="e">
        <f ca="1">IF(_xll.ciqfunctions.udf.CIQ($A40,"IQ_EBITDA_3YR_ANN_CAGR", IQ_LTM,$B$1,$L$4, $L$3, $L$5, $L$6)="NM","n/a",(_xll.ciqfunctions.udf.CIQ($A40,"IQ_EBITDA_3YR_ANN_CAGR", IQ_LTM,$B$1,$L$4, $L$3, $L$5, $L$6)/100))</f>
        <v>#NAME?</v>
      </c>
      <c r="BQ40" s="466" t="e">
        <f ca="1">IF(_xll.ciqfunctions.udf.CIQ($A40,"IQ_EBITDA_5YR_ANN_CAGR", IQ_LTM,$B$1,$L$4, $L$3, $L$5, $L$6)="NM","n/a",(_xll.ciqfunctions.udf.CIQ($A40,"IQ_EBITDA_5YR_ANN_CAGR", IQ_LTM,$B$1,$L$4, $L$3, $L$5, $L$6)/100))</f>
        <v>#NAME?</v>
      </c>
      <c r="BR40" s="470" t="str">
        <f ca="1">IFERROR((_xll.ciqfunctions.udf.CIQ($A40, "IQ_DA_CF", IQ_LTM, $B$1, $L$4, $L$3, $L$5, $L$6)/Q40),"NM")</f>
        <v>NM</v>
      </c>
      <c r="BS40" s="522" t="e">
        <f>'Capital IQ Sheet-GPC'!BS40</f>
        <v>#VALUE!</v>
      </c>
      <c r="BT40" s="522" t="e">
        <f>'Capital IQ Sheet-GPC'!BT40</f>
        <v>#VALUE!</v>
      </c>
      <c r="BU40" s="522" t="e">
        <f>'Capital IQ Sheet-GPC'!BU40</f>
        <v>#VALUE!</v>
      </c>
      <c r="BV40" s="522" t="e">
        <f>'Capital IQ Sheet-GPC'!BV40</f>
        <v>#VALUE!</v>
      </c>
      <c r="BW40" s="522" t="e">
        <f>'Capital IQ Sheet-GPC'!BW40</f>
        <v>#VALUE!</v>
      </c>
      <c r="BX40" s="522" t="e">
        <f>'Capital IQ Sheet-GPC'!BX40</f>
        <v>#VALUE!</v>
      </c>
      <c r="BY40" s="522" t="e">
        <f>'Capital IQ Sheet-GPC'!BY40</f>
        <v>#VALUE!</v>
      </c>
      <c r="BZ40" s="522" t="e">
        <f>'Capital IQ Sheet-GPC'!BZ40</f>
        <v>#VALUE!</v>
      </c>
      <c r="CB40" s="466">
        <v>2</v>
      </c>
      <c r="CC40" s="614" t="s">
        <v>155</v>
      </c>
      <c r="CD40" s="614" t="s">
        <v>154</v>
      </c>
      <c r="CE40" s="468">
        <f t="shared" si="0"/>
        <v>42582</v>
      </c>
    </row>
    <row r="41" spans="1:83" s="466" customFormat="1" ht="12.75">
      <c r="A41" s="467" t="e">
        <f ca="1">_xll.ciqfunctions.udf.CIQ($B41,"IQ_COMPANY_TICKER")</f>
        <v>#NAME?</v>
      </c>
      <c r="B41" s="517" t="str">
        <f>'Capital IQ Sheet-GPC'!B41</f>
        <v>(Invalid Identifier)</v>
      </c>
      <c r="C41" s="467" t="e">
        <f ca="1">_xll.ciqfunctions.udf.CIQ($A41,"IQ_COMPANY_NAME")</f>
        <v>#NAME?</v>
      </c>
      <c r="D41" s="467" t="e">
        <f ca="1">_xll.ciqfunctions.udf.CIQ($A41, "IQ_EXCHANGE")</f>
        <v>#NAME?</v>
      </c>
      <c r="E41" s="516" t="e">
        <f ca="1">_xll.ciqfunctions.udf.CIQ($A41, "IQ_PERIODDATE_IS", IQ_FY)</f>
        <v>#NAME?</v>
      </c>
      <c r="F41" s="516" t="e">
        <f ca="1">_xll.ciqfunctions.udf.CIQ(A41, "IQ_PERIODDATE_IS", IQ_LTM, $B$1,$L$4,$L$3)</f>
        <v>#NAME?</v>
      </c>
      <c r="G41" s="516" t="e">
        <f ca="1">_xll.ciqfunctions.udf.CIQ($A41, "IQ_FIRSTPRICINGDATE")</f>
        <v>#NAME?</v>
      </c>
      <c r="H41" s="518" t="e">
        <f ca="1">_xll.ciqfunctions.udf.CIQ($A41, "IQ_TEV", $L$2, $L$5, $L$6)</f>
        <v>#NAME?</v>
      </c>
      <c r="I41" s="518" t="e">
        <f ca="1">_xll.ciqfunctions.udf.CIQ(A41, "IQ_LASTSALEPRICE", $B$1,$L$5)</f>
        <v>#NAME?</v>
      </c>
      <c r="J41" s="518" t="e">
        <f ca="1">_xll.ciqfunctions.udf.CIQ($A41, "IQ_MARKETCAP", $L$2, $L$5, $L$6)</f>
        <v>#NAME?</v>
      </c>
      <c r="K41" s="518" t="e">
        <f ca="1">_xll.ciqfunctions.udf.CIQ($A41, "IQ_TOTAL_DEBT", IQ_LTM, $L$2,$L$4, $L$3, $L$5, $L$6)</f>
        <v>#NAME?</v>
      </c>
      <c r="L41" s="518" t="e">
        <f ca="1">_xll.ciqfunctions.udf.CIQ($A41, "IQ_PREF_EQUITY", IQ_LTM, $L$2, $L$4, $L$3, $L$5, $L$6)</f>
        <v>#NAME?</v>
      </c>
      <c r="M41" s="518" t="e">
        <f ca="1">_xll.ciqfunctions.udf.CIQ($A41, "IQ_MINORITY_INTEREST_TOTAL", IQ_LTM, $L$2, $L$4, $L$3, $L$5, $L$6)</f>
        <v>#NAME?</v>
      </c>
      <c r="N41" s="518" t="e">
        <f ca="1">_xll.ciqfunctions.udf.CIQ($A41, "IQ_CASH_ST_INVEST", IQ_LTM, $L$2, $L$4, $L$3, $L$5, $L$6)</f>
        <v>#NAME?</v>
      </c>
      <c r="O41" s="518" t="e">
        <f ca="1">_xll.ciqfunctions.udf.CIQ($A41, "IQ_TOTAL_REV", IQ_LTM-8, $L$2, $L$4, $L$3, $L$5, $L$6)</f>
        <v>#NAME?</v>
      </c>
      <c r="P41" s="518" t="e">
        <f ca="1">_xll.ciqfunctions.udf.CIQ($A41, "IQ_TOTAL_REV", IQ_LTM - 4, $L$2, $L$4, $L$3, $L$5,$L$6)</f>
        <v>#NAME?</v>
      </c>
      <c r="Q41" s="518" t="e">
        <f ca="1">_xll.ciqfunctions.udf.CIQ($A41, "IQ_TOTAL_REV", IQ_LTM, $L$2, $L$4, $L$3, $L$5, $L$6)</f>
        <v>#NAME?</v>
      </c>
      <c r="R41" s="518" t="e">
        <f ca="1">_xll.ciqfunctions.udf.CIQ($A41, "IQ_TOTAL_REV", $B$2, $L$2, $L$4, $L$3, $L$5, $L$6)</f>
        <v>#NAME?</v>
      </c>
      <c r="S41" s="518" t="e">
        <f ca="1">IF(_xll.ciqfunctions.udf.CIQ($A41, "IQ_TOTAL_REV", $B$3, $L$2,$L$4, $L$3, $L$5, $L$6)=0,Q41,_xll.ciqfunctions.udf.CIQ($A41, "IQ_TOTAL_REV", $B$3, $L$2,$L$4, $L$3, $L$5, $L$6))</f>
        <v>#NAME?</v>
      </c>
      <c r="T41" s="518" t="e">
        <f ca="1">IF(_xll.ciqfunctions.udf.CIQ($A41, "IQ_REVENUE_EST",$B$4, $L$2, "CON", $L$3, $L$5, $L$6)=0,"n/a",_xll.ciqfunctions.udf.CIQ($A41, "IQ_REVENUE_EST",$B$4, $L$2, "CON", $L$3, $L$5, $L$6))</f>
        <v>#NAME?</v>
      </c>
      <c r="U41" s="518" t="e">
        <f ca="1">IF(_xll.ciqfunctions.udf.CIQ($A41, "IQ_REVENUE_EST",$B$5, $L$2, "CON", $L$3, $L$5, $L$6)=0,"n/a",_xll.ciqfunctions.udf.CIQ($A41, "IQ_REVENUE_EST",$B$5, $L$2, "CON", $L$3, $L$5, $L$6))</f>
        <v>#NAME?</v>
      </c>
      <c r="V41" s="518" t="e">
        <f ca="1">IF(_xll.ciqfunctions.udf.CIQ($A41, "IQ_REVENUE_EST",$B$6, $L$2, "CON", $L$3, $L$5, $L$6)=0,"n/a",_xll.ciqfunctions.udf.CIQ($A41, "IQ_REVENUE_EST",$B$6, $L$2, "CON", $L$3, $L$5, $L$6))</f>
        <v>#NAME?</v>
      </c>
      <c r="W41" s="518" t="e">
        <f ca="1">IF(_xll.ciqfunctions.udf.CIQ($A41, "IQ_REVENUE_EST", $B$7, $L$2, "CON", $L$3, $L$5, $L$6)=0,"n/a",_xll.ciqfunctions.udf.CIQ($A41, "IQ_REVENUE_EST",$B$7, $L$2, "CON", $L$3, $L$5, $L$6))</f>
        <v>#NAME?</v>
      </c>
      <c r="X41" s="518" t="e">
        <f ca="1">_xll.ciqfunctions.udf.CIQ($A41, "IQ_EBITDA", IQ_LTM-8, $L$2, $L$4, $L$3, $L$5, $L$6)</f>
        <v>#NAME?</v>
      </c>
      <c r="Y41" s="518" t="e">
        <f ca="1">_xll.ciqfunctions.udf.CIQ($A41, "IQ_EBITDA", IQ_LTM-4, $L$2,$L$4, $L$3, $L$5, $L$6)</f>
        <v>#NAME?</v>
      </c>
      <c r="Z41" s="518" t="e">
        <f ca="1">_xll.ciqfunctions.udf.CIQ($A41, "IQ_EBITDA", IQ_LTM, $L$2, $L$4, $L$3, $L$5, $L$6)</f>
        <v>#NAME?</v>
      </c>
      <c r="AA41" s="518" t="e">
        <f ca="1">_xll.ciqfunctions.udf.CIQ($A41, "IQ_EBITDA", $B$2, $L$2, $L$4, $L$3, $L$5, $L$6)</f>
        <v>#NAME?</v>
      </c>
      <c r="AB41" s="518" t="e">
        <f ca="1">IF(_xll.ciqfunctions.udf.CIQ($A41, "IQ_EBITDA", $B$3, $L$2,$L$4, $L$3, $L$5, $L$6)=0,Z41,_xll.ciqfunctions.udf.CIQ($A41, "IQ_EBITDA", $B$3, $L$2,$L$4, $L$3, $L$5, $L$6))</f>
        <v>#NAME?</v>
      </c>
      <c r="AC41" s="518" t="e">
        <f ca="1">IF(_xll.ciqfunctions.udf.CIQ($A41, "IQ_EBITDA_EST",$B$4, $L$2, "CON", $L$3, $L$5, $L$6)=0,"n/a",_xll.ciqfunctions.udf.CIQ($A41, "IQ_EBITDA_EST",$B$4, $L$2, "CON", $L$3, $L$5, $L$6))</f>
        <v>#NAME?</v>
      </c>
      <c r="AD41" s="518" t="e">
        <f ca="1">IF(_xll.ciqfunctions.udf.CIQ($A41, "IQ_EBITDA_EST",$B$5, $L$2, "CON", $L$3, $L$5, $L$6)=0,"n/a",_xll.ciqfunctions.udf.CIQ($A41, "IQ_EBITDA_EST",$B$5, $L$2, "CON", $L$3, $L$5, $L$6))</f>
        <v>#NAME?</v>
      </c>
      <c r="AE41" s="518" t="e">
        <f ca="1">IF(_xll.ciqfunctions.udf.CIQ($A41, "IQ_EBITDA_EST",$B$6, $L$2, "CON", $L$3, $L$5, $L$6)=0,"n/a",_xll.ciqfunctions.udf.CIQ($A41, "IQ_EBITDA_EST",$B$6, $L$2, "CON", $L$3, $L$5, $L$6))</f>
        <v>#NAME?</v>
      </c>
      <c r="AF41" s="519" t="str">
        <f ca="1">IF(ISERROR(_xll.ciqfunctions.udf.CIQ($A41, "IQ_GROSS_MARGIN", IQ_LTM, $L$2,$L$4, $L$3, $L$5, $L$6)/100), "n/a", _xll.ciqfunctions.udf.CIQ($A41,  "IQ_GROSS_MARGIN", IQ_LTM, $L$2, $L$4, $L$3, $L$5, $L$6)/100)</f>
        <v>n/a</v>
      </c>
      <c r="AG41" s="519" t="str">
        <f ca="1">IF(ISERROR(_xll.ciqfunctions.udf.CIQ($A41,"IQ_EBITDA_MARGIN", IQ_LTM, $L$2, $L$4, $L$3, $L$5, $L$6)/100), "n/a", _xll.ciqfunctions.udf.CIQ($A41, "IQ_EBITDA_MARGIN", IQ_LTM, $L$2, $L$4, $L$3, $L$5, $L$6)/100)</f>
        <v>n/a</v>
      </c>
      <c r="AH41" s="519" t="str">
        <f ca="1">IF(ISERROR(_xll.ciqfunctions.udf.CIQ($A41,"IQ_EBIT_MARGIN", IQ_LTM, $L$2, $L$4, $L$3, $L$5, $L$6)/100), "n/a", _xll.ciqfunctions.udf.CIQ($A41, "IQ_EBIT_MARGIN", IQ_LTM, $L$2, $L$4, $L$3, $L$5, $L$6)/100)</f>
        <v>n/a</v>
      </c>
      <c r="AI41" s="519" t="str">
        <f ca="1">IF(ISERROR(_xll.ciqfunctions.udf.CIQ($A41,"IQ_NI_MARGIN", IQ_LTM, $L$2, $L$4, $L$3, $L$5, $L$6)/100), "n/a", _xll.ciqfunctions.udf.CIQ($A41, "IQ_NI_MARGIN", IQ_LTM, $L$2, $L$4, $L$3, $L$5, $L$6)/100)</f>
        <v>n/a</v>
      </c>
      <c r="AJ41" s="518" t="str">
        <f ca="1">IF(ISERROR(_xll.ciqfunctions.udf.CIQ($A41, "IQ_NET_WORKING_CAP", IQ_LTM-8, $L$2, $L$4, $L$3, $L$5, $L$6)), "n/a", _xll.ciqfunctions.udf.CIQ($A41, "IQ_NET_WORKING_CAP", IQ_LTM-8, $L$2, $L$4, $L$3, $L$5, $L$6))</f>
        <v>n/a</v>
      </c>
      <c r="AK41" s="518" t="str">
        <f ca="1">IF(ISERROR(_xll.ciqfunctions.udf.CIQ($A41, "IQ_NET_WORKING_CAP", IQ_LTM-4, $L$2, $L$4, $L$3, $L$5, $L$6)), "n/a", _xll.ciqfunctions.udf.CIQ($A41, "IQ_NET_WORKING_CAP", IQ_LTM-4, $L$2, $L$4, $L$3, $L$5, $L$6))</f>
        <v>n/a</v>
      </c>
      <c r="AL41" s="518" t="str">
        <f ca="1">IF(ISERROR(_xll.ciqfunctions.udf.CIQ($A41, "IQ_NET_WORKING_CAP", IQ_LTM, $L$2,$L$4, $L$3, $L$5, $L$6)), "n/a", _xll.ciqfunctions.udf.CIQ($A41, "IQ_NET_WORKING_CAP", IQ_LTM, $L$2, $L$4, $L$3, $L$5, $L$6))</f>
        <v>n/a</v>
      </c>
      <c r="AM41" s="518" t="str">
        <f ca="1">IF(ISERROR(_xll.ciqfunctions.udf.CIQ($A41, "IQ_Capex", IQ_LTM-8, $L$2,$L$4, $L$3, $L$5, $L$6)), "n/a", _xll.ciqfunctions.udf.CIQ($A41, "IQ_Capex", IQ_LTM-8, $L$2, $L$4, $L$3, $L$5, $L$6))</f>
        <v>n/a</v>
      </c>
      <c r="AN41" s="518" t="str">
        <f ca="1">IF(ISERROR(_xll.ciqfunctions.udf.CIQ($A41, "IQ_Capex", IQ_LTM-4, $L$2,$L$4, $L$3, $L$5, $L$6)), "n/a", _xll.ciqfunctions.udf.CIQ($A41, "IQ_Capex", IQ_LTM-4, $L$2,$L$4, $L$3, $L$5, $L$6))</f>
        <v>n/a</v>
      </c>
      <c r="AO41" s="518" t="str">
        <f ca="1">IF(ISERROR(_xll.ciqfunctions.udf.CIQ($A41, "IQ_Capex", IQ_LTM, $L$2, $L$4, $L$3, $L$5, $L$6)), "n/a", _xll.ciqfunctions.udf.CIQ($A41, "IQ_Capex", IQ_LTM, $L$2, $L$4, $L$3, $L$5, $L$6))</f>
        <v>n/a</v>
      </c>
      <c r="AP41" s="520" t="e">
        <f ca="1">_xll.ciqfunctions.udf.CIQ(A41, "IQ_BUSINESS_DESCRIPTION")</f>
        <v>#NAME?</v>
      </c>
      <c r="AQ41" s="521" t="e">
        <f ca="1">_xll.ciqfunctions.udf.CIQ($A41, "IQ_BETA_1YR", $B$1)</f>
        <v>#NAME?</v>
      </c>
      <c r="AR41" s="521" t="e">
        <f ca="1">_xll.ciqfunctions.udf.CIQ($A41, "IQ_BETA_2YR", $B$1)</f>
        <v>#NAME?</v>
      </c>
      <c r="AS41" s="521" t="e">
        <f ca="1">_xll.ciqfunctions.udf.CIQ($A41, "IQ_BETA_5YR", $B$1)</f>
        <v>#NAME?</v>
      </c>
      <c r="AT41" s="519" t="e">
        <f ca="1">_xll.ciqfunctions.udf.CIQ($A41, "IQ_DIVIDEND_YIELD", $B$1)/100</f>
        <v>#NAME?</v>
      </c>
      <c r="AU41" s="518" t="e">
        <f ca="1">_xll.ciqfunctions.udf.CIQ($A41, "IQ_EARNING_CO", IQ_LTM-8, $L$2, $L$4, $L$3, $L$5, $L$6)</f>
        <v>#NAME?</v>
      </c>
      <c r="AV41" s="518" t="e">
        <f ca="1">_xll.ciqfunctions.udf.CIQ($A41, "IQ_EARNING_CO", IQ_LTM-4, $L$2, $L$4, $L$3, $L$5, $L$6)</f>
        <v>#NAME?</v>
      </c>
      <c r="AW41" s="518" t="e">
        <f ca="1">_xll.ciqfunctions.udf.CIQ($A41, "IQ_EARNING_CO", IQ_LTM, $L$2, $L$4, $L$3, $L$5, $L$6)</f>
        <v>#NAME?</v>
      </c>
      <c r="AX41" s="518" t="e">
        <f ca="1">_xll.ciqfunctions.udf.CIQ($A41, "IQ_EARNING_CO", $B$2, $L$2, $L$4, $L$3, $L$5, $L$6)</f>
        <v>#NAME?</v>
      </c>
      <c r="AY41" s="518" t="e">
        <f ca="1">IF(_xll.ciqfunctions.udf.CIQ($A41, "IQ_EARNING_CO", $B$3, $L$2,$L$4, $L$3, $L$5, $L$6)=0,AW41,_xll.ciqfunctions.udf.CIQ($A41, "IQ_EARNING_CO", $B$3, $L$2,$L$4, $L$3, $L$5, $L$6))</f>
        <v>#NAME?</v>
      </c>
      <c r="AZ41" s="518" t="e">
        <f ca="1">_xll.ciqfunctions.udf.CIQ($A41, "IQ_TOTAL_EQUITY", IQ_LTM-8, $L$2, $L$4, $L$3, $L$5, $L$6)</f>
        <v>#NAME?</v>
      </c>
      <c r="BA41" s="518" t="e">
        <f ca="1">_xll.ciqfunctions.udf.CIQ($A41, "IQ_TOTAL_EQUITY", IQ_LTM-4, $L$2, $L$4, $L$3, $L$5, $L$6)</f>
        <v>#NAME?</v>
      </c>
      <c r="BB41" s="518" t="e">
        <f ca="1">_xll.ciqfunctions.udf.CIQ($A41, "IQ_TOTAL_EQUITY", IQ_LTM, $L$2, $L$4, $L$3, $L$5, $L$6)</f>
        <v>#NAME?</v>
      </c>
      <c r="BC41" s="518" t="e">
        <f ca="1">_xll.ciqfunctions.udf.CIQ($A41, "IQ_TOTAL_EQUITY", $B$2, $L$2, $L$4, $L$3, $L$5, $L$6)</f>
        <v>#NAME?</v>
      </c>
      <c r="BD41" s="518" t="e">
        <f ca="1">IF(_xll.ciqfunctions.udf.CIQ($A41, "IQ_TOTAL_EQUITY", $B$3, $L$2,$L$4, $L$3, $L$5, $L$6)=0,BB41,_xll.ciqfunctions.udf.CIQ($A41, "IQ_TOTAL_EQUITY", $B$3, $L$2,$L$4, $L$3, $L$5, $L$6))</f>
        <v>#NAME?</v>
      </c>
      <c r="BE41" s="518" t="e">
        <f ca="1">_xll.ciqfunctions.udf.CIQ(A41, "IQ_LASTSALEPRICE", $B$8)</f>
        <v>#NAME?</v>
      </c>
      <c r="BF41" s="518" t="e">
        <f ca="1">_xll.ciqfunctions.udf.CIQ($A41, "IQ_MARKETCAP", $B$8, $L$5, $L$6)</f>
        <v>#NAME?</v>
      </c>
      <c r="BG41" s="518" t="e">
        <f ca="1">_xll.ciqfunctions.udf.CIQ($A41, "IQ_TOTAL_DEBT", IQ_LTM, $B$8,$L$4, $L$3, $L$5, $L$6)</f>
        <v>#NAME?</v>
      </c>
      <c r="BH41" s="466" t="e">
        <f ca="1">_xll.ciqfunctions.udf.CIQ($A41,"IQ_PREF_EQUITY",IQ_LTM,$B$8,$L$4,$L$3,$L$5,$L$6)</f>
        <v>#NAME?</v>
      </c>
      <c r="BI41" s="466" t="e">
        <f ca="1">_xll.ciqfunctions.udf.CIQ($A41, "IQ_MINORITY_INTEREST_TOTAL", IQ_LTM,$B$8,$L$4,$L$3,$L$5,$L$6)</f>
        <v>#NAME?</v>
      </c>
      <c r="BJ41" s="518" t="e">
        <f ca="1">_xll.ciqfunctions.udf.CIQ($A41, "IQ_CASH_ST_INVEST", IQ_LTM, $B$8, $L$4, $L$3, $L$5, $L$6)</f>
        <v>#NAME?</v>
      </c>
      <c r="BK41" s="466" t="e">
        <f ca="1">_xll.ciqfunctions.udf.CIQ($A41, "IQ_EFFECT_TAX_RATE")</f>
        <v>#NAME?</v>
      </c>
      <c r="BL41" s="466" t="e">
        <f ca="1">IF(_xll.ciqfunctions.udf.CIQ($A41, "IQ_TOTAL_REV_2YR_ANN_CAGR", IQ_LTM, $B$1,$L$4, $L$3, $L$5, $L$6)="NM","n/a",(_xll.ciqfunctions.udf.CIQ($A41, "IQ_TOTAL_REV_2YR_ANN_CAGR", IQ_LTM, $B$1,$L$4, $L$3, $L$5, $L$6)/100))</f>
        <v>#NAME?</v>
      </c>
      <c r="BM41" s="466" t="e">
        <f ca="1">IF(_xll.ciqfunctions.udf.CIQ($A41, "IQ_TOTAL_REV_3YR_ANN_CAGR", IQ_LTM, $B$1,$L$4, $L$3, $L$5, $L$6)="NM","n/a",(_xll.ciqfunctions.udf.CIQ($A41, "IQ_TOTAL_REV_3YR_ANN_CAGR", IQ_LTM, $B$1,$L$4, $L$3, $L$5, $L$6)/100))</f>
        <v>#NAME?</v>
      </c>
      <c r="BN41" s="466" t="e">
        <f ca="1">IF(_xll.ciqfunctions.udf.CIQ($A41, "IQ_TOTAL_REV_5YR_ANN_CAGR", IQ_LTM, $B$1,$L$4, $L$3, $L$5, $L$6)="NM","n/a",(_xll.ciqfunctions.udf.CIQ($A41, "IQ_TOTAL_REV_5YR_ANN_CAGR", IQ_LTM, $B$1,$L$4, $L$3, $L$5, $L$6)/100))</f>
        <v>#NAME?</v>
      </c>
      <c r="BO41" s="466" t="e">
        <f ca="1">IF(_xll.ciqfunctions.udf.CIQ($A41,"IQ_EBITDA_2YR_ANN_CAGR", IQ_LTM,$B$1,$L$4, $L$3, $L$5, $L$6)="NM","n/a",(_xll.ciqfunctions.udf.CIQ($A41,"IQ_EBITDA_2YR_ANN_CAGR", IQ_LTM,$B$1,$L$4, $L$3, $L$5, $L$6)/100))</f>
        <v>#NAME?</v>
      </c>
      <c r="BP41" s="466" t="e">
        <f ca="1">IF(_xll.ciqfunctions.udf.CIQ($A41,"IQ_EBITDA_3YR_ANN_CAGR", IQ_LTM,$B$1,$L$4, $L$3, $L$5, $L$6)="NM","n/a",(_xll.ciqfunctions.udf.CIQ($A41,"IQ_EBITDA_3YR_ANN_CAGR", IQ_LTM,$B$1,$L$4, $L$3, $L$5, $L$6)/100))</f>
        <v>#NAME?</v>
      </c>
      <c r="BQ41" s="466" t="e">
        <f ca="1">IF(_xll.ciqfunctions.udf.CIQ($A41,"IQ_EBITDA_5YR_ANN_CAGR", IQ_LTM,$B$1,$L$4, $L$3, $L$5, $L$6)="NM","n/a",(_xll.ciqfunctions.udf.CIQ($A41,"IQ_EBITDA_5YR_ANN_CAGR", IQ_LTM,$B$1,$L$4, $L$3, $L$5, $L$6)/100))</f>
        <v>#NAME?</v>
      </c>
      <c r="BR41" s="470" t="str">
        <f ca="1">IFERROR((_xll.ciqfunctions.udf.CIQ($A41, "IQ_DA_CF", IQ_LTM, $B$1, $L$4, $L$3, $L$5, $L$6)/Q41),"NM")</f>
        <v>NM</v>
      </c>
      <c r="BS41" s="522" t="e">
        <f>'Capital IQ Sheet-GPC'!BS41</f>
        <v>#VALUE!</v>
      </c>
      <c r="BT41" s="522" t="e">
        <f>'Capital IQ Sheet-GPC'!BT41</f>
        <v>#VALUE!</v>
      </c>
      <c r="BU41" s="522" t="e">
        <f>'Capital IQ Sheet-GPC'!BU41</f>
        <v>#VALUE!</v>
      </c>
      <c r="BV41" s="522" t="e">
        <f>'Capital IQ Sheet-GPC'!BV41</f>
        <v>#VALUE!</v>
      </c>
      <c r="BW41" s="522" t="e">
        <f>'Capital IQ Sheet-GPC'!BW41</f>
        <v>#VALUE!</v>
      </c>
      <c r="BX41" s="522" t="e">
        <f>'Capital IQ Sheet-GPC'!BX41</f>
        <v>#VALUE!</v>
      </c>
      <c r="BY41" s="522" t="e">
        <f>'Capital IQ Sheet-GPC'!BY41</f>
        <v>#VALUE!</v>
      </c>
      <c r="BZ41" s="522" t="e">
        <f>'Capital IQ Sheet-GPC'!BZ41</f>
        <v>#VALUE!</v>
      </c>
      <c r="CB41" s="466">
        <v>2</v>
      </c>
      <c r="CC41" s="614" t="s">
        <v>155</v>
      </c>
      <c r="CD41" s="614" t="s">
        <v>154</v>
      </c>
      <c r="CE41" s="468">
        <f t="shared" si="0"/>
        <v>42582</v>
      </c>
    </row>
    <row r="42" spans="1:83" s="466" customFormat="1" ht="12.75">
      <c r="A42" s="467" t="e">
        <f ca="1">_xll.ciqfunctions.udf.CIQ($B42,"IQ_COMPANY_TICKER")</f>
        <v>#NAME?</v>
      </c>
      <c r="B42" s="517" t="str">
        <f>'Capital IQ Sheet-GPC'!B42</f>
        <v>(Invalid Identifier)</v>
      </c>
      <c r="C42" s="467" t="e">
        <f ca="1">_xll.ciqfunctions.udf.CIQ($A42,"IQ_COMPANY_NAME")</f>
        <v>#NAME?</v>
      </c>
      <c r="D42" s="467" t="e">
        <f ca="1">_xll.ciqfunctions.udf.CIQ($A42, "IQ_EXCHANGE")</f>
        <v>#NAME?</v>
      </c>
      <c r="E42" s="516" t="e">
        <f ca="1">_xll.ciqfunctions.udf.CIQ($A42, "IQ_PERIODDATE_IS", IQ_FY)</f>
        <v>#NAME?</v>
      </c>
      <c r="F42" s="516" t="e">
        <f ca="1">_xll.ciqfunctions.udf.CIQ(A42, "IQ_PERIODDATE_IS", IQ_LTM, $B$1,$L$4,$L$3)</f>
        <v>#NAME?</v>
      </c>
      <c r="G42" s="516" t="e">
        <f ca="1">_xll.ciqfunctions.udf.CIQ($A42, "IQ_FIRSTPRICINGDATE")</f>
        <v>#NAME?</v>
      </c>
      <c r="H42" s="518" t="e">
        <f ca="1">_xll.ciqfunctions.udf.CIQ($A42, "IQ_TEV", $L$2, $L$5, $L$6)</f>
        <v>#NAME?</v>
      </c>
      <c r="I42" s="518" t="e">
        <f ca="1">_xll.ciqfunctions.udf.CIQ(A42, "IQ_LASTSALEPRICE", $B$1,$L$5)</f>
        <v>#NAME?</v>
      </c>
      <c r="J42" s="518" t="e">
        <f ca="1">_xll.ciqfunctions.udf.CIQ($A42, "IQ_MARKETCAP", $L$2, $L$5, $L$6)</f>
        <v>#NAME?</v>
      </c>
      <c r="K42" s="518" t="e">
        <f ca="1">_xll.ciqfunctions.udf.CIQ($A42, "IQ_TOTAL_DEBT", IQ_LTM, $L$2,$L$4, $L$3, $L$5, $L$6)</f>
        <v>#NAME?</v>
      </c>
      <c r="L42" s="518" t="e">
        <f ca="1">_xll.ciqfunctions.udf.CIQ($A42, "IQ_PREF_EQUITY", IQ_LTM, $L$2, $L$4, $L$3, $L$5, $L$6)</f>
        <v>#NAME?</v>
      </c>
      <c r="M42" s="518" t="e">
        <f ca="1">_xll.ciqfunctions.udf.CIQ($A42, "IQ_MINORITY_INTEREST_TOTAL", IQ_LTM, $L$2, $L$4, $L$3, $L$5, $L$6)</f>
        <v>#NAME?</v>
      </c>
      <c r="N42" s="518" t="e">
        <f ca="1">_xll.ciqfunctions.udf.CIQ($A42, "IQ_CASH_ST_INVEST", IQ_LTM, $L$2, $L$4, $L$3, $L$5, $L$6)</f>
        <v>#NAME?</v>
      </c>
      <c r="O42" s="518" t="e">
        <f ca="1">_xll.ciqfunctions.udf.CIQ($A42, "IQ_TOTAL_REV", IQ_LTM-8, $L$2, $L$4, $L$3, $L$5, $L$6)</f>
        <v>#NAME?</v>
      </c>
      <c r="P42" s="518" t="e">
        <f ca="1">_xll.ciqfunctions.udf.CIQ($A42, "IQ_TOTAL_REV", IQ_LTM - 4, $L$2, $L$4, $L$3, $L$5,$L$6)</f>
        <v>#NAME?</v>
      </c>
      <c r="Q42" s="518" t="e">
        <f ca="1">_xll.ciqfunctions.udf.CIQ($A42, "IQ_TOTAL_REV", IQ_LTM, $L$2, $L$4, $L$3, $L$5, $L$6)</f>
        <v>#NAME?</v>
      </c>
      <c r="R42" s="518" t="e">
        <f ca="1">_xll.ciqfunctions.udf.CIQ($A42, "IQ_TOTAL_REV", $B$2, $L$2, $L$4, $L$3, $L$5, $L$6)</f>
        <v>#NAME?</v>
      </c>
      <c r="S42" s="518" t="e">
        <f ca="1">IF(_xll.ciqfunctions.udf.CIQ($A42, "IQ_TOTAL_REV", $B$3, $L$2,$L$4, $L$3, $L$5, $L$6)=0,Q42,_xll.ciqfunctions.udf.CIQ($A42, "IQ_TOTAL_REV", $B$3, $L$2,$L$4, $L$3, $L$5, $L$6))</f>
        <v>#NAME?</v>
      </c>
      <c r="T42" s="518" t="e">
        <f ca="1">IF(_xll.ciqfunctions.udf.CIQ($A42, "IQ_REVENUE_EST",$B$4, $L$2, "CON", $L$3, $L$5, $L$6)=0,"n/a",_xll.ciqfunctions.udf.CIQ($A42, "IQ_REVENUE_EST",$B$4, $L$2, "CON", $L$3, $L$5, $L$6))</f>
        <v>#NAME?</v>
      </c>
      <c r="U42" s="518" t="e">
        <f ca="1">IF(_xll.ciqfunctions.udf.CIQ($A42, "IQ_REVENUE_EST",$B$5, $L$2, "CON", $L$3, $L$5, $L$6)=0,"n/a",_xll.ciqfunctions.udf.CIQ($A42, "IQ_REVENUE_EST",$B$5, $L$2, "CON", $L$3, $L$5, $L$6))</f>
        <v>#NAME?</v>
      </c>
      <c r="V42" s="518" t="e">
        <f ca="1">IF(_xll.ciqfunctions.udf.CIQ($A42, "IQ_REVENUE_EST",$B$6, $L$2, "CON", $L$3, $L$5, $L$6)=0,"n/a",_xll.ciqfunctions.udf.CIQ($A42, "IQ_REVENUE_EST",$B$6, $L$2, "CON", $L$3, $L$5, $L$6))</f>
        <v>#NAME?</v>
      </c>
      <c r="W42" s="518" t="e">
        <f ca="1">IF(_xll.ciqfunctions.udf.CIQ($A42, "IQ_REVENUE_EST", $B$7, $L$2, "CON", $L$3, $L$5, $L$6)=0,"n/a",_xll.ciqfunctions.udf.CIQ($A42, "IQ_REVENUE_EST",$B$7, $L$2, "CON", $L$3, $L$5, $L$6))</f>
        <v>#NAME?</v>
      </c>
      <c r="X42" s="518" t="e">
        <f ca="1">_xll.ciqfunctions.udf.CIQ($A42, "IQ_EBITDA", IQ_LTM-8, $L$2, $L$4, $L$3, $L$5, $L$6)</f>
        <v>#NAME?</v>
      </c>
      <c r="Y42" s="518" t="e">
        <f ca="1">_xll.ciqfunctions.udf.CIQ($A42, "IQ_EBITDA", IQ_LTM-4, $L$2,$L$4, $L$3, $L$5, $L$6)</f>
        <v>#NAME?</v>
      </c>
      <c r="Z42" s="518" t="e">
        <f ca="1">_xll.ciqfunctions.udf.CIQ($A42, "IQ_EBITDA", IQ_LTM, $L$2, $L$4, $L$3, $L$5, $L$6)</f>
        <v>#NAME?</v>
      </c>
      <c r="AA42" s="518" t="e">
        <f ca="1">_xll.ciqfunctions.udf.CIQ($A42, "IQ_EBITDA", $B$2, $L$2, $L$4, $L$3, $L$5, $L$6)</f>
        <v>#NAME?</v>
      </c>
      <c r="AB42" s="518" t="e">
        <f ca="1">IF(_xll.ciqfunctions.udf.CIQ($A42, "IQ_EBITDA", $B$3, $L$2,$L$4, $L$3, $L$5, $L$6)=0,Z42,_xll.ciqfunctions.udf.CIQ($A42, "IQ_EBITDA", $B$3, $L$2,$L$4, $L$3, $L$5, $L$6))</f>
        <v>#NAME?</v>
      </c>
      <c r="AC42" s="518" t="e">
        <f ca="1">IF(_xll.ciqfunctions.udf.CIQ($A42, "IQ_EBITDA_EST",$B$4, $L$2, "CON", $L$3, $L$5, $L$6)=0,"n/a",_xll.ciqfunctions.udf.CIQ($A42, "IQ_EBITDA_EST",$B$4, $L$2, "CON", $L$3, $L$5, $L$6))</f>
        <v>#NAME?</v>
      </c>
      <c r="AD42" s="518" t="e">
        <f ca="1">IF(_xll.ciqfunctions.udf.CIQ($A42, "IQ_EBITDA_EST",$B$5, $L$2, "CON", $L$3, $L$5, $L$6)=0,"n/a",_xll.ciqfunctions.udf.CIQ($A42, "IQ_EBITDA_EST",$B$5, $L$2, "CON", $L$3, $L$5, $L$6))</f>
        <v>#NAME?</v>
      </c>
      <c r="AE42" s="518" t="e">
        <f ca="1">IF(_xll.ciqfunctions.udf.CIQ($A42, "IQ_EBITDA_EST",$B$6, $L$2, "CON", $L$3, $L$5, $L$6)=0,"n/a",_xll.ciqfunctions.udf.CIQ($A42, "IQ_EBITDA_EST",$B$6, $L$2, "CON", $L$3, $L$5, $L$6))</f>
        <v>#NAME?</v>
      </c>
      <c r="AF42" s="519" t="str">
        <f ca="1">IF(ISERROR(_xll.ciqfunctions.udf.CIQ($A42, "IQ_GROSS_MARGIN", IQ_LTM, $L$2,$L$4, $L$3, $L$5, $L$6)/100), "n/a", _xll.ciqfunctions.udf.CIQ($A42,  "IQ_GROSS_MARGIN", IQ_LTM, $L$2, $L$4, $L$3, $L$5, $L$6)/100)</f>
        <v>n/a</v>
      </c>
      <c r="AG42" s="519" t="str">
        <f ca="1">IF(ISERROR(_xll.ciqfunctions.udf.CIQ($A42,"IQ_EBITDA_MARGIN", IQ_LTM, $L$2, $L$4, $L$3, $L$5, $L$6)/100), "n/a", _xll.ciqfunctions.udf.CIQ($A42, "IQ_EBITDA_MARGIN", IQ_LTM, $L$2, $L$4, $L$3, $L$5, $L$6)/100)</f>
        <v>n/a</v>
      </c>
      <c r="AH42" s="519" t="str">
        <f ca="1">IF(ISERROR(_xll.ciqfunctions.udf.CIQ($A42,"IQ_EBIT_MARGIN", IQ_LTM, $L$2, $L$4, $L$3, $L$5, $L$6)/100), "n/a", _xll.ciqfunctions.udf.CIQ($A42, "IQ_EBIT_MARGIN", IQ_LTM, $L$2, $L$4, $L$3, $L$5, $L$6)/100)</f>
        <v>n/a</v>
      </c>
      <c r="AI42" s="519" t="str">
        <f ca="1">IF(ISERROR(_xll.ciqfunctions.udf.CIQ($A42,"IQ_NI_MARGIN", IQ_LTM, $L$2, $L$4, $L$3, $L$5, $L$6)/100), "n/a", _xll.ciqfunctions.udf.CIQ($A42, "IQ_NI_MARGIN", IQ_LTM, $L$2, $L$4, $L$3, $L$5, $L$6)/100)</f>
        <v>n/a</v>
      </c>
      <c r="AJ42" s="518" t="str">
        <f ca="1">IF(ISERROR(_xll.ciqfunctions.udf.CIQ($A42, "IQ_NET_WORKING_CAP", IQ_LTM-8, $L$2, $L$4, $L$3, $L$5, $L$6)), "n/a", _xll.ciqfunctions.udf.CIQ($A42, "IQ_NET_WORKING_CAP", IQ_LTM-8, $L$2, $L$4, $L$3, $L$5, $L$6))</f>
        <v>n/a</v>
      </c>
      <c r="AK42" s="518" t="str">
        <f ca="1">IF(ISERROR(_xll.ciqfunctions.udf.CIQ($A42, "IQ_NET_WORKING_CAP", IQ_LTM-4, $L$2, $L$4, $L$3, $L$5, $L$6)), "n/a", _xll.ciqfunctions.udf.CIQ($A42, "IQ_NET_WORKING_CAP", IQ_LTM-4, $L$2, $L$4, $L$3, $L$5, $L$6))</f>
        <v>n/a</v>
      </c>
      <c r="AL42" s="518" t="str">
        <f ca="1">IF(ISERROR(_xll.ciqfunctions.udf.CIQ($A42, "IQ_NET_WORKING_CAP", IQ_LTM, $L$2,$L$4, $L$3, $L$5, $L$6)), "n/a", _xll.ciqfunctions.udf.CIQ($A42, "IQ_NET_WORKING_CAP", IQ_LTM, $L$2, $L$4, $L$3, $L$5, $L$6))</f>
        <v>n/a</v>
      </c>
      <c r="AM42" s="518" t="str">
        <f ca="1">IF(ISERROR(_xll.ciqfunctions.udf.CIQ($A42, "IQ_Capex", IQ_LTM-8, $L$2,$L$4, $L$3, $L$5, $L$6)), "n/a", _xll.ciqfunctions.udf.CIQ($A42, "IQ_Capex", IQ_LTM-8, $L$2, $L$4, $L$3, $L$5, $L$6))</f>
        <v>n/a</v>
      </c>
      <c r="AN42" s="518" t="str">
        <f ca="1">IF(ISERROR(_xll.ciqfunctions.udf.CIQ($A42, "IQ_Capex", IQ_LTM-4, $L$2,$L$4, $L$3, $L$5, $L$6)), "n/a", _xll.ciqfunctions.udf.CIQ($A42, "IQ_Capex", IQ_LTM-4, $L$2,$L$4, $L$3, $L$5, $L$6))</f>
        <v>n/a</v>
      </c>
      <c r="AO42" s="518" t="str">
        <f ca="1">IF(ISERROR(_xll.ciqfunctions.udf.CIQ($A42, "IQ_Capex", IQ_LTM, $L$2, $L$4, $L$3, $L$5, $L$6)), "n/a", _xll.ciqfunctions.udf.CIQ($A42, "IQ_Capex", IQ_LTM, $L$2, $L$4, $L$3, $L$5, $L$6))</f>
        <v>n/a</v>
      </c>
      <c r="AP42" s="520" t="e">
        <f ca="1">_xll.ciqfunctions.udf.CIQ(A42, "IQ_BUSINESS_DESCRIPTION")</f>
        <v>#NAME?</v>
      </c>
      <c r="AQ42" s="521" t="e">
        <f ca="1">_xll.ciqfunctions.udf.CIQ($A42, "IQ_BETA_1YR", $B$1)</f>
        <v>#NAME?</v>
      </c>
      <c r="AR42" s="521" t="e">
        <f ca="1">_xll.ciqfunctions.udf.CIQ($A42, "IQ_BETA_2YR", $B$1)</f>
        <v>#NAME?</v>
      </c>
      <c r="AS42" s="521" t="e">
        <f ca="1">_xll.ciqfunctions.udf.CIQ($A42, "IQ_BETA_5YR", $B$1)</f>
        <v>#NAME?</v>
      </c>
      <c r="AT42" s="519" t="e">
        <f ca="1">_xll.ciqfunctions.udf.CIQ($A42, "IQ_DIVIDEND_YIELD", $B$1)/100</f>
        <v>#NAME?</v>
      </c>
      <c r="AU42" s="518" t="e">
        <f ca="1">_xll.ciqfunctions.udf.CIQ($A42, "IQ_EARNING_CO", IQ_LTM-8, $L$2, $L$4, $L$3, $L$5, $L$6)</f>
        <v>#NAME?</v>
      </c>
      <c r="AV42" s="518" t="e">
        <f ca="1">_xll.ciqfunctions.udf.CIQ($A42, "IQ_EARNING_CO", IQ_LTM-4, $L$2, $L$4, $L$3, $L$5, $L$6)</f>
        <v>#NAME?</v>
      </c>
      <c r="AW42" s="518" t="e">
        <f ca="1">_xll.ciqfunctions.udf.CIQ($A42, "IQ_EARNING_CO", IQ_LTM, $L$2, $L$4, $L$3, $L$5, $L$6)</f>
        <v>#NAME?</v>
      </c>
      <c r="AX42" s="518" t="e">
        <f ca="1">_xll.ciqfunctions.udf.CIQ($A42, "IQ_EARNING_CO", $B$2, $L$2, $L$4, $L$3, $L$5, $L$6)</f>
        <v>#NAME?</v>
      </c>
      <c r="AY42" s="518" t="e">
        <f ca="1">IF(_xll.ciqfunctions.udf.CIQ($A42, "IQ_EARNING_CO", $B$3, $L$2,$L$4, $L$3, $L$5, $L$6)=0,AW42,_xll.ciqfunctions.udf.CIQ($A42, "IQ_EARNING_CO", $B$3, $L$2,$L$4, $L$3, $L$5, $L$6))</f>
        <v>#NAME?</v>
      </c>
      <c r="AZ42" s="518" t="e">
        <f ca="1">_xll.ciqfunctions.udf.CIQ($A42, "IQ_TOTAL_EQUITY", IQ_LTM-8, $L$2, $L$4, $L$3, $L$5, $L$6)</f>
        <v>#NAME?</v>
      </c>
      <c r="BA42" s="518" t="e">
        <f ca="1">_xll.ciqfunctions.udf.CIQ($A42, "IQ_TOTAL_EQUITY", IQ_LTM-4, $L$2, $L$4, $L$3, $L$5, $L$6)</f>
        <v>#NAME?</v>
      </c>
      <c r="BB42" s="518" t="e">
        <f ca="1">_xll.ciqfunctions.udf.CIQ($A42, "IQ_TOTAL_EQUITY", IQ_LTM, $L$2, $L$4, $L$3, $L$5, $L$6)</f>
        <v>#NAME?</v>
      </c>
      <c r="BC42" s="518" t="e">
        <f ca="1">_xll.ciqfunctions.udf.CIQ($A42, "IQ_TOTAL_EQUITY", $B$2, $L$2, $L$4, $L$3, $L$5, $L$6)</f>
        <v>#NAME?</v>
      </c>
      <c r="BD42" s="518" t="e">
        <f ca="1">IF(_xll.ciqfunctions.udf.CIQ($A42, "IQ_TOTAL_EQUITY", $B$3, $L$2,$L$4, $L$3, $L$5, $L$6)=0,BB42,_xll.ciqfunctions.udf.CIQ($A42, "IQ_TOTAL_EQUITY", $B$3, $L$2,$L$4, $L$3, $L$5, $L$6))</f>
        <v>#NAME?</v>
      </c>
      <c r="BE42" s="518" t="e">
        <f ca="1">_xll.ciqfunctions.udf.CIQ(A42, "IQ_LASTSALEPRICE", $B$8)</f>
        <v>#NAME?</v>
      </c>
      <c r="BF42" s="518" t="e">
        <f ca="1">_xll.ciqfunctions.udf.CIQ($A42, "IQ_MARKETCAP", $B$8, $L$5, $L$6)</f>
        <v>#NAME?</v>
      </c>
      <c r="BG42" s="518" t="e">
        <f ca="1">_xll.ciqfunctions.udf.CIQ($A42, "IQ_TOTAL_DEBT", IQ_LTM, $B$8,$L$4, $L$3, $L$5, $L$6)</f>
        <v>#NAME?</v>
      </c>
      <c r="BH42" s="466" t="e">
        <f ca="1">_xll.ciqfunctions.udf.CIQ($A42,"IQ_PREF_EQUITY",IQ_LTM,$B$8,$L$4,$L$3,$L$5,$L$6)</f>
        <v>#NAME?</v>
      </c>
      <c r="BI42" s="466" t="e">
        <f ca="1">_xll.ciqfunctions.udf.CIQ($A42, "IQ_MINORITY_INTEREST_TOTAL", IQ_LTM,$B$8,$L$4,$L$3,$L$5,$L$6)</f>
        <v>#NAME?</v>
      </c>
      <c r="BJ42" s="518" t="e">
        <f ca="1">_xll.ciqfunctions.udf.CIQ($A42, "IQ_CASH_ST_INVEST", IQ_LTM, $B$8, $L$4, $L$3, $L$5, $L$6)</f>
        <v>#NAME?</v>
      </c>
      <c r="BK42" s="466" t="e">
        <f ca="1">_xll.ciqfunctions.udf.CIQ($A42, "IQ_EFFECT_TAX_RATE")</f>
        <v>#NAME?</v>
      </c>
      <c r="BL42" s="466" t="e">
        <f ca="1">IF(_xll.ciqfunctions.udf.CIQ($A42, "IQ_TOTAL_REV_2YR_ANN_CAGR", IQ_LTM, $B$1,$L$4, $L$3, $L$5, $L$6)="NM","n/a",(_xll.ciqfunctions.udf.CIQ($A42, "IQ_TOTAL_REV_2YR_ANN_CAGR", IQ_LTM, $B$1,$L$4, $L$3, $L$5, $L$6)/100))</f>
        <v>#NAME?</v>
      </c>
      <c r="BM42" s="466" t="e">
        <f ca="1">IF(_xll.ciqfunctions.udf.CIQ($A42, "IQ_TOTAL_REV_3YR_ANN_CAGR", IQ_LTM, $B$1,$L$4, $L$3, $L$5, $L$6)="NM","n/a",(_xll.ciqfunctions.udf.CIQ($A42, "IQ_TOTAL_REV_3YR_ANN_CAGR", IQ_LTM, $B$1,$L$4, $L$3, $L$5, $L$6)/100))</f>
        <v>#NAME?</v>
      </c>
      <c r="BN42" s="466" t="e">
        <f ca="1">IF(_xll.ciqfunctions.udf.CIQ($A42, "IQ_TOTAL_REV_5YR_ANN_CAGR", IQ_LTM, $B$1,$L$4, $L$3, $L$5, $L$6)="NM","n/a",(_xll.ciqfunctions.udf.CIQ($A42, "IQ_TOTAL_REV_5YR_ANN_CAGR", IQ_LTM, $B$1,$L$4, $L$3, $L$5, $L$6)/100))</f>
        <v>#NAME?</v>
      </c>
      <c r="BO42" s="466" t="e">
        <f ca="1">IF(_xll.ciqfunctions.udf.CIQ($A42,"IQ_EBITDA_2YR_ANN_CAGR", IQ_LTM,$B$1,$L$4, $L$3, $L$5, $L$6)="NM","n/a",(_xll.ciqfunctions.udf.CIQ($A42,"IQ_EBITDA_2YR_ANN_CAGR", IQ_LTM,$B$1,$L$4, $L$3, $L$5, $L$6)/100))</f>
        <v>#NAME?</v>
      </c>
      <c r="BP42" s="466" t="e">
        <f ca="1">IF(_xll.ciqfunctions.udf.CIQ($A42,"IQ_EBITDA_3YR_ANN_CAGR", IQ_LTM,$B$1,$L$4, $L$3, $L$5, $L$6)="NM","n/a",(_xll.ciqfunctions.udf.CIQ($A42,"IQ_EBITDA_3YR_ANN_CAGR", IQ_LTM,$B$1,$L$4, $L$3, $L$5, $L$6)/100))</f>
        <v>#NAME?</v>
      </c>
      <c r="BQ42" s="466" t="e">
        <f ca="1">IF(_xll.ciqfunctions.udf.CIQ($A42,"IQ_EBITDA_5YR_ANN_CAGR", IQ_LTM,$B$1,$L$4, $L$3, $L$5, $L$6)="NM","n/a",(_xll.ciqfunctions.udf.CIQ($A42,"IQ_EBITDA_5YR_ANN_CAGR", IQ_LTM,$B$1,$L$4, $L$3, $L$5, $L$6)/100))</f>
        <v>#NAME?</v>
      </c>
      <c r="BR42" s="470" t="str">
        <f ca="1">IFERROR((_xll.ciqfunctions.udf.CIQ($A42, "IQ_DA_CF", IQ_LTM, $B$1, $L$4, $L$3, $L$5, $L$6)/Q42),"NM")</f>
        <v>NM</v>
      </c>
      <c r="BS42" s="522" t="e">
        <f>'Capital IQ Sheet-GPC'!BS42</f>
        <v>#VALUE!</v>
      </c>
      <c r="BT42" s="522" t="e">
        <f>'Capital IQ Sheet-GPC'!BT42</f>
        <v>#VALUE!</v>
      </c>
      <c r="BU42" s="522" t="e">
        <f>'Capital IQ Sheet-GPC'!BU42</f>
        <v>#VALUE!</v>
      </c>
      <c r="BV42" s="522" t="e">
        <f>'Capital IQ Sheet-GPC'!BV42</f>
        <v>#VALUE!</v>
      </c>
      <c r="BW42" s="522" t="e">
        <f>'Capital IQ Sheet-GPC'!BW42</f>
        <v>#VALUE!</v>
      </c>
      <c r="BX42" s="522" t="e">
        <f>'Capital IQ Sheet-GPC'!BX42</f>
        <v>#VALUE!</v>
      </c>
      <c r="BY42" s="522" t="e">
        <f>'Capital IQ Sheet-GPC'!BY42</f>
        <v>#VALUE!</v>
      </c>
      <c r="BZ42" s="522" t="e">
        <f>'Capital IQ Sheet-GPC'!BZ42</f>
        <v>#VALUE!</v>
      </c>
      <c r="CB42" s="466">
        <v>2</v>
      </c>
      <c r="CC42" s="614" t="s">
        <v>155</v>
      </c>
      <c r="CD42" s="614" t="s">
        <v>154</v>
      </c>
      <c r="CE42" s="468">
        <f t="shared" si="0"/>
        <v>42582</v>
      </c>
    </row>
    <row r="43" spans="1:83">
      <c r="A43" s="515" t="str">
        <f>'Capital IQ Sheet-GPC'!A43</f>
        <v>Comparable Public Companies (Secondary)</v>
      </c>
      <c r="B43" s="517"/>
      <c r="E43" s="516"/>
      <c r="F43" s="516"/>
      <c r="G43" s="516"/>
      <c r="H43" s="518"/>
      <c r="I43" s="518"/>
      <c r="K43" s="518"/>
      <c r="M43" s="518"/>
      <c r="N43" s="518"/>
      <c r="O43" s="518"/>
      <c r="P43" s="518"/>
      <c r="Q43" s="518"/>
      <c r="R43" s="518"/>
      <c r="S43" s="518"/>
      <c r="U43" s="518"/>
      <c r="V43" s="518"/>
      <c r="W43" s="518"/>
      <c r="X43" s="518"/>
      <c r="Y43" s="518"/>
      <c r="Z43" s="518"/>
      <c r="AA43" s="518"/>
      <c r="AB43" s="518"/>
      <c r="AC43" s="518"/>
      <c r="AE43" s="518"/>
      <c r="AF43" s="519"/>
      <c r="AG43" s="519"/>
      <c r="AH43" s="519"/>
      <c r="AI43" s="519"/>
      <c r="AJ43" s="518"/>
      <c r="AK43" s="518"/>
      <c r="AL43" s="518"/>
      <c r="AM43" s="518"/>
      <c r="AN43" s="518"/>
      <c r="AO43" s="518"/>
      <c r="AP43" s="520"/>
      <c r="AQ43" s="521"/>
      <c r="AR43" s="521"/>
      <c r="AS43" s="521"/>
      <c r="AU43" s="518"/>
      <c r="AV43" s="518"/>
      <c r="AW43" s="518"/>
      <c r="AX43" s="518"/>
      <c r="AY43" s="518"/>
      <c r="AZ43" s="518"/>
      <c r="BA43" s="518"/>
      <c r="BB43" s="518"/>
      <c r="BC43" s="518"/>
      <c r="BD43" s="518"/>
      <c r="BE43" s="518"/>
      <c r="BF43" s="518"/>
      <c r="BG43" s="518"/>
      <c r="BH43" s="463"/>
      <c r="BI43" s="463"/>
      <c r="BJ43" s="518"/>
      <c r="BK43" s="463"/>
      <c r="BL43" s="463"/>
      <c r="BM43" s="463"/>
      <c r="BN43" s="463"/>
      <c r="BO43" s="463"/>
      <c r="BP43" s="463"/>
      <c r="BQ43" s="463"/>
      <c r="BR43" s="463"/>
      <c r="BS43" s="463"/>
      <c r="BT43" s="463"/>
      <c r="BU43" s="463"/>
      <c r="BV43" s="463"/>
      <c r="BW43" s="463"/>
      <c r="BX43" s="463"/>
      <c r="BY43" s="463"/>
      <c r="BZ43" s="463"/>
    </row>
    <row r="44" spans="1:83">
      <c r="A44" s="467" t="e">
        <f ca="1">_xll.ciqfunctions.udf.CIQ($B44,"IQ_COMPANY_TICKER")</f>
        <v>#NAME?</v>
      </c>
      <c r="B44" s="517" t="str">
        <f>'Capital IQ Sheet-GPC'!B44</f>
        <v>(Invalid Identifier)</v>
      </c>
      <c r="C44" s="467" t="e">
        <f ca="1">_xll.ciqfunctions.udf.CIQ($A44,"IQ_COMPANY_NAME")</f>
        <v>#NAME?</v>
      </c>
      <c r="D44" s="467" t="e">
        <f ca="1">_xll.ciqfunctions.udf.CIQ($A44, "IQ_EXCHANGE")</f>
        <v>#NAME?</v>
      </c>
      <c r="E44" s="516" t="e">
        <f ca="1">_xll.ciqfunctions.udf.CIQ($A44, "IQ_PERIODDATE_IS", IQ_FY)</f>
        <v>#NAME?</v>
      </c>
      <c r="F44" s="516" t="e">
        <f ca="1">_xll.ciqfunctions.udf.CIQ(A44, "IQ_PERIODDATE_IS", IQ_LTM, $B$1,$L$4,$L$3)</f>
        <v>#NAME?</v>
      </c>
      <c r="G44" s="516" t="e">
        <f ca="1">_xll.ciqfunctions.udf.CIQ($A44, "IQ_FIRSTPRICINGDATE")</f>
        <v>#NAME?</v>
      </c>
      <c r="H44" s="518" t="e">
        <f ca="1">_xll.ciqfunctions.udf.CIQ($A44, "IQ_TEV", $L$2, $L$5, $L$6)</f>
        <v>#NAME?</v>
      </c>
      <c r="I44" s="518" t="e">
        <f ca="1">_xll.ciqfunctions.udf.CIQ(A44, "IQ_LASTSALEPRICE", $B$1,$L$5)</f>
        <v>#NAME?</v>
      </c>
      <c r="J44" s="516" t="e">
        <f ca="1">_xll.ciqfunctions.udf.CIQ($B44, "IQ_FIRSTPRICINGDATE")</f>
        <v>#NAME?</v>
      </c>
      <c r="K44" s="518" t="e">
        <f ca="1">_xll.ciqfunctions.udf.CIQ($A44, "IQ_TOTAL_DEBT", IQ_LTM, $L$2,$L$4, $L$3, $L$5, $L$6)</f>
        <v>#NAME?</v>
      </c>
      <c r="L44" s="518" t="e">
        <f ca="1">_xll.ciqfunctions.udf.CIQ($A44, "IQ_PREF_EQUITY", IQ_LTM, $L$2, $L$4, $L$3, $L$5, $L$6)</f>
        <v>#NAME?</v>
      </c>
      <c r="M44" s="518" t="e">
        <f ca="1">_xll.ciqfunctions.udf.CIQ($A44, "IQ_MINORITY_INTEREST_TOTAL", IQ_LTM, $L$2, $L$4, $L$3, $L$5, $L$6)</f>
        <v>#NAME?</v>
      </c>
      <c r="N44" s="518" t="e">
        <f ca="1">_xll.ciqfunctions.udf.CIQ($A44, "IQ_CASH_ST_INVEST", IQ_LTM, $L$2, $L$4, $L$3, $L$5, $L$6)</f>
        <v>#NAME?</v>
      </c>
      <c r="O44" s="518" t="e">
        <f ca="1">_xll.ciqfunctions.udf.CIQ($A44, "IQ_TOTAL_REV", IQ_LTM-8, $L$2, $L$4, $L$3, $L$5, $L$6)</f>
        <v>#NAME?</v>
      </c>
      <c r="P44" s="518" t="e">
        <f ca="1">_xll.ciqfunctions.udf.CIQ($A44, "IQ_TOTAL_REV", IQ_LTM - 4, $L$2, $L$4, $L$3, $L$5,$L$6)</f>
        <v>#NAME?</v>
      </c>
      <c r="Q44" s="518" t="e">
        <f ca="1">_xll.ciqfunctions.udf.CIQ($A44, "IQ_TOTAL_REV", IQ_LTM, $L$2, $L$4, $L$3, $L$5, $L$6)</f>
        <v>#NAME?</v>
      </c>
      <c r="R44" s="518" t="e">
        <f ca="1">_xll.ciqfunctions.udf.CIQ($A44, "IQ_TOTAL_REV", $B$2, $L$2, $L$4, $L$3, $L$5, $L$6)</f>
        <v>#NAME?</v>
      </c>
      <c r="S44" s="518" t="e">
        <f ca="1">IF(_xll.ciqfunctions.udf.CIQ($A44, "IQ_TOTAL_REV", $B$3, $L$2,$L$4, $L$3, $L$5, $L$6)=0,Q44,_xll.ciqfunctions.udf.CIQ($A44, "IQ_TOTAL_REV", $B$3, $L$2,$L$4, $L$3, $L$5, $L$6))</f>
        <v>#NAME?</v>
      </c>
      <c r="T44" s="518" t="e">
        <f ca="1">IF(_xll.ciqfunctions.udf.CIQ($A44, "IQ_REVENUE_EST",$B$4, $L$2, "CON", $L$3, $L$5, $L$6)=0,"n/a",_xll.ciqfunctions.udf.CIQ($A44, "IQ_REVENUE_EST",$B$4, $L$2, "CON", $L$3, $L$5, $L$6))</f>
        <v>#NAME?</v>
      </c>
      <c r="U44" s="518" t="e">
        <f ca="1">IF(_xll.ciqfunctions.udf.CIQ($A44, "IQ_REVENUE_EST",$B$5, $L$2, "CON", $L$3, $L$5, $L$6)=0,"n/a",_xll.ciqfunctions.udf.CIQ($A44, "IQ_REVENUE_EST",$B$5, $L$2, "CON", $L$3, $L$5, $L$6))</f>
        <v>#NAME?</v>
      </c>
      <c r="V44" s="518" t="e">
        <f ca="1">IF(_xll.ciqfunctions.udf.CIQ($A44, "IQ_REVENUE_EST",$B$6, $L$2, "CON", $L$3, $L$5, $L$6)=0,"n/a",_xll.ciqfunctions.udf.CIQ($A44, "IQ_REVENUE_EST",$B$6, $L$2, "CON", $L$3, $L$5, $L$6))</f>
        <v>#NAME?</v>
      </c>
      <c r="W44" s="518" t="e">
        <f ca="1">IF(_xll.ciqfunctions.udf.CIQ($A44, "IQ_REVENUE_EST", $B$7, $L$2, "CON", $L$3, $L$5, $L$6)=0,"n/a",_xll.ciqfunctions.udf.CIQ($A44, "IQ_REVENUE_EST",$B$7, $L$2, "CON", $L$3, $L$5, $L$6))</f>
        <v>#NAME?</v>
      </c>
      <c r="X44" s="518" t="e">
        <f ca="1">_xll.ciqfunctions.udf.CIQ($A44, "IQ_EBITDA", IQ_LTM-8, $L$2, $L$4, $L$3, $L$5, $L$6)</f>
        <v>#NAME?</v>
      </c>
      <c r="Y44" s="518" t="e">
        <f ca="1">_xll.ciqfunctions.udf.CIQ($A44, "IQ_EBITDA", IQ_LTM-4, $L$2,$L$4, $L$3, $L$5, $L$6)</f>
        <v>#NAME?</v>
      </c>
      <c r="Z44" s="518" t="e">
        <f ca="1">_xll.ciqfunctions.udf.CIQ($A44, "IQ_EBITDA", IQ_LTM, $L$2, $L$4, $L$3, $L$5, $L$6)</f>
        <v>#NAME?</v>
      </c>
      <c r="AA44" s="518" t="e">
        <f ca="1">_xll.ciqfunctions.udf.CIQ($A44, "IQ_EBITDA", $B$2, $L$2, $L$4, $L$3, $L$5, $L$6)</f>
        <v>#NAME?</v>
      </c>
      <c r="AB44" s="518" t="e">
        <f ca="1">IF(_xll.ciqfunctions.udf.CIQ($A44, "IQ_EBITDA", $B$3, $L$2,$L$4, $L$3, $L$5, $L$6)=0,Z44,_xll.ciqfunctions.udf.CIQ($A44, "IQ_EBITDA", $B$3, $L$2,$L$4, $L$3, $L$5, $L$6))</f>
        <v>#NAME?</v>
      </c>
      <c r="AC44" s="518" t="e">
        <f ca="1">IF(_xll.ciqfunctions.udf.CIQ($A44, "IQ_EBITDA_EST",$B$4, $L$2, "CON", $L$3, $L$5, $L$6)=0,"n/a",_xll.ciqfunctions.udf.CIQ($A44, "IQ_EBITDA_EST",$B$4, $L$2, "CON", $L$3, $L$5, $L$6))</f>
        <v>#NAME?</v>
      </c>
      <c r="AD44" s="467" t="e">
        <f ca="1">IF(_xll.ciqfunctions.udf.CIQ($A44, "IQ_EBITDA_EST",$B$5, $L$2, "CON", $L$3, $L$5, $L$6)=0,"n/a",_xll.ciqfunctions.udf.CIQ($A44, "IQ_EBITDA_EST",$B$5, $L$2, "CON", $L$3, $L$5, $L$6))</f>
        <v>#NAME?</v>
      </c>
      <c r="AE44" s="518" t="e">
        <f ca="1">IF(_xll.ciqfunctions.udf.CIQ($A44, "IQ_EBITDA_EST",$B$6, $L$2, "CON", $L$3, $L$5, $L$6)=0,"n/a",_xll.ciqfunctions.udf.CIQ($A44, "IQ_EBITDA_EST",$B$6, $L$2, "CON", $L$3, $L$5, $L$6))</f>
        <v>#NAME?</v>
      </c>
      <c r="AF44" s="519" t="str">
        <f ca="1">IF(ISERROR(_xll.ciqfunctions.udf.CIQ($A44, "IQ_GROSS_MARGIN", IQ_LTM, $L$2,$L$4, $L$3, $L$5, $L$6)/100), "n/a", _xll.ciqfunctions.udf.CIQ($A44,  "IQ_GROSS_MARGIN", IQ_LTM, $L$2, $L$4, $L$3, $L$5, $L$6)/100)</f>
        <v>n/a</v>
      </c>
      <c r="AG44" s="519" t="str">
        <f ca="1">IF(ISERROR(_xll.ciqfunctions.udf.CIQ($A44,"IQ_EBITDA_MARGIN", IQ_LTM, $L$2, $L$4, $L$3, $L$5, $L$6)/100), "n/a", _xll.ciqfunctions.udf.CIQ($A44, "IQ_EBITDA_MARGIN", IQ_LTM, $L$2, $L$4, $L$3, $L$5, $L$6)/100)</f>
        <v>n/a</v>
      </c>
      <c r="AH44" s="519" t="str">
        <f ca="1">IF(ISERROR(_xll.ciqfunctions.udf.CIQ($A44,"IQ_EBIT_MARGIN", IQ_LTM, $L$2, $L$4, $L$3, $L$5, $L$6)/100), "n/a", _xll.ciqfunctions.udf.CIQ($A44, "IQ_EBIT_MARGIN", IQ_LTM, $L$2, $L$4, $L$3, $L$5, $L$6)/100)</f>
        <v>n/a</v>
      </c>
      <c r="AI44" s="519" t="str">
        <f ca="1">IF(ISERROR(_xll.ciqfunctions.udf.CIQ($A44,"IQ_NI_MARGIN", IQ_LTM, $L$2, $L$4, $L$3, $L$5, $L$6)/100), "n/a", _xll.ciqfunctions.udf.CIQ($A44, "IQ_NI_MARGIN", IQ_LTM, $L$2, $L$4, $L$3, $L$5, $L$6)/100)</f>
        <v>n/a</v>
      </c>
      <c r="AJ44" s="518" t="str">
        <f ca="1">IF(ISERROR(_xll.ciqfunctions.udf.CIQ($A44, "IQ_NET_WORKING_CAP", IQ_LTM-8, $L$2, $L$4, $L$3, $L$5, $L$6)), "n/a", _xll.ciqfunctions.udf.CIQ($A44, "IQ_NET_WORKING_CAP", IQ_LTM-8, $L$2, $L$4, $L$3, $L$5, $L$6))</f>
        <v>n/a</v>
      </c>
      <c r="AK44" s="518" t="str">
        <f ca="1">IF(ISERROR(_xll.ciqfunctions.udf.CIQ($A44, "IQ_NET_WORKING_CAP", IQ_LTM-4, $L$2, $L$4, $L$3, $L$5, $L$6)), "n/a", _xll.ciqfunctions.udf.CIQ($A44, "IQ_NET_WORKING_CAP", IQ_LTM-4, $L$2, $L$4, $L$3, $L$5, $L$6))</f>
        <v>n/a</v>
      </c>
      <c r="AL44" s="518" t="str">
        <f ca="1">IF(ISERROR(_xll.ciqfunctions.udf.CIQ($A44, "IQ_NET_WORKING_CAP", IQ_LTM, $L$2,$L$4, $L$3, $L$5, $L$6)), "n/a", _xll.ciqfunctions.udf.CIQ($A44, "IQ_NET_WORKING_CAP", IQ_LTM, $L$2, $L$4, $L$3, $L$5, $L$6))</f>
        <v>n/a</v>
      </c>
      <c r="AM44" s="518" t="str">
        <f ca="1">IF(ISERROR(_xll.ciqfunctions.udf.CIQ($A44, "IQ_Capex", IQ_LTM-8, $L$2,$L$4, $L$3, $L$5, $L$6)), "n/a", _xll.ciqfunctions.udf.CIQ($A44, "IQ_Capex", IQ_LTM-8, $L$2, $L$4, $L$3, $L$5, $L$6))</f>
        <v>n/a</v>
      </c>
      <c r="AN44" s="518" t="str">
        <f ca="1">IF(ISERROR(_xll.ciqfunctions.udf.CIQ($A44, "IQ_Capex", IQ_LTM-4, $L$2,$L$4, $L$3, $L$5, $L$6)), "n/a", _xll.ciqfunctions.udf.CIQ($A44, "IQ_Capex", IQ_LTM-4, $L$2,$L$4, $L$3, $L$5, $L$6))</f>
        <v>n/a</v>
      </c>
      <c r="AO44" s="518" t="str">
        <f ca="1">IF(ISERROR(_xll.ciqfunctions.udf.CIQ($A44, "IQ_Capex", IQ_LTM, $L$2, $L$4, $L$3, $L$5, $L$6)), "n/a", _xll.ciqfunctions.udf.CIQ($A44, "IQ_Capex", IQ_LTM, $L$2, $L$4, $L$3, $L$5, $L$6))</f>
        <v>n/a</v>
      </c>
      <c r="AP44" s="520" t="e">
        <f ca="1">_xll.ciqfunctions.udf.CIQ(A44, "IQ_BUSINESS_DESCRIPTION")</f>
        <v>#NAME?</v>
      </c>
      <c r="AQ44" s="521" t="e">
        <f ca="1">_xll.ciqfunctions.udf.CIQ($A44, "IQ_BETA_1YR", $B$1)</f>
        <v>#NAME?</v>
      </c>
      <c r="AR44" s="521" t="e">
        <f ca="1">_xll.ciqfunctions.udf.CIQ($A44, "IQ_BETA_2YR", $B$1)</f>
        <v>#NAME?</v>
      </c>
      <c r="AS44" s="521" t="e">
        <f ca="1">_xll.ciqfunctions.udf.CIQ($A44, "IQ_BETA_5YR", $B$1)</f>
        <v>#NAME?</v>
      </c>
      <c r="AT44" s="467" t="e">
        <f ca="1">_xll.ciqfunctions.udf.CIQ($B44, "IQ_GP", IQ_LTM,$B$1, ,,"USD")</f>
        <v>#NAME?</v>
      </c>
      <c r="AU44" s="518" t="e">
        <f ca="1">_xll.ciqfunctions.udf.CIQ($A44, "IQ_EARNING_CO", IQ_LTM-8, $L$2, $L$4, $L$3, $L$5, $L$6)</f>
        <v>#NAME?</v>
      </c>
      <c r="AV44" s="518" t="e">
        <f ca="1">_xll.ciqfunctions.udf.CIQ($A44, "IQ_EARNING_CO", IQ_LTM-4, $L$2, $L$4, $L$3, $L$5, $L$6)</f>
        <v>#NAME?</v>
      </c>
      <c r="AW44" s="518" t="e">
        <f ca="1">_xll.ciqfunctions.udf.CIQ($A44, "IQ_EARNING_CO", IQ_LTM, $L$2, $L$4, $L$3, $L$5, $L$6)</f>
        <v>#NAME?</v>
      </c>
      <c r="AX44" s="518" t="e">
        <f ca="1">_xll.ciqfunctions.udf.CIQ($A44, "IQ_EARNING_CO", $B$2, $L$2, $L$4, $L$3, $L$5, $L$6)</f>
        <v>#NAME?</v>
      </c>
      <c r="AY44" s="518" t="e">
        <f ca="1">IF(_xll.ciqfunctions.udf.CIQ($A44, "IQ_EARNING_CO", $B$3, $L$2,$L$4, $L$3, $L$5, $L$6)=0,AW44,_xll.ciqfunctions.udf.CIQ($A44, "IQ_EARNING_CO", $B$3, $L$2,$L$4, $L$3, $L$5, $L$6))</f>
        <v>#NAME?</v>
      </c>
      <c r="AZ44" s="518" t="e">
        <f ca="1">_xll.ciqfunctions.udf.CIQ($A44, "IQ_TOTAL_EQUITY", IQ_LTM-8, $L$2, $L$4, $L$3, $L$5, $L$6)</f>
        <v>#NAME?</v>
      </c>
      <c r="BA44" s="518" t="e">
        <f ca="1">_xll.ciqfunctions.udf.CIQ($A44, "IQ_TOTAL_EQUITY", IQ_LTM-4, $L$2, $L$4, $L$3, $L$5, $L$6)</f>
        <v>#NAME?</v>
      </c>
      <c r="BB44" s="518" t="e">
        <f ca="1">_xll.ciqfunctions.udf.CIQ($A44, "IQ_TOTAL_EQUITY", IQ_LTM, $L$2, $L$4, $L$3, $L$5, $L$6)</f>
        <v>#NAME?</v>
      </c>
      <c r="BC44" s="518" t="e">
        <f ca="1">_xll.ciqfunctions.udf.CIQ($A44, "IQ_TOTAL_EQUITY", $B$2, $L$2, $L$4, $L$3, $L$5, $L$6)</f>
        <v>#NAME?</v>
      </c>
      <c r="BD44" s="518" t="e">
        <f ca="1">IF(_xll.ciqfunctions.udf.CIQ($A44, "IQ_TOTAL_EQUITY", $B$3, $L$2,$L$4, $L$3, $L$5, $L$6)=0,BB44,_xll.ciqfunctions.udf.CIQ($A44, "IQ_TOTAL_EQUITY", $B$3, $L$2,$L$4, $L$3, $L$5, $L$6))</f>
        <v>#NAME?</v>
      </c>
      <c r="BE44" s="518" t="e">
        <f ca="1">_xll.ciqfunctions.udf.CIQ(A44, "IQ_LASTSALEPRICE", $B$8)</f>
        <v>#NAME?</v>
      </c>
      <c r="BF44" s="518" t="e">
        <f ca="1">_xll.ciqfunctions.udf.CIQ($A44, "IQ_MARKETCAP", $B$8, $L$5, $L$6)</f>
        <v>#NAME?</v>
      </c>
      <c r="BG44" s="518" t="e">
        <f ca="1">_xll.ciqfunctions.udf.CIQ($A44, "IQ_TOTAL_DEBT", IQ_LTM, $B$8,$L$4, $L$3, $L$5, $L$6)</f>
        <v>#NAME?</v>
      </c>
      <c r="BH44" s="466" t="e">
        <f ca="1">_xll.ciqfunctions.udf.CIQ($A44,"IQ_PREF_EQUITY",IQ_LTM,$B$8,$L$4,$L$3,$L$5,$L$6)</f>
        <v>#NAME?</v>
      </c>
      <c r="BI44" s="466" t="e">
        <f ca="1">_xll.ciqfunctions.udf.CIQ($A44, "IQ_MINORITY_INTEREST_TOTAL", IQ_LTM,$B$8,$L$4,$L$3,$L$5,$L$6)</f>
        <v>#NAME?</v>
      </c>
      <c r="BJ44" s="518" t="e">
        <f ca="1">_xll.ciqfunctions.udf.CIQ($A44, "IQ_CASH_ST_INVEST", IQ_LTM, $B$8, $L$4, $L$3, $L$5, $L$6)</f>
        <v>#NAME?</v>
      </c>
      <c r="BK44" s="466" t="e">
        <f ca="1">_xll.ciqfunctions.udf.CIQ($A44, "IQ_EFFECT_TAX_RATE")</f>
        <v>#NAME?</v>
      </c>
      <c r="BL44" s="466" t="e">
        <f ca="1">IF(_xll.ciqfunctions.udf.CIQ($A44, "IQ_TOTAL_REV_2YR_ANN_CAGR", IQ_LTM, $B$1,$L$4, $L$3, $L$5, $L$6)="NM","n/a",(_xll.ciqfunctions.udf.CIQ($A44, "IQ_TOTAL_REV_2YR_ANN_CAGR", IQ_LTM, $B$1,$L$4, $L$3, $L$5, $L$6)/100))</f>
        <v>#NAME?</v>
      </c>
      <c r="BM44" s="466" t="e">
        <f ca="1">IF(_xll.ciqfunctions.udf.CIQ($A44, "IQ_TOTAL_REV_3YR_ANN_CAGR", IQ_LTM, $B$1,$L$4, $L$3, $L$5, $L$6)="NM","n/a",(_xll.ciqfunctions.udf.CIQ($A44, "IQ_TOTAL_REV_3YR_ANN_CAGR", IQ_LTM, $B$1,$L$4, $L$3, $L$5, $L$6)/100))</f>
        <v>#NAME?</v>
      </c>
      <c r="BN44" s="466" t="e">
        <f ca="1">IF(_xll.ciqfunctions.udf.CIQ($A44, "IQ_TOTAL_REV_5YR_ANN_CAGR", IQ_LTM, $B$1,$L$4, $L$3, $L$5, $L$6)="NM","n/a",(_xll.ciqfunctions.udf.CIQ($A44, "IQ_TOTAL_REV_5YR_ANN_CAGR", IQ_LTM, $B$1,$L$4, $L$3, $L$5, $L$6)/100))</f>
        <v>#NAME?</v>
      </c>
      <c r="BO44" s="466" t="e">
        <f ca="1">IF(_xll.ciqfunctions.udf.CIQ($A44,"IQ_EBITDA_2YR_ANN_CAGR", IQ_LTM,$B$1,$L$4, $L$3, $L$5, $L$6)="NM","n/a",(_xll.ciqfunctions.udf.CIQ($A44,"IQ_EBITDA_2YR_ANN_CAGR", IQ_LTM,$B$1,$L$4, $L$3, $L$5, $L$6)/100))</f>
        <v>#NAME?</v>
      </c>
      <c r="BP44" s="466" t="e">
        <f ca="1">IF(_xll.ciqfunctions.udf.CIQ($A44,"IQ_EBITDA_3YR_ANN_CAGR", IQ_LTM,$B$1,$L$4, $L$3, $L$5, $L$6)="NM","n/a",(_xll.ciqfunctions.udf.CIQ($A44,"IQ_EBITDA_3YR_ANN_CAGR", IQ_LTM,$B$1,$L$4, $L$3, $L$5, $L$6)/100))</f>
        <v>#NAME?</v>
      </c>
      <c r="BQ44" s="466" t="e">
        <f ca="1">IF(_xll.ciqfunctions.udf.CIQ($A44,"IQ_EBITDA_5YR_ANN_CAGR", IQ_LTM,$B$1,$L$4, $L$3, $L$5, $L$6)="NM","n/a",(_xll.ciqfunctions.udf.CIQ($A44,"IQ_EBITDA_5YR_ANN_CAGR", IQ_LTM,$B$1,$L$4, $L$3, $L$5, $L$6)/100))</f>
        <v>#NAME?</v>
      </c>
      <c r="BR44" s="470" t="str">
        <f ca="1">IFERROR((_xll.ciqfunctions.udf.CIQ($A44, "IQ_DA_CF", IQ_LTM, $B$1, $L$4, $L$3, $L$5, $L$6)/Q44),"NM")</f>
        <v>NM</v>
      </c>
      <c r="BS44" s="519" t="e">
        <f>'Capital IQ Sheet-GPC'!BS44</f>
        <v>#VALUE!</v>
      </c>
      <c r="BT44" s="519" t="e">
        <f>'Capital IQ Sheet-GPC'!BT44</f>
        <v>#VALUE!</v>
      </c>
      <c r="BU44" s="519" t="e">
        <f>'Capital IQ Sheet-GPC'!BU44</f>
        <v>#VALUE!</v>
      </c>
      <c r="BV44" s="519" t="e">
        <f>'Capital IQ Sheet-GPC'!BV44</f>
        <v>#VALUE!</v>
      </c>
      <c r="BW44" s="519" t="e">
        <f>'Capital IQ Sheet-GPC'!BW44</f>
        <v>#VALUE!</v>
      </c>
      <c r="BX44" s="519" t="e">
        <f>'Capital IQ Sheet-GPC'!BX44</f>
        <v>#VALUE!</v>
      </c>
      <c r="BY44" s="519" t="e">
        <f>'Capital IQ Sheet-GPC'!BY44</f>
        <v>#VALUE!</v>
      </c>
      <c r="BZ44" s="519" t="e">
        <f>'Capital IQ Sheet-GPC'!BZ44</f>
        <v>#VALUE!</v>
      </c>
    </row>
    <row r="45" spans="1:83">
      <c r="A45" s="467" t="e">
        <f ca="1">_xll.ciqfunctions.udf.CIQ($B45,"IQ_COMPANY_TICKER")</f>
        <v>#NAME?</v>
      </c>
      <c r="B45" s="517" t="str">
        <f>'Capital IQ Sheet-GPC'!B45</f>
        <v>(Invalid Identifier)</v>
      </c>
      <c r="C45" s="467" t="e">
        <f ca="1">_xll.ciqfunctions.udf.CIQ($A45,"IQ_COMPANY_NAME")</f>
        <v>#NAME?</v>
      </c>
      <c r="D45" s="467" t="e">
        <f ca="1">_xll.ciqfunctions.udf.CIQ($A45, "IQ_EXCHANGE")</f>
        <v>#NAME?</v>
      </c>
      <c r="E45" s="516" t="e">
        <f ca="1">_xll.ciqfunctions.udf.CIQ($A45, "IQ_PERIODDATE_IS", IQ_FY)</f>
        <v>#NAME?</v>
      </c>
      <c r="F45" s="516" t="e">
        <f ca="1">_xll.ciqfunctions.udf.CIQ(A45, "IQ_PERIODDATE_IS", IQ_LTM, $B$1,$L$4,$L$3)</f>
        <v>#NAME?</v>
      </c>
      <c r="G45" s="516" t="e">
        <f ca="1">_xll.ciqfunctions.udf.CIQ($A45, "IQ_FIRSTPRICINGDATE")</f>
        <v>#NAME?</v>
      </c>
      <c r="H45" s="518" t="e">
        <f ca="1">_xll.ciqfunctions.udf.CIQ($A45, "IQ_TEV", $L$2, $L$5, $L$6)</f>
        <v>#NAME?</v>
      </c>
      <c r="I45" s="518" t="e">
        <f ca="1">_xll.ciqfunctions.udf.CIQ(A45, "IQ_LASTSALEPRICE", $B$1,$L$5)</f>
        <v>#NAME?</v>
      </c>
      <c r="J45" s="516" t="e">
        <f ca="1">_xll.ciqfunctions.udf.CIQ($B45, "IQ_FIRSTPRICINGDATE")</f>
        <v>#NAME?</v>
      </c>
      <c r="K45" s="518" t="e">
        <f ca="1">_xll.ciqfunctions.udf.CIQ($A45, "IQ_TOTAL_DEBT", IQ_LTM, $L$2,$L$4, $L$3, $L$5, $L$6)</f>
        <v>#NAME?</v>
      </c>
      <c r="L45" s="518" t="e">
        <f ca="1">_xll.ciqfunctions.udf.CIQ($A45, "IQ_PREF_EQUITY", IQ_LTM, $L$2, $L$4, $L$3, $L$5, $L$6)</f>
        <v>#NAME?</v>
      </c>
      <c r="M45" s="518" t="e">
        <f ca="1">_xll.ciqfunctions.udf.CIQ($A45, "IQ_MINORITY_INTEREST_TOTAL", IQ_LTM, $L$2, $L$4, $L$3, $L$5, $L$6)</f>
        <v>#NAME?</v>
      </c>
      <c r="N45" s="518" t="e">
        <f ca="1">_xll.ciqfunctions.udf.CIQ($A45, "IQ_CASH_ST_INVEST", IQ_LTM, $L$2, $L$4, $L$3, $L$5, $L$6)</f>
        <v>#NAME?</v>
      </c>
      <c r="O45" s="518" t="e">
        <f ca="1">_xll.ciqfunctions.udf.CIQ($A45, "IQ_TOTAL_REV", IQ_LTM-8, $L$2, $L$4, $L$3, $L$5, $L$6)</f>
        <v>#NAME?</v>
      </c>
      <c r="P45" s="518" t="e">
        <f ca="1">_xll.ciqfunctions.udf.CIQ($A45, "IQ_TOTAL_REV", IQ_LTM - 4, $L$2, $L$4, $L$3, $L$5,$L$6)</f>
        <v>#NAME?</v>
      </c>
      <c r="Q45" s="518" t="e">
        <f ca="1">_xll.ciqfunctions.udf.CIQ($A45, "IQ_TOTAL_REV", IQ_LTM, $L$2, $L$4, $L$3, $L$5, $L$6)</f>
        <v>#NAME?</v>
      </c>
      <c r="R45" s="518" t="e">
        <f ca="1">_xll.ciqfunctions.udf.CIQ($A45, "IQ_TOTAL_REV", $B$2, $L$2, $L$4, $L$3, $L$5, $L$6)</f>
        <v>#NAME?</v>
      </c>
      <c r="S45" s="518" t="e">
        <f ca="1">IF(_xll.ciqfunctions.udf.CIQ($A45, "IQ_TOTAL_REV", $B$3, $L$2,$L$4, $L$3, $L$5, $L$6)=0,Q45,_xll.ciqfunctions.udf.CIQ($A45, "IQ_TOTAL_REV", $B$3, $L$2,$L$4, $L$3, $L$5, $L$6))</f>
        <v>#NAME?</v>
      </c>
      <c r="T45" s="518" t="e">
        <f ca="1">IF(_xll.ciqfunctions.udf.CIQ($A45, "IQ_REVENUE_EST",$B$4, $L$2, "CON", $L$3, $L$5, $L$6)=0,"n/a",_xll.ciqfunctions.udf.CIQ($A45, "IQ_REVENUE_EST",$B$4, $L$2, "CON", $L$3, $L$5, $L$6))</f>
        <v>#NAME?</v>
      </c>
      <c r="U45" s="518" t="e">
        <f ca="1">IF(_xll.ciqfunctions.udf.CIQ($A45, "IQ_REVENUE_EST",$B$5, $L$2, "CON", $L$3, $L$5, $L$6)=0,"n/a",_xll.ciqfunctions.udf.CIQ($A45, "IQ_REVENUE_EST",$B$5, $L$2, "CON", $L$3, $L$5, $L$6))</f>
        <v>#NAME?</v>
      </c>
      <c r="V45" s="518" t="e">
        <f ca="1">IF(_xll.ciqfunctions.udf.CIQ($A45, "IQ_REVENUE_EST",$B$6, $L$2, "CON", $L$3, $L$5, $L$6)=0,"n/a",_xll.ciqfunctions.udf.CIQ($A45, "IQ_REVENUE_EST",$B$6, $L$2, "CON", $L$3, $L$5, $L$6))</f>
        <v>#NAME?</v>
      </c>
      <c r="W45" s="518" t="e">
        <f ca="1">IF(_xll.ciqfunctions.udf.CIQ($A45, "IQ_REVENUE_EST", $B$7, $L$2, "CON", $L$3, $L$5, $L$6)=0,"n/a",_xll.ciqfunctions.udf.CIQ($A45, "IQ_REVENUE_EST",$B$7, $L$2, "CON", $L$3, $L$5, $L$6))</f>
        <v>#NAME?</v>
      </c>
      <c r="X45" s="518" t="e">
        <f ca="1">_xll.ciqfunctions.udf.CIQ($A45, "IQ_EBITDA", IQ_LTM-8, $L$2, $L$4, $L$3, $L$5, $L$6)</f>
        <v>#NAME?</v>
      </c>
      <c r="Y45" s="518" t="e">
        <f ca="1">_xll.ciqfunctions.udf.CIQ($A45, "IQ_EBITDA", IQ_LTM-4, $L$2,$L$4, $L$3, $L$5, $L$6)</f>
        <v>#NAME?</v>
      </c>
      <c r="Z45" s="518" t="e">
        <f ca="1">_xll.ciqfunctions.udf.CIQ($A45, "IQ_EBITDA", IQ_LTM, $L$2, $L$4, $L$3, $L$5, $L$6)</f>
        <v>#NAME?</v>
      </c>
      <c r="AA45" s="518" t="e">
        <f ca="1">_xll.ciqfunctions.udf.CIQ($A45, "IQ_EBITDA", $B$2, $L$2, $L$4, $L$3, $L$5, $L$6)</f>
        <v>#NAME?</v>
      </c>
      <c r="AB45" s="518" t="e">
        <f ca="1">IF(_xll.ciqfunctions.udf.CIQ($A45, "IQ_EBITDA", $B$3, $L$2,$L$4, $L$3, $L$5, $L$6)=0,Z45,_xll.ciqfunctions.udf.CIQ($A45, "IQ_EBITDA", $B$3, $L$2,$L$4, $L$3, $L$5, $L$6))</f>
        <v>#NAME?</v>
      </c>
      <c r="AC45" s="518" t="e">
        <f ca="1">IF(_xll.ciqfunctions.udf.CIQ($A45, "IQ_EBITDA_EST",$B$4, $L$2, "CON", $L$3, $L$5, $L$6)=0,"n/a",_xll.ciqfunctions.udf.CIQ($A45, "IQ_EBITDA_EST",$B$4, $L$2, "CON", $L$3, $L$5, $L$6))</f>
        <v>#NAME?</v>
      </c>
      <c r="AD45" s="467" t="e">
        <f ca="1">IF(_xll.ciqfunctions.udf.CIQ($A45, "IQ_EBITDA_EST",$B$5, $L$2, "CON", $L$3, $L$5, $L$6)=0,"n/a",_xll.ciqfunctions.udf.CIQ($A45, "IQ_EBITDA_EST",$B$5, $L$2, "CON", $L$3, $L$5, $L$6))</f>
        <v>#NAME?</v>
      </c>
      <c r="AE45" s="518" t="e">
        <f ca="1">IF(_xll.ciqfunctions.udf.CIQ($A45, "IQ_EBITDA_EST",$B$6, $L$2, "CON", $L$3, $L$5, $L$6)=0,"n/a",_xll.ciqfunctions.udf.CIQ($A45, "IQ_EBITDA_EST",$B$6, $L$2, "CON", $L$3, $L$5, $L$6))</f>
        <v>#NAME?</v>
      </c>
      <c r="AF45" s="519" t="str">
        <f ca="1">IF(ISERROR(_xll.ciqfunctions.udf.CIQ($A45, "IQ_GROSS_MARGIN", IQ_LTM, $L$2,$L$4, $L$3, $L$5, $L$6)/100), "n/a", _xll.ciqfunctions.udf.CIQ($A45,  "IQ_GROSS_MARGIN", IQ_LTM, $L$2, $L$4, $L$3, $L$5, $L$6)/100)</f>
        <v>n/a</v>
      </c>
      <c r="AG45" s="519" t="str">
        <f ca="1">IF(ISERROR(_xll.ciqfunctions.udf.CIQ($A45,"IQ_EBITDA_MARGIN", IQ_LTM, $L$2, $L$4, $L$3, $L$5, $L$6)/100), "n/a", _xll.ciqfunctions.udf.CIQ($A45, "IQ_EBITDA_MARGIN", IQ_LTM, $L$2, $L$4, $L$3, $L$5, $L$6)/100)</f>
        <v>n/a</v>
      </c>
      <c r="AH45" s="519" t="str">
        <f ca="1">IF(ISERROR(_xll.ciqfunctions.udf.CIQ($A45,"IQ_EBIT_MARGIN", IQ_LTM, $L$2, $L$4, $L$3, $L$5, $L$6)/100), "n/a", _xll.ciqfunctions.udf.CIQ($A45, "IQ_EBIT_MARGIN", IQ_LTM, $L$2, $L$4, $L$3, $L$5, $L$6)/100)</f>
        <v>n/a</v>
      </c>
      <c r="AI45" s="519" t="str">
        <f ca="1">IF(ISERROR(_xll.ciqfunctions.udf.CIQ($A45,"IQ_NI_MARGIN", IQ_LTM, $L$2, $L$4, $L$3, $L$5, $L$6)/100), "n/a", _xll.ciqfunctions.udf.CIQ($A45, "IQ_NI_MARGIN", IQ_LTM, $L$2, $L$4, $L$3, $L$5, $L$6)/100)</f>
        <v>n/a</v>
      </c>
      <c r="AJ45" s="518" t="str">
        <f ca="1">IF(ISERROR(_xll.ciqfunctions.udf.CIQ($A45, "IQ_NET_WORKING_CAP", IQ_LTM-8, $L$2, $L$4, $L$3, $L$5, $L$6)), "n/a", _xll.ciqfunctions.udf.CIQ($A45, "IQ_NET_WORKING_CAP", IQ_LTM-8, $L$2, $L$4, $L$3, $L$5, $L$6))</f>
        <v>n/a</v>
      </c>
      <c r="AK45" s="518" t="str">
        <f ca="1">IF(ISERROR(_xll.ciqfunctions.udf.CIQ($A45, "IQ_NET_WORKING_CAP", IQ_LTM-4, $L$2, $L$4, $L$3, $L$5, $L$6)), "n/a", _xll.ciqfunctions.udf.CIQ($A45, "IQ_NET_WORKING_CAP", IQ_LTM-4, $L$2, $L$4, $L$3, $L$5, $L$6))</f>
        <v>n/a</v>
      </c>
      <c r="AL45" s="518" t="str">
        <f ca="1">IF(ISERROR(_xll.ciqfunctions.udf.CIQ($A45, "IQ_NET_WORKING_CAP", IQ_LTM, $L$2,$L$4, $L$3, $L$5, $L$6)), "n/a", _xll.ciqfunctions.udf.CIQ($A45, "IQ_NET_WORKING_CAP", IQ_LTM, $L$2, $L$4, $L$3, $L$5, $L$6))</f>
        <v>n/a</v>
      </c>
      <c r="AM45" s="518" t="str">
        <f ca="1">IF(ISERROR(_xll.ciqfunctions.udf.CIQ($A45, "IQ_Capex", IQ_LTM-8, $L$2,$L$4, $L$3, $L$5, $L$6)), "n/a", _xll.ciqfunctions.udf.CIQ($A45, "IQ_Capex", IQ_LTM-8, $L$2, $L$4, $L$3, $L$5, $L$6))</f>
        <v>n/a</v>
      </c>
      <c r="AN45" s="518" t="str">
        <f ca="1">IF(ISERROR(_xll.ciqfunctions.udf.CIQ($A45, "IQ_Capex", IQ_LTM-4, $L$2,$L$4, $L$3, $L$5, $L$6)), "n/a", _xll.ciqfunctions.udf.CIQ($A45, "IQ_Capex", IQ_LTM-4, $L$2,$L$4, $L$3, $L$5, $L$6))</f>
        <v>n/a</v>
      </c>
      <c r="AO45" s="518" t="str">
        <f ca="1">IF(ISERROR(_xll.ciqfunctions.udf.CIQ($A45, "IQ_Capex", IQ_LTM, $L$2, $L$4, $L$3, $L$5, $L$6)), "n/a", _xll.ciqfunctions.udf.CIQ($A45, "IQ_Capex", IQ_LTM, $L$2, $L$4, $L$3, $L$5, $L$6))</f>
        <v>n/a</v>
      </c>
      <c r="AP45" s="520" t="e">
        <f ca="1">_xll.ciqfunctions.udf.CIQ(A45, "IQ_BUSINESS_DESCRIPTION")</f>
        <v>#NAME?</v>
      </c>
      <c r="AQ45" s="521" t="e">
        <f ca="1">_xll.ciqfunctions.udf.CIQ($A45, "IQ_BETA_1YR", $B$1)</f>
        <v>#NAME?</v>
      </c>
      <c r="AR45" s="521" t="e">
        <f ca="1">_xll.ciqfunctions.udf.CIQ($A45, "IQ_BETA_2YR", $B$1)</f>
        <v>#NAME?</v>
      </c>
      <c r="AS45" s="521" t="e">
        <f ca="1">_xll.ciqfunctions.udf.CIQ($A45, "IQ_BETA_5YR", $B$1)</f>
        <v>#NAME?</v>
      </c>
      <c r="AT45" s="467" t="e">
        <f ca="1">_xll.ciqfunctions.udf.CIQ($B45, "IQ_GP", IQ_LTM,$B$1, ,,"USD")</f>
        <v>#NAME?</v>
      </c>
      <c r="AU45" s="518" t="e">
        <f ca="1">_xll.ciqfunctions.udf.CIQ($A45, "IQ_EARNING_CO", IQ_LTM-8, $L$2, $L$4, $L$3, $L$5, $L$6)</f>
        <v>#NAME?</v>
      </c>
      <c r="AV45" s="518" t="e">
        <f ca="1">_xll.ciqfunctions.udf.CIQ($A45, "IQ_EARNING_CO", IQ_LTM-4, $L$2, $L$4, $L$3, $L$5, $L$6)</f>
        <v>#NAME?</v>
      </c>
      <c r="AW45" s="518" t="e">
        <f ca="1">_xll.ciqfunctions.udf.CIQ($A45, "IQ_EARNING_CO", IQ_LTM, $L$2, $L$4, $L$3, $L$5, $L$6)</f>
        <v>#NAME?</v>
      </c>
      <c r="AX45" s="518" t="e">
        <f ca="1">_xll.ciqfunctions.udf.CIQ($A45, "IQ_EARNING_CO", $B$2, $L$2, $L$4, $L$3, $L$5, $L$6)</f>
        <v>#NAME?</v>
      </c>
      <c r="AY45" s="518" t="e">
        <f ca="1">IF(_xll.ciqfunctions.udf.CIQ($A45, "IQ_EARNING_CO", $B$3, $L$2,$L$4, $L$3, $L$5, $L$6)=0,AW45,_xll.ciqfunctions.udf.CIQ($A45, "IQ_EARNING_CO", $B$3, $L$2,$L$4, $L$3, $L$5, $L$6))</f>
        <v>#NAME?</v>
      </c>
      <c r="AZ45" s="518" t="e">
        <f ca="1">_xll.ciqfunctions.udf.CIQ($A45, "IQ_TOTAL_EQUITY", IQ_LTM-8, $L$2, $L$4, $L$3, $L$5, $L$6)</f>
        <v>#NAME?</v>
      </c>
      <c r="BA45" s="518" t="e">
        <f ca="1">_xll.ciqfunctions.udf.CIQ($A45, "IQ_TOTAL_EQUITY", IQ_LTM-4, $L$2, $L$4, $L$3, $L$5, $L$6)</f>
        <v>#NAME?</v>
      </c>
      <c r="BB45" s="518" t="e">
        <f ca="1">_xll.ciqfunctions.udf.CIQ($A45, "IQ_TOTAL_EQUITY", IQ_LTM, $L$2, $L$4, $L$3, $L$5, $L$6)</f>
        <v>#NAME?</v>
      </c>
      <c r="BC45" s="518" t="e">
        <f ca="1">_xll.ciqfunctions.udf.CIQ($A45, "IQ_TOTAL_EQUITY", $B$2, $L$2, $L$4, $L$3, $L$5, $L$6)</f>
        <v>#NAME?</v>
      </c>
      <c r="BD45" s="518" t="e">
        <f ca="1">IF(_xll.ciqfunctions.udf.CIQ($A45, "IQ_TOTAL_EQUITY", $B$3, $L$2,$L$4, $L$3, $L$5, $L$6)=0,BB45,_xll.ciqfunctions.udf.CIQ($A45, "IQ_TOTAL_EQUITY", $B$3, $L$2,$L$4, $L$3, $L$5, $L$6))</f>
        <v>#NAME?</v>
      </c>
      <c r="BE45" s="518" t="e">
        <f ca="1">_xll.ciqfunctions.udf.CIQ(A45, "IQ_LASTSALEPRICE", $B$8)</f>
        <v>#NAME?</v>
      </c>
      <c r="BF45" s="518" t="e">
        <f ca="1">_xll.ciqfunctions.udf.CIQ($A45, "IQ_MARKETCAP", $B$8, $L$5, $L$6)</f>
        <v>#NAME?</v>
      </c>
      <c r="BG45" s="518" t="e">
        <f ca="1">_xll.ciqfunctions.udf.CIQ($A45, "IQ_TOTAL_DEBT", IQ_LTM, $B$8,$L$4, $L$3, $L$5, $L$6)</f>
        <v>#NAME?</v>
      </c>
      <c r="BH45" s="466" t="e">
        <f ca="1">_xll.ciqfunctions.udf.CIQ($A45,"IQ_PREF_EQUITY",IQ_LTM,$B$8,$L$4,$L$3,$L$5,$L$6)</f>
        <v>#NAME?</v>
      </c>
      <c r="BI45" s="466" t="e">
        <f ca="1">_xll.ciqfunctions.udf.CIQ($A45, "IQ_MINORITY_INTEREST_TOTAL", IQ_LTM,$B$8,$L$4,$L$3,$L$5,$L$6)</f>
        <v>#NAME?</v>
      </c>
      <c r="BJ45" s="518" t="e">
        <f ca="1">_xll.ciqfunctions.udf.CIQ($A45, "IQ_CASH_ST_INVEST", IQ_LTM, $B$8, $L$4, $L$3, $L$5, $L$6)</f>
        <v>#NAME?</v>
      </c>
      <c r="BK45" s="466" t="e">
        <f ca="1">_xll.ciqfunctions.udf.CIQ($A45, "IQ_EFFECT_TAX_RATE")</f>
        <v>#NAME?</v>
      </c>
      <c r="BL45" s="466" t="e">
        <f ca="1">IF(_xll.ciqfunctions.udf.CIQ($A45, "IQ_TOTAL_REV_2YR_ANN_CAGR", IQ_LTM, $B$1,$L$4, $L$3, $L$5, $L$6)="NM","n/a",(_xll.ciqfunctions.udf.CIQ($A45, "IQ_TOTAL_REV_2YR_ANN_CAGR", IQ_LTM, $B$1,$L$4, $L$3, $L$5, $L$6)/100))</f>
        <v>#NAME?</v>
      </c>
      <c r="BM45" s="466" t="e">
        <f ca="1">IF(_xll.ciqfunctions.udf.CIQ($A45, "IQ_TOTAL_REV_3YR_ANN_CAGR", IQ_LTM, $B$1,$L$4, $L$3, $L$5, $L$6)="NM","n/a",(_xll.ciqfunctions.udf.CIQ($A45, "IQ_TOTAL_REV_3YR_ANN_CAGR", IQ_LTM, $B$1,$L$4, $L$3, $L$5, $L$6)/100))</f>
        <v>#NAME?</v>
      </c>
      <c r="BN45" s="466" t="e">
        <f ca="1">IF(_xll.ciqfunctions.udf.CIQ($A45, "IQ_TOTAL_REV_5YR_ANN_CAGR", IQ_LTM, $B$1,$L$4, $L$3, $L$5, $L$6)="NM","n/a",(_xll.ciqfunctions.udf.CIQ($A45, "IQ_TOTAL_REV_5YR_ANN_CAGR", IQ_LTM, $B$1,$L$4, $L$3, $L$5, $L$6)/100))</f>
        <v>#NAME?</v>
      </c>
      <c r="BO45" s="466" t="e">
        <f ca="1">IF(_xll.ciqfunctions.udf.CIQ($A45,"IQ_EBITDA_2YR_ANN_CAGR", IQ_LTM,$B$1,$L$4, $L$3, $L$5, $L$6)="NM","n/a",(_xll.ciqfunctions.udf.CIQ($A45,"IQ_EBITDA_2YR_ANN_CAGR", IQ_LTM,$B$1,$L$4, $L$3, $L$5, $L$6)/100))</f>
        <v>#NAME?</v>
      </c>
      <c r="BP45" s="466" t="e">
        <f ca="1">IF(_xll.ciqfunctions.udf.CIQ($A45,"IQ_EBITDA_3YR_ANN_CAGR", IQ_LTM,$B$1,$L$4, $L$3, $L$5, $L$6)="NM","n/a",(_xll.ciqfunctions.udf.CIQ($A45,"IQ_EBITDA_3YR_ANN_CAGR", IQ_LTM,$B$1,$L$4, $L$3, $L$5, $L$6)/100))</f>
        <v>#NAME?</v>
      </c>
      <c r="BQ45" s="466" t="e">
        <f ca="1">IF(_xll.ciqfunctions.udf.CIQ($A45,"IQ_EBITDA_5YR_ANN_CAGR", IQ_LTM,$B$1,$L$4, $L$3, $L$5, $L$6)="NM","n/a",(_xll.ciqfunctions.udf.CIQ($A45,"IQ_EBITDA_5YR_ANN_CAGR", IQ_LTM,$B$1,$L$4, $L$3, $L$5, $L$6)/100))</f>
        <v>#NAME?</v>
      </c>
      <c r="BR45" s="470" t="str">
        <f ca="1">IFERROR((_xll.ciqfunctions.udf.CIQ($A45, "IQ_DA_CF", IQ_LTM, $B$1, $L$4, $L$3, $L$5, $L$6)/Q45),"NM")</f>
        <v>NM</v>
      </c>
      <c r="BS45" s="519" t="e">
        <f>'Capital IQ Sheet-GPC'!BS45</f>
        <v>#VALUE!</v>
      </c>
      <c r="BT45" s="519" t="e">
        <f>'Capital IQ Sheet-GPC'!BT45</f>
        <v>#VALUE!</v>
      </c>
      <c r="BU45" s="519" t="e">
        <f>'Capital IQ Sheet-GPC'!BU45</f>
        <v>#VALUE!</v>
      </c>
      <c r="BV45" s="519" t="e">
        <f>'Capital IQ Sheet-GPC'!BV45</f>
        <v>#VALUE!</v>
      </c>
      <c r="BW45" s="519" t="e">
        <f>'Capital IQ Sheet-GPC'!BW45</f>
        <v>#VALUE!</v>
      </c>
      <c r="BX45" s="519" t="e">
        <f>'Capital IQ Sheet-GPC'!BX45</f>
        <v>#VALUE!</v>
      </c>
      <c r="BY45" s="519" t="e">
        <f>'Capital IQ Sheet-GPC'!BY45</f>
        <v>#VALUE!</v>
      </c>
      <c r="BZ45" s="519" t="e">
        <f>'Capital IQ Sheet-GPC'!BZ45</f>
        <v>#VALUE!</v>
      </c>
    </row>
    <row r="46" spans="1:83">
      <c r="A46" s="467" t="e">
        <f ca="1">_xll.ciqfunctions.udf.CIQ($B46,"IQ_COMPANY_TICKER")</f>
        <v>#NAME?</v>
      </c>
      <c r="B46" s="517" t="str">
        <f>'Capital IQ Sheet-GPC'!B46</f>
        <v>(Invalid Identifier)</v>
      </c>
      <c r="C46" s="467" t="e">
        <f ca="1">_xll.ciqfunctions.udf.CIQ($A46,"IQ_COMPANY_NAME")</f>
        <v>#NAME?</v>
      </c>
      <c r="D46" s="467" t="e">
        <f ca="1">_xll.ciqfunctions.udf.CIQ($A46, "IQ_EXCHANGE")</f>
        <v>#NAME?</v>
      </c>
      <c r="E46" s="516" t="e">
        <f ca="1">_xll.ciqfunctions.udf.CIQ($A46, "IQ_PERIODDATE_IS", IQ_FY)</f>
        <v>#NAME?</v>
      </c>
      <c r="F46" s="516" t="e">
        <f ca="1">_xll.ciqfunctions.udf.CIQ(A46, "IQ_PERIODDATE_IS", IQ_LTM, $B$1,$L$4,$L$3)</f>
        <v>#NAME?</v>
      </c>
      <c r="G46" s="516" t="e">
        <f ca="1">_xll.ciqfunctions.udf.CIQ($A46, "IQ_FIRSTPRICINGDATE")</f>
        <v>#NAME?</v>
      </c>
      <c r="H46" s="518" t="e">
        <f ca="1">_xll.ciqfunctions.udf.CIQ($A46, "IQ_TEV", $L$2, $L$5, $L$6)</f>
        <v>#NAME?</v>
      </c>
      <c r="I46" s="518" t="e">
        <f ca="1">_xll.ciqfunctions.udf.CIQ(A46, "IQ_LASTSALEPRICE", $B$1,$L$5)</f>
        <v>#NAME?</v>
      </c>
      <c r="J46" s="516" t="e">
        <f ca="1">_xll.ciqfunctions.udf.CIQ($B46, "IQ_FIRSTPRICINGDATE")</f>
        <v>#NAME?</v>
      </c>
      <c r="K46" s="518" t="e">
        <f ca="1">_xll.ciqfunctions.udf.CIQ($A46, "IQ_TOTAL_DEBT", IQ_LTM, $L$2,$L$4, $L$3, $L$5, $L$6)</f>
        <v>#NAME?</v>
      </c>
      <c r="L46" s="518" t="e">
        <f ca="1">_xll.ciqfunctions.udf.CIQ($A46, "IQ_PREF_EQUITY", IQ_LTM, $L$2, $L$4, $L$3, $L$5, $L$6)</f>
        <v>#NAME?</v>
      </c>
      <c r="M46" s="518" t="e">
        <f ca="1">_xll.ciqfunctions.udf.CIQ($A46, "IQ_MINORITY_INTEREST_TOTAL", IQ_LTM, $L$2, $L$4, $L$3, $L$5, $L$6)</f>
        <v>#NAME?</v>
      </c>
      <c r="N46" s="518" t="e">
        <f ca="1">_xll.ciqfunctions.udf.CIQ($A46, "IQ_CASH_ST_INVEST", IQ_LTM, $L$2, $L$4, $L$3, $L$5, $L$6)</f>
        <v>#NAME?</v>
      </c>
      <c r="O46" s="518" t="e">
        <f ca="1">_xll.ciqfunctions.udf.CIQ($A46, "IQ_TOTAL_REV", IQ_LTM-8, $L$2, $L$4, $L$3, $L$5, $L$6)</f>
        <v>#NAME?</v>
      </c>
      <c r="P46" s="518" t="e">
        <f ca="1">_xll.ciqfunctions.udf.CIQ($A46, "IQ_TOTAL_REV", IQ_LTM - 4, $L$2, $L$4, $L$3, $L$5,$L$6)</f>
        <v>#NAME?</v>
      </c>
      <c r="Q46" s="518" t="e">
        <f ca="1">_xll.ciqfunctions.udf.CIQ($A46, "IQ_TOTAL_REV", IQ_LTM, $L$2, $L$4, $L$3, $L$5, $L$6)</f>
        <v>#NAME?</v>
      </c>
      <c r="R46" s="518" t="e">
        <f ca="1">_xll.ciqfunctions.udf.CIQ($A46, "IQ_TOTAL_REV", $B$2, $L$2, $L$4, $L$3, $L$5, $L$6)</f>
        <v>#NAME?</v>
      </c>
      <c r="S46" s="518" t="e">
        <f ca="1">IF(_xll.ciqfunctions.udf.CIQ($A46, "IQ_TOTAL_REV", $B$3, $L$2,$L$4, $L$3, $L$5, $L$6)=0,Q46,_xll.ciqfunctions.udf.CIQ($A46, "IQ_TOTAL_REV", $B$3, $L$2,$L$4, $L$3, $L$5, $L$6))</f>
        <v>#NAME?</v>
      </c>
      <c r="T46" s="518" t="e">
        <f ca="1">IF(_xll.ciqfunctions.udf.CIQ($A46, "IQ_REVENUE_EST",$B$4, $L$2, "CON", $L$3, $L$5, $L$6)=0,"n/a",_xll.ciqfunctions.udf.CIQ($A46, "IQ_REVENUE_EST",$B$4, $L$2, "CON", $L$3, $L$5, $L$6))</f>
        <v>#NAME?</v>
      </c>
      <c r="U46" s="518" t="e">
        <f ca="1">IF(_xll.ciqfunctions.udf.CIQ($A46, "IQ_REVENUE_EST",$B$5, $L$2, "CON", $L$3, $L$5, $L$6)=0,"n/a",_xll.ciqfunctions.udf.CIQ($A46, "IQ_REVENUE_EST",$B$5, $L$2, "CON", $L$3, $L$5, $L$6))</f>
        <v>#NAME?</v>
      </c>
      <c r="V46" s="518" t="e">
        <f ca="1">IF(_xll.ciqfunctions.udf.CIQ($A46, "IQ_REVENUE_EST",$B$6, $L$2, "CON", $L$3, $L$5, $L$6)=0,"n/a",_xll.ciqfunctions.udf.CIQ($A46, "IQ_REVENUE_EST",$B$6, $L$2, "CON", $L$3, $L$5, $L$6))</f>
        <v>#NAME?</v>
      </c>
      <c r="W46" s="518" t="e">
        <f ca="1">IF(_xll.ciqfunctions.udf.CIQ($A46, "IQ_REVENUE_EST", $B$7, $L$2, "CON", $L$3, $L$5, $L$6)=0,"n/a",_xll.ciqfunctions.udf.CIQ($A46, "IQ_REVENUE_EST",$B$7, $L$2, "CON", $L$3, $L$5, $L$6))</f>
        <v>#NAME?</v>
      </c>
      <c r="X46" s="518" t="e">
        <f ca="1">_xll.ciqfunctions.udf.CIQ($A46, "IQ_EBITDA", IQ_LTM-8, $L$2, $L$4, $L$3, $L$5, $L$6)</f>
        <v>#NAME?</v>
      </c>
      <c r="Y46" s="518" t="e">
        <f ca="1">_xll.ciqfunctions.udf.CIQ($A46, "IQ_EBITDA", IQ_LTM-4, $L$2,$L$4, $L$3, $L$5, $L$6)</f>
        <v>#NAME?</v>
      </c>
      <c r="Z46" s="518" t="e">
        <f ca="1">_xll.ciqfunctions.udf.CIQ($A46, "IQ_EBITDA", IQ_LTM, $L$2, $L$4, $L$3, $L$5, $L$6)</f>
        <v>#NAME?</v>
      </c>
      <c r="AA46" s="518" t="e">
        <f ca="1">_xll.ciqfunctions.udf.CIQ($A46, "IQ_EBITDA", $B$2, $L$2, $L$4, $L$3, $L$5, $L$6)</f>
        <v>#NAME?</v>
      </c>
      <c r="AB46" s="518" t="e">
        <f ca="1">IF(_xll.ciqfunctions.udf.CIQ($A46, "IQ_EBITDA", $B$3, $L$2,$L$4, $L$3, $L$5, $L$6)=0,Z46,_xll.ciqfunctions.udf.CIQ($A46, "IQ_EBITDA", $B$3, $L$2,$L$4, $L$3, $L$5, $L$6))</f>
        <v>#NAME?</v>
      </c>
      <c r="AC46" s="518" t="e">
        <f ca="1">IF(_xll.ciqfunctions.udf.CIQ($A46, "IQ_EBITDA_EST",$B$4, $L$2, "CON", $L$3, $L$5, $L$6)=0,"n/a",_xll.ciqfunctions.udf.CIQ($A46, "IQ_EBITDA_EST",$B$4, $L$2, "CON", $L$3, $L$5, $L$6))</f>
        <v>#NAME?</v>
      </c>
      <c r="AD46" s="467" t="e">
        <f ca="1">IF(_xll.ciqfunctions.udf.CIQ($A46, "IQ_EBITDA_EST",$B$5, $L$2, "CON", $L$3, $L$5, $L$6)=0,"n/a",_xll.ciqfunctions.udf.CIQ($A46, "IQ_EBITDA_EST",$B$5, $L$2, "CON", $L$3, $L$5, $L$6))</f>
        <v>#NAME?</v>
      </c>
      <c r="AE46" s="518" t="e">
        <f ca="1">IF(_xll.ciqfunctions.udf.CIQ($A46, "IQ_EBITDA_EST",$B$6, $L$2, "CON", $L$3, $L$5, $L$6)=0,"n/a",_xll.ciqfunctions.udf.CIQ($A46, "IQ_EBITDA_EST",$B$6, $L$2, "CON", $L$3, $L$5, $L$6))</f>
        <v>#NAME?</v>
      </c>
      <c r="AF46" s="519" t="str">
        <f ca="1">IF(ISERROR(_xll.ciqfunctions.udf.CIQ($A46, "IQ_GROSS_MARGIN", IQ_LTM, $L$2,$L$4, $L$3, $L$5, $L$6)/100), "n/a", _xll.ciqfunctions.udf.CIQ($A46,  "IQ_GROSS_MARGIN", IQ_LTM, $L$2, $L$4, $L$3, $L$5, $L$6)/100)</f>
        <v>n/a</v>
      </c>
      <c r="AG46" s="519" t="str">
        <f ca="1">IF(ISERROR(_xll.ciqfunctions.udf.CIQ($A46,"IQ_EBITDA_MARGIN", IQ_LTM, $L$2, $L$4, $L$3, $L$5, $L$6)/100), "n/a", _xll.ciqfunctions.udf.CIQ($A46, "IQ_EBITDA_MARGIN", IQ_LTM, $L$2, $L$4, $L$3, $L$5, $L$6)/100)</f>
        <v>n/a</v>
      </c>
      <c r="AH46" s="519" t="str">
        <f ca="1">IF(ISERROR(_xll.ciqfunctions.udf.CIQ($A46,"IQ_EBIT_MARGIN", IQ_LTM, $L$2, $L$4, $L$3, $L$5, $L$6)/100), "n/a", _xll.ciqfunctions.udf.CIQ($A46, "IQ_EBIT_MARGIN", IQ_LTM, $L$2, $L$4, $L$3, $L$5, $L$6)/100)</f>
        <v>n/a</v>
      </c>
      <c r="AI46" s="519" t="str">
        <f ca="1">IF(ISERROR(_xll.ciqfunctions.udf.CIQ($A46,"IQ_NI_MARGIN", IQ_LTM, $L$2, $L$4, $L$3, $L$5, $L$6)/100), "n/a", _xll.ciqfunctions.udf.CIQ($A46, "IQ_NI_MARGIN", IQ_LTM, $L$2, $L$4, $L$3, $L$5, $L$6)/100)</f>
        <v>n/a</v>
      </c>
      <c r="AJ46" s="518" t="str">
        <f ca="1">IF(ISERROR(_xll.ciqfunctions.udf.CIQ($A46, "IQ_NET_WORKING_CAP", IQ_LTM-8, $L$2, $L$4, $L$3, $L$5, $L$6)), "n/a", _xll.ciqfunctions.udf.CIQ($A46, "IQ_NET_WORKING_CAP", IQ_LTM-8, $L$2, $L$4, $L$3, $L$5, $L$6))</f>
        <v>n/a</v>
      </c>
      <c r="AK46" s="518" t="str">
        <f ca="1">IF(ISERROR(_xll.ciqfunctions.udf.CIQ($A46, "IQ_NET_WORKING_CAP", IQ_LTM-4, $L$2, $L$4, $L$3, $L$5, $L$6)), "n/a", _xll.ciqfunctions.udf.CIQ($A46, "IQ_NET_WORKING_CAP", IQ_LTM-4, $L$2, $L$4, $L$3, $L$5, $L$6))</f>
        <v>n/a</v>
      </c>
      <c r="AL46" s="518" t="str">
        <f ca="1">IF(ISERROR(_xll.ciqfunctions.udf.CIQ($A46, "IQ_NET_WORKING_CAP", IQ_LTM, $L$2,$L$4, $L$3, $L$5, $L$6)), "n/a", _xll.ciqfunctions.udf.CIQ($A46, "IQ_NET_WORKING_CAP", IQ_LTM, $L$2, $L$4, $L$3, $L$5, $L$6))</f>
        <v>n/a</v>
      </c>
      <c r="AM46" s="518" t="str">
        <f ca="1">IF(ISERROR(_xll.ciqfunctions.udf.CIQ($A46, "IQ_Capex", IQ_LTM-8, $L$2,$L$4, $L$3, $L$5, $L$6)), "n/a", _xll.ciqfunctions.udf.CIQ($A46, "IQ_Capex", IQ_LTM-8, $L$2, $L$4, $L$3, $L$5, $L$6))</f>
        <v>n/a</v>
      </c>
      <c r="AN46" s="518" t="str">
        <f ca="1">IF(ISERROR(_xll.ciqfunctions.udf.CIQ($A46, "IQ_Capex", IQ_LTM-4, $L$2,$L$4, $L$3, $L$5, $L$6)), "n/a", _xll.ciqfunctions.udf.CIQ($A46, "IQ_Capex", IQ_LTM-4, $L$2,$L$4, $L$3, $L$5, $L$6))</f>
        <v>n/a</v>
      </c>
      <c r="AO46" s="518" t="str">
        <f ca="1">IF(ISERROR(_xll.ciqfunctions.udf.CIQ($A46, "IQ_Capex", IQ_LTM, $L$2, $L$4, $L$3, $L$5, $L$6)), "n/a", _xll.ciqfunctions.udf.CIQ($A46, "IQ_Capex", IQ_LTM, $L$2, $L$4, $L$3, $L$5, $L$6))</f>
        <v>n/a</v>
      </c>
      <c r="AP46" s="520" t="e">
        <f ca="1">_xll.ciqfunctions.udf.CIQ(A46, "IQ_BUSINESS_DESCRIPTION")</f>
        <v>#NAME?</v>
      </c>
      <c r="AQ46" s="521" t="e">
        <f ca="1">_xll.ciqfunctions.udf.CIQ($A46, "IQ_BETA_1YR", $B$1)</f>
        <v>#NAME?</v>
      </c>
      <c r="AR46" s="521" t="e">
        <f ca="1">_xll.ciqfunctions.udf.CIQ($A46, "IQ_BETA_2YR", $B$1)</f>
        <v>#NAME?</v>
      </c>
      <c r="AS46" s="521" t="e">
        <f ca="1">_xll.ciqfunctions.udf.CIQ($A46, "IQ_BETA_5YR", $B$1)</f>
        <v>#NAME?</v>
      </c>
      <c r="AT46" s="467" t="e">
        <f ca="1">_xll.ciqfunctions.udf.CIQ($B46, "IQ_GP", IQ_LTM,$B$1, ,,"USD")</f>
        <v>#NAME?</v>
      </c>
      <c r="AU46" s="518" t="e">
        <f ca="1">_xll.ciqfunctions.udf.CIQ($A46, "IQ_EARNING_CO", IQ_LTM-8, $L$2, $L$4, $L$3, $L$5, $L$6)</f>
        <v>#NAME?</v>
      </c>
      <c r="AV46" s="518" t="e">
        <f ca="1">_xll.ciqfunctions.udf.CIQ($A46, "IQ_EARNING_CO", IQ_LTM-4, $L$2, $L$4, $L$3, $L$5, $L$6)</f>
        <v>#NAME?</v>
      </c>
      <c r="AW46" s="518" t="e">
        <f ca="1">_xll.ciqfunctions.udf.CIQ($A46, "IQ_EARNING_CO", IQ_LTM, $L$2, $L$4, $L$3, $L$5, $L$6)</f>
        <v>#NAME?</v>
      </c>
      <c r="AX46" s="518" t="e">
        <f ca="1">_xll.ciqfunctions.udf.CIQ($A46, "IQ_EARNING_CO", $B$2, $L$2, $L$4, $L$3, $L$5, $L$6)</f>
        <v>#NAME?</v>
      </c>
      <c r="AY46" s="518" t="e">
        <f ca="1">IF(_xll.ciqfunctions.udf.CIQ($A46, "IQ_EARNING_CO", $B$3, $L$2,$L$4, $L$3, $L$5, $L$6)=0,AW46,_xll.ciqfunctions.udf.CIQ($A46, "IQ_EARNING_CO", $B$3, $L$2,$L$4, $L$3, $L$5, $L$6))</f>
        <v>#NAME?</v>
      </c>
      <c r="AZ46" s="518" t="e">
        <f ca="1">_xll.ciqfunctions.udf.CIQ($A46, "IQ_TOTAL_EQUITY", IQ_LTM-8, $L$2, $L$4, $L$3, $L$5, $L$6)</f>
        <v>#NAME?</v>
      </c>
      <c r="BA46" s="518" t="e">
        <f ca="1">_xll.ciqfunctions.udf.CIQ($A46, "IQ_TOTAL_EQUITY", IQ_LTM-4, $L$2, $L$4, $L$3, $L$5, $L$6)</f>
        <v>#NAME?</v>
      </c>
      <c r="BB46" s="518" t="e">
        <f ca="1">_xll.ciqfunctions.udf.CIQ($A46, "IQ_TOTAL_EQUITY", IQ_LTM, $L$2, $L$4, $L$3, $L$5, $L$6)</f>
        <v>#NAME?</v>
      </c>
      <c r="BC46" s="518" t="e">
        <f ca="1">_xll.ciqfunctions.udf.CIQ($A46, "IQ_TOTAL_EQUITY", $B$2, $L$2, $L$4, $L$3, $L$5, $L$6)</f>
        <v>#NAME?</v>
      </c>
      <c r="BD46" s="518" t="e">
        <f ca="1">IF(_xll.ciqfunctions.udf.CIQ($A46, "IQ_TOTAL_EQUITY", $B$3, $L$2,$L$4, $L$3, $L$5, $L$6)=0,BB46,_xll.ciqfunctions.udf.CIQ($A46, "IQ_TOTAL_EQUITY", $B$3, $L$2,$L$4, $L$3, $L$5, $L$6))</f>
        <v>#NAME?</v>
      </c>
      <c r="BE46" s="518" t="e">
        <f ca="1">_xll.ciqfunctions.udf.CIQ(A46, "IQ_LASTSALEPRICE", $B$8)</f>
        <v>#NAME?</v>
      </c>
      <c r="BF46" s="518" t="e">
        <f ca="1">_xll.ciqfunctions.udf.CIQ($A46, "IQ_MARKETCAP", $B$8, $L$5, $L$6)</f>
        <v>#NAME?</v>
      </c>
      <c r="BG46" s="518" t="e">
        <f ca="1">_xll.ciqfunctions.udf.CIQ($A46, "IQ_TOTAL_DEBT", IQ_LTM, $B$8,$L$4, $L$3, $L$5, $L$6)</f>
        <v>#NAME?</v>
      </c>
      <c r="BH46" s="466" t="e">
        <f ca="1">_xll.ciqfunctions.udf.CIQ($A46,"IQ_PREF_EQUITY",IQ_LTM,$B$8,$L$4,$L$3,$L$5,$L$6)</f>
        <v>#NAME?</v>
      </c>
      <c r="BI46" s="466" t="e">
        <f ca="1">_xll.ciqfunctions.udf.CIQ($A46, "IQ_MINORITY_INTEREST_TOTAL", IQ_LTM,$B$8,$L$4,$L$3,$L$5,$L$6)</f>
        <v>#NAME?</v>
      </c>
      <c r="BJ46" s="518" t="e">
        <f ca="1">_xll.ciqfunctions.udf.CIQ($A46, "IQ_CASH_ST_INVEST", IQ_LTM, $B$8, $L$4, $L$3, $L$5, $L$6)</f>
        <v>#NAME?</v>
      </c>
      <c r="BK46" s="466" t="e">
        <f ca="1">_xll.ciqfunctions.udf.CIQ($A46, "IQ_EFFECT_TAX_RATE")</f>
        <v>#NAME?</v>
      </c>
      <c r="BL46" s="466" t="e">
        <f ca="1">IF(_xll.ciqfunctions.udf.CIQ($A46, "IQ_TOTAL_REV_2YR_ANN_CAGR", IQ_LTM, $B$1,$L$4, $L$3, $L$5, $L$6)="NM","n/a",(_xll.ciqfunctions.udf.CIQ($A46, "IQ_TOTAL_REV_2YR_ANN_CAGR", IQ_LTM, $B$1,$L$4, $L$3, $L$5, $L$6)/100))</f>
        <v>#NAME?</v>
      </c>
      <c r="BM46" s="466" t="e">
        <f ca="1">IF(_xll.ciqfunctions.udf.CIQ($A46, "IQ_TOTAL_REV_3YR_ANN_CAGR", IQ_LTM, $B$1,$L$4, $L$3, $L$5, $L$6)="NM","n/a",(_xll.ciqfunctions.udf.CIQ($A46, "IQ_TOTAL_REV_3YR_ANN_CAGR", IQ_LTM, $B$1,$L$4, $L$3, $L$5, $L$6)/100))</f>
        <v>#NAME?</v>
      </c>
      <c r="BN46" s="466" t="e">
        <f ca="1">IF(_xll.ciqfunctions.udf.CIQ($A46, "IQ_TOTAL_REV_5YR_ANN_CAGR", IQ_LTM, $B$1,$L$4, $L$3, $L$5, $L$6)="NM","n/a",(_xll.ciqfunctions.udf.CIQ($A46, "IQ_TOTAL_REV_5YR_ANN_CAGR", IQ_LTM, $B$1,$L$4, $L$3, $L$5, $L$6)/100))</f>
        <v>#NAME?</v>
      </c>
      <c r="BO46" s="466" t="e">
        <f ca="1">IF(_xll.ciqfunctions.udf.CIQ($A46,"IQ_EBITDA_2YR_ANN_CAGR", IQ_LTM,$B$1,$L$4, $L$3, $L$5, $L$6)="NM","n/a",(_xll.ciqfunctions.udf.CIQ($A46,"IQ_EBITDA_2YR_ANN_CAGR", IQ_LTM,$B$1,$L$4, $L$3, $L$5, $L$6)/100))</f>
        <v>#NAME?</v>
      </c>
      <c r="BP46" s="466" t="e">
        <f ca="1">IF(_xll.ciqfunctions.udf.CIQ($A46,"IQ_EBITDA_3YR_ANN_CAGR", IQ_LTM,$B$1,$L$4, $L$3, $L$5, $L$6)="NM","n/a",(_xll.ciqfunctions.udf.CIQ($A46,"IQ_EBITDA_3YR_ANN_CAGR", IQ_LTM,$B$1,$L$4, $L$3, $L$5, $L$6)/100))</f>
        <v>#NAME?</v>
      </c>
      <c r="BQ46" s="466" t="e">
        <f ca="1">IF(_xll.ciqfunctions.udf.CIQ($A46,"IQ_EBITDA_5YR_ANN_CAGR", IQ_LTM,$B$1,$L$4, $L$3, $L$5, $L$6)="NM","n/a",(_xll.ciqfunctions.udf.CIQ($A46,"IQ_EBITDA_5YR_ANN_CAGR", IQ_LTM,$B$1,$L$4, $L$3, $L$5, $L$6)/100))</f>
        <v>#NAME?</v>
      </c>
      <c r="BR46" s="470" t="str">
        <f ca="1">IFERROR((_xll.ciqfunctions.udf.CIQ($A46, "IQ_DA_CF", IQ_LTM, $B$1, $L$4, $L$3, $L$5, $L$6)/Q46),"NM")</f>
        <v>NM</v>
      </c>
      <c r="BS46" s="519" t="e">
        <f>'Capital IQ Sheet-GPC'!BS46</f>
        <v>#VALUE!</v>
      </c>
      <c r="BT46" s="519" t="e">
        <f>'Capital IQ Sheet-GPC'!BT46</f>
        <v>#VALUE!</v>
      </c>
      <c r="BU46" s="519" t="e">
        <f>'Capital IQ Sheet-GPC'!BU46</f>
        <v>#VALUE!</v>
      </c>
      <c r="BV46" s="519" t="e">
        <f>'Capital IQ Sheet-GPC'!BV46</f>
        <v>#VALUE!</v>
      </c>
      <c r="BW46" s="519" t="e">
        <f>'Capital IQ Sheet-GPC'!BW46</f>
        <v>#VALUE!</v>
      </c>
      <c r="BX46" s="519" t="e">
        <f>'Capital IQ Sheet-GPC'!BX46</f>
        <v>#VALUE!</v>
      </c>
      <c r="BY46" s="519" t="e">
        <f>'Capital IQ Sheet-GPC'!BY46</f>
        <v>#VALUE!</v>
      </c>
      <c r="BZ46" s="519" t="e">
        <f>'Capital IQ Sheet-GPC'!BZ46</f>
        <v>#VALUE!</v>
      </c>
    </row>
    <row r="47" spans="1:83">
      <c r="A47" s="467" t="e">
        <f ca="1">_xll.ciqfunctions.udf.CIQ($B47,"IQ_COMPANY_TICKER")</f>
        <v>#NAME?</v>
      </c>
      <c r="B47" s="517" t="str">
        <f>'Capital IQ Sheet-GPC'!B47</f>
        <v>(Invalid Identifier)</v>
      </c>
      <c r="C47" s="467" t="e">
        <f ca="1">_xll.ciqfunctions.udf.CIQ($A47,"IQ_COMPANY_NAME")</f>
        <v>#NAME?</v>
      </c>
      <c r="D47" s="467" t="e">
        <f ca="1">_xll.ciqfunctions.udf.CIQ($A47, "IQ_EXCHANGE")</f>
        <v>#NAME?</v>
      </c>
      <c r="E47" s="516" t="e">
        <f ca="1">_xll.ciqfunctions.udf.CIQ($A47, "IQ_PERIODDATE_IS", IQ_FY)</f>
        <v>#NAME?</v>
      </c>
      <c r="F47" s="516" t="e">
        <f ca="1">_xll.ciqfunctions.udf.CIQ(A47, "IQ_PERIODDATE_IS", IQ_LTM, $B$1,$L$4,$L$3)</f>
        <v>#NAME?</v>
      </c>
      <c r="G47" s="516" t="e">
        <f ca="1">_xll.ciqfunctions.udf.CIQ($A47, "IQ_FIRSTPRICINGDATE")</f>
        <v>#NAME?</v>
      </c>
      <c r="H47" s="518" t="e">
        <f ca="1">_xll.ciqfunctions.udf.CIQ($A47, "IQ_TEV", $L$2, $L$5, $L$6)</f>
        <v>#NAME?</v>
      </c>
      <c r="I47" s="518" t="e">
        <f ca="1">_xll.ciqfunctions.udf.CIQ(A47, "IQ_LASTSALEPRICE", $B$1,$L$5)</f>
        <v>#NAME?</v>
      </c>
      <c r="J47" s="516" t="e">
        <f ca="1">_xll.ciqfunctions.udf.CIQ($B47, "IQ_FIRSTPRICINGDATE")</f>
        <v>#NAME?</v>
      </c>
      <c r="K47" s="518" t="e">
        <f ca="1">_xll.ciqfunctions.udf.CIQ($A47, "IQ_TOTAL_DEBT", IQ_LTM, $L$2,$L$4, $L$3, $L$5, $L$6)</f>
        <v>#NAME?</v>
      </c>
      <c r="L47" s="518" t="e">
        <f ca="1">_xll.ciqfunctions.udf.CIQ($A47, "IQ_PREF_EQUITY", IQ_LTM, $L$2, $L$4, $L$3, $L$5, $L$6)</f>
        <v>#NAME?</v>
      </c>
      <c r="M47" s="518" t="e">
        <f ca="1">_xll.ciqfunctions.udf.CIQ($A47, "IQ_MINORITY_INTEREST_TOTAL", IQ_LTM, $L$2, $L$4, $L$3, $L$5, $L$6)</f>
        <v>#NAME?</v>
      </c>
      <c r="N47" s="518" t="e">
        <f ca="1">_xll.ciqfunctions.udf.CIQ($A47, "IQ_CASH_ST_INVEST", IQ_LTM, $L$2, $L$4, $L$3, $L$5, $L$6)</f>
        <v>#NAME?</v>
      </c>
      <c r="O47" s="518" t="e">
        <f ca="1">_xll.ciqfunctions.udf.CIQ($A47, "IQ_TOTAL_REV", IQ_LTM-8, $L$2, $L$4, $L$3, $L$5, $L$6)</f>
        <v>#NAME?</v>
      </c>
      <c r="P47" s="518" t="e">
        <f ca="1">_xll.ciqfunctions.udf.CIQ($A47, "IQ_TOTAL_REV", IQ_LTM - 4, $L$2, $L$4, $L$3, $L$5,$L$6)</f>
        <v>#NAME?</v>
      </c>
      <c r="Q47" s="518" t="e">
        <f ca="1">_xll.ciqfunctions.udf.CIQ($A47, "IQ_TOTAL_REV", IQ_LTM, $L$2, $L$4, $L$3, $L$5, $L$6)</f>
        <v>#NAME?</v>
      </c>
      <c r="R47" s="518" t="e">
        <f ca="1">_xll.ciqfunctions.udf.CIQ($A47, "IQ_TOTAL_REV", $B$2, $L$2, $L$4, $L$3, $L$5, $L$6)</f>
        <v>#NAME?</v>
      </c>
      <c r="S47" s="518" t="e">
        <f ca="1">IF(_xll.ciqfunctions.udf.CIQ($A47, "IQ_TOTAL_REV", $B$3, $L$2,$L$4, $L$3, $L$5, $L$6)=0,Q47,_xll.ciqfunctions.udf.CIQ($A47, "IQ_TOTAL_REV", $B$3, $L$2,$L$4, $L$3, $L$5, $L$6))</f>
        <v>#NAME?</v>
      </c>
      <c r="T47" s="518" t="e">
        <f ca="1">IF(_xll.ciqfunctions.udf.CIQ($A47, "IQ_REVENUE_EST",$B$4, $L$2, "CON", $L$3, $L$5, $L$6)=0,"n/a",_xll.ciqfunctions.udf.CIQ($A47, "IQ_REVENUE_EST",$B$4, $L$2, "CON", $L$3, $L$5, $L$6))</f>
        <v>#NAME?</v>
      </c>
      <c r="U47" s="518" t="e">
        <f ca="1">IF(_xll.ciqfunctions.udf.CIQ($A47, "IQ_REVENUE_EST",$B$5, $L$2, "CON", $L$3, $L$5, $L$6)=0,"n/a",_xll.ciqfunctions.udf.CIQ($A47, "IQ_REVENUE_EST",$B$5, $L$2, "CON", $L$3, $L$5, $L$6))</f>
        <v>#NAME?</v>
      </c>
      <c r="V47" s="518" t="e">
        <f ca="1">IF(_xll.ciqfunctions.udf.CIQ($A47, "IQ_REVENUE_EST",$B$6, $L$2, "CON", $L$3, $L$5, $L$6)=0,"n/a",_xll.ciqfunctions.udf.CIQ($A47, "IQ_REVENUE_EST",$B$6, $L$2, "CON", $L$3, $L$5, $L$6))</f>
        <v>#NAME?</v>
      </c>
      <c r="W47" s="518" t="e">
        <f ca="1">IF(_xll.ciqfunctions.udf.CIQ($A47, "IQ_REVENUE_EST", $B$7, $L$2, "CON", $L$3, $L$5, $L$6)=0,"n/a",_xll.ciqfunctions.udf.CIQ($A47, "IQ_REVENUE_EST",$B$7, $L$2, "CON", $L$3, $L$5, $L$6))</f>
        <v>#NAME?</v>
      </c>
      <c r="X47" s="518" t="e">
        <f ca="1">_xll.ciqfunctions.udf.CIQ($A47, "IQ_EBITDA", IQ_LTM-8, $L$2, $L$4, $L$3, $L$5, $L$6)</f>
        <v>#NAME?</v>
      </c>
      <c r="Y47" s="518" t="e">
        <f ca="1">_xll.ciqfunctions.udf.CIQ($A47, "IQ_EBITDA", IQ_LTM-4, $L$2,$L$4, $L$3, $L$5, $L$6)</f>
        <v>#NAME?</v>
      </c>
      <c r="Z47" s="518" t="e">
        <f ca="1">_xll.ciqfunctions.udf.CIQ($A47, "IQ_EBITDA", IQ_LTM, $L$2, $L$4, $L$3, $L$5, $L$6)</f>
        <v>#NAME?</v>
      </c>
      <c r="AA47" s="518" t="e">
        <f ca="1">_xll.ciqfunctions.udf.CIQ($A47, "IQ_EBITDA", $B$2, $L$2, $L$4, $L$3, $L$5, $L$6)</f>
        <v>#NAME?</v>
      </c>
      <c r="AB47" s="518" t="e">
        <f ca="1">IF(_xll.ciqfunctions.udf.CIQ($A47, "IQ_EBITDA", $B$3, $L$2,$L$4, $L$3, $L$5, $L$6)=0,Z47,_xll.ciqfunctions.udf.CIQ($A47, "IQ_EBITDA", $B$3, $L$2,$L$4, $L$3, $L$5, $L$6))</f>
        <v>#NAME?</v>
      </c>
      <c r="AC47" s="518" t="e">
        <f ca="1">IF(_xll.ciqfunctions.udf.CIQ($A47, "IQ_EBITDA_EST",$B$4, $L$2, "CON", $L$3, $L$5, $L$6)=0,"n/a",_xll.ciqfunctions.udf.CIQ($A47, "IQ_EBITDA_EST",$B$4, $L$2, "CON", $L$3, $L$5, $L$6))</f>
        <v>#NAME?</v>
      </c>
      <c r="AD47" s="467" t="e">
        <f ca="1">IF(_xll.ciqfunctions.udf.CIQ($A47, "IQ_EBITDA_EST",$B$5, $L$2, "CON", $L$3, $L$5, $L$6)=0,"n/a",_xll.ciqfunctions.udf.CIQ($A47, "IQ_EBITDA_EST",$B$5, $L$2, "CON", $L$3, $L$5, $L$6))</f>
        <v>#NAME?</v>
      </c>
      <c r="AE47" s="518" t="e">
        <f ca="1">IF(_xll.ciqfunctions.udf.CIQ($A47, "IQ_EBITDA_EST",$B$6, $L$2, "CON", $L$3, $L$5, $L$6)=0,"n/a",_xll.ciqfunctions.udf.CIQ($A47, "IQ_EBITDA_EST",$B$6, $L$2, "CON", $L$3, $L$5, $L$6))</f>
        <v>#NAME?</v>
      </c>
      <c r="AF47" s="519" t="str">
        <f ca="1">IF(ISERROR(_xll.ciqfunctions.udf.CIQ($A47, "IQ_GROSS_MARGIN", IQ_LTM, $L$2,$L$4, $L$3, $L$5, $L$6)/100), "n/a", _xll.ciqfunctions.udf.CIQ($A47,  "IQ_GROSS_MARGIN", IQ_LTM, $L$2, $L$4, $L$3, $L$5, $L$6)/100)</f>
        <v>n/a</v>
      </c>
      <c r="AG47" s="519" t="str">
        <f ca="1">IF(ISERROR(_xll.ciqfunctions.udf.CIQ($A47,"IQ_EBITDA_MARGIN", IQ_LTM, $L$2, $L$4, $L$3, $L$5, $L$6)/100), "n/a", _xll.ciqfunctions.udf.CIQ($A47, "IQ_EBITDA_MARGIN", IQ_LTM, $L$2, $L$4, $L$3, $L$5, $L$6)/100)</f>
        <v>n/a</v>
      </c>
      <c r="AH47" s="519" t="str">
        <f ca="1">IF(ISERROR(_xll.ciqfunctions.udf.CIQ($A47,"IQ_EBIT_MARGIN", IQ_LTM, $L$2, $L$4, $L$3, $L$5, $L$6)/100), "n/a", _xll.ciqfunctions.udf.CIQ($A47, "IQ_EBIT_MARGIN", IQ_LTM, $L$2, $L$4, $L$3, $L$5, $L$6)/100)</f>
        <v>n/a</v>
      </c>
      <c r="AI47" s="519" t="str">
        <f ca="1">IF(ISERROR(_xll.ciqfunctions.udf.CIQ($A47,"IQ_NI_MARGIN", IQ_LTM, $L$2, $L$4, $L$3, $L$5, $L$6)/100), "n/a", _xll.ciqfunctions.udf.CIQ($A47, "IQ_NI_MARGIN", IQ_LTM, $L$2, $L$4, $L$3, $L$5, $L$6)/100)</f>
        <v>n/a</v>
      </c>
      <c r="AJ47" s="518" t="str">
        <f ca="1">IF(ISERROR(_xll.ciqfunctions.udf.CIQ($A47, "IQ_NET_WORKING_CAP", IQ_LTM-8, $L$2, $L$4, $L$3, $L$5, $L$6)), "n/a", _xll.ciqfunctions.udf.CIQ($A47, "IQ_NET_WORKING_CAP", IQ_LTM-8, $L$2, $L$4, $L$3, $L$5, $L$6))</f>
        <v>n/a</v>
      </c>
      <c r="AK47" s="518" t="str">
        <f ca="1">IF(ISERROR(_xll.ciqfunctions.udf.CIQ($A47, "IQ_NET_WORKING_CAP", IQ_LTM-4, $L$2, $L$4, $L$3, $L$5, $L$6)), "n/a", _xll.ciqfunctions.udf.CIQ($A47, "IQ_NET_WORKING_CAP", IQ_LTM-4, $L$2, $L$4, $L$3, $L$5, $L$6))</f>
        <v>n/a</v>
      </c>
      <c r="AL47" s="518" t="str">
        <f ca="1">IF(ISERROR(_xll.ciqfunctions.udf.CIQ($A47, "IQ_NET_WORKING_CAP", IQ_LTM, $L$2,$L$4, $L$3, $L$5, $L$6)), "n/a", _xll.ciqfunctions.udf.CIQ($A47, "IQ_NET_WORKING_CAP", IQ_LTM, $L$2, $L$4, $L$3, $L$5, $L$6))</f>
        <v>n/a</v>
      </c>
      <c r="AM47" s="518" t="str">
        <f ca="1">IF(ISERROR(_xll.ciqfunctions.udf.CIQ($A47, "IQ_Capex", IQ_LTM-8, $L$2,$L$4, $L$3, $L$5, $L$6)), "n/a", _xll.ciqfunctions.udf.CIQ($A47, "IQ_Capex", IQ_LTM-8, $L$2, $L$4, $L$3, $L$5, $L$6))</f>
        <v>n/a</v>
      </c>
      <c r="AN47" s="518" t="str">
        <f ca="1">IF(ISERROR(_xll.ciqfunctions.udf.CIQ($A47, "IQ_Capex", IQ_LTM-4, $L$2,$L$4, $L$3, $L$5, $L$6)), "n/a", _xll.ciqfunctions.udf.CIQ($A47, "IQ_Capex", IQ_LTM-4, $L$2,$L$4, $L$3, $L$5, $L$6))</f>
        <v>n/a</v>
      </c>
      <c r="AO47" s="518" t="str">
        <f ca="1">IF(ISERROR(_xll.ciqfunctions.udf.CIQ($A47, "IQ_Capex", IQ_LTM, $L$2, $L$4, $L$3, $L$5, $L$6)), "n/a", _xll.ciqfunctions.udf.CIQ($A47, "IQ_Capex", IQ_LTM, $L$2, $L$4, $L$3, $L$5, $L$6))</f>
        <v>n/a</v>
      </c>
      <c r="AP47" s="520" t="e">
        <f ca="1">_xll.ciqfunctions.udf.CIQ(A47, "IQ_BUSINESS_DESCRIPTION")</f>
        <v>#NAME?</v>
      </c>
      <c r="AQ47" s="521" t="e">
        <f ca="1">_xll.ciqfunctions.udf.CIQ($A47, "IQ_BETA_1YR", $B$1)</f>
        <v>#NAME?</v>
      </c>
      <c r="AR47" s="521" t="e">
        <f ca="1">_xll.ciqfunctions.udf.CIQ($A47, "IQ_BETA_2YR", $B$1)</f>
        <v>#NAME?</v>
      </c>
      <c r="AS47" s="521" t="e">
        <f ca="1">_xll.ciqfunctions.udf.CIQ($A47, "IQ_BETA_5YR", $B$1)</f>
        <v>#NAME?</v>
      </c>
      <c r="AT47" s="467" t="e">
        <f ca="1">_xll.ciqfunctions.udf.CIQ($B47, "IQ_GP", IQ_LTM,$B$1, ,,"USD")</f>
        <v>#NAME?</v>
      </c>
      <c r="AU47" s="518" t="e">
        <f ca="1">_xll.ciqfunctions.udf.CIQ($A47, "IQ_EARNING_CO", IQ_LTM-8, $L$2, $L$4, $L$3, $L$5, $L$6)</f>
        <v>#NAME?</v>
      </c>
      <c r="AV47" s="518" t="e">
        <f ca="1">_xll.ciqfunctions.udf.CIQ($A47, "IQ_EARNING_CO", IQ_LTM-4, $L$2, $L$4, $L$3, $L$5, $L$6)</f>
        <v>#NAME?</v>
      </c>
      <c r="AW47" s="518" t="e">
        <f ca="1">_xll.ciqfunctions.udf.CIQ($A47, "IQ_EARNING_CO", IQ_LTM, $L$2, $L$4, $L$3, $L$5, $L$6)</f>
        <v>#NAME?</v>
      </c>
      <c r="AX47" s="518" t="e">
        <f ca="1">_xll.ciqfunctions.udf.CIQ($A47, "IQ_EARNING_CO", $B$2, $L$2, $L$4, $L$3, $L$5, $L$6)</f>
        <v>#NAME?</v>
      </c>
      <c r="AY47" s="518" t="e">
        <f ca="1">IF(_xll.ciqfunctions.udf.CIQ($A47, "IQ_EARNING_CO", $B$3, $L$2,$L$4, $L$3, $L$5, $L$6)=0,AW47,_xll.ciqfunctions.udf.CIQ($A47, "IQ_EARNING_CO", $B$3, $L$2,$L$4, $L$3, $L$5, $L$6))</f>
        <v>#NAME?</v>
      </c>
      <c r="AZ47" s="518" t="e">
        <f ca="1">_xll.ciqfunctions.udf.CIQ($A47, "IQ_TOTAL_EQUITY", IQ_LTM-8, $L$2, $L$4, $L$3, $L$5, $L$6)</f>
        <v>#NAME?</v>
      </c>
      <c r="BA47" s="518" t="e">
        <f ca="1">_xll.ciqfunctions.udf.CIQ($A47, "IQ_TOTAL_EQUITY", IQ_LTM-4, $L$2, $L$4, $L$3, $L$5, $L$6)</f>
        <v>#NAME?</v>
      </c>
      <c r="BB47" s="518" t="e">
        <f ca="1">_xll.ciqfunctions.udf.CIQ($A47, "IQ_TOTAL_EQUITY", IQ_LTM, $L$2, $L$4, $L$3, $L$5, $L$6)</f>
        <v>#NAME?</v>
      </c>
      <c r="BC47" s="518" t="e">
        <f ca="1">_xll.ciqfunctions.udf.CIQ($A47, "IQ_TOTAL_EQUITY", $B$2, $L$2, $L$4, $L$3, $L$5, $L$6)</f>
        <v>#NAME?</v>
      </c>
      <c r="BD47" s="518" t="e">
        <f ca="1">IF(_xll.ciqfunctions.udf.CIQ($A47, "IQ_TOTAL_EQUITY", $B$3, $L$2,$L$4, $L$3, $L$5, $L$6)=0,BB47,_xll.ciqfunctions.udf.CIQ($A47, "IQ_TOTAL_EQUITY", $B$3, $L$2,$L$4, $L$3, $L$5, $L$6))</f>
        <v>#NAME?</v>
      </c>
      <c r="BE47" s="518" t="e">
        <f ca="1">_xll.ciqfunctions.udf.CIQ(A47, "IQ_LASTSALEPRICE", $B$8)</f>
        <v>#NAME?</v>
      </c>
      <c r="BF47" s="518" t="e">
        <f ca="1">_xll.ciqfunctions.udf.CIQ($A47, "IQ_MARKETCAP", $B$8, $L$5, $L$6)</f>
        <v>#NAME?</v>
      </c>
      <c r="BG47" s="518" t="e">
        <f ca="1">_xll.ciqfunctions.udf.CIQ($A47, "IQ_TOTAL_DEBT", IQ_LTM, $B$8,$L$4, $L$3, $L$5, $L$6)</f>
        <v>#NAME?</v>
      </c>
      <c r="BH47" s="466" t="e">
        <f ca="1">_xll.ciqfunctions.udf.CIQ($A47,"IQ_PREF_EQUITY",IQ_LTM,$B$8,$L$4,$L$3,$L$5,$L$6)</f>
        <v>#NAME?</v>
      </c>
      <c r="BI47" s="466" t="e">
        <f ca="1">_xll.ciqfunctions.udf.CIQ($A47, "IQ_MINORITY_INTEREST_TOTAL", IQ_LTM,$B$8,$L$4,$L$3,$L$5,$L$6)</f>
        <v>#NAME?</v>
      </c>
      <c r="BJ47" s="518" t="e">
        <f ca="1">_xll.ciqfunctions.udf.CIQ($A47, "IQ_CASH_ST_INVEST", IQ_LTM, $B$8, $L$4, $L$3, $L$5, $L$6)</f>
        <v>#NAME?</v>
      </c>
      <c r="BK47" s="466" t="e">
        <f ca="1">_xll.ciqfunctions.udf.CIQ($A47, "IQ_EFFECT_TAX_RATE")</f>
        <v>#NAME?</v>
      </c>
      <c r="BL47" s="466" t="e">
        <f ca="1">IF(_xll.ciqfunctions.udf.CIQ($A47, "IQ_TOTAL_REV_2YR_ANN_CAGR", IQ_LTM, $B$1,$L$4, $L$3, $L$5, $L$6)="NM","n/a",(_xll.ciqfunctions.udf.CIQ($A47, "IQ_TOTAL_REV_2YR_ANN_CAGR", IQ_LTM, $B$1,$L$4, $L$3, $L$5, $L$6)/100))</f>
        <v>#NAME?</v>
      </c>
      <c r="BM47" s="466" t="e">
        <f ca="1">IF(_xll.ciqfunctions.udf.CIQ($A47, "IQ_TOTAL_REV_3YR_ANN_CAGR", IQ_LTM, $B$1,$L$4, $L$3, $L$5, $L$6)="NM","n/a",(_xll.ciqfunctions.udf.CIQ($A47, "IQ_TOTAL_REV_3YR_ANN_CAGR", IQ_LTM, $B$1,$L$4, $L$3, $L$5, $L$6)/100))</f>
        <v>#NAME?</v>
      </c>
      <c r="BN47" s="466" t="e">
        <f ca="1">IF(_xll.ciqfunctions.udf.CIQ($A47, "IQ_TOTAL_REV_5YR_ANN_CAGR", IQ_LTM, $B$1,$L$4, $L$3, $L$5, $L$6)="NM","n/a",(_xll.ciqfunctions.udf.CIQ($A47, "IQ_TOTAL_REV_5YR_ANN_CAGR", IQ_LTM, $B$1,$L$4, $L$3, $L$5, $L$6)/100))</f>
        <v>#NAME?</v>
      </c>
      <c r="BO47" s="466" t="e">
        <f ca="1">IF(_xll.ciqfunctions.udf.CIQ($A47,"IQ_EBITDA_2YR_ANN_CAGR", IQ_LTM,$B$1,$L$4, $L$3, $L$5, $L$6)="NM","n/a",(_xll.ciqfunctions.udf.CIQ($A47,"IQ_EBITDA_2YR_ANN_CAGR", IQ_LTM,$B$1,$L$4, $L$3, $L$5, $L$6)/100))</f>
        <v>#NAME?</v>
      </c>
      <c r="BP47" s="466" t="e">
        <f ca="1">IF(_xll.ciqfunctions.udf.CIQ($A47,"IQ_EBITDA_3YR_ANN_CAGR", IQ_LTM,$B$1,$L$4, $L$3, $L$5, $L$6)="NM","n/a",(_xll.ciqfunctions.udf.CIQ($A47,"IQ_EBITDA_3YR_ANN_CAGR", IQ_LTM,$B$1,$L$4, $L$3, $L$5, $L$6)/100))</f>
        <v>#NAME?</v>
      </c>
      <c r="BQ47" s="466" t="e">
        <f ca="1">IF(_xll.ciqfunctions.udf.CIQ($A47,"IQ_EBITDA_5YR_ANN_CAGR", IQ_LTM,$B$1,$L$4, $L$3, $L$5, $L$6)="NM","n/a",(_xll.ciqfunctions.udf.CIQ($A47,"IQ_EBITDA_5YR_ANN_CAGR", IQ_LTM,$B$1,$L$4, $L$3, $L$5, $L$6)/100))</f>
        <v>#NAME?</v>
      </c>
      <c r="BR47" s="470" t="str">
        <f ca="1">IFERROR((_xll.ciqfunctions.udf.CIQ($A47, "IQ_DA_CF", IQ_LTM, $B$1, $L$4, $L$3, $L$5, $L$6)/Q47),"NM")</f>
        <v>NM</v>
      </c>
      <c r="BS47" s="519" t="e">
        <f>'Capital IQ Sheet-GPC'!BS47</f>
        <v>#VALUE!</v>
      </c>
      <c r="BT47" s="519" t="e">
        <f>'Capital IQ Sheet-GPC'!BT47</f>
        <v>#VALUE!</v>
      </c>
      <c r="BU47" s="519" t="e">
        <f>'Capital IQ Sheet-GPC'!BU47</f>
        <v>#VALUE!</v>
      </c>
      <c r="BV47" s="519" t="e">
        <f>'Capital IQ Sheet-GPC'!BV47</f>
        <v>#VALUE!</v>
      </c>
      <c r="BW47" s="519" t="e">
        <f>'Capital IQ Sheet-GPC'!BW47</f>
        <v>#VALUE!</v>
      </c>
      <c r="BX47" s="519" t="e">
        <f>'Capital IQ Sheet-GPC'!BX47</f>
        <v>#VALUE!</v>
      </c>
      <c r="BY47" s="519" t="e">
        <f>'Capital IQ Sheet-GPC'!BY47</f>
        <v>#VALUE!</v>
      </c>
      <c r="BZ47" s="519" t="e">
        <f>'Capital IQ Sheet-GPC'!BZ47</f>
        <v>#VALUE!</v>
      </c>
    </row>
    <row r="48" spans="1:83">
      <c r="A48" s="467" t="e">
        <f ca="1">_xll.ciqfunctions.udf.CIQ($B48,"IQ_COMPANY_TICKER")</f>
        <v>#NAME?</v>
      </c>
      <c r="B48" s="517" t="str">
        <f>'Capital IQ Sheet-GPC'!B48</f>
        <v>(Invalid Identifier)</v>
      </c>
      <c r="C48" s="467" t="e">
        <f ca="1">_xll.ciqfunctions.udf.CIQ($A48,"IQ_COMPANY_NAME")</f>
        <v>#NAME?</v>
      </c>
      <c r="D48" s="467" t="e">
        <f ca="1">_xll.ciqfunctions.udf.CIQ($A48, "IQ_EXCHANGE")</f>
        <v>#NAME?</v>
      </c>
      <c r="E48" s="516" t="e">
        <f ca="1">_xll.ciqfunctions.udf.CIQ($A48, "IQ_PERIODDATE_IS", IQ_FY)</f>
        <v>#NAME?</v>
      </c>
      <c r="F48" s="516" t="e">
        <f ca="1">_xll.ciqfunctions.udf.CIQ(A48, "IQ_PERIODDATE_IS", IQ_LTM, $B$1,$L$4,$L$3)</f>
        <v>#NAME?</v>
      </c>
      <c r="G48" s="516" t="e">
        <f ca="1">_xll.ciqfunctions.udf.CIQ($A48, "IQ_FIRSTPRICINGDATE")</f>
        <v>#NAME?</v>
      </c>
      <c r="H48" s="518" t="e">
        <f ca="1">_xll.ciqfunctions.udf.CIQ($A48, "IQ_TEV", $L$2, $L$5, $L$6)</f>
        <v>#NAME?</v>
      </c>
      <c r="I48" s="518" t="e">
        <f ca="1">_xll.ciqfunctions.udf.CIQ(A48, "IQ_LASTSALEPRICE", $B$1,$L$5)</f>
        <v>#NAME?</v>
      </c>
      <c r="J48" s="516" t="e">
        <f ca="1">_xll.ciqfunctions.udf.CIQ($B48, "IQ_FIRSTPRICINGDATE")</f>
        <v>#NAME?</v>
      </c>
      <c r="K48" s="518" t="e">
        <f ca="1">_xll.ciqfunctions.udf.CIQ($A48, "IQ_TOTAL_DEBT", IQ_LTM, $L$2,$L$4, $L$3, $L$5, $L$6)</f>
        <v>#NAME?</v>
      </c>
      <c r="L48" s="518" t="e">
        <f ca="1">_xll.ciqfunctions.udf.CIQ($A48, "IQ_PREF_EQUITY", IQ_LTM, $L$2, $L$4, $L$3, $L$5, $L$6)</f>
        <v>#NAME?</v>
      </c>
      <c r="M48" s="518" t="e">
        <f ca="1">_xll.ciqfunctions.udf.CIQ($A48, "IQ_MINORITY_INTEREST_TOTAL", IQ_LTM, $L$2, $L$4, $L$3, $L$5, $L$6)</f>
        <v>#NAME?</v>
      </c>
      <c r="N48" s="518" t="e">
        <f ca="1">_xll.ciqfunctions.udf.CIQ($A48, "IQ_CASH_ST_INVEST", IQ_LTM, $L$2, $L$4, $L$3, $L$5, $L$6)</f>
        <v>#NAME?</v>
      </c>
      <c r="O48" s="518" t="e">
        <f ca="1">_xll.ciqfunctions.udf.CIQ($A48, "IQ_TOTAL_REV", IQ_LTM-8, $L$2, $L$4, $L$3, $L$5, $L$6)</f>
        <v>#NAME?</v>
      </c>
      <c r="P48" s="518" t="e">
        <f ca="1">_xll.ciqfunctions.udf.CIQ($A48, "IQ_TOTAL_REV", IQ_LTM - 4, $L$2, $L$4, $L$3, $L$5,$L$6)</f>
        <v>#NAME?</v>
      </c>
      <c r="Q48" s="518" t="e">
        <f ca="1">_xll.ciqfunctions.udf.CIQ($A48, "IQ_TOTAL_REV", IQ_LTM, $L$2, $L$4, $L$3, $L$5, $L$6)</f>
        <v>#NAME?</v>
      </c>
      <c r="R48" s="518" t="e">
        <f ca="1">_xll.ciqfunctions.udf.CIQ($A48, "IQ_TOTAL_REV", $B$2, $L$2, $L$4, $L$3, $L$5, $L$6)</f>
        <v>#NAME?</v>
      </c>
      <c r="S48" s="518" t="e">
        <f ca="1">IF(_xll.ciqfunctions.udf.CIQ($A48, "IQ_TOTAL_REV", $B$3, $L$2,$L$4, $L$3, $L$5, $L$6)=0,Q48,_xll.ciqfunctions.udf.CIQ($A48, "IQ_TOTAL_REV", $B$3, $L$2,$L$4, $L$3, $L$5, $L$6))</f>
        <v>#NAME?</v>
      </c>
      <c r="T48" s="518" t="e">
        <f ca="1">IF(_xll.ciqfunctions.udf.CIQ($A48, "IQ_REVENUE_EST",$B$4, $L$2, "CON", $L$3, $L$5, $L$6)=0,"n/a",_xll.ciqfunctions.udf.CIQ($A48, "IQ_REVENUE_EST",$B$4, $L$2, "CON", $L$3, $L$5, $L$6))</f>
        <v>#NAME?</v>
      </c>
      <c r="U48" s="518" t="e">
        <f ca="1">IF(_xll.ciqfunctions.udf.CIQ($A48, "IQ_REVENUE_EST",$B$5, $L$2, "CON", $L$3, $L$5, $L$6)=0,"n/a",_xll.ciqfunctions.udf.CIQ($A48, "IQ_REVENUE_EST",$B$5, $L$2, "CON", $L$3, $L$5, $L$6))</f>
        <v>#NAME?</v>
      </c>
      <c r="V48" s="518" t="e">
        <f ca="1">IF(_xll.ciqfunctions.udf.CIQ($A48, "IQ_REVENUE_EST",$B$6, $L$2, "CON", $L$3, $L$5, $L$6)=0,"n/a",_xll.ciqfunctions.udf.CIQ($A48, "IQ_REVENUE_EST",$B$6, $L$2, "CON", $L$3, $L$5, $L$6))</f>
        <v>#NAME?</v>
      </c>
      <c r="W48" s="518" t="e">
        <f ca="1">IF(_xll.ciqfunctions.udf.CIQ($A48, "IQ_REVENUE_EST", $B$7, $L$2, "CON", $L$3, $L$5, $L$6)=0,"n/a",_xll.ciqfunctions.udf.CIQ($A48, "IQ_REVENUE_EST",$B$7, $L$2, "CON", $L$3, $L$5, $L$6))</f>
        <v>#NAME?</v>
      </c>
      <c r="X48" s="518" t="e">
        <f ca="1">_xll.ciqfunctions.udf.CIQ($A48, "IQ_EBITDA", IQ_LTM-8, $L$2, $L$4, $L$3, $L$5, $L$6)</f>
        <v>#NAME?</v>
      </c>
      <c r="Y48" s="518" t="e">
        <f ca="1">_xll.ciqfunctions.udf.CIQ($A48, "IQ_EBITDA", IQ_LTM-4, $L$2,$L$4, $L$3, $L$5, $L$6)</f>
        <v>#NAME?</v>
      </c>
      <c r="Z48" s="518" t="e">
        <f ca="1">_xll.ciqfunctions.udf.CIQ($A48, "IQ_EBITDA", IQ_LTM, $L$2, $L$4, $L$3, $L$5, $L$6)</f>
        <v>#NAME?</v>
      </c>
      <c r="AA48" s="518" t="e">
        <f ca="1">_xll.ciqfunctions.udf.CIQ($A48, "IQ_EBITDA", $B$2, $L$2, $L$4, $L$3, $L$5, $L$6)</f>
        <v>#NAME?</v>
      </c>
      <c r="AB48" s="518" t="e">
        <f ca="1">IF(_xll.ciqfunctions.udf.CIQ($A48, "IQ_EBITDA", $B$3, $L$2,$L$4, $L$3, $L$5, $L$6)=0,Z48,_xll.ciqfunctions.udf.CIQ($A48, "IQ_EBITDA", $B$3, $L$2,$L$4, $L$3, $L$5, $L$6))</f>
        <v>#NAME?</v>
      </c>
      <c r="AC48" s="518" t="e">
        <f ca="1">IF(_xll.ciqfunctions.udf.CIQ($A48, "IQ_EBITDA_EST",$B$4, $L$2, "CON", $L$3, $L$5, $L$6)=0,"n/a",_xll.ciqfunctions.udf.CIQ($A48, "IQ_EBITDA_EST",$B$4, $L$2, "CON", $L$3, $L$5, $L$6))</f>
        <v>#NAME?</v>
      </c>
      <c r="AD48" s="467" t="e">
        <f ca="1">IF(_xll.ciqfunctions.udf.CIQ($A48, "IQ_EBITDA_EST",$B$5, $L$2, "CON", $L$3, $L$5, $L$6)=0,"n/a",_xll.ciqfunctions.udf.CIQ($A48, "IQ_EBITDA_EST",$B$5, $L$2, "CON", $L$3, $L$5, $L$6))</f>
        <v>#NAME?</v>
      </c>
      <c r="AE48" s="518" t="e">
        <f ca="1">IF(_xll.ciqfunctions.udf.CIQ($A48, "IQ_EBITDA_EST",$B$6, $L$2, "CON", $L$3, $L$5, $L$6)=0,"n/a",_xll.ciqfunctions.udf.CIQ($A48, "IQ_EBITDA_EST",$B$6, $L$2, "CON", $L$3, $L$5, $L$6))</f>
        <v>#NAME?</v>
      </c>
      <c r="AF48" s="519" t="str">
        <f ca="1">IF(ISERROR(_xll.ciqfunctions.udf.CIQ($A48, "IQ_GROSS_MARGIN", IQ_LTM, $L$2,$L$4, $L$3, $L$5, $L$6)/100), "n/a", _xll.ciqfunctions.udf.CIQ($A48,  "IQ_GROSS_MARGIN", IQ_LTM, $L$2, $L$4, $L$3, $L$5, $L$6)/100)</f>
        <v>n/a</v>
      </c>
      <c r="AG48" s="519" t="str">
        <f ca="1">IF(ISERROR(_xll.ciqfunctions.udf.CIQ($A48,"IQ_EBITDA_MARGIN", IQ_LTM, $L$2, $L$4, $L$3, $L$5, $L$6)/100), "n/a", _xll.ciqfunctions.udf.CIQ($A48, "IQ_EBITDA_MARGIN", IQ_LTM, $L$2, $L$4, $L$3, $L$5, $L$6)/100)</f>
        <v>n/a</v>
      </c>
      <c r="AH48" s="519" t="str">
        <f ca="1">IF(ISERROR(_xll.ciqfunctions.udf.CIQ($A48,"IQ_EBIT_MARGIN", IQ_LTM, $L$2, $L$4, $L$3, $L$5, $L$6)/100), "n/a", _xll.ciqfunctions.udf.CIQ($A48, "IQ_EBIT_MARGIN", IQ_LTM, $L$2, $L$4, $L$3, $L$5, $L$6)/100)</f>
        <v>n/a</v>
      </c>
      <c r="AI48" s="519" t="str">
        <f ca="1">IF(ISERROR(_xll.ciqfunctions.udf.CIQ($A48,"IQ_NI_MARGIN", IQ_LTM, $L$2, $L$4, $L$3, $L$5, $L$6)/100), "n/a", _xll.ciqfunctions.udf.CIQ($A48, "IQ_NI_MARGIN", IQ_LTM, $L$2, $L$4, $L$3, $L$5, $L$6)/100)</f>
        <v>n/a</v>
      </c>
      <c r="AJ48" s="518" t="str">
        <f ca="1">IF(ISERROR(_xll.ciqfunctions.udf.CIQ($A48, "IQ_NET_WORKING_CAP", IQ_LTM-8, $L$2, $L$4, $L$3, $L$5, $L$6)), "n/a", _xll.ciqfunctions.udf.CIQ($A48, "IQ_NET_WORKING_CAP", IQ_LTM-8, $L$2, $L$4, $L$3, $L$5, $L$6))</f>
        <v>n/a</v>
      </c>
      <c r="AK48" s="518" t="str">
        <f ca="1">IF(ISERROR(_xll.ciqfunctions.udf.CIQ($A48, "IQ_NET_WORKING_CAP", IQ_LTM-4, $L$2, $L$4, $L$3, $L$5, $L$6)), "n/a", _xll.ciqfunctions.udf.CIQ($A48, "IQ_NET_WORKING_CAP", IQ_LTM-4, $L$2, $L$4, $L$3, $L$5, $L$6))</f>
        <v>n/a</v>
      </c>
      <c r="AL48" s="518" t="str">
        <f ca="1">IF(ISERROR(_xll.ciqfunctions.udf.CIQ($A48, "IQ_NET_WORKING_CAP", IQ_LTM, $L$2,$L$4, $L$3, $L$5, $L$6)), "n/a", _xll.ciqfunctions.udf.CIQ($A48, "IQ_NET_WORKING_CAP", IQ_LTM, $L$2, $L$4, $L$3, $L$5, $L$6))</f>
        <v>n/a</v>
      </c>
      <c r="AM48" s="518" t="str">
        <f ca="1">IF(ISERROR(_xll.ciqfunctions.udf.CIQ($A48, "IQ_Capex", IQ_LTM-8, $L$2,$L$4, $L$3, $L$5, $L$6)), "n/a", _xll.ciqfunctions.udf.CIQ($A48, "IQ_Capex", IQ_LTM-8, $L$2, $L$4, $L$3, $L$5, $L$6))</f>
        <v>n/a</v>
      </c>
      <c r="AN48" s="518" t="str">
        <f ca="1">IF(ISERROR(_xll.ciqfunctions.udf.CIQ($A48, "IQ_Capex", IQ_LTM-4, $L$2,$L$4, $L$3, $L$5, $L$6)), "n/a", _xll.ciqfunctions.udf.CIQ($A48, "IQ_Capex", IQ_LTM-4, $L$2,$L$4, $L$3, $L$5, $L$6))</f>
        <v>n/a</v>
      </c>
      <c r="AO48" s="518" t="str">
        <f ca="1">IF(ISERROR(_xll.ciqfunctions.udf.CIQ($A48, "IQ_Capex", IQ_LTM, $L$2, $L$4, $L$3, $L$5, $L$6)), "n/a", _xll.ciqfunctions.udf.CIQ($A48, "IQ_Capex", IQ_LTM, $L$2, $L$4, $L$3, $L$5, $L$6))</f>
        <v>n/a</v>
      </c>
      <c r="AP48" s="520" t="e">
        <f ca="1">_xll.ciqfunctions.udf.CIQ(A48, "IQ_BUSINESS_DESCRIPTION")</f>
        <v>#NAME?</v>
      </c>
      <c r="AQ48" s="521" t="e">
        <f ca="1">_xll.ciqfunctions.udf.CIQ($A48, "IQ_BETA_1YR", $B$1)</f>
        <v>#NAME?</v>
      </c>
      <c r="AR48" s="521" t="e">
        <f ca="1">_xll.ciqfunctions.udf.CIQ($A48, "IQ_BETA_2YR", $B$1)</f>
        <v>#NAME?</v>
      </c>
      <c r="AS48" s="521" t="e">
        <f ca="1">_xll.ciqfunctions.udf.CIQ($A48, "IQ_BETA_5YR", $B$1)</f>
        <v>#NAME?</v>
      </c>
      <c r="AT48" s="467" t="e">
        <f ca="1">_xll.ciqfunctions.udf.CIQ($B48, "IQ_GP", IQ_LTM,$B$1, ,,"USD")</f>
        <v>#NAME?</v>
      </c>
      <c r="AU48" s="518" t="e">
        <f ca="1">_xll.ciqfunctions.udf.CIQ($A48, "IQ_EARNING_CO", IQ_LTM-8, $L$2, $L$4, $L$3, $L$5, $L$6)</f>
        <v>#NAME?</v>
      </c>
      <c r="AV48" s="518" t="e">
        <f ca="1">_xll.ciqfunctions.udf.CIQ($A48, "IQ_EARNING_CO", IQ_LTM-4, $L$2, $L$4, $L$3, $L$5, $L$6)</f>
        <v>#NAME?</v>
      </c>
      <c r="AW48" s="518" t="e">
        <f ca="1">_xll.ciqfunctions.udf.CIQ($A48, "IQ_EARNING_CO", IQ_LTM, $L$2, $L$4, $L$3, $L$5, $L$6)</f>
        <v>#NAME?</v>
      </c>
      <c r="AX48" s="518" t="e">
        <f ca="1">_xll.ciqfunctions.udf.CIQ($A48, "IQ_EARNING_CO", $B$2, $L$2, $L$4, $L$3, $L$5, $L$6)</f>
        <v>#NAME?</v>
      </c>
      <c r="AY48" s="518" t="e">
        <f ca="1">IF(_xll.ciqfunctions.udf.CIQ($A48, "IQ_EARNING_CO", $B$3, $L$2,$L$4, $L$3, $L$5, $L$6)=0,AW48,_xll.ciqfunctions.udf.CIQ($A48, "IQ_EARNING_CO", $B$3, $L$2,$L$4, $L$3, $L$5, $L$6))</f>
        <v>#NAME?</v>
      </c>
      <c r="AZ48" s="518" t="e">
        <f ca="1">_xll.ciqfunctions.udf.CIQ($A48, "IQ_TOTAL_EQUITY", IQ_LTM-8, $L$2, $L$4, $L$3, $L$5, $L$6)</f>
        <v>#NAME?</v>
      </c>
      <c r="BA48" s="518" t="e">
        <f ca="1">_xll.ciqfunctions.udf.CIQ($A48, "IQ_TOTAL_EQUITY", IQ_LTM-4, $L$2, $L$4, $L$3, $L$5, $L$6)</f>
        <v>#NAME?</v>
      </c>
      <c r="BB48" s="518" t="e">
        <f ca="1">_xll.ciqfunctions.udf.CIQ($A48, "IQ_TOTAL_EQUITY", IQ_LTM, $L$2, $L$4, $L$3, $L$5, $L$6)</f>
        <v>#NAME?</v>
      </c>
      <c r="BC48" s="518" t="e">
        <f ca="1">_xll.ciqfunctions.udf.CIQ($A48, "IQ_TOTAL_EQUITY", $B$2, $L$2, $L$4, $L$3, $L$5, $L$6)</f>
        <v>#NAME?</v>
      </c>
      <c r="BD48" s="518" t="e">
        <f ca="1">IF(_xll.ciqfunctions.udf.CIQ($A48, "IQ_TOTAL_EQUITY", $B$3, $L$2,$L$4, $L$3, $L$5, $L$6)=0,BB48,_xll.ciqfunctions.udf.CIQ($A48, "IQ_TOTAL_EQUITY", $B$3, $L$2,$L$4, $L$3, $L$5, $L$6))</f>
        <v>#NAME?</v>
      </c>
      <c r="BE48" s="518" t="e">
        <f ca="1">_xll.ciqfunctions.udf.CIQ(A48, "IQ_LASTSALEPRICE", $B$8)</f>
        <v>#NAME?</v>
      </c>
      <c r="BF48" s="518" t="e">
        <f ca="1">_xll.ciqfunctions.udf.CIQ($A48, "IQ_MARKETCAP", $B$8, $L$5, $L$6)</f>
        <v>#NAME?</v>
      </c>
      <c r="BG48" s="518" t="e">
        <f ca="1">_xll.ciqfunctions.udf.CIQ($A48, "IQ_TOTAL_DEBT", IQ_LTM, $B$8,$L$4, $L$3, $L$5, $L$6)</f>
        <v>#NAME?</v>
      </c>
      <c r="BH48" s="466" t="e">
        <f ca="1">_xll.ciqfunctions.udf.CIQ($A48,"IQ_PREF_EQUITY",IQ_LTM,$B$8,$L$4,$L$3,$L$5,$L$6)</f>
        <v>#NAME?</v>
      </c>
      <c r="BI48" s="466" t="e">
        <f ca="1">_xll.ciqfunctions.udf.CIQ($A48, "IQ_MINORITY_INTEREST_TOTAL", IQ_LTM,$B$8,$L$4,$L$3,$L$5,$L$6)</f>
        <v>#NAME?</v>
      </c>
      <c r="BJ48" s="518" t="e">
        <f ca="1">_xll.ciqfunctions.udf.CIQ($A48, "IQ_CASH_ST_INVEST", IQ_LTM, $B$8, $L$4, $L$3, $L$5, $L$6)</f>
        <v>#NAME?</v>
      </c>
      <c r="BK48" s="466" t="e">
        <f ca="1">_xll.ciqfunctions.udf.CIQ($A48, "IQ_EFFECT_TAX_RATE")</f>
        <v>#NAME?</v>
      </c>
      <c r="BL48" s="466" t="e">
        <f ca="1">IF(_xll.ciqfunctions.udf.CIQ($A48, "IQ_TOTAL_REV_2YR_ANN_CAGR", IQ_LTM, $B$1,$L$4, $L$3, $L$5, $L$6)="NM","n/a",(_xll.ciqfunctions.udf.CIQ($A48, "IQ_TOTAL_REV_2YR_ANN_CAGR", IQ_LTM, $B$1,$L$4, $L$3, $L$5, $L$6)/100))</f>
        <v>#NAME?</v>
      </c>
      <c r="BM48" s="466" t="e">
        <f ca="1">IF(_xll.ciqfunctions.udf.CIQ($A48, "IQ_TOTAL_REV_3YR_ANN_CAGR", IQ_LTM, $B$1,$L$4, $L$3, $L$5, $L$6)="NM","n/a",(_xll.ciqfunctions.udf.CIQ($A48, "IQ_TOTAL_REV_3YR_ANN_CAGR", IQ_LTM, $B$1,$L$4, $L$3, $L$5, $L$6)/100))</f>
        <v>#NAME?</v>
      </c>
      <c r="BN48" s="466" t="e">
        <f ca="1">IF(_xll.ciqfunctions.udf.CIQ($A48, "IQ_TOTAL_REV_5YR_ANN_CAGR", IQ_LTM, $B$1,$L$4, $L$3, $L$5, $L$6)="NM","n/a",(_xll.ciqfunctions.udf.CIQ($A48, "IQ_TOTAL_REV_5YR_ANN_CAGR", IQ_LTM, $B$1,$L$4, $L$3, $L$5, $L$6)/100))</f>
        <v>#NAME?</v>
      </c>
      <c r="BO48" s="466" t="e">
        <f ca="1">IF(_xll.ciqfunctions.udf.CIQ($A48,"IQ_EBITDA_2YR_ANN_CAGR", IQ_LTM,$B$1,$L$4, $L$3, $L$5, $L$6)="NM","n/a",(_xll.ciqfunctions.udf.CIQ($A48,"IQ_EBITDA_2YR_ANN_CAGR", IQ_LTM,$B$1,$L$4, $L$3, $L$5, $L$6)/100))</f>
        <v>#NAME?</v>
      </c>
      <c r="BP48" s="466" t="e">
        <f ca="1">IF(_xll.ciqfunctions.udf.CIQ($A48,"IQ_EBITDA_3YR_ANN_CAGR", IQ_LTM,$B$1,$L$4, $L$3, $L$5, $L$6)="NM","n/a",(_xll.ciqfunctions.udf.CIQ($A48,"IQ_EBITDA_3YR_ANN_CAGR", IQ_LTM,$B$1,$L$4, $L$3, $L$5, $L$6)/100))</f>
        <v>#NAME?</v>
      </c>
      <c r="BQ48" s="466" t="e">
        <f ca="1">IF(_xll.ciqfunctions.udf.CIQ($A48,"IQ_EBITDA_5YR_ANN_CAGR", IQ_LTM,$B$1,$L$4, $L$3, $L$5, $L$6)="NM","n/a",(_xll.ciqfunctions.udf.CIQ($A48,"IQ_EBITDA_5YR_ANN_CAGR", IQ_LTM,$B$1,$L$4, $L$3, $L$5, $L$6)/100))</f>
        <v>#NAME?</v>
      </c>
      <c r="BR48" s="470" t="str">
        <f ca="1">IFERROR((_xll.ciqfunctions.udf.CIQ($A48, "IQ_DA_CF", IQ_LTM, $B$1, $L$4, $L$3, $L$5, $L$6)/Q48),"NM")</f>
        <v>NM</v>
      </c>
      <c r="BS48" s="519" t="e">
        <f>'Capital IQ Sheet-GPC'!BS48</f>
        <v>#VALUE!</v>
      </c>
      <c r="BT48" s="519" t="e">
        <f>'Capital IQ Sheet-GPC'!BT48</f>
        <v>#VALUE!</v>
      </c>
      <c r="BU48" s="519" t="e">
        <f>'Capital IQ Sheet-GPC'!BU48</f>
        <v>#VALUE!</v>
      </c>
      <c r="BV48" s="519" t="e">
        <f>'Capital IQ Sheet-GPC'!BV48</f>
        <v>#VALUE!</v>
      </c>
      <c r="BW48" s="519" t="e">
        <f>'Capital IQ Sheet-GPC'!BW48</f>
        <v>#VALUE!</v>
      </c>
      <c r="BX48" s="519" t="e">
        <f>'Capital IQ Sheet-GPC'!BX48</f>
        <v>#VALUE!</v>
      </c>
      <c r="BY48" s="519" t="e">
        <f>'Capital IQ Sheet-GPC'!BY48</f>
        <v>#VALUE!</v>
      </c>
      <c r="BZ48" s="519" t="e">
        <f>'Capital IQ Sheet-GPC'!BZ48</f>
        <v>#VALUE!</v>
      </c>
    </row>
    <row r="49" spans="1:83">
      <c r="A49" s="467" t="e">
        <f ca="1">_xll.ciqfunctions.udf.CIQ($B49,"IQ_COMPANY_TICKER")</f>
        <v>#NAME?</v>
      </c>
      <c r="B49" s="517" t="str">
        <f>'Capital IQ Sheet-GPC'!B49</f>
        <v>(Invalid Identifier)</v>
      </c>
      <c r="C49" s="467" t="e">
        <f ca="1">_xll.ciqfunctions.udf.CIQ($A49,"IQ_COMPANY_NAME")</f>
        <v>#NAME?</v>
      </c>
      <c r="D49" s="467" t="e">
        <f ca="1">_xll.ciqfunctions.udf.CIQ($A49, "IQ_EXCHANGE")</f>
        <v>#NAME?</v>
      </c>
      <c r="E49" s="516" t="e">
        <f ca="1">_xll.ciqfunctions.udf.CIQ($A49, "IQ_PERIODDATE_IS", IQ_FY)</f>
        <v>#NAME?</v>
      </c>
      <c r="F49" s="516" t="e">
        <f ca="1">_xll.ciqfunctions.udf.CIQ(A49, "IQ_PERIODDATE_IS", IQ_LTM, $B$1,$L$4,$L$3)</f>
        <v>#NAME?</v>
      </c>
      <c r="G49" s="516" t="e">
        <f ca="1">_xll.ciqfunctions.udf.CIQ($A49, "IQ_FIRSTPRICINGDATE")</f>
        <v>#NAME?</v>
      </c>
      <c r="H49" s="518" t="e">
        <f ca="1">_xll.ciqfunctions.udf.CIQ($A49, "IQ_TEV", $L$2, $L$5, $L$6)</f>
        <v>#NAME?</v>
      </c>
      <c r="I49" s="518" t="e">
        <f ca="1">_xll.ciqfunctions.udf.CIQ(A49, "IQ_LASTSALEPRICE", $B$1,$L$5)</f>
        <v>#NAME?</v>
      </c>
      <c r="J49" s="516" t="e">
        <f ca="1">_xll.ciqfunctions.udf.CIQ($B49, "IQ_FIRSTPRICINGDATE")</f>
        <v>#NAME?</v>
      </c>
      <c r="K49" s="518" t="e">
        <f ca="1">_xll.ciqfunctions.udf.CIQ($A49, "IQ_TOTAL_DEBT", IQ_LTM, $L$2,$L$4, $L$3, $L$5, $L$6)</f>
        <v>#NAME?</v>
      </c>
      <c r="L49" s="518" t="e">
        <f ca="1">_xll.ciqfunctions.udf.CIQ($A49, "IQ_PREF_EQUITY", IQ_LTM, $L$2, $L$4, $L$3, $L$5, $L$6)</f>
        <v>#NAME?</v>
      </c>
      <c r="M49" s="518" t="e">
        <f ca="1">_xll.ciqfunctions.udf.CIQ($A49, "IQ_MINORITY_INTEREST_TOTAL", IQ_LTM, $L$2, $L$4, $L$3, $L$5, $L$6)</f>
        <v>#NAME?</v>
      </c>
      <c r="N49" s="518" t="e">
        <f ca="1">_xll.ciqfunctions.udf.CIQ($A49, "IQ_CASH_ST_INVEST", IQ_LTM, $L$2, $L$4, $L$3, $L$5, $L$6)</f>
        <v>#NAME?</v>
      </c>
      <c r="O49" s="518" t="e">
        <f ca="1">_xll.ciqfunctions.udf.CIQ($A49, "IQ_TOTAL_REV", IQ_LTM-8, $L$2, $L$4, $L$3, $L$5, $L$6)</f>
        <v>#NAME?</v>
      </c>
      <c r="P49" s="518" t="e">
        <f ca="1">_xll.ciqfunctions.udf.CIQ($A49, "IQ_TOTAL_REV", IQ_LTM - 4, $L$2, $L$4, $L$3, $L$5,$L$6)</f>
        <v>#NAME?</v>
      </c>
      <c r="Q49" s="518" t="e">
        <f ca="1">_xll.ciqfunctions.udf.CIQ($A49, "IQ_TOTAL_REV", IQ_LTM, $L$2, $L$4, $L$3, $L$5, $L$6)</f>
        <v>#NAME?</v>
      </c>
      <c r="R49" s="518" t="e">
        <f ca="1">_xll.ciqfunctions.udf.CIQ($A49, "IQ_TOTAL_REV", $B$2, $L$2, $L$4, $L$3, $L$5, $L$6)</f>
        <v>#NAME?</v>
      </c>
      <c r="S49" s="518" t="e">
        <f ca="1">IF(_xll.ciqfunctions.udf.CIQ($A49, "IQ_TOTAL_REV", $B$3, $L$2,$L$4, $L$3, $L$5, $L$6)=0,Q49,_xll.ciqfunctions.udf.CIQ($A49, "IQ_TOTAL_REV", $B$3, $L$2,$L$4, $L$3, $L$5, $L$6))</f>
        <v>#NAME?</v>
      </c>
      <c r="T49" s="518" t="e">
        <f ca="1">IF(_xll.ciqfunctions.udf.CIQ($A49, "IQ_REVENUE_EST",$B$4, $L$2, "CON", $L$3, $L$5, $L$6)=0,"n/a",_xll.ciqfunctions.udf.CIQ($A49, "IQ_REVENUE_EST",$B$4, $L$2, "CON", $L$3, $L$5, $L$6))</f>
        <v>#NAME?</v>
      </c>
      <c r="U49" s="518" t="e">
        <f ca="1">IF(_xll.ciqfunctions.udf.CIQ($A49, "IQ_REVENUE_EST",$B$5, $L$2, "CON", $L$3, $L$5, $L$6)=0,"n/a",_xll.ciqfunctions.udf.CIQ($A49, "IQ_REVENUE_EST",$B$5, $L$2, "CON", $L$3, $L$5, $L$6))</f>
        <v>#NAME?</v>
      </c>
      <c r="V49" s="518" t="e">
        <f ca="1">IF(_xll.ciqfunctions.udf.CIQ($A49, "IQ_REVENUE_EST",$B$6, $L$2, "CON", $L$3, $L$5, $L$6)=0,"n/a",_xll.ciqfunctions.udf.CIQ($A49, "IQ_REVENUE_EST",$B$6, $L$2, "CON", $L$3, $L$5, $L$6))</f>
        <v>#NAME?</v>
      </c>
      <c r="W49" s="518" t="e">
        <f ca="1">IF(_xll.ciqfunctions.udf.CIQ($A49, "IQ_REVENUE_EST", $B$7, $L$2, "CON", $L$3, $L$5, $L$6)=0,"n/a",_xll.ciqfunctions.udf.CIQ($A49, "IQ_REVENUE_EST",$B$7, $L$2, "CON", $L$3, $L$5, $L$6))</f>
        <v>#NAME?</v>
      </c>
      <c r="X49" s="518" t="e">
        <f ca="1">_xll.ciqfunctions.udf.CIQ($A49, "IQ_EBITDA", IQ_LTM-8, $L$2, $L$4, $L$3, $L$5, $L$6)</f>
        <v>#NAME?</v>
      </c>
      <c r="Y49" s="518" t="e">
        <f ca="1">_xll.ciqfunctions.udf.CIQ($A49, "IQ_EBITDA", IQ_LTM-4, $L$2,$L$4, $L$3, $L$5, $L$6)</f>
        <v>#NAME?</v>
      </c>
      <c r="Z49" s="518" t="e">
        <f ca="1">_xll.ciqfunctions.udf.CIQ($A49, "IQ_EBITDA", IQ_LTM, $L$2, $L$4, $L$3, $L$5, $L$6)</f>
        <v>#NAME?</v>
      </c>
      <c r="AA49" s="518" t="e">
        <f ca="1">_xll.ciqfunctions.udf.CIQ($A49, "IQ_EBITDA", $B$2, $L$2, $L$4, $L$3, $L$5, $L$6)</f>
        <v>#NAME?</v>
      </c>
      <c r="AB49" s="518" t="e">
        <f ca="1">IF(_xll.ciqfunctions.udf.CIQ($A49, "IQ_EBITDA", $B$3, $L$2,$L$4, $L$3, $L$5, $L$6)=0,Z49,_xll.ciqfunctions.udf.CIQ($A49, "IQ_EBITDA", $B$3, $L$2,$L$4, $L$3, $L$5, $L$6))</f>
        <v>#NAME?</v>
      </c>
      <c r="AC49" s="518" t="e">
        <f ca="1">IF(_xll.ciqfunctions.udf.CIQ($A49, "IQ_EBITDA_EST",$B$4, $L$2, "CON", $L$3, $L$5, $L$6)=0,"n/a",_xll.ciqfunctions.udf.CIQ($A49, "IQ_EBITDA_EST",$B$4, $L$2, "CON", $L$3, $L$5, $L$6))</f>
        <v>#NAME?</v>
      </c>
      <c r="AD49" s="467" t="e">
        <f ca="1">IF(_xll.ciqfunctions.udf.CIQ($A49, "IQ_EBITDA_EST",$B$5, $L$2, "CON", $L$3, $L$5, $L$6)=0,"n/a",_xll.ciqfunctions.udf.CIQ($A49, "IQ_EBITDA_EST",$B$5, $L$2, "CON", $L$3, $L$5, $L$6))</f>
        <v>#NAME?</v>
      </c>
      <c r="AE49" s="518" t="e">
        <f ca="1">IF(_xll.ciqfunctions.udf.CIQ($A49, "IQ_EBITDA_EST",$B$6, $L$2, "CON", $L$3, $L$5, $L$6)=0,"n/a",_xll.ciqfunctions.udf.CIQ($A49, "IQ_EBITDA_EST",$B$6, $L$2, "CON", $L$3, $L$5, $L$6))</f>
        <v>#NAME?</v>
      </c>
      <c r="AF49" s="519" t="str">
        <f ca="1">IF(ISERROR(_xll.ciqfunctions.udf.CIQ($A49, "IQ_GROSS_MARGIN", IQ_LTM, $L$2,$L$4, $L$3, $L$5, $L$6)/100), "n/a", _xll.ciqfunctions.udf.CIQ($A49,  "IQ_GROSS_MARGIN", IQ_LTM, $L$2, $L$4, $L$3, $L$5, $L$6)/100)</f>
        <v>n/a</v>
      </c>
      <c r="AG49" s="519" t="str">
        <f ca="1">IF(ISERROR(_xll.ciqfunctions.udf.CIQ($A49,"IQ_EBITDA_MARGIN", IQ_LTM, $L$2, $L$4, $L$3, $L$5, $L$6)/100), "n/a", _xll.ciqfunctions.udf.CIQ($A49, "IQ_EBITDA_MARGIN", IQ_LTM, $L$2, $L$4, $L$3, $L$5, $L$6)/100)</f>
        <v>n/a</v>
      </c>
      <c r="AH49" s="519" t="str">
        <f ca="1">IF(ISERROR(_xll.ciqfunctions.udf.CIQ($A49,"IQ_EBIT_MARGIN", IQ_LTM, $L$2, $L$4, $L$3, $L$5, $L$6)/100), "n/a", _xll.ciqfunctions.udf.CIQ($A49, "IQ_EBIT_MARGIN", IQ_LTM, $L$2, $L$4, $L$3, $L$5, $L$6)/100)</f>
        <v>n/a</v>
      </c>
      <c r="AI49" s="519" t="str">
        <f ca="1">IF(ISERROR(_xll.ciqfunctions.udf.CIQ($A49,"IQ_NI_MARGIN", IQ_LTM, $L$2, $L$4, $L$3, $L$5, $L$6)/100), "n/a", _xll.ciqfunctions.udf.CIQ($A49, "IQ_NI_MARGIN", IQ_LTM, $L$2, $L$4, $L$3, $L$5, $L$6)/100)</f>
        <v>n/a</v>
      </c>
      <c r="AJ49" s="518" t="str">
        <f ca="1">IF(ISERROR(_xll.ciqfunctions.udf.CIQ($A49, "IQ_NET_WORKING_CAP", IQ_LTM-8, $L$2, $L$4, $L$3, $L$5, $L$6)), "n/a", _xll.ciqfunctions.udf.CIQ($A49, "IQ_NET_WORKING_CAP", IQ_LTM-8, $L$2, $L$4, $L$3, $L$5, $L$6))</f>
        <v>n/a</v>
      </c>
      <c r="AK49" s="518" t="str">
        <f ca="1">IF(ISERROR(_xll.ciqfunctions.udf.CIQ($A49, "IQ_NET_WORKING_CAP", IQ_LTM-4, $L$2, $L$4, $L$3, $L$5, $L$6)), "n/a", _xll.ciqfunctions.udf.CIQ($A49, "IQ_NET_WORKING_CAP", IQ_LTM-4, $L$2, $L$4, $L$3, $L$5, $L$6))</f>
        <v>n/a</v>
      </c>
      <c r="AL49" s="518" t="str">
        <f ca="1">IF(ISERROR(_xll.ciqfunctions.udf.CIQ($A49, "IQ_NET_WORKING_CAP", IQ_LTM, $L$2,$L$4, $L$3, $L$5, $L$6)), "n/a", _xll.ciqfunctions.udf.CIQ($A49, "IQ_NET_WORKING_CAP", IQ_LTM, $L$2, $L$4, $L$3, $L$5, $L$6))</f>
        <v>n/a</v>
      </c>
      <c r="AM49" s="518" t="str">
        <f ca="1">IF(ISERROR(_xll.ciqfunctions.udf.CIQ($A49, "IQ_Capex", IQ_LTM-8, $L$2,$L$4, $L$3, $L$5, $L$6)), "n/a", _xll.ciqfunctions.udf.CIQ($A49, "IQ_Capex", IQ_LTM-8, $L$2, $L$4, $L$3, $L$5, $L$6))</f>
        <v>n/a</v>
      </c>
      <c r="AN49" s="518" t="str">
        <f ca="1">IF(ISERROR(_xll.ciqfunctions.udf.CIQ($A49, "IQ_Capex", IQ_LTM-4, $L$2,$L$4, $L$3, $L$5, $L$6)), "n/a", _xll.ciqfunctions.udf.CIQ($A49, "IQ_Capex", IQ_LTM-4, $L$2,$L$4, $L$3, $L$5, $L$6))</f>
        <v>n/a</v>
      </c>
      <c r="AO49" s="518" t="str">
        <f ca="1">IF(ISERROR(_xll.ciqfunctions.udf.CIQ($A49, "IQ_Capex", IQ_LTM, $L$2, $L$4, $L$3, $L$5, $L$6)), "n/a", _xll.ciqfunctions.udf.CIQ($A49, "IQ_Capex", IQ_LTM, $L$2, $L$4, $L$3, $L$5, $L$6))</f>
        <v>n/a</v>
      </c>
      <c r="AP49" s="520" t="e">
        <f ca="1">_xll.ciqfunctions.udf.CIQ(A49, "IQ_BUSINESS_DESCRIPTION")</f>
        <v>#NAME?</v>
      </c>
      <c r="AQ49" s="521" t="e">
        <f ca="1">_xll.ciqfunctions.udf.CIQ($A49, "IQ_BETA_1YR", $B$1)</f>
        <v>#NAME?</v>
      </c>
      <c r="AR49" s="521" t="e">
        <f ca="1">_xll.ciqfunctions.udf.CIQ($A49, "IQ_BETA_2YR", $B$1)</f>
        <v>#NAME?</v>
      </c>
      <c r="AS49" s="521" t="e">
        <f ca="1">_xll.ciqfunctions.udf.CIQ($A49, "IQ_BETA_5YR", $B$1)</f>
        <v>#NAME?</v>
      </c>
      <c r="AT49" s="467" t="e">
        <f ca="1">_xll.ciqfunctions.udf.CIQ($B49, "IQ_GP", IQ_LTM,$B$1, ,,"USD")</f>
        <v>#NAME?</v>
      </c>
      <c r="AU49" s="518" t="e">
        <f ca="1">_xll.ciqfunctions.udf.CIQ($A49, "IQ_EARNING_CO", IQ_LTM-8, $L$2, $L$4, $L$3, $L$5, $L$6)</f>
        <v>#NAME?</v>
      </c>
      <c r="AV49" s="518" t="e">
        <f ca="1">_xll.ciqfunctions.udf.CIQ($A49, "IQ_EARNING_CO", IQ_LTM-4, $L$2, $L$4, $L$3, $L$5, $L$6)</f>
        <v>#NAME?</v>
      </c>
      <c r="AW49" s="518" t="e">
        <f ca="1">_xll.ciqfunctions.udf.CIQ($A49, "IQ_EARNING_CO", IQ_LTM, $L$2, $L$4, $L$3, $L$5, $L$6)</f>
        <v>#NAME?</v>
      </c>
      <c r="AX49" s="518" t="e">
        <f ca="1">_xll.ciqfunctions.udf.CIQ($A49, "IQ_EARNING_CO", $B$2, $L$2, $L$4, $L$3, $L$5, $L$6)</f>
        <v>#NAME?</v>
      </c>
      <c r="AY49" s="518" t="e">
        <f ca="1">IF(_xll.ciqfunctions.udf.CIQ($A49, "IQ_EARNING_CO", $B$3, $L$2,$L$4, $L$3, $L$5, $L$6)=0,AW49,_xll.ciqfunctions.udf.CIQ($A49, "IQ_EARNING_CO", $B$3, $L$2,$L$4, $L$3, $L$5, $L$6))</f>
        <v>#NAME?</v>
      </c>
      <c r="AZ49" s="518" t="e">
        <f ca="1">_xll.ciqfunctions.udf.CIQ($A49, "IQ_TOTAL_EQUITY", IQ_LTM-8, $L$2, $L$4, $L$3, $L$5, $L$6)</f>
        <v>#NAME?</v>
      </c>
      <c r="BA49" s="518" t="e">
        <f ca="1">_xll.ciqfunctions.udf.CIQ($A49, "IQ_TOTAL_EQUITY", IQ_LTM-4, $L$2, $L$4, $L$3, $L$5, $L$6)</f>
        <v>#NAME?</v>
      </c>
      <c r="BB49" s="518" t="e">
        <f ca="1">_xll.ciqfunctions.udf.CIQ($A49, "IQ_TOTAL_EQUITY", IQ_LTM, $L$2, $L$4, $L$3, $L$5, $L$6)</f>
        <v>#NAME?</v>
      </c>
      <c r="BC49" s="518" t="e">
        <f ca="1">_xll.ciqfunctions.udf.CIQ($A49, "IQ_TOTAL_EQUITY", $B$2, $L$2, $L$4, $L$3, $L$5, $L$6)</f>
        <v>#NAME?</v>
      </c>
      <c r="BD49" s="518" t="e">
        <f ca="1">IF(_xll.ciqfunctions.udf.CIQ($A49, "IQ_TOTAL_EQUITY", $B$3, $L$2,$L$4, $L$3, $L$5, $L$6)=0,BB49,_xll.ciqfunctions.udf.CIQ($A49, "IQ_TOTAL_EQUITY", $B$3, $L$2,$L$4, $L$3, $L$5, $L$6))</f>
        <v>#NAME?</v>
      </c>
      <c r="BE49" s="518" t="e">
        <f ca="1">_xll.ciqfunctions.udf.CIQ(A49, "IQ_LASTSALEPRICE", $B$8)</f>
        <v>#NAME?</v>
      </c>
      <c r="BF49" s="518" t="e">
        <f ca="1">_xll.ciqfunctions.udf.CIQ($A49, "IQ_MARKETCAP", $B$8, $L$5, $L$6)</f>
        <v>#NAME?</v>
      </c>
      <c r="BG49" s="518" t="e">
        <f ca="1">_xll.ciqfunctions.udf.CIQ($A49, "IQ_TOTAL_DEBT", IQ_LTM, $B$8,$L$4, $L$3, $L$5, $L$6)</f>
        <v>#NAME?</v>
      </c>
      <c r="BH49" s="466" t="e">
        <f ca="1">_xll.ciqfunctions.udf.CIQ($A49,"IQ_PREF_EQUITY",IQ_LTM,$B$8,$L$4,$L$3,$L$5,$L$6)</f>
        <v>#NAME?</v>
      </c>
      <c r="BI49" s="466" t="e">
        <f ca="1">_xll.ciqfunctions.udf.CIQ($A49, "IQ_MINORITY_INTEREST_TOTAL", IQ_LTM,$B$8,$L$4,$L$3,$L$5,$L$6)</f>
        <v>#NAME?</v>
      </c>
      <c r="BJ49" s="518" t="e">
        <f ca="1">_xll.ciqfunctions.udf.CIQ($A49, "IQ_CASH_ST_INVEST", IQ_LTM, $B$8, $L$4, $L$3, $L$5, $L$6)</f>
        <v>#NAME?</v>
      </c>
      <c r="BK49" s="466" t="e">
        <f ca="1">_xll.ciqfunctions.udf.CIQ($A49, "IQ_EFFECT_TAX_RATE")</f>
        <v>#NAME?</v>
      </c>
      <c r="BL49" s="466" t="e">
        <f ca="1">IF(_xll.ciqfunctions.udf.CIQ($A49, "IQ_TOTAL_REV_2YR_ANN_CAGR", IQ_LTM, $B$1,$L$4, $L$3, $L$5, $L$6)="NM","n/a",(_xll.ciqfunctions.udf.CIQ($A49, "IQ_TOTAL_REV_2YR_ANN_CAGR", IQ_LTM, $B$1,$L$4, $L$3, $L$5, $L$6)/100))</f>
        <v>#NAME?</v>
      </c>
      <c r="BM49" s="466" t="e">
        <f ca="1">IF(_xll.ciqfunctions.udf.CIQ($A49, "IQ_TOTAL_REV_3YR_ANN_CAGR", IQ_LTM, $B$1,$L$4, $L$3, $L$5, $L$6)="NM","n/a",(_xll.ciqfunctions.udf.CIQ($A49, "IQ_TOTAL_REV_3YR_ANN_CAGR", IQ_LTM, $B$1,$L$4, $L$3, $L$5, $L$6)/100))</f>
        <v>#NAME?</v>
      </c>
      <c r="BN49" s="466" t="e">
        <f ca="1">IF(_xll.ciqfunctions.udf.CIQ($A49, "IQ_TOTAL_REV_5YR_ANN_CAGR", IQ_LTM, $B$1,$L$4, $L$3, $L$5, $L$6)="NM","n/a",(_xll.ciqfunctions.udf.CIQ($A49, "IQ_TOTAL_REV_5YR_ANN_CAGR", IQ_LTM, $B$1,$L$4, $L$3, $L$5, $L$6)/100))</f>
        <v>#NAME?</v>
      </c>
      <c r="BO49" s="466" t="e">
        <f ca="1">IF(_xll.ciqfunctions.udf.CIQ($A49,"IQ_EBITDA_2YR_ANN_CAGR", IQ_LTM,$B$1,$L$4, $L$3, $L$5, $L$6)="NM","n/a",(_xll.ciqfunctions.udf.CIQ($A49,"IQ_EBITDA_2YR_ANN_CAGR", IQ_LTM,$B$1,$L$4, $L$3, $L$5, $L$6)/100))</f>
        <v>#NAME?</v>
      </c>
      <c r="BP49" s="466" t="e">
        <f ca="1">IF(_xll.ciqfunctions.udf.CIQ($A49,"IQ_EBITDA_3YR_ANN_CAGR", IQ_LTM,$B$1,$L$4, $L$3, $L$5, $L$6)="NM","n/a",(_xll.ciqfunctions.udf.CIQ($A49,"IQ_EBITDA_3YR_ANN_CAGR", IQ_LTM,$B$1,$L$4, $L$3, $L$5, $L$6)/100))</f>
        <v>#NAME?</v>
      </c>
      <c r="BQ49" s="466" t="e">
        <f ca="1">IF(_xll.ciqfunctions.udf.CIQ($A49,"IQ_EBITDA_5YR_ANN_CAGR", IQ_LTM,$B$1,$L$4, $L$3, $L$5, $L$6)="NM","n/a",(_xll.ciqfunctions.udf.CIQ($A49,"IQ_EBITDA_5YR_ANN_CAGR", IQ_LTM,$B$1,$L$4, $L$3, $L$5, $L$6)/100))</f>
        <v>#NAME?</v>
      </c>
      <c r="BR49" s="470" t="str">
        <f ca="1">IFERROR((_xll.ciqfunctions.udf.CIQ($A49, "IQ_DA_CF", IQ_LTM, $B$1, $L$4, $L$3, $L$5, $L$6)/Q49),"NM")</f>
        <v>NM</v>
      </c>
      <c r="BS49" s="519" t="e">
        <f>'Capital IQ Sheet-GPC'!BS49</f>
        <v>#VALUE!</v>
      </c>
      <c r="BT49" s="519" t="e">
        <f>'Capital IQ Sheet-GPC'!BT49</f>
        <v>#VALUE!</v>
      </c>
      <c r="BU49" s="519" t="e">
        <f>'Capital IQ Sheet-GPC'!BU49</f>
        <v>#VALUE!</v>
      </c>
      <c r="BV49" s="519" t="e">
        <f>'Capital IQ Sheet-GPC'!BV49</f>
        <v>#VALUE!</v>
      </c>
      <c r="BW49" s="519" t="e">
        <f>'Capital IQ Sheet-GPC'!BW49</f>
        <v>#VALUE!</v>
      </c>
      <c r="BX49" s="519" t="e">
        <f>'Capital IQ Sheet-GPC'!BX49</f>
        <v>#VALUE!</v>
      </c>
      <c r="BY49" s="519" t="e">
        <f>'Capital IQ Sheet-GPC'!BY49</f>
        <v>#VALUE!</v>
      </c>
      <c r="BZ49" s="519" t="e">
        <f>'Capital IQ Sheet-GPC'!BZ49</f>
        <v>#VALUE!</v>
      </c>
    </row>
    <row r="50" spans="1:83">
      <c r="A50" s="467" t="e">
        <f ca="1">_xll.ciqfunctions.udf.CIQ($B50,"IQ_COMPANY_TICKER")</f>
        <v>#NAME?</v>
      </c>
      <c r="B50" s="517" t="str">
        <f>'Capital IQ Sheet-GPC'!B50</f>
        <v>(Invalid Identifier)</v>
      </c>
      <c r="C50" s="467" t="e">
        <f ca="1">_xll.ciqfunctions.udf.CIQ($A50,"IQ_COMPANY_NAME")</f>
        <v>#NAME?</v>
      </c>
      <c r="D50" s="467" t="e">
        <f ca="1">_xll.ciqfunctions.udf.CIQ($A50, "IQ_EXCHANGE")</f>
        <v>#NAME?</v>
      </c>
      <c r="E50" s="516" t="e">
        <f ca="1">_xll.ciqfunctions.udf.CIQ($A50, "IQ_PERIODDATE_IS", IQ_FY)</f>
        <v>#NAME?</v>
      </c>
      <c r="F50" s="516" t="e">
        <f ca="1">_xll.ciqfunctions.udf.CIQ(A50, "IQ_PERIODDATE_IS", IQ_LTM, $B$1,$L$4,$L$3)</f>
        <v>#NAME?</v>
      </c>
      <c r="G50" s="516" t="e">
        <f ca="1">_xll.ciqfunctions.udf.CIQ($A50, "IQ_FIRSTPRICINGDATE")</f>
        <v>#NAME?</v>
      </c>
      <c r="H50" s="518" t="e">
        <f ca="1">_xll.ciqfunctions.udf.CIQ($A50, "IQ_TEV", $L$2, $L$5, $L$6)</f>
        <v>#NAME?</v>
      </c>
      <c r="I50" s="518" t="e">
        <f ca="1">_xll.ciqfunctions.udf.CIQ(A50, "IQ_LASTSALEPRICE", $B$1,$L$5)</f>
        <v>#NAME?</v>
      </c>
      <c r="J50" s="516" t="e">
        <f ca="1">_xll.ciqfunctions.udf.CIQ($B50, "IQ_FIRSTPRICINGDATE")</f>
        <v>#NAME?</v>
      </c>
      <c r="K50" s="518" t="e">
        <f ca="1">_xll.ciqfunctions.udf.CIQ($A50, "IQ_TOTAL_DEBT", IQ_LTM, $L$2,$L$4, $L$3, $L$5, $L$6)</f>
        <v>#NAME?</v>
      </c>
      <c r="L50" s="518" t="e">
        <f ca="1">_xll.ciqfunctions.udf.CIQ($A50, "IQ_PREF_EQUITY", IQ_LTM, $L$2, $L$4, $L$3, $L$5, $L$6)</f>
        <v>#NAME?</v>
      </c>
      <c r="M50" s="518" t="e">
        <f ca="1">_xll.ciqfunctions.udf.CIQ($A50, "IQ_MINORITY_INTEREST_TOTAL", IQ_LTM, $L$2, $L$4, $L$3, $L$5, $L$6)</f>
        <v>#NAME?</v>
      </c>
      <c r="N50" s="518" t="e">
        <f ca="1">_xll.ciqfunctions.udf.CIQ($A50, "IQ_CASH_ST_INVEST", IQ_LTM, $L$2, $L$4, $L$3, $L$5, $L$6)</f>
        <v>#NAME?</v>
      </c>
      <c r="O50" s="518" t="e">
        <f ca="1">_xll.ciqfunctions.udf.CIQ($A50, "IQ_TOTAL_REV", IQ_LTM-8, $L$2, $L$4, $L$3, $L$5, $L$6)</f>
        <v>#NAME?</v>
      </c>
      <c r="P50" s="518" t="e">
        <f ca="1">_xll.ciqfunctions.udf.CIQ($A50, "IQ_TOTAL_REV", IQ_LTM - 4, $L$2, $L$4, $L$3, $L$5,$L$6)</f>
        <v>#NAME?</v>
      </c>
      <c r="Q50" s="518" t="e">
        <f ca="1">_xll.ciqfunctions.udf.CIQ($A50, "IQ_TOTAL_REV", IQ_LTM, $L$2, $L$4, $L$3, $L$5, $L$6)</f>
        <v>#NAME?</v>
      </c>
      <c r="R50" s="518" t="e">
        <f ca="1">_xll.ciqfunctions.udf.CIQ($A50, "IQ_TOTAL_REV", $B$2, $L$2, $L$4, $L$3, $L$5, $L$6)</f>
        <v>#NAME?</v>
      </c>
      <c r="S50" s="518" t="e">
        <f ca="1">IF(_xll.ciqfunctions.udf.CIQ($A50, "IQ_TOTAL_REV", $B$3, $L$2,$L$4, $L$3, $L$5, $L$6)=0,Q50,_xll.ciqfunctions.udf.CIQ($A50, "IQ_TOTAL_REV", $B$3, $L$2,$L$4, $L$3, $L$5, $L$6))</f>
        <v>#NAME?</v>
      </c>
      <c r="T50" s="518" t="e">
        <f ca="1">IF(_xll.ciqfunctions.udf.CIQ($A50, "IQ_REVENUE_EST",$B$4, $L$2, "CON", $L$3, $L$5, $L$6)=0,"n/a",_xll.ciqfunctions.udf.CIQ($A50, "IQ_REVENUE_EST",$B$4, $L$2, "CON", $L$3, $L$5, $L$6))</f>
        <v>#NAME?</v>
      </c>
      <c r="U50" s="518" t="e">
        <f ca="1">IF(_xll.ciqfunctions.udf.CIQ($A50, "IQ_REVENUE_EST",$B$5, $L$2, "CON", $L$3, $L$5, $L$6)=0,"n/a",_xll.ciqfunctions.udf.CIQ($A50, "IQ_REVENUE_EST",$B$5, $L$2, "CON", $L$3, $L$5, $L$6))</f>
        <v>#NAME?</v>
      </c>
      <c r="V50" s="518" t="e">
        <f ca="1">IF(_xll.ciqfunctions.udf.CIQ($A50, "IQ_REVENUE_EST",$B$6, $L$2, "CON", $L$3, $L$5, $L$6)=0,"n/a",_xll.ciqfunctions.udf.CIQ($A50, "IQ_REVENUE_EST",$B$6, $L$2, "CON", $L$3, $L$5, $L$6))</f>
        <v>#NAME?</v>
      </c>
      <c r="W50" s="518" t="e">
        <f ca="1">IF(_xll.ciqfunctions.udf.CIQ($A50, "IQ_REVENUE_EST", $B$7, $L$2, "CON", $L$3, $L$5, $L$6)=0,"n/a",_xll.ciqfunctions.udf.CIQ($A50, "IQ_REVENUE_EST",$B$7, $L$2, "CON", $L$3, $L$5, $L$6))</f>
        <v>#NAME?</v>
      </c>
      <c r="X50" s="518" t="e">
        <f ca="1">_xll.ciqfunctions.udf.CIQ($A50, "IQ_EBITDA", IQ_LTM-8, $L$2, $L$4, $L$3, $L$5, $L$6)</f>
        <v>#NAME?</v>
      </c>
      <c r="Y50" s="518" t="e">
        <f ca="1">_xll.ciqfunctions.udf.CIQ($A50, "IQ_EBITDA", IQ_LTM-4, $L$2,$L$4, $L$3, $L$5, $L$6)</f>
        <v>#NAME?</v>
      </c>
      <c r="Z50" s="518" t="e">
        <f ca="1">_xll.ciqfunctions.udf.CIQ($A50, "IQ_EBITDA", IQ_LTM, $L$2, $L$4, $L$3, $L$5, $L$6)</f>
        <v>#NAME?</v>
      </c>
      <c r="AA50" s="518" t="e">
        <f ca="1">_xll.ciqfunctions.udf.CIQ($A50, "IQ_EBITDA", $B$2, $L$2, $L$4, $L$3, $L$5, $L$6)</f>
        <v>#NAME?</v>
      </c>
      <c r="AB50" s="518" t="e">
        <f ca="1">IF(_xll.ciqfunctions.udf.CIQ($A50, "IQ_EBITDA", $B$3, $L$2,$L$4, $L$3, $L$5, $L$6)=0,Z50,_xll.ciqfunctions.udf.CIQ($A50, "IQ_EBITDA", $B$3, $L$2,$L$4, $L$3, $L$5, $L$6))</f>
        <v>#NAME?</v>
      </c>
      <c r="AC50" s="518" t="e">
        <f ca="1">IF(_xll.ciqfunctions.udf.CIQ($A50, "IQ_EBITDA_EST",$B$4, $L$2, "CON", $L$3, $L$5, $L$6)=0,"n/a",_xll.ciqfunctions.udf.CIQ($A50, "IQ_EBITDA_EST",$B$4, $L$2, "CON", $L$3, $L$5, $L$6))</f>
        <v>#NAME?</v>
      </c>
      <c r="AD50" s="467" t="e">
        <f ca="1">IF(_xll.ciqfunctions.udf.CIQ($A50, "IQ_EBITDA_EST",$B$5, $L$2, "CON", $L$3, $L$5, $L$6)=0,"n/a",_xll.ciqfunctions.udf.CIQ($A50, "IQ_EBITDA_EST",$B$5, $L$2, "CON", $L$3, $L$5, $L$6))</f>
        <v>#NAME?</v>
      </c>
      <c r="AE50" s="518" t="e">
        <f ca="1">IF(_xll.ciqfunctions.udf.CIQ($A50, "IQ_EBITDA_EST",$B$6, $L$2, "CON", $L$3, $L$5, $L$6)=0,"n/a",_xll.ciqfunctions.udf.CIQ($A50, "IQ_EBITDA_EST",$B$6, $L$2, "CON", $L$3, $L$5, $L$6))</f>
        <v>#NAME?</v>
      </c>
      <c r="AF50" s="519" t="str">
        <f ca="1">IF(ISERROR(_xll.ciqfunctions.udf.CIQ($A50, "IQ_GROSS_MARGIN", IQ_LTM, $L$2,$L$4, $L$3, $L$5, $L$6)/100), "n/a", _xll.ciqfunctions.udf.CIQ($A50,  "IQ_GROSS_MARGIN", IQ_LTM, $L$2, $L$4, $L$3, $L$5, $L$6)/100)</f>
        <v>n/a</v>
      </c>
      <c r="AG50" s="519" t="str">
        <f ca="1">IF(ISERROR(_xll.ciqfunctions.udf.CIQ($A50,"IQ_EBITDA_MARGIN", IQ_LTM, $L$2, $L$4, $L$3, $L$5, $L$6)/100), "n/a", _xll.ciqfunctions.udf.CIQ($A50, "IQ_EBITDA_MARGIN", IQ_LTM, $L$2, $L$4, $L$3, $L$5, $L$6)/100)</f>
        <v>n/a</v>
      </c>
      <c r="AH50" s="519" t="str">
        <f ca="1">IF(ISERROR(_xll.ciqfunctions.udf.CIQ($A50,"IQ_EBIT_MARGIN", IQ_LTM, $L$2, $L$4, $L$3, $L$5, $L$6)/100), "n/a", _xll.ciqfunctions.udf.CIQ($A50, "IQ_EBIT_MARGIN", IQ_LTM, $L$2, $L$4, $L$3, $L$5, $L$6)/100)</f>
        <v>n/a</v>
      </c>
      <c r="AI50" s="519" t="str">
        <f ca="1">IF(ISERROR(_xll.ciqfunctions.udf.CIQ($A50,"IQ_NI_MARGIN", IQ_LTM, $L$2, $L$4, $L$3, $L$5, $L$6)/100), "n/a", _xll.ciqfunctions.udf.CIQ($A50, "IQ_NI_MARGIN", IQ_LTM, $L$2, $L$4, $L$3, $L$5, $L$6)/100)</f>
        <v>n/a</v>
      </c>
      <c r="AJ50" s="518" t="str">
        <f ca="1">IF(ISERROR(_xll.ciqfunctions.udf.CIQ($A50, "IQ_NET_WORKING_CAP", IQ_LTM-8, $L$2, $L$4, $L$3, $L$5, $L$6)), "n/a", _xll.ciqfunctions.udf.CIQ($A50, "IQ_NET_WORKING_CAP", IQ_LTM-8, $L$2, $L$4, $L$3, $L$5, $L$6))</f>
        <v>n/a</v>
      </c>
      <c r="AK50" s="518" t="str">
        <f ca="1">IF(ISERROR(_xll.ciqfunctions.udf.CIQ($A50, "IQ_NET_WORKING_CAP", IQ_LTM-4, $L$2, $L$4, $L$3, $L$5, $L$6)), "n/a", _xll.ciqfunctions.udf.CIQ($A50, "IQ_NET_WORKING_CAP", IQ_LTM-4, $L$2, $L$4, $L$3, $L$5, $L$6))</f>
        <v>n/a</v>
      </c>
      <c r="AL50" s="518" t="str">
        <f ca="1">IF(ISERROR(_xll.ciqfunctions.udf.CIQ($A50, "IQ_NET_WORKING_CAP", IQ_LTM, $L$2,$L$4, $L$3, $L$5, $L$6)), "n/a", _xll.ciqfunctions.udf.CIQ($A50, "IQ_NET_WORKING_CAP", IQ_LTM, $L$2, $L$4, $L$3, $L$5, $L$6))</f>
        <v>n/a</v>
      </c>
      <c r="AM50" s="518" t="str">
        <f ca="1">IF(ISERROR(_xll.ciqfunctions.udf.CIQ($A50, "IQ_Capex", IQ_LTM-8, $L$2,$L$4, $L$3, $L$5, $L$6)), "n/a", _xll.ciqfunctions.udf.CIQ($A50, "IQ_Capex", IQ_LTM-8, $L$2, $L$4, $L$3, $L$5, $L$6))</f>
        <v>n/a</v>
      </c>
      <c r="AN50" s="518" t="str">
        <f ca="1">IF(ISERROR(_xll.ciqfunctions.udf.CIQ($A50, "IQ_Capex", IQ_LTM-4, $L$2,$L$4, $L$3, $L$5, $L$6)), "n/a", _xll.ciqfunctions.udf.CIQ($A50, "IQ_Capex", IQ_LTM-4, $L$2,$L$4, $L$3, $L$5, $L$6))</f>
        <v>n/a</v>
      </c>
      <c r="AO50" s="518" t="str">
        <f ca="1">IF(ISERROR(_xll.ciqfunctions.udf.CIQ($A50, "IQ_Capex", IQ_LTM, $L$2, $L$4, $L$3, $L$5, $L$6)), "n/a", _xll.ciqfunctions.udf.CIQ($A50, "IQ_Capex", IQ_LTM, $L$2, $L$4, $L$3, $L$5, $L$6))</f>
        <v>n/a</v>
      </c>
      <c r="AP50" s="520" t="e">
        <f ca="1">_xll.ciqfunctions.udf.CIQ(A50, "IQ_BUSINESS_DESCRIPTION")</f>
        <v>#NAME?</v>
      </c>
      <c r="AQ50" s="521" t="e">
        <f ca="1">_xll.ciqfunctions.udf.CIQ($A50, "IQ_BETA_1YR", $B$1)</f>
        <v>#NAME?</v>
      </c>
      <c r="AR50" s="521" t="e">
        <f ca="1">_xll.ciqfunctions.udf.CIQ($A50, "IQ_BETA_2YR", $B$1)</f>
        <v>#NAME?</v>
      </c>
      <c r="AS50" s="521" t="e">
        <f ca="1">_xll.ciqfunctions.udf.CIQ($A50, "IQ_BETA_5YR", $B$1)</f>
        <v>#NAME?</v>
      </c>
      <c r="AT50" s="467" t="e">
        <f ca="1">_xll.ciqfunctions.udf.CIQ($B50, "IQ_GP", IQ_LTM,$B$1, ,,"USD")</f>
        <v>#NAME?</v>
      </c>
      <c r="AU50" s="518" t="e">
        <f ca="1">_xll.ciqfunctions.udf.CIQ($A50, "IQ_EARNING_CO", IQ_LTM-8, $L$2, $L$4, $L$3, $L$5, $L$6)</f>
        <v>#NAME?</v>
      </c>
      <c r="AV50" s="518" t="e">
        <f ca="1">_xll.ciqfunctions.udf.CIQ($A50, "IQ_EARNING_CO", IQ_LTM-4, $L$2, $L$4, $L$3, $L$5, $L$6)</f>
        <v>#NAME?</v>
      </c>
      <c r="AW50" s="518" t="e">
        <f ca="1">_xll.ciqfunctions.udf.CIQ($A50, "IQ_EARNING_CO", IQ_LTM, $L$2, $L$4, $L$3, $L$5, $L$6)</f>
        <v>#NAME?</v>
      </c>
      <c r="AX50" s="518" t="e">
        <f ca="1">_xll.ciqfunctions.udf.CIQ($A50, "IQ_EARNING_CO", $B$2, $L$2, $L$4, $L$3, $L$5, $L$6)</f>
        <v>#NAME?</v>
      </c>
      <c r="AY50" s="518" t="e">
        <f ca="1">IF(_xll.ciqfunctions.udf.CIQ($A50, "IQ_EARNING_CO", $B$3, $L$2,$L$4, $L$3, $L$5, $L$6)=0,AW50,_xll.ciqfunctions.udf.CIQ($A50, "IQ_EARNING_CO", $B$3, $L$2,$L$4, $L$3, $L$5, $L$6))</f>
        <v>#NAME?</v>
      </c>
      <c r="AZ50" s="518" t="e">
        <f ca="1">_xll.ciqfunctions.udf.CIQ($A50, "IQ_TOTAL_EQUITY", IQ_LTM-8, $L$2, $L$4, $L$3, $L$5, $L$6)</f>
        <v>#NAME?</v>
      </c>
      <c r="BA50" s="518" t="e">
        <f ca="1">_xll.ciqfunctions.udf.CIQ($A50, "IQ_TOTAL_EQUITY", IQ_LTM-4, $L$2, $L$4, $L$3, $L$5, $L$6)</f>
        <v>#NAME?</v>
      </c>
      <c r="BB50" s="518" t="e">
        <f ca="1">_xll.ciqfunctions.udf.CIQ($A50, "IQ_TOTAL_EQUITY", IQ_LTM, $L$2, $L$4, $L$3, $L$5, $L$6)</f>
        <v>#NAME?</v>
      </c>
      <c r="BC50" s="518" t="e">
        <f ca="1">_xll.ciqfunctions.udf.CIQ($A50, "IQ_TOTAL_EQUITY", $B$2, $L$2, $L$4, $L$3, $L$5, $L$6)</f>
        <v>#NAME?</v>
      </c>
      <c r="BD50" s="518" t="e">
        <f ca="1">IF(_xll.ciqfunctions.udf.CIQ($A50, "IQ_TOTAL_EQUITY", $B$3, $L$2,$L$4, $L$3, $L$5, $L$6)=0,BB50,_xll.ciqfunctions.udf.CIQ($A50, "IQ_TOTAL_EQUITY", $B$3, $L$2,$L$4, $L$3, $L$5, $L$6))</f>
        <v>#NAME?</v>
      </c>
      <c r="BE50" s="518" t="e">
        <f ca="1">_xll.ciqfunctions.udf.CIQ(A50, "IQ_LASTSALEPRICE", $B$8)</f>
        <v>#NAME?</v>
      </c>
      <c r="BF50" s="518" t="e">
        <f ca="1">_xll.ciqfunctions.udf.CIQ($A50, "IQ_MARKETCAP", $B$8, $L$5, $L$6)</f>
        <v>#NAME?</v>
      </c>
      <c r="BG50" s="518" t="e">
        <f ca="1">_xll.ciqfunctions.udf.CIQ($A50, "IQ_TOTAL_DEBT", IQ_LTM, $B$8,$L$4, $L$3, $L$5, $L$6)</f>
        <v>#NAME?</v>
      </c>
      <c r="BH50" s="466" t="e">
        <f ca="1">_xll.ciqfunctions.udf.CIQ($A50,"IQ_PREF_EQUITY",IQ_LTM,$B$8,$L$4,$L$3,$L$5,$L$6)</f>
        <v>#NAME?</v>
      </c>
      <c r="BI50" s="466" t="e">
        <f ca="1">_xll.ciqfunctions.udf.CIQ($A50, "IQ_MINORITY_INTEREST_TOTAL", IQ_LTM,$B$8,$L$4,$L$3,$L$5,$L$6)</f>
        <v>#NAME?</v>
      </c>
      <c r="BJ50" s="518" t="e">
        <f ca="1">_xll.ciqfunctions.udf.CIQ($A50, "IQ_CASH_ST_INVEST", IQ_LTM, $B$8, $L$4, $L$3, $L$5, $L$6)</f>
        <v>#NAME?</v>
      </c>
      <c r="BK50" s="466" t="e">
        <f ca="1">_xll.ciqfunctions.udf.CIQ($A50, "IQ_EFFECT_TAX_RATE")</f>
        <v>#NAME?</v>
      </c>
      <c r="BL50" s="466" t="e">
        <f ca="1">IF(_xll.ciqfunctions.udf.CIQ($A50, "IQ_TOTAL_REV_2YR_ANN_CAGR", IQ_LTM, $B$1,$L$4, $L$3, $L$5, $L$6)="NM","n/a",(_xll.ciqfunctions.udf.CIQ($A50, "IQ_TOTAL_REV_2YR_ANN_CAGR", IQ_LTM, $B$1,$L$4, $L$3, $L$5, $L$6)/100))</f>
        <v>#NAME?</v>
      </c>
      <c r="BM50" s="466" t="e">
        <f ca="1">IF(_xll.ciqfunctions.udf.CIQ($A50, "IQ_TOTAL_REV_3YR_ANN_CAGR", IQ_LTM, $B$1,$L$4, $L$3, $L$5, $L$6)="NM","n/a",(_xll.ciqfunctions.udf.CIQ($A50, "IQ_TOTAL_REV_3YR_ANN_CAGR", IQ_LTM, $B$1,$L$4, $L$3, $L$5, $L$6)/100))</f>
        <v>#NAME?</v>
      </c>
      <c r="BN50" s="466" t="e">
        <f ca="1">IF(_xll.ciqfunctions.udf.CIQ($A50, "IQ_TOTAL_REV_5YR_ANN_CAGR", IQ_LTM, $B$1,$L$4, $L$3, $L$5, $L$6)="NM","n/a",(_xll.ciqfunctions.udf.CIQ($A50, "IQ_TOTAL_REV_5YR_ANN_CAGR", IQ_LTM, $B$1,$L$4, $L$3, $L$5, $L$6)/100))</f>
        <v>#NAME?</v>
      </c>
      <c r="BO50" s="466" t="e">
        <f ca="1">IF(_xll.ciqfunctions.udf.CIQ($A50,"IQ_EBITDA_2YR_ANN_CAGR", IQ_LTM,$B$1,$L$4, $L$3, $L$5, $L$6)="NM","n/a",(_xll.ciqfunctions.udf.CIQ($A50,"IQ_EBITDA_2YR_ANN_CAGR", IQ_LTM,$B$1,$L$4, $L$3, $L$5, $L$6)/100))</f>
        <v>#NAME?</v>
      </c>
      <c r="BP50" s="466" t="e">
        <f ca="1">IF(_xll.ciqfunctions.udf.CIQ($A50,"IQ_EBITDA_3YR_ANN_CAGR", IQ_LTM,$B$1,$L$4, $L$3, $L$5, $L$6)="NM","n/a",(_xll.ciqfunctions.udf.CIQ($A50,"IQ_EBITDA_3YR_ANN_CAGR", IQ_LTM,$B$1,$L$4, $L$3, $L$5, $L$6)/100))</f>
        <v>#NAME?</v>
      </c>
      <c r="BQ50" s="466" t="e">
        <f ca="1">IF(_xll.ciqfunctions.udf.CIQ($A50,"IQ_EBITDA_5YR_ANN_CAGR", IQ_LTM,$B$1,$L$4, $L$3, $L$5, $L$6)="NM","n/a",(_xll.ciqfunctions.udf.CIQ($A50,"IQ_EBITDA_5YR_ANN_CAGR", IQ_LTM,$B$1,$L$4, $L$3, $L$5, $L$6)/100))</f>
        <v>#NAME?</v>
      </c>
      <c r="BR50" s="470" t="str">
        <f ca="1">IFERROR((_xll.ciqfunctions.udf.CIQ($A50, "IQ_DA_CF", IQ_LTM, $B$1, $L$4, $L$3, $L$5, $L$6)/Q50),"NM")</f>
        <v>NM</v>
      </c>
      <c r="BS50" s="519" t="e">
        <f>'Capital IQ Sheet-GPC'!BS50</f>
        <v>#VALUE!</v>
      </c>
      <c r="BT50" s="519" t="e">
        <f>'Capital IQ Sheet-GPC'!BT50</f>
        <v>#VALUE!</v>
      </c>
      <c r="BU50" s="519" t="e">
        <f>'Capital IQ Sheet-GPC'!BU50</f>
        <v>#VALUE!</v>
      </c>
      <c r="BV50" s="519" t="e">
        <f>'Capital IQ Sheet-GPC'!BV50</f>
        <v>#VALUE!</v>
      </c>
      <c r="BW50" s="519" t="e">
        <f>'Capital IQ Sheet-GPC'!BW50</f>
        <v>#VALUE!</v>
      </c>
      <c r="BX50" s="519" t="e">
        <f>'Capital IQ Sheet-GPC'!BX50</f>
        <v>#VALUE!</v>
      </c>
      <c r="BY50" s="519" t="e">
        <f>'Capital IQ Sheet-GPC'!BY50</f>
        <v>#VALUE!</v>
      </c>
      <c r="BZ50" s="519" t="e">
        <f>'Capital IQ Sheet-GPC'!BZ50</f>
        <v>#VALUE!</v>
      </c>
    </row>
    <row r="51" spans="1:83">
      <c r="A51" s="467" t="e">
        <f ca="1">_xll.ciqfunctions.udf.CIQ($B51,"IQ_COMPANY_TICKER")</f>
        <v>#NAME?</v>
      </c>
      <c r="B51" s="517" t="str">
        <f>'Capital IQ Sheet-GPC'!B51</f>
        <v>(Invalid Identifier)</v>
      </c>
      <c r="C51" s="467" t="e">
        <f ca="1">_xll.ciqfunctions.udf.CIQ($A51,"IQ_COMPANY_NAME")</f>
        <v>#NAME?</v>
      </c>
      <c r="D51" s="467" t="e">
        <f ca="1">_xll.ciqfunctions.udf.CIQ($A51, "IQ_EXCHANGE")</f>
        <v>#NAME?</v>
      </c>
      <c r="E51" s="516" t="e">
        <f ca="1">_xll.ciqfunctions.udf.CIQ($A51, "IQ_PERIODDATE_IS", IQ_FY)</f>
        <v>#NAME?</v>
      </c>
      <c r="F51" s="516" t="e">
        <f ca="1">_xll.ciqfunctions.udf.CIQ(A51, "IQ_PERIODDATE_IS", IQ_LTM, $B$1,$L$4,$L$3)</f>
        <v>#NAME?</v>
      </c>
      <c r="G51" s="516" t="e">
        <f ca="1">_xll.ciqfunctions.udf.CIQ($A51, "IQ_FIRSTPRICINGDATE")</f>
        <v>#NAME?</v>
      </c>
      <c r="H51" s="518" t="e">
        <f ca="1">_xll.ciqfunctions.udf.CIQ($A51, "IQ_TEV", $L$2, $L$5, $L$6)</f>
        <v>#NAME?</v>
      </c>
      <c r="I51" s="518" t="e">
        <f ca="1">_xll.ciqfunctions.udf.CIQ(A51, "IQ_LASTSALEPRICE", $B$1,$L$5)</f>
        <v>#NAME?</v>
      </c>
      <c r="J51" s="516" t="e">
        <f ca="1">_xll.ciqfunctions.udf.CIQ($B51, "IQ_FIRSTPRICINGDATE")</f>
        <v>#NAME?</v>
      </c>
      <c r="K51" s="518" t="e">
        <f ca="1">_xll.ciqfunctions.udf.CIQ($A51, "IQ_TOTAL_DEBT", IQ_LTM, $L$2,$L$4, $L$3, $L$5, $L$6)</f>
        <v>#NAME?</v>
      </c>
      <c r="L51" s="518" t="e">
        <f ca="1">_xll.ciqfunctions.udf.CIQ($A51, "IQ_PREF_EQUITY", IQ_LTM, $L$2, $L$4, $L$3, $L$5, $L$6)</f>
        <v>#NAME?</v>
      </c>
      <c r="M51" s="518" t="e">
        <f ca="1">_xll.ciqfunctions.udf.CIQ($A51, "IQ_MINORITY_INTEREST_TOTAL", IQ_LTM, $L$2, $L$4, $L$3, $L$5, $L$6)</f>
        <v>#NAME?</v>
      </c>
      <c r="N51" s="518" t="e">
        <f ca="1">_xll.ciqfunctions.udf.CIQ($A51, "IQ_CASH_ST_INVEST", IQ_LTM, $L$2, $L$4, $L$3, $L$5, $L$6)</f>
        <v>#NAME?</v>
      </c>
      <c r="O51" s="518" t="e">
        <f ca="1">_xll.ciqfunctions.udf.CIQ($A51, "IQ_TOTAL_REV", IQ_LTM-8, $L$2, $L$4, $L$3, $L$5, $L$6)</f>
        <v>#NAME?</v>
      </c>
      <c r="P51" s="518" t="e">
        <f ca="1">_xll.ciqfunctions.udf.CIQ($A51, "IQ_TOTAL_REV", IQ_LTM - 4, $L$2, $L$4, $L$3, $L$5,$L$6)</f>
        <v>#NAME?</v>
      </c>
      <c r="Q51" s="518" t="e">
        <f ca="1">_xll.ciqfunctions.udf.CIQ($A51, "IQ_TOTAL_REV", IQ_LTM, $L$2, $L$4, $L$3, $L$5, $L$6)</f>
        <v>#NAME?</v>
      </c>
      <c r="R51" s="518" t="e">
        <f ca="1">_xll.ciqfunctions.udf.CIQ($A51, "IQ_TOTAL_REV", $B$2, $L$2, $L$4, $L$3, $L$5, $L$6)</f>
        <v>#NAME?</v>
      </c>
      <c r="S51" s="518" t="e">
        <f ca="1">IF(_xll.ciqfunctions.udf.CIQ($A51, "IQ_TOTAL_REV", $B$3, $L$2,$L$4, $L$3, $L$5, $L$6)=0,Q51,_xll.ciqfunctions.udf.CIQ($A51, "IQ_TOTAL_REV", $B$3, $L$2,$L$4, $L$3, $L$5, $L$6))</f>
        <v>#NAME?</v>
      </c>
      <c r="T51" s="518" t="e">
        <f ca="1">IF(_xll.ciqfunctions.udf.CIQ($A51, "IQ_REVENUE_EST",$B$4, $L$2, "CON", $L$3, $L$5, $L$6)=0,"n/a",_xll.ciqfunctions.udf.CIQ($A51, "IQ_REVENUE_EST",$B$4, $L$2, "CON", $L$3, $L$5, $L$6))</f>
        <v>#NAME?</v>
      </c>
      <c r="U51" s="518" t="e">
        <f ca="1">IF(_xll.ciqfunctions.udf.CIQ($A51, "IQ_REVENUE_EST",$B$5, $L$2, "CON", $L$3, $L$5, $L$6)=0,"n/a",_xll.ciqfunctions.udf.CIQ($A51, "IQ_REVENUE_EST",$B$5, $L$2, "CON", $L$3, $L$5, $L$6))</f>
        <v>#NAME?</v>
      </c>
      <c r="V51" s="518" t="e">
        <f ca="1">IF(_xll.ciqfunctions.udf.CIQ($A51, "IQ_REVENUE_EST",$B$6, $L$2, "CON", $L$3, $L$5, $L$6)=0,"n/a",_xll.ciqfunctions.udf.CIQ($A51, "IQ_REVENUE_EST",$B$6, $L$2, "CON", $L$3, $L$5, $L$6))</f>
        <v>#NAME?</v>
      </c>
      <c r="W51" s="518" t="e">
        <f ca="1">IF(_xll.ciqfunctions.udf.CIQ($A51, "IQ_REVENUE_EST", $B$7, $L$2, "CON", $L$3, $L$5, $L$6)=0,"n/a",_xll.ciqfunctions.udf.CIQ($A51, "IQ_REVENUE_EST",$B$7, $L$2, "CON", $L$3, $L$5, $L$6))</f>
        <v>#NAME?</v>
      </c>
      <c r="X51" s="518" t="e">
        <f ca="1">_xll.ciqfunctions.udf.CIQ($A51, "IQ_EBITDA", IQ_LTM-8, $L$2, $L$4, $L$3, $L$5, $L$6)</f>
        <v>#NAME?</v>
      </c>
      <c r="Y51" s="518" t="e">
        <f ca="1">_xll.ciqfunctions.udf.CIQ($A51, "IQ_EBITDA", IQ_LTM-4, $L$2,$L$4, $L$3, $L$5, $L$6)</f>
        <v>#NAME?</v>
      </c>
      <c r="Z51" s="518" t="e">
        <f ca="1">_xll.ciqfunctions.udf.CIQ($A51, "IQ_EBITDA", IQ_LTM, $L$2, $L$4, $L$3, $L$5, $L$6)</f>
        <v>#NAME?</v>
      </c>
      <c r="AA51" s="518" t="e">
        <f ca="1">_xll.ciqfunctions.udf.CIQ($A51, "IQ_EBITDA", $B$2, $L$2, $L$4, $L$3, $L$5, $L$6)</f>
        <v>#NAME?</v>
      </c>
      <c r="AB51" s="518" t="e">
        <f ca="1">IF(_xll.ciqfunctions.udf.CIQ($A51, "IQ_EBITDA", $B$3, $L$2,$L$4, $L$3, $L$5, $L$6)=0,Z51,_xll.ciqfunctions.udf.CIQ($A51, "IQ_EBITDA", $B$3, $L$2,$L$4, $L$3, $L$5, $L$6))</f>
        <v>#NAME?</v>
      </c>
      <c r="AC51" s="518" t="e">
        <f ca="1">IF(_xll.ciqfunctions.udf.CIQ($A51, "IQ_EBITDA_EST",$B$4, $L$2, "CON", $L$3, $L$5, $L$6)=0,"n/a",_xll.ciqfunctions.udf.CIQ($A51, "IQ_EBITDA_EST",$B$4, $L$2, "CON", $L$3, $L$5, $L$6))</f>
        <v>#NAME?</v>
      </c>
      <c r="AD51" s="467" t="e">
        <f ca="1">IF(_xll.ciqfunctions.udf.CIQ($A51, "IQ_EBITDA_EST",$B$5, $L$2, "CON", $L$3, $L$5, $L$6)=0,"n/a",_xll.ciqfunctions.udf.CIQ($A51, "IQ_EBITDA_EST",$B$5, $L$2, "CON", $L$3, $L$5, $L$6))</f>
        <v>#NAME?</v>
      </c>
      <c r="AE51" s="518" t="e">
        <f ca="1">IF(_xll.ciqfunctions.udf.CIQ($A51, "IQ_EBITDA_EST",$B$6, $L$2, "CON", $L$3, $L$5, $L$6)=0,"n/a",_xll.ciqfunctions.udf.CIQ($A51, "IQ_EBITDA_EST",$B$6, $L$2, "CON", $L$3, $L$5, $L$6))</f>
        <v>#NAME?</v>
      </c>
      <c r="AF51" s="519" t="str">
        <f ca="1">IF(ISERROR(_xll.ciqfunctions.udf.CIQ($A51, "IQ_GROSS_MARGIN", IQ_LTM, $L$2,$L$4, $L$3, $L$5, $L$6)/100), "n/a", _xll.ciqfunctions.udf.CIQ($A51,  "IQ_GROSS_MARGIN", IQ_LTM, $L$2, $L$4, $L$3, $L$5, $L$6)/100)</f>
        <v>n/a</v>
      </c>
      <c r="AG51" s="519" t="str">
        <f ca="1">IF(ISERROR(_xll.ciqfunctions.udf.CIQ($A51,"IQ_EBITDA_MARGIN", IQ_LTM, $L$2, $L$4, $L$3, $L$5, $L$6)/100), "n/a", _xll.ciqfunctions.udf.CIQ($A51, "IQ_EBITDA_MARGIN", IQ_LTM, $L$2, $L$4, $L$3, $L$5, $L$6)/100)</f>
        <v>n/a</v>
      </c>
      <c r="AH51" s="519" t="str">
        <f ca="1">IF(ISERROR(_xll.ciqfunctions.udf.CIQ($A51,"IQ_EBIT_MARGIN", IQ_LTM, $L$2, $L$4, $L$3, $L$5, $L$6)/100), "n/a", _xll.ciqfunctions.udf.CIQ($A51, "IQ_EBIT_MARGIN", IQ_LTM, $L$2, $L$4, $L$3, $L$5, $L$6)/100)</f>
        <v>n/a</v>
      </c>
      <c r="AI51" s="519" t="str">
        <f ca="1">IF(ISERROR(_xll.ciqfunctions.udf.CIQ($A51,"IQ_NI_MARGIN", IQ_LTM, $L$2, $L$4, $L$3, $L$5, $L$6)/100), "n/a", _xll.ciqfunctions.udf.CIQ($A51, "IQ_NI_MARGIN", IQ_LTM, $L$2, $L$4, $L$3, $L$5, $L$6)/100)</f>
        <v>n/a</v>
      </c>
      <c r="AJ51" s="518" t="str">
        <f ca="1">IF(ISERROR(_xll.ciqfunctions.udf.CIQ($A51, "IQ_NET_WORKING_CAP", IQ_LTM-8, $L$2, $L$4, $L$3, $L$5, $L$6)), "n/a", _xll.ciqfunctions.udf.CIQ($A51, "IQ_NET_WORKING_CAP", IQ_LTM-8, $L$2, $L$4, $L$3, $L$5, $L$6))</f>
        <v>n/a</v>
      </c>
      <c r="AK51" s="518" t="str">
        <f ca="1">IF(ISERROR(_xll.ciqfunctions.udf.CIQ($A51, "IQ_NET_WORKING_CAP", IQ_LTM-4, $L$2, $L$4, $L$3, $L$5, $L$6)), "n/a", _xll.ciqfunctions.udf.CIQ($A51, "IQ_NET_WORKING_CAP", IQ_LTM-4, $L$2, $L$4, $L$3, $L$5, $L$6))</f>
        <v>n/a</v>
      </c>
      <c r="AL51" s="518" t="str">
        <f ca="1">IF(ISERROR(_xll.ciqfunctions.udf.CIQ($A51, "IQ_NET_WORKING_CAP", IQ_LTM, $L$2,$L$4, $L$3, $L$5, $L$6)), "n/a", _xll.ciqfunctions.udf.CIQ($A51, "IQ_NET_WORKING_CAP", IQ_LTM, $L$2, $L$4, $L$3, $L$5, $L$6))</f>
        <v>n/a</v>
      </c>
      <c r="AM51" s="518" t="str">
        <f ca="1">IF(ISERROR(_xll.ciqfunctions.udf.CIQ($A51, "IQ_Capex", IQ_LTM-8, $L$2,$L$4, $L$3, $L$5, $L$6)), "n/a", _xll.ciqfunctions.udf.CIQ($A51, "IQ_Capex", IQ_LTM-8, $L$2, $L$4, $L$3, $L$5, $L$6))</f>
        <v>n/a</v>
      </c>
      <c r="AN51" s="518" t="str">
        <f ca="1">IF(ISERROR(_xll.ciqfunctions.udf.CIQ($A51, "IQ_Capex", IQ_LTM-4, $L$2,$L$4, $L$3, $L$5, $L$6)), "n/a", _xll.ciqfunctions.udf.CIQ($A51, "IQ_Capex", IQ_LTM-4, $L$2,$L$4, $L$3, $L$5, $L$6))</f>
        <v>n/a</v>
      </c>
      <c r="AO51" s="518" t="str">
        <f ca="1">IF(ISERROR(_xll.ciqfunctions.udf.CIQ($A51, "IQ_Capex", IQ_LTM, $L$2, $L$4, $L$3, $L$5, $L$6)), "n/a", _xll.ciqfunctions.udf.CIQ($A51, "IQ_Capex", IQ_LTM, $L$2, $L$4, $L$3, $L$5, $L$6))</f>
        <v>n/a</v>
      </c>
      <c r="AP51" s="520" t="e">
        <f ca="1">_xll.ciqfunctions.udf.CIQ(A51, "IQ_BUSINESS_DESCRIPTION")</f>
        <v>#NAME?</v>
      </c>
      <c r="AQ51" s="521" t="e">
        <f ca="1">_xll.ciqfunctions.udf.CIQ($A51, "IQ_BETA_1YR", $B$1)</f>
        <v>#NAME?</v>
      </c>
      <c r="AR51" s="521" t="e">
        <f ca="1">_xll.ciqfunctions.udf.CIQ($A51, "IQ_BETA_2YR", $B$1)</f>
        <v>#NAME?</v>
      </c>
      <c r="AS51" s="521" t="e">
        <f ca="1">_xll.ciqfunctions.udf.CIQ($A51, "IQ_BETA_5YR", $B$1)</f>
        <v>#NAME?</v>
      </c>
      <c r="AT51" s="467" t="e">
        <f ca="1">_xll.ciqfunctions.udf.CIQ($B51, "IQ_GP", IQ_LTM,$B$1, ,,"USD")</f>
        <v>#NAME?</v>
      </c>
      <c r="AU51" s="518" t="e">
        <f ca="1">_xll.ciqfunctions.udf.CIQ($A51, "IQ_EARNING_CO", IQ_LTM-8, $L$2, $L$4, $L$3, $L$5, $L$6)</f>
        <v>#NAME?</v>
      </c>
      <c r="AV51" s="518" t="e">
        <f ca="1">_xll.ciqfunctions.udf.CIQ($A51, "IQ_EARNING_CO", IQ_LTM-4, $L$2, $L$4, $L$3, $L$5, $L$6)</f>
        <v>#NAME?</v>
      </c>
      <c r="AW51" s="518" t="e">
        <f ca="1">_xll.ciqfunctions.udf.CIQ($A51, "IQ_EARNING_CO", IQ_LTM, $L$2, $L$4, $L$3, $L$5, $L$6)</f>
        <v>#NAME?</v>
      </c>
      <c r="AX51" s="518" t="e">
        <f ca="1">_xll.ciqfunctions.udf.CIQ($A51, "IQ_EARNING_CO", $B$2, $L$2, $L$4, $L$3, $L$5, $L$6)</f>
        <v>#NAME?</v>
      </c>
      <c r="AY51" s="518" t="e">
        <f ca="1">IF(_xll.ciqfunctions.udf.CIQ($A51, "IQ_EARNING_CO", $B$3, $L$2,$L$4, $L$3, $L$5, $L$6)=0,AW51,_xll.ciqfunctions.udf.CIQ($A51, "IQ_EARNING_CO", $B$3, $L$2,$L$4, $L$3, $L$5, $L$6))</f>
        <v>#NAME?</v>
      </c>
      <c r="AZ51" s="518" t="e">
        <f ca="1">_xll.ciqfunctions.udf.CIQ($A51, "IQ_TOTAL_EQUITY", IQ_LTM-8, $L$2, $L$4, $L$3, $L$5, $L$6)</f>
        <v>#NAME?</v>
      </c>
      <c r="BA51" s="518" t="e">
        <f ca="1">_xll.ciqfunctions.udf.CIQ($A51, "IQ_TOTAL_EQUITY", IQ_LTM-4, $L$2, $L$4, $L$3, $L$5, $L$6)</f>
        <v>#NAME?</v>
      </c>
      <c r="BB51" s="518" t="e">
        <f ca="1">_xll.ciqfunctions.udf.CIQ($A51, "IQ_TOTAL_EQUITY", IQ_LTM, $L$2, $L$4, $L$3, $L$5, $L$6)</f>
        <v>#NAME?</v>
      </c>
      <c r="BC51" s="518" t="e">
        <f ca="1">_xll.ciqfunctions.udf.CIQ($A51, "IQ_TOTAL_EQUITY", $B$2, $L$2, $L$4, $L$3, $L$5, $L$6)</f>
        <v>#NAME?</v>
      </c>
      <c r="BD51" s="518" t="e">
        <f ca="1">IF(_xll.ciqfunctions.udf.CIQ($A51, "IQ_TOTAL_EQUITY", $B$3, $L$2,$L$4, $L$3, $L$5, $L$6)=0,BB51,_xll.ciqfunctions.udf.CIQ($A51, "IQ_TOTAL_EQUITY", $B$3, $L$2,$L$4, $L$3, $L$5, $L$6))</f>
        <v>#NAME?</v>
      </c>
      <c r="BE51" s="518" t="e">
        <f ca="1">_xll.ciqfunctions.udf.CIQ(A51, "IQ_LASTSALEPRICE", $B$8)</f>
        <v>#NAME?</v>
      </c>
      <c r="BF51" s="518" t="e">
        <f ca="1">_xll.ciqfunctions.udf.CIQ($A51, "IQ_MARKETCAP", $B$8, $L$5, $L$6)</f>
        <v>#NAME?</v>
      </c>
      <c r="BG51" s="518" t="e">
        <f ca="1">_xll.ciqfunctions.udf.CIQ($A51, "IQ_TOTAL_DEBT", IQ_LTM, $B$8,$L$4, $L$3, $L$5, $L$6)</f>
        <v>#NAME?</v>
      </c>
      <c r="BH51" s="466" t="e">
        <f ca="1">_xll.ciqfunctions.udf.CIQ($A51,"IQ_PREF_EQUITY",IQ_LTM,$B$8,$L$4,$L$3,$L$5,$L$6)</f>
        <v>#NAME?</v>
      </c>
      <c r="BI51" s="466" t="e">
        <f ca="1">_xll.ciqfunctions.udf.CIQ($A51, "IQ_MINORITY_INTEREST_TOTAL", IQ_LTM,$B$8,$L$4,$L$3,$L$5,$L$6)</f>
        <v>#NAME?</v>
      </c>
      <c r="BJ51" s="518" t="e">
        <f ca="1">_xll.ciqfunctions.udf.CIQ($A51, "IQ_CASH_ST_INVEST", IQ_LTM, $B$8, $L$4, $L$3, $L$5, $L$6)</f>
        <v>#NAME?</v>
      </c>
      <c r="BK51" s="466" t="e">
        <f ca="1">_xll.ciqfunctions.udf.CIQ($A51, "IQ_EFFECT_TAX_RATE")</f>
        <v>#NAME?</v>
      </c>
      <c r="BL51" s="466" t="e">
        <f ca="1">IF(_xll.ciqfunctions.udf.CIQ($A51, "IQ_TOTAL_REV_2YR_ANN_CAGR", IQ_LTM, $B$1,$L$4, $L$3, $L$5, $L$6)="NM","n/a",(_xll.ciqfunctions.udf.CIQ($A51, "IQ_TOTAL_REV_2YR_ANN_CAGR", IQ_LTM, $B$1,$L$4, $L$3, $L$5, $L$6)/100))</f>
        <v>#NAME?</v>
      </c>
      <c r="BM51" s="466" t="e">
        <f ca="1">IF(_xll.ciqfunctions.udf.CIQ($A51, "IQ_TOTAL_REV_3YR_ANN_CAGR", IQ_LTM, $B$1,$L$4, $L$3, $L$5, $L$6)="NM","n/a",(_xll.ciqfunctions.udf.CIQ($A51, "IQ_TOTAL_REV_3YR_ANN_CAGR", IQ_LTM, $B$1,$L$4, $L$3, $L$5, $L$6)/100))</f>
        <v>#NAME?</v>
      </c>
      <c r="BN51" s="466" t="e">
        <f ca="1">IF(_xll.ciqfunctions.udf.CIQ($A51, "IQ_TOTAL_REV_5YR_ANN_CAGR", IQ_LTM, $B$1,$L$4, $L$3, $L$5, $L$6)="NM","n/a",(_xll.ciqfunctions.udf.CIQ($A51, "IQ_TOTAL_REV_5YR_ANN_CAGR", IQ_LTM, $B$1,$L$4, $L$3, $L$5, $L$6)/100))</f>
        <v>#NAME?</v>
      </c>
      <c r="BO51" s="466" t="e">
        <f ca="1">IF(_xll.ciqfunctions.udf.CIQ($A51,"IQ_EBITDA_2YR_ANN_CAGR", IQ_LTM,$B$1,$L$4, $L$3, $L$5, $L$6)="NM","n/a",(_xll.ciqfunctions.udf.CIQ($A51,"IQ_EBITDA_2YR_ANN_CAGR", IQ_LTM,$B$1,$L$4, $L$3, $L$5, $L$6)/100))</f>
        <v>#NAME?</v>
      </c>
      <c r="BP51" s="466" t="e">
        <f ca="1">IF(_xll.ciqfunctions.udf.CIQ($A51,"IQ_EBITDA_3YR_ANN_CAGR", IQ_LTM,$B$1,$L$4, $L$3, $L$5, $L$6)="NM","n/a",(_xll.ciqfunctions.udf.CIQ($A51,"IQ_EBITDA_3YR_ANN_CAGR", IQ_LTM,$B$1,$L$4, $L$3, $L$5, $L$6)/100))</f>
        <v>#NAME?</v>
      </c>
      <c r="BQ51" s="466" t="e">
        <f ca="1">IF(_xll.ciqfunctions.udf.CIQ($A51,"IQ_EBITDA_5YR_ANN_CAGR", IQ_LTM,$B$1,$L$4, $L$3, $L$5, $L$6)="NM","n/a",(_xll.ciqfunctions.udf.CIQ($A51,"IQ_EBITDA_5YR_ANN_CAGR", IQ_LTM,$B$1,$L$4, $L$3, $L$5, $L$6)/100))</f>
        <v>#NAME?</v>
      </c>
      <c r="BR51" s="470" t="str">
        <f ca="1">IFERROR((_xll.ciqfunctions.udf.CIQ($A51, "IQ_DA_CF", IQ_LTM, $B$1, $L$4, $L$3, $L$5, $L$6)/Q51),"NM")</f>
        <v>NM</v>
      </c>
      <c r="BS51" s="519" t="e">
        <f>'Capital IQ Sheet-GPC'!BS51</f>
        <v>#VALUE!</v>
      </c>
      <c r="BT51" s="519" t="e">
        <f>'Capital IQ Sheet-GPC'!BT51</f>
        <v>#VALUE!</v>
      </c>
      <c r="BU51" s="519" t="e">
        <f>'Capital IQ Sheet-GPC'!BU51</f>
        <v>#VALUE!</v>
      </c>
      <c r="BV51" s="519" t="e">
        <f>'Capital IQ Sheet-GPC'!BV51</f>
        <v>#VALUE!</v>
      </c>
      <c r="BW51" s="519" t="e">
        <f>'Capital IQ Sheet-GPC'!BW51</f>
        <v>#VALUE!</v>
      </c>
      <c r="BX51" s="519" t="e">
        <f>'Capital IQ Sheet-GPC'!BX51</f>
        <v>#VALUE!</v>
      </c>
      <c r="BY51" s="519" t="e">
        <f>'Capital IQ Sheet-GPC'!BY51</f>
        <v>#VALUE!</v>
      </c>
      <c r="BZ51" s="519" t="e">
        <f>'Capital IQ Sheet-GPC'!BZ51</f>
        <v>#VALUE!</v>
      </c>
    </row>
    <row r="52" spans="1:83">
      <c r="A52" s="467" t="e">
        <f ca="1">_xll.ciqfunctions.udf.CIQ($B52,"IQ_COMPANY_TICKER")</f>
        <v>#NAME?</v>
      </c>
      <c r="B52" s="517" t="str">
        <f>'Capital IQ Sheet-GPC'!B52</f>
        <v>(Invalid Identifier)</v>
      </c>
      <c r="C52" s="467" t="e">
        <f ca="1">_xll.ciqfunctions.udf.CIQ($A52,"IQ_COMPANY_NAME")</f>
        <v>#NAME?</v>
      </c>
      <c r="D52" s="467" t="e">
        <f ca="1">_xll.ciqfunctions.udf.CIQ($A52, "IQ_EXCHANGE")</f>
        <v>#NAME?</v>
      </c>
      <c r="E52" s="516" t="e">
        <f ca="1">_xll.ciqfunctions.udf.CIQ($A52, "IQ_PERIODDATE_IS", IQ_FY)</f>
        <v>#NAME?</v>
      </c>
      <c r="F52" s="516" t="e">
        <f ca="1">_xll.ciqfunctions.udf.CIQ(A52, "IQ_PERIODDATE_IS", IQ_LTM, $B$1,$L$4,$L$3)</f>
        <v>#NAME?</v>
      </c>
      <c r="G52" s="516" t="e">
        <f ca="1">_xll.ciqfunctions.udf.CIQ($A52, "IQ_FIRSTPRICINGDATE")</f>
        <v>#NAME?</v>
      </c>
      <c r="H52" s="518" t="e">
        <f ca="1">_xll.ciqfunctions.udf.CIQ($A52, "IQ_TEV", $L$2, $L$5, $L$6)</f>
        <v>#NAME?</v>
      </c>
      <c r="I52" s="518" t="e">
        <f ca="1">_xll.ciqfunctions.udf.CIQ(A52, "IQ_LASTSALEPRICE", $B$1,$L$5)</f>
        <v>#NAME?</v>
      </c>
      <c r="J52" s="516" t="e">
        <f ca="1">_xll.ciqfunctions.udf.CIQ($B52, "IQ_FIRSTPRICINGDATE")</f>
        <v>#NAME?</v>
      </c>
      <c r="K52" s="518" t="e">
        <f ca="1">_xll.ciqfunctions.udf.CIQ($A52, "IQ_TOTAL_DEBT", IQ_LTM, $L$2,$L$4, $L$3, $L$5, $L$6)</f>
        <v>#NAME?</v>
      </c>
      <c r="L52" s="518" t="e">
        <f ca="1">_xll.ciqfunctions.udf.CIQ($A52, "IQ_PREF_EQUITY", IQ_LTM, $L$2, $L$4, $L$3, $L$5, $L$6)</f>
        <v>#NAME?</v>
      </c>
      <c r="M52" s="518" t="e">
        <f ca="1">_xll.ciqfunctions.udf.CIQ($A52, "IQ_MINORITY_INTEREST_TOTAL", IQ_LTM, $L$2, $L$4, $L$3, $L$5, $L$6)</f>
        <v>#NAME?</v>
      </c>
      <c r="N52" s="518" t="e">
        <f ca="1">_xll.ciqfunctions.udf.CIQ($A52, "IQ_CASH_ST_INVEST", IQ_LTM, $L$2, $L$4, $L$3, $L$5, $L$6)</f>
        <v>#NAME?</v>
      </c>
      <c r="O52" s="518" t="e">
        <f ca="1">_xll.ciqfunctions.udf.CIQ($A52, "IQ_TOTAL_REV", IQ_LTM-8, $L$2, $L$4, $L$3, $L$5, $L$6)</f>
        <v>#NAME?</v>
      </c>
      <c r="P52" s="518" t="e">
        <f ca="1">_xll.ciqfunctions.udf.CIQ($A52, "IQ_TOTAL_REV", IQ_LTM - 4, $L$2, $L$4, $L$3, $L$5,$L$6)</f>
        <v>#NAME?</v>
      </c>
      <c r="Q52" s="518" t="e">
        <f ca="1">_xll.ciqfunctions.udf.CIQ($A52, "IQ_TOTAL_REV", IQ_LTM, $L$2, $L$4, $L$3, $L$5, $L$6)</f>
        <v>#NAME?</v>
      </c>
      <c r="R52" s="518" t="e">
        <f ca="1">_xll.ciqfunctions.udf.CIQ($A52, "IQ_TOTAL_REV", $B$2, $L$2, $L$4, $L$3, $L$5, $L$6)</f>
        <v>#NAME?</v>
      </c>
      <c r="S52" s="518" t="e">
        <f ca="1">IF(_xll.ciqfunctions.udf.CIQ($A52, "IQ_TOTAL_REV", $B$3, $L$2,$L$4, $L$3, $L$5, $L$6)=0,Q52,_xll.ciqfunctions.udf.CIQ($A52, "IQ_TOTAL_REV", $B$3, $L$2,$L$4, $L$3, $L$5, $L$6))</f>
        <v>#NAME?</v>
      </c>
      <c r="T52" s="518" t="e">
        <f ca="1">IF(_xll.ciqfunctions.udf.CIQ($A52, "IQ_REVENUE_EST",$B$4, $L$2, "CON", $L$3, $L$5, $L$6)=0,"n/a",_xll.ciqfunctions.udf.CIQ($A52, "IQ_REVENUE_EST",$B$4, $L$2, "CON", $L$3, $L$5, $L$6))</f>
        <v>#NAME?</v>
      </c>
      <c r="U52" s="518" t="e">
        <f ca="1">IF(_xll.ciqfunctions.udf.CIQ($A52, "IQ_REVENUE_EST",$B$5, $L$2, "CON", $L$3, $L$5, $L$6)=0,"n/a",_xll.ciqfunctions.udf.CIQ($A52, "IQ_REVENUE_EST",$B$5, $L$2, "CON", $L$3, $L$5, $L$6))</f>
        <v>#NAME?</v>
      </c>
      <c r="V52" s="518" t="e">
        <f ca="1">IF(_xll.ciqfunctions.udf.CIQ($A52, "IQ_REVENUE_EST",$B$6, $L$2, "CON", $L$3, $L$5, $L$6)=0,"n/a",_xll.ciqfunctions.udf.CIQ($A52, "IQ_REVENUE_EST",$B$6, $L$2, "CON", $L$3, $L$5, $L$6))</f>
        <v>#NAME?</v>
      </c>
      <c r="W52" s="518" t="e">
        <f ca="1">IF(_xll.ciqfunctions.udf.CIQ($A52, "IQ_REVENUE_EST", $B$7, $L$2, "CON", $L$3, $L$5, $L$6)=0,"n/a",_xll.ciqfunctions.udf.CIQ($A52, "IQ_REVENUE_EST",$B$7, $L$2, "CON", $L$3, $L$5, $L$6))</f>
        <v>#NAME?</v>
      </c>
      <c r="X52" s="518" t="e">
        <f ca="1">_xll.ciqfunctions.udf.CIQ($A52, "IQ_EBITDA", IQ_LTM-8, $L$2, $L$4, $L$3, $L$5, $L$6)</f>
        <v>#NAME?</v>
      </c>
      <c r="Y52" s="518" t="e">
        <f ca="1">_xll.ciqfunctions.udf.CIQ($A52, "IQ_EBITDA", IQ_LTM-4, $L$2,$L$4, $L$3, $L$5, $L$6)</f>
        <v>#NAME?</v>
      </c>
      <c r="Z52" s="518" t="e">
        <f ca="1">_xll.ciqfunctions.udf.CIQ($A52, "IQ_EBITDA", IQ_LTM, $L$2, $L$4, $L$3, $L$5, $L$6)</f>
        <v>#NAME?</v>
      </c>
      <c r="AA52" s="518" t="e">
        <f ca="1">_xll.ciqfunctions.udf.CIQ($A52, "IQ_EBITDA", $B$2, $L$2, $L$4, $L$3, $L$5, $L$6)</f>
        <v>#NAME?</v>
      </c>
      <c r="AB52" s="518" t="e">
        <f ca="1">IF(_xll.ciqfunctions.udf.CIQ($A52, "IQ_EBITDA", $B$3, $L$2,$L$4, $L$3, $L$5, $L$6)=0,Z52,_xll.ciqfunctions.udf.CIQ($A52, "IQ_EBITDA", $B$3, $L$2,$L$4, $L$3, $L$5, $L$6))</f>
        <v>#NAME?</v>
      </c>
      <c r="AC52" s="518" t="e">
        <f ca="1">IF(_xll.ciqfunctions.udf.CIQ($A52, "IQ_EBITDA_EST",$B$4, $L$2, "CON", $L$3, $L$5, $L$6)=0,"n/a",_xll.ciqfunctions.udf.CIQ($A52, "IQ_EBITDA_EST",$B$4, $L$2, "CON", $L$3, $L$5, $L$6))</f>
        <v>#NAME?</v>
      </c>
      <c r="AD52" s="467" t="e">
        <f ca="1">IF(_xll.ciqfunctions.udf.CIQ($A52, "IQ_EBITDA_EST",$B$5, $L$2, "CON", $L$3, $L$5, $L$6)=0,"n/a",_xll.ciqfunctions.udf.CIQ($A52, "IQ_EBITDA_EST",$B$5, $L$2, "CON", $L$3, $L$5, $L$6))</f>
        <v>#NAME?</v>
      </c>
      <c r="AE52" s="518" t="e">
        <f ca="1">IF(_xll.ciqfunctions.udf.CIQ($A52, "IQ_EBITDA_EST",$B$6, $L$2, "CON", $L$3, $L$5, $L$6)=0,"n/a",_xll.ciqfunctions.udf.CIQ($A52, "IQ_EBITDA_EST",$B$6, $L$2, "CON", $L$3, $L$5, $L$6))</f>
        <v>#NAME?</v>
      </c>
      <c r="AF52" s="519" t="str">
        <f ca="1">IF(ISERROR(_xll.ciqfunctions.udf.CIQ($A52, "IQ_GROSS_MARGIN", IQ_LTM, $L$2,$L$4, $L$3, $L$5, $L$6)/100), "n/a", _xll.ciqfunctions.udf.CIQ($A52,  "IQ_GROSS_MARGIN", IQ_LTM, $L$2, $L$4, $L$3, $L$5, $L$6)/100)</f>
        <v>n/a</v>
      </c>
      <c r="AG52" s="519" t="str">
        <f ca="1">IF(ISERROR(_xll.ciqfunctions.udf.CIQ($A52,"IQ_EBITDA_MARGIN", IQ_LTM, $L$2, $L$4, $L$3, $L$5, $L$6)/100), "n/a", _xll.ciqfunctions.udf.CIQ($A52, "IQ_EBITDA_MARGIN", IQ_LTM, $L$2, $L$4, $L$3, $L$5, $L$6)/100)</f>
        <v>n/a</v>
      </c>
      <c r="AH52" s="519" t="str">
        <f ca="1">IF(ISERROR(_xll.ciqfunctions.udf.CIQ($A52,"IQ_EBIT_MARGIN", IQ_LTM, $L$2, $L$4, $L$3, $L$5, $L$6)/100), "n/a", _xll.ciqfunctions.udf.CIQ($A52, "IQ_EBIT_MARGIN", IQ_LTM, $L$2, $L$4, $L$3, $L$5, $L$6)/100)</f>
        <v>n/a</v>
      </c>
      <c r="AI52" s="519" t="str">
        <f ca="1">IF(ISERROR(_xll.ciqfunctions.udf.CIQ($A52,"IQ_NI_MARGIN", IQ_LTM, $L$2, $L$4, $L$3, $L$5, $L$6)/100), "n/a", _xll.ciqfunctions.udf.CIQ($A52, "IQ_NI_MARGIN", IQ_LTM, $L$2, $L$4, $L$3, $L$5, $L$6)/100)</f>
        <v>n/a</v>
      </c>
      <c r="AJ52" s="518" t="str">
        <f ca="1">IF(ISERROR(_xll.ciqfunctions.udf.CIQ($A52, "IQ_NET_WORKING_CAP", IQ_LTM-8, $L$2, $L$4, $L$3, $L$5, $L$6)), "n/a", _xll.ciqfunctions.udf.CIQ($A52, "IQ_NET_WORKING_CAP", IQ_LTM-8, $L$2, $L$4, $L$3, $L$5, $L$6))</f>
        <v>n/a</v>
      </c>
      <c r="AK52" s="518" t="str">
        <f ca="1">IF(ISERROR(_xll.ciqfunctions.udf.CIQ($A52, "IQ_NET_WORKING_CAP", IQ_LTM-4, $L$2, $L$4, $L$3, $L$5, $L$6)), "n/a", _xll.ciqfunctions.udf.CIQ($A52, "IQ_NET_WORKING_CAP", IQ_LTM-4, $L$2, $L$4, $L$3, $L$5, $L$6))</f>
        <v>n/a</v>
      </c>
      <c r="AL52" s="518" t="str">
        <f ca="1">IF(ISERROR(_xll.ciqfunctions.udf.CIQ($A52, "IQ_NET_WORKING_CAP", IQ_LTM, $L$2,$L$4, $L$3, $L$5, $L$6)), "n/a", _xll.ciqfunctions.udf.CIQ($A52, "IQ_NET_WORKING_CAP", IQ_LTM, $L$2, $L$4, $L$3, $L$5, $L$6))</f>
        <v>n/a</v>
      </c>
      <c r="AM52" s="518" t="str">
        <f ca="1">IF(ISERROR(_xll.ciqfunctions.udf.CIQ($A52, "IQ_Capex", IQ_LTM-8, $L$2,$L$4, $L$3, $L$5, $L$6)), "n/a", _xll.ciqfunctions.udf.CIQ($A52, "IQ_Capex", IQ_LTM-8, $L$2, $L$4, $L$3, $L$5, $L$6))</f>
        <v>n/a</v>
      </c>
      <c r="AN52" s="518" t="str">
        <f ca="1">IF(ISERROR(_xll.ciqfunctions.udf.CIQ($A52, "IQ_Capex", IQ_LTM-4, $L$2,$L$4, $L$3, $L$5, $L$6)), "n/a", _xll.ciqfunctions.udf.CIQ($A52, "IQ_Capex", IQ_LTM-4, $L$2,$L$4, $L$3, $L$5, $L$6))</f>
        <v>n/a</v>
      </c>
      <c r="AO52" s="518" t="str">
        <f ca="1">IF(ISERROR(_xll.ciqfunctions.udf.CIQ($A52, "IQ_Capex", IQ_LTM, $L$2, $L$4, $L$3, $L$5, $L$6)), "n/a", _xll.ciqfunctions.udf.CIQ($A52, "IQ_Capex", IQ_LTM, $L$2, $L$4, $L$3, $L$5, $L$6))</f>
        <v>n/a</v>
      </c>
      <c r="AP52" s="520" t="e">
        <f ca="1">_xll.ciqfunctions.udf.CIQ(A52, "IQ_BUSINESS_DESCRIPTION")</f>
        <v>#NAME?</v>
      </c>
      <c r="AQ52" s="521" t="e">
        <f ca="1">_xll.ciqfunctions.udf.CIQ($A52, "IQ_BETA_1YR", $B$1)</f>
        <v>#NAME?</v>
      </c>
      <c r="AR52" s="521" t="e">
        <f ca="1">_xll.ciqfunctions.udf.CIQ($A52, "IQ_BETA_2YR", $B$1)</f>
        <v>#NAME?</v>
      </c>
      <c r="AS52" s="521" t="e">
        <f ca="1">_xll.ciqfunctions.udf.CIQ($A52, "IQ_BETA_5YR", $B$1)</f>
        <v>#NAME?</v>
      </c>
      <c r="AT52" s="467" t="e">
        <f ca="1">_xll.ciqfunctions.udf.CIQ($B52, "IQ_GP", IQ_LTM,$B$1, ,,"USD")</f>
        <v>#NAME?</v>
      </c>
      <c r="AU52" s="518" t="e">
        <f ca="1">_xll.ciqfunctions.udf.CIQ($A52, "IQ_EARNING_CO", IQ_LTM-8, $L$2, $L$4, $L$3, $L$5, $L$6)</f>
        <v>#NAME?</v>
      </c>
      <c r="AV52" s="518" t="e">
        <f ca="1">_xll.ciqfunctions.udf.CIQ($A52, "IQ_EARNING_CO", IQ_LTM-4, $L$2, $L$4, $L$3, $L$5, $L$6)</f>
        <v>#NAME?</v>
      </c>
      <c r="AW52" s="518" t="e">
        <f ca="1">_xll.ciqfunctions.udf.CIQ($A52, "IQ_EARNING_CO", IQ_LTM, $L$2, $L$4, $L$3, $L$5, $L$6)</f>
        <v>#NAME?</v>
      </c>
      <c r="AX52" s="518" t="e">
        <f ca="1">_xll.ciqfunctions.udf.CIQ($A52, "IQ_EARNING_CO", $B$2, $L$2, $L$4, $L$3, $L$5, $L$6)</f>
        <v>#NAME?</v>
      </c>
      <c r="AY52" s="518" t="e">
        <f ca="1">IF(_xll.ciqfunctions.udf.CIQ($A52, "IQ_EARNING_CO", $B$3, $L$2,$L$4, $L$3, $L$5, $L$6)=0,AW52,_xll.ciqfunctions.udf.CIQ($A52, "IQ_EARNING_CO", $B$3, $L$2,$L$4, $L$3, $L$5, $L$6))</f>
        <v>#NAME?</v>
      </c>
      <c r="AZ52" s="518" t="e">
        <f ca="1">_xll.ciqfunctions.udf.CIQ($A52, "IQ_TOTAL_EQUITY", IQ_LTM-8, $L$2, $L$4, $L$3, $L$5, $L$6)</f>
        <v>#NAME?</v>
      </c>
      <c r="BA52" s="518" t="e">
        <f ca="1">_xll.ciqfunctions.udf.CIQ($A52, "IQ_TOTAL_EQUITY", IQ_LTM-4, $L$2, $L$4, $L$3, $L$5, $L$6)</f>
        <v>#NAME?</v>
      </c>
      <c r="BB52" s="518" t="e">
        <f ca="1">_xll.ciqfunctions.udf.CIQ($A52, "IQ_TOTAL_EQUITY", IQ_LTM, $L$2, $L$4, $L$3, $L$5, $L$6)</f>
        <v>#NAME?</v>
      </c>
      <c r="BC52" s="518" t="e">
        <f ca="1">_xll.ciqfunctions.udf.CIQ($A52, "IQ_TOTAL_EQUITY", $B$2, $L$2, $L$4, $L$3, $L$5, $L$6)</f>
        <v>#NAME?</v>
      </c>
      <c r="BD52" s="518" t="e">
        <f ca="1">IF(_xll.ciqfunctions.udf.CIQ($A52, "IQ_TOTAL_EQUITY", $B$3, $L$2,$L$4, $L$3, $L$5, $L$6)=0,BB52,_xll.ciqfunctions.udf.CIQ($A52, "IQ_TOTAL_EQUITY", $B$3, $L$2,$L$4, $L$3, $L$5, $L$6))</f>
        <v>#NAME?</v>
      </c>
      <c r="BE52" s="518" t="e">
        <f ca="1">_xll.ciqfunctions.udf.CIQ(A52, "IQ_LASTSALEPRICE", $B$8)</f>
        <v>#NAME?</v>
      </c>
      <c r="BF52" s="518" t="e">
        <f ca="1">_xll.ciqfunctions.udf.CIQ($A52, "IQ_MARKETCAP", $B$8, $L$5, $L$6)</f>
        <v>#NAME?</v>
      </c>
      <c r="BG52" s="518" t="e">
        <f ca="1">_xll.ciqfunctions.udf.CIQ($A52, "IQ_TOTAL_DEBT", IQ_LTM, $B$8,$L$4, $L$3, $L$5, $L$6)</f>
        <v>#NAME?</v>
      </c>
      <c r="BH52" s="466" t="e">
        <f ca="1">_xll.ciqfunctions.udf.CIQ($A52,"IQ_PREF_EQUITY",IQ_LTM,$B$8,$L$4,$L$3,$L$5,$L$6)</f>
        <v>#NAME?</v>
      </c>
      <c r="BI52" s="466" t="e">
        <f ca="1">_xll.ciqfunctions.udf.CIQ($A52, "IQ_MINORITY_INTEREST_TOTAL", IQ_LTM,$B$8,$L$4,$L$3,$L$5,$L$6)</f>
        <v>#NAME?</v>
      </c>
      <c r="BJ52" s="518" t="e">
        <f ca="1">_xll.ciqfunctions.udf.CIQ($A52, "IQ_CASH_ST_INVEST", IQ_LTM, $B$8, $L$4, $L$3, $L$5, $L$6)</f>
        <v>#NAME?</v>
      </c>
      <c r="BK52" s="466" t="e">
        <f ca="1">_xll.ciqfunctions.udf.CIQ($A52, "IQ_EFFECT_TAX_RATE")</f>
        <v>#NAME?</v>
      </c>
      <c r="BL52" s="466" t="e">
        <f ca="1">IF(_xll.ciqfunctions.udf.CIQ($A52, "IQ_TOTAL_REV_2YR_ANN_CAGR", IQ_LTM, $B$1,$L$4, $L$3, $L$5, $L$6)="NM","n/a",(_xll.ciqfunctions.udf.CIQ($A52, "IQ_TOTAL_REV_2YR_ANN_CAGR", IQ_LTM, $B$1,$L$4, $L$3, $L$5, $L$6)/100))</f>
        <v>#NAME?</v>
      </c>
      <c r="BM52" s="466" t="e">
        <f ca="1">IF(_xll.ciqfunctions.udf.CIQ($A52, "IQ_TOTAL_REV_3YR_ANN_CAGR", IQ_LTM, $B$1,$L$4, $L$3, $L$5, $L$6)="NM","n/a",(_xll.ciqfunctions.udf.CIQ($A52, "IQ_TOTAL_REV_3YR_ANN_CAGR", IQ_LTM, $B$1,$L$4, $L$3, $L$5, $L$6)/100))</f>
        <v>#NAME?</v>
      </c>
      <c r="BN52" s="466" t="e">
        <f ca="1">IF(_xll.ciqfunctions.udf.CIQ($A52, "IQ_TOTAL_REV_5YR_ANN_CAGR", IQ_LTM, $B$1,$L$4, $L$3, $L$5, $L$6)="NM","n/a",(_xll.ciqfunctions.udf.CIQ($A52, "IQ_TOTAL_REV_5YR_ANN_CAGR", IQ_LTM, $B$1,$L$4, $L$3, $L$5, $L$6)/100))</f>
        <v>#NAME?</v>
      </c>
      <c r="BO52" s="466" t="e">
        <f ca="1">IF(_xll.ciqfunctions.udf.CIQ($A52,"IQ_EBITDA_2YR_ANN_CAGR", IQ_LTM,$B$1,$L$4, $L$3, $L$5, $L$6)="NM","n/a",(_xll.ciqfunctions.udf.CIQ($A52,"IQ_EBITDA_2YR_ANN_CAGR", IQ_LTM,$B$1,$L$4, $L$3, $L$5, $L$6)/100))</f>
        <v>#NAME?</v>
      </c>
      <c r="BP52" s="466" t="e">
        <f ca="1">IF(_xll.ciqfunctions.udf.CIQ($A52,"IQ_EBITDA_3YR_ANN_CAGR", IQ_LTM,$B$1,$L$4, $L$3, $L$5, $L$6)="NM","n/a",(_xll.ciqfunctions.udf.CIQ($A52,"IQ_EBITDA_3YR_ANN_CAGR", IQ_LTM,$B$1,$L$4, $L$3, $L$5, $L$6)/100))</f>
        <v>#NAME?</v>
      </c>
      <c r="BQ52" s="466" t="e">
        <f ca="1">IF(_xll.ciqfunctions.udf.CIQ($A52,"IQ_EBITDA_5YR_ANN_CAGR", IQ_LTM,$B$1,$L$4, $L$3, $L$5, $L$6)="NM","n/a",(_xll.ciqfunctions.udf.CIQ($A52,"IQ_EBITDA_5YR_ANN_CAGR", IQ_LTM,$B$1,$L$4, $L$3, $L$5, $L$6)/100))</f>
        <v>#NAME?</v>
      </c>
      <c r="BR52" s="470" t="str">
        <f ca="1">IFERROR((_xll.ciqfunctions.udf.CIQ($A52, "IQ_DA_CF", IQ_LTM, $B$1, $L$4, $L$3, $L$5, $L$6)/Q52),"NM")</f>
        <v>NM</v>
      </c>
      <c r="BS52" s="519" t="e">
        <f>'Capital IQ Sheet-GPC'!BS52</f>
        <v>#VALUE!</v>
      </c>
      <c r="BT52" s="519" t="e">
        <f>'Capital IQ Sheet-GPC'!BT52</f>
        <v>#VALUE!</v>
      </c>
      <c r="BU52" s="519" t="e">
        <f>'Capital IQ Sheet-GPC'!BU52</f>
        <v>#VALUE!</v>
      </c>
      <c r="BV52" s="519" t="e">
        <f>'Capital IQ Sheet-GPC'!BV52</f>
        <v>#VALUE!</v>
      </c>
      <c r="BW52" s="519" t="e">
        <f>'Capital IQ Sheet-GPC'!BW52</f>
        <v>#VALUE!</v>
      </c>
      <c r="BX52" s="519" t="e">
        <f>'Capital IQ Sheet-GPC'!BX52</f>
        <v>#VALUE!</v>
      </c>
      <c r="BY52" s="519" t="e">
        <f>'Capital IQ Sheet-GPC'!BY52</f>
        <v>#VALUE!</v>
      </c>
      <c r="BZ52" s="519" t="e">
        <f>'Capital IQ Sheet-GPC'!BZ52</f>
        <v>#VALUE!</v>
      </c>
    </row>
    <row r="53" spans="1:83">
      <c r="A53" s="467" t="e">
        <f ca="1">_xll.ciqfunctions.udf.CIQ($B53,"IQ_COMPANY_TICKER")</f>
        <v>#NAME?</v>
      </c>
      <c r="B53" s="517" t="str">
        <f>'Capital IQ Sheet-GPC'!B53</f>
        <v>(Invalid Identifier)</v>
      </c>
      <c r="C53" s="467" t="e">
        <f ca="1">_xll.ciqfunctions.udf.CIQ($A53,"IQ_COMPANY_NAME")</f>
        <v>#NAME?</v>
      </c>
      <c r="D53" s="467" t="e">
        <f ca="1">_xll.ciqfunctions.udf.CIQ($A53, "IQ_EXCHANGE")</f>
        <v>#NAME?</v>
      </c>
      <c r="E53" s="516" t="e">
        <f ca="1">_xll.ciqfunctions.udf.CIQ($A53, "IQ_PERIODDATE_IS", IQ_FY)</f>
        <v>#NAME?</v>
      </c>
      <c r="F53" s="516" t="e">
        <f ca="1">_xll.ciqfunctions.udf.CIQ(A53, "IQ_PERIODDATE_IS", IQ_LTM, $B$1,$L$4,$L$3)</f>
        <v>#NAME?</v>
      </c>
      <c r="G53" s="516" t="e">
        <f ca="1">_xll.ciqfunctions.udf.CIQ($A53, "IQ_FIRSTPRICINGDATE")</f>
        <v>#NAME?</v>
      </c>
      <c r="H53" s="518" t="e">
        <f ca="1">_xll.ciqfunctions.udf.CIQ($A53, "IQ_TEV", $L$2, $L$5, $L$6)</f>
        <v>#NAME?</v>
      </c>
      <c r="I53" s="518" t="e">
        <f ca="1">_xll.ciqfunctions.udf.CIQ(A53, "IQ_LASTSALEPRICE", $B$1,$L$5)</f>
        <v>#NAME?</v>
      </c>
      <c r="J53" s="516" t="e">
        <f ca="1">_xll.ciqfunctions.udf.CIQ($B53, "IQ_FIRSTPRICINGDATE")</f>
        <v>#NAME?</v>
      </c>
      <c r="K53" s="518" t="e">
        <f ca="1">_xll.ciqfunctions.udf.CIQ($A53, "IQ_TOTAL_DEBT", IQ_LTM, $L$2,$L$4, $L$3, $L$5, $L$6)</f>
        <v>#NAME?</v>
      </c>
      <c r="L53" s="518" t="e">
        <f ca="1">_xll.ciqfunctions.udf.CIQ($A53, "IQ_PREF_EQUITY", IQ_LTM, $L$2, $L$4, $L$3, $L$5, $L$6)</f>
        <v>#NAME?</v>
      </c>
      <c r="M53" s="518" t="e">
        <f ca="1">_xll.ciqfunctions.udf.CIQ($A53, "IQ_MINORITY_INTEREST_TOTAL", IQ_LTM, $L$2, $L$4, $L$3, $L$5, $L$6)</f>
        <v>#NAME?</v>
      </c>
      <c r="N53" s="518" t="e">
        <f ca="1">_xll.ciqfunctions.udf.CIQ($A53, "IQ_CASH_ST_INVEST", IQ_LTM, $L$2, $L$4, $L$3, $L$5, $L$6)</f>
        <v>#NAME?</v>
      </c>
      <c r="O53" s="518" t="e">
        <f ca="1">_xll.ciqfunctions.udf.CIQ($A53, "IQ_TOTAL_REV", IQ_LTM-8, $L$2, $L$4, $L$3, $L$5, $L$6)</f>
        <v>#NAME?</v>
      </c>
      <c r="P53" s="518" t="e">
        <f ca="1">_xll.ciqfunctions.udf.CIQ($A53, "IQ_TOTAL_REV", IQ_LTM - 4, $L$2, $L$4, $L$3, $L$5,$L$6)</f>
        <v>#NAME?</v>
      </c>
      <c r="Q53" s="518" t="e">
        <f ca="1">_xll.ciqfunctions.udf.CIQ($A53, "IQ_TOTAL_REV", IQ_LTM, $L$2, $L$4, $L$3, $L$5, $L$6)</f>
        <v>#NAME?</v>
      </c>
      <c r="R53" s="518" t="e">
        <f ca="1">_xll.ciqfunctions.udf.CIQ($A53, "IQ_TOTAL_REV", $B$2, $L$2, $L$4, $L$3, $L$5, $L$6)</f>
        <v>#NAME?</v>
      </c>
      <c r="S53" s="518" t="e">
        <f ca="1">IF(_xll.ciqfunctions.udf.CIQ($A53, "IQ_TOTAL_REV", $B$3, $L$2,$L$4, $L$3, $L$5, $L$6)=0,Q53,_xll.ciqfunctions.udf.CIQ($A53, "IQ_TOTAL_REV", $B$3, $L$2,$L$4, $L$3, $L$5, $L$6))</f>
        <v>#NAME?</v>
      </c>
      <c r="T53" s="518" t="e">
        <f ca="1">IF(_xll.ciqfunctions.udf.CIQ($A53, "IQ_REVENUE_EST",$B$4, $L$2, "CON", $L$3, $L$5, $L$6)=0,"n/a",_xll.ciqfunctions.udf.CIQ($A53, "IQ_REVENUE_EST",$B$4, $L$2, "CON", $L$3, $L$5, $L$6))</f>
        <v>#NAME?</v>
      </c>
      <c r="U53" s="518" t="e">
        <f ca="1">IF(_xll.ciqfunctions.udf.CIQ($A53, "IQ_REVENUE_EST",$B$5, $L$2, "CON", $L$3, $L$5, $L$6)=0,"n/a",_xll.ciqfunctions.udf.CIQ($A53, "IQ_REVENUE_EST",$B$5, $L$2, "CON", $L$3, $L$5, $L$6))</f>
        <v>#NAME?</v>
      </c>
      <c r="V53" s="518" t="e">
        <f ca="1">IF(_xll.ciqfunctions.udf.CIQ($A53, "IQ_REVENUE_EST",$B$6, $L$2, "CON", $L$3, $L$5, $L$6)=0,"n/a",_xll.ciqfunctions.udf.CIQ($A53, "IQ_REVENUE_EST",$B$6, $L$2, "CON", $L$3, $L$5, $L$6))</f>
        <v>#NAME?</v>
      </c>
      <c r="W53" s="518" t="e">
        <f ca="1">IF(_xll.ciqfunctions.udf.CIQ($A53, "IQ_REVENUE_EST", $B$7, $L$2, "CON", $L$3, $L$5, $L$6)=0,"n/a",_xll.ciqfunctions.udf.CIQ($A53, "IQ_REVENUE_EST",$B$7, $L$2, "CON", $L$3, $L$5, $L$6))</f>
        <v>#NAME?</v>
      </c>
      <c r="X53" s="518" t="e">
        <f ca="1">_xll.ciqfunctions.udf.CIQ($A53, "IQ_EBITDA", IQ_LTM-8, $L$2, $L$4, $L$3, $L$5, $L$6)</f>
        <v>#NAME?</v>
      </c>
      <c r="Y53" s="518" t="e">
        <f ca="1">_xll.ciqfunctions.udf.CIQ($A53, "IQ_EBITDA", IQ_LTM-4, $L$2,$L$4, $L$3, $L$5, $L$6)</f>
        <v>#NAME?</v>
      </c>
      <c r="Z53" s="518" t="e">
        <f ca="1">_xll.ciqfunctions.udf.CIQ($A53, "IQ_EBITDA", IQ_LTM, $L$2, $L$4, $L$3, $L$5, $L$6)</f>
        <v>#NAME?</v>
      </c>
      <c r="AA53" s="518" t="e">
        <f ca="1">_xll.ciqfunctions.udf.CIQ($A53, "IQ_EBITDA", $B$2, $L$2, $L$4, $L$3, $L$5, $L$6)</f>
        <v>#NAME?</v>
      </c>
      <c r="AB53" s="518" t="e">
        <f ca="1">IF(_xll.ciqfunctions.udf.CIQ($A53, "IQ_EBITDA", $B$3, $L$2,$L$4, $L$3, $L$5, $L$6)=0,Z53,_xll.ciqfunctions.udf.CIQ($A53, "IQ_EBITDA", $B$3, $L$2,$L$4, $L$3, $L$5, $L$6))</f>
        <v>#NAME?</v>
      </c>
      <c r="AC53" s="518" t="e">
        <f ca="1">IF(_xll.ciqfunctions.udf.CIQ($A53, "IQ_EBITDA_EST",$B$4, $L$2, "CON", $L$3, $L$5, $L$6)=0,"n/a",_xll.ciqfunctions.udf.CIQ($A53, "IQ_EBITDA_EST",$B$4, $L$2, "CON", $L$3, $L$5, $L$6))</f>
        <v>#NAME?</v>
      </c>
      <c r="AD53" s="467" t="e">
        <f ca="1">IF(_xll.ciqfunctions.udf.CIQ($A53, "IQ_EBITDA_EST",$B$5, $L$2, "CON", $L$3, $L$5, $L$6)=0,"n/a",_xll.ciqfunctions.udf.CIQ($A53, "IQ_EBITDA_EST",$B$5, $L$2, "CON", $L$3, $L$5, $L$6))</f>
        <v>#NAME?</v>
      </c>
      <c r="AE53" s="518" t="e">
        <f ca="1">IF(_xll.ciqfunctions.udf.CIQ($A53, "IQ_EBITDA_EST",$B$6, $L$2, "CON", $L$3, $L$5, $L$6)=0,"n/a",_xll.ciqfunctions.udf.CIQ($A53, "IQ_EBITDA_EST",$B$6, $L$2, "CON", $L$3, $L$5, $L$6))</f>
        <v>#NAME?</v>
      </c>
      <c r="AF53" s="519" t="str">
        <f ca="1">IF(ISERROR(_xll.ciqfunctions.udf.CIQ($A53, "IQ_GROSS_MARGIN", IQ_LTM, $L$2,$L$4, $L$3, $L$5, $L$6)/100), "n/a", _xll.ciqfunctions.udf.CIQ($A53,  "IQ_GROSS_MARGIN", IQ_LTM, $L$2, $L$4, $L$3, $L$5, $L$6)/100)</f>
        <v>n/a</v>
      </c>
      <c r="AG53" s="519" t="str">
        <f ca="1">IF(ISERROR(_xll.ciqfunctions.udf.CIQ($A53,"IQ_EBITDA_MARGIN", IQ_LTM, $L$2, $L$4, $L$3, $L$5, $L$6)/100), "n/a", _xll.ciqfunctions.udf.CIQ($A53, "IQ_EBITDA_MARGIN", IQ_LTM, $L$2, $L$4, $L$3, $L$5, $L$6)/100)</f>
        <v>n/a</v>
      </c>
      <c r="AH53" s="519" t="str">
        <f ca="1">IF(ISERROR(_xll.ciqfunctions.udf.CIQ($A53,"IQ_EBIT_MARGIN", IQ_LTM, $L$2, $L$4, $L$3, $L$5, $L$6)/100), "n/a", _xll.ciqfunctions.udf.CIQ($A53, "IQ_EBIT_MARGIN", IQ_LTM, $L$2, $L$4, $L$3, $L$5, $L$6)/100)</f>
        <v>n/a</v>
      </c>
      <c r="AI53" s="519" t="str">
        <f ca="1">IF(ISERROR(_xll.ciqfunctions.udf.CIQ($A53,"IQ_NI_MARGIN", IQ_LTM, $L$2, $L$4, $L$3, $L$5, $L$6)/100), "n/a", _xll.ciqfunctions.udf.CIQ($A53, "IQ_NI_MARGIN", IQ_LTM, $L$2, $L$4, $L$3, $L$5, $L$6)/100)</f>
        <v>n/a</v>
      </c>
      <c r="AJ53" s="518" t="str">
        <f ca="1">IF(ISERROR(_xll.ciqfunctions.udf.CIQ($A53, "IQ_NET_WORKING_CAP", IQ_LTM-8, $L$2, $L$4, $L$3, $L$5, $L$6)), "n/a", _xll.ciqfunctions.udf.CIQ($A53, "IQ_NET_WORKING_CAP", IQ_LTM-8, $L$2, $L$4, $L$3, $L$5, $L$6))</f>
        <v>n/a</v>
      </c>
      <c r="AK53" s="518" t="str">
        <f ca="1">IF(ISERROR(_xll.ciqfunctions.udf.CIQ($A53, "IQ_NET_WORKING_CAP", IQ_LTM-4, $L$2, $L$4, $L$3, $L$5, $L$6)), "n/a", _xll.ciqfunctions.udf.CIQ($A53, "IQ_NET_WORKING_CAP", IQ_LTM-4, $L$2, $L$4, $L$3, $L$5, $L$6))</f>
        <v>n/a</v>
      </c>
      <c r="AL53" s="518" t="str">
        <f ca="1">IF(ISERROR(_xll.ciqfunctions.udf.CIQ($A53, "IQ_NET_WORKING_CAP", IQ_LTM, $L$2,$L$4, $L$3, $L$5, $L$6)), "n/a", _xll.ciqfunctions.udf.CIQ($A53, "IQ_NET_WORKING_CAP", IQ_LTM, $L$2, $L$4, $L$3, $L$5, $L$6))</f>
        <v>n/a</v>
      </c>
      <c r="AM53" s="518" t="str">
        <f ca="1">IF(ISERROR(_xll.ciqfunctions.udf.CIQ($A53, "IQ_Capex", IQ_LTM-8, $L$2,$L$4, $L$3, $L$5, $L$6)), "n/a", _xll.ciqfunctions.udf.CIQ($A53, "IQ_Capex", IQ_LTM-8, $L$2, $L$4, $L$3, $L$5, $L$6))</f>
        <v>n/a</v>
      </c>
      <c r="AN53" s="518" t="str">
        <f ca="1">IF(ISERROR(_xll.ciqfunctions.udf.CIQ($A53, "IQ_Capex", IQ_LTM-4, $L$2,$L$4, $L$3, $L$5, $L$6)), "n/a", _xll.ciqfunctions.udf.CIQ($A53, "IQ_Capex", IQ_LTM-4, $L$2,$L$4, $L$3, $L$5, $L$6))</f>
        <v>n/a</v>
      </c>
      <c r="AO53" s="518" t="str">
        <f ca="1">IF(ISERROR(_xll.ciqfunctions.udf.CIQ($A53, "IQ_Capex", IQ_LTM, $L$2, $L$4, $L$3, $L$5, $L$6)), "n/a", _xll.ciqfunctions.udf.CIQ($A53, "IQ_Capex", IQ_LTM, $L$2, $L$4, $L$3, $L$5, $L$6))</f>
        <v>n/a</v>
      </c>
      <c r="AP53" s="520" t="e">
        <f ca="1">_xll.ciqfunctions.udf.CIQ(A53, "IQ_BUSINESS_DESCRIPTION")</f>
        <v>#NAME?</v>
      </c>
      <c r="AQ53" s="521" t="e">
        <f ca="1">_xll.ciqfunctions.udf.CIQ($A53, "IQ_BETA_1YR", $B$1)</f>
        <v>#NAME?</v>
      </c>
      <c r="AR53" s="521" t="e">
        <f ca="1">_xll.ciqfunctions.udf.CIQ($A53, "IQ_BETA_2YR", $B$1)</f>
        <v>#NAME?</v>
      </c>
      <c r="AS53" s="521" t="e">
        <f ca="1">_xll.ciqfunctions.udf.CIQ($A53, "IQ_BETA_5YR", $B$1)</f>
        <v>#NAME?</v>
      </c>
      <c r="AT53" s="467" t="e">
        <f ca="1">_xll.ciqfunctions.udf.CIQ($B53, "IQ_GP", IQ_LTM,$B$1, ,,"USD")</f>
        <v>#NAME?</v>
      </c>
      <c r="AU53" s="518" t="e">
        <f ca="1">_xll.ciqfunctions.udf.CIQ($A53, "IQ_EARNING_CO", IQ_LTM-8, $L$2, $L$4, $L$3, $L$5, $L$6)</f>
        <v>#NAME?</v>
      </c>
      <c r="AV53" s="518" t="e">
        <f ca="1">_xll.ciqfunctions.udf.CIQ($A53, "IQ_EARNING_CO", IQ_LTM-4, $L$2, $L$4, $L$3, $L$5, $L$6)</f>
        <v>#NAME?</v>
      </c>
      <c r="AW53" s="518" t="e">
        <f ca="1">_xll.ciqfunctions.udf.CIQ($A53, "IQ_EARNING_CO", IQ_LTM, $L$2, $L$4, $L$3, $L$5, $L$6)</f>
        <v>#NAME?</v>
      </c>
      <c r="AX53" s="518" t="e">
        <f ca="1">_xll.ciqfunctions.udf.CIQ($A53, "IQ_EARNING_CO", $B$2, $L$2, $L$4, $L$3, $L$5, $L$6)</f>
        <v>#NAME?</v>
      </c>
      <c r="AY53" s="518" t="e">
        <f ca="1">IF(_xll.ciqfunctions.udf.CIQ($A53, "IQ_EARNING_CO", $B$3, $L$2,$L$4, $L$3, $L$5, $L$6)=0,AW53,_xll.ciqfunctions.udf.CIQ($A53, "IQ_EARNING_CO", $B$3, $L$2,$L$4, $L$3, $L$5, $L$6))</f>
        <v>#NAME?</v>
      </c>
      <c r="AZ53" s="518" t="e">
        <f ca="1">_xll.ciqfunctions.udf.CIQ($A53, "IQ_TOTAL_EQUITY", IQ_LTM-8, $L$2, $L$4, $L$3, $L$5, $L$6)</f>
        <v>#NAME?</v>
      </c>
      <c r="BA53" s="518" t="e">
        <f ca="1">_xll.ciqfunctions.udf.CIQ($A53, "IQ_TOTAL_EQUITY", IQ_LTM-4, $L$2, $L$4, $L$3, $L$5, $L$6)</f>
        <v>#NAME?</v>
      </c>
      <c r="BB53" s="518" t="e">
        <f ca="1">_xll.ciqfunctions.udf.CIQ($A53, "IQ_TOTAL_EQUITY", IQ_LTM, $L$2, $L$4, $L$3, $L$5, $L$6)</f>
        <v>#NAME?</v>
      </c>
      <c r="BC53" s="518" t="e">
        <f ca="1">_xll.ciqfunctions.udf.CIQ($A53, "IQ_TOTAL_EQUITY", $B$2, $L$2, $L$4, $L$3, $L$5, $L$6)</f>
        <v>#NAME?</v>
      </c>
      <c r="BD53" s="518" t="e">
        <f ca="1">IF(_xll.ciqfunctions.udf.CIQ($A53, "IQ_TOTAL_EQUITY", $B$3, $L$2,$L$4, $L$3, $L$5, $L$6)=0,BB53,_xll.ciqfunctions.udf.CIQ($A53, "IQ_TOTAL_EQUITY", $B$3, $L$2,$L$4, $L$3, $L$5, $L$6))</f>
        <v>#NAME?</v>
      </c>
      <c r="BE53" s="518" t="e">
        <f ca="1">_xll.ciqfunctions.udf.CIQ(A53, "IQ_LASTSALEPRICE", $B$8)</f>
        <v>#NAME?</v>
      </c>
      <c r="BF53" s="518" t="e">
        <f ca="1">_xll.ciqfunctions.udf.CIQ($A53, "IQ_MARKETCAP", $B$8, $L$5, $L$6)</f>
        <v>#NAME?</v>
      </c>
      <c r="BG53" s="518" t="e">
        <f ca="1">_xll.ciqfunctions.udf.CIQ($A53, "IQ_TOTAL_DEBT", IQ_LTM, $B$8,$L$4, $L$3, $L$5, $L$6)</f>
        <v>#NAME?</v>
      </c>
      <c r="BH53" s="466" t="e">
        <f ca="1">_xll.ciqfunctions.udf.CIQ($A53,"IQ_PREF_EQUITY",IQ_LTM,$B$8,$L$4,$L$3,$L$5,$L$6)</f>
        <v>#NAME?</v>
      </c>
      <c r="BI53" s="466" t="e">
        <f ca="1">_xll.ciqfunctions.udf.CIQ($A53, "IQ_MINORITY_INTEREST_TOTAL", IQ_LTM,$B$8,$L$4,$L$3,$L$5,$L$6)</f>
        <v>#NAME?</v>
      </c>
      <c r="BJ53" s="518" t="e">
        <f ca="1">_xll.ciqfunctions.udf.CIQ($A53, "IQ_CASH_ST_INVEST", IQ_LTM, $B$8, $L$4, $L$3, $L$5, $L$6)</f>
        <v>#NAME?</v>
      </c>
      <c r="BK53" s="466" t="e">
        <f ca="1">_xll.ciqfunctions.udf.CIQ($A53, "IQ_EFFECT_TAX_RATE")</f>
        <v>#NAME?</v>
      </c>
      <c r="BL53" s="466" t="e">
        <f ca="1">IF(_xll.ciqfunctions.udf.CIQ($A53, "IQ_TOTAL_REV_2YR_ANN_CAGR", IQ_LTM, $B$1,$L$4, $L$3, $L$5, $L$6)="NM","n/a",(_xll.ciqfunctions.udf.CIQ($A53, "IQ_TOTAL_REV_2YR_ANN_CAGR", IQ_LTM, $B$1,$L$4, $L$3, $L$5, $L$6)/100))</f>
        <v>#NAME?</v>
      </c>
      <c r="BM53" s="466" t="e">
        <f ca="1">IF(_xll.ciqfunctions.udf.CIQ($A53, "IQ_TOTAL_REV_3YR_ANN_CAGR", IQ_LTM, $B$1,$L$4, $L$3, $L$5, $L$6)="NM","n/a",(_xll.ciqfunctions.udf.CIQ($A53, "IQ_TOTAL_REV_3YR_ANN_CAGR", IQ_LTM, $B$1,$L$4, $L$3, $L$5, $L$6)/100))</f>
        <v>#NAME?</v>
      </c>
      <c r="BN53" s="466" t="e">
        <f ca="1">IF(_xll.ciqfunctions.udf.CIQ($A53, "IQ_TOTAL_REV_5YR_ANN_CAGR", IQ_LTM, $B$1,$L$4, $L$3, $L$5, $L$6)="NM","n/a",(_xll.ciqfunctions.udf.CIQ($A53, "IQ_TOTAL_REV_5YR_ANN_CAGR", IQ_LTM, $B$1,$L$4, $L$3, $L$5, $L$6)/100))</f>
        <v>#NAME?</v>
      </c>
      <c r="BO53" s="466" t="e">
        <f ca="1">IF(_xll.ciqfunctions.udf.CIQ($A53,"IQ_EBITDA_2YR_ANN_CAGR", IQ_LTM,$B$1,$L$4, $L$3, $L$5, $L$6)="NM","n/a",(_xll.ciqfunctions.udf.CIQ($A53,"IQ_EBITDA_2YR_ANN_CAGR", IQ_LTM,$B$1,$L$4, $L$3, $L$5, $L$6)/100))</f>
        <v>#NAME?</v>
      </c>
      <c r="BP53" s="466" t="e">
        <f ca="1">IF(_xll.ciqfunctions.udf.CIQ($A53,"IQ_EBITDA_3YR_ANN_CAGR", IQ_LTM,$B$1,$L$4, $L$3, $L$5, $L$6)="NM","n/a",(_xll.ciqfunctions.udf.CIQ($A53,"IQ_EBITDA_3YR_ANN_CAGR", IQ_LTM,$B$1,$L$4, $L$3, $L$5, $L$6)/100))</f>
        <v>#NAME?</v>
      </c>
      <c r="BQ53" s="466" t="e">
        <f ca="1">IF(_xll.ciqfunctions.udf.CIQ($A53,"IQ_EBITDA_5YR_ANN_CAGR", IQ_LTM,$B$1,$L$4, $L$3, $L$5, $L$6)="NM","n/a",(_xll.ciqfunctions.udf.CIQ($A53,"IQ_EBITDA_5YR_ANN_CAGR", IQ_LTM,$B$1,$L$4, $L$3, $L$5, $L$6)/100))</f>
        <v>#NAME?</v>
      </c>
      <c r="BR53" s="470" t="str">
        <f ca="1">IFERROR((_xll.ciqfunctions.udf.CIQ($A53, "IQ_DA_CF", IQ_LTM, $B$1, $L$4, $L$3, $L$5, $L$6)/Q53),"NM")</f>
        <v>NM</v>
      </c>
      <c r="BS53" s="519" t="e">
        <f>'Capital IQ Sheet-GPC'!BS53</f>
        <v>#VALUE!</v>
      </c>
      <c r="BT53" s="519" t="e">
        <f>'Capital IQ Sheet-GPC'!BT53</f>
        <v>#VALUE!</v>
      </c>
      <c r="BU53" s="519" t="e">
        <f>'Capital IQ Sheet-GPC'!BU53</f>
        <v>#VALUE!</v>
      </c>
      <c r="BV53" s="519" t="e">
        <f>'Capital IQ Sheet-GPC'!BV53</f>
        <v>#VALUE!</v>
      </c>
      <c r="BW53" s="519" t="e">
        <f>'Capital IQ Sheet-GPC'!BW53</f>
        <v>#VALUE!</v>
      </c>
      <c r="BX53" s="519" t="e">
        <f>'Capital IQ Sheet-GPC'!BX53</f>
        <v>#VALUE!</v>
      </c>
      <c r="BY53" s="519" t="e">
        <f>'Capital IQ Sheet-GPC'!BY53</f>
        <v>#VALUE!</v>
      </c>
      <c r="BZ53" s="519" t="e">
        <f>'Capital IQ Sheet-GPC'!BZ53</f>
        <v>#VALUE!</v>
      </c>
    </row>
    <row r="54" spans="1:83">
      <c r="A54" s="465"/>
      <c r="J54" s="516"/>
      <c r="M54" s="469"/>
      <c r="N54" s="469"/>
      <c r="O54" s="469"/>
      <c r="P54" s="469"/>
      <c r="Q54" s="469"/>
      <c r="R54" s="469"/>
      <c r="S54" s="469"/>
      <c r="T54" s="469"/>
      <c r="U54" s="469"/>
      <c r="V54" s="469"/>
      <c r="W54" s="469"/>
      <c r="X54" s="469"/>
      <c r="Y54" s="469"/>
      <c r="Z54" s="469"/>
      <c r="AA54" s="469"/>
      <c r="AB54" s="469"/>
      <c r="AC54" s="469"/>
      <c r="AD54" s="469"/>
      <c r="AE54" s="469"/>
      <c r="AF54" s="469"/>
      <c r="AG54" s="469"/>
      <c r="AH54" s="469"/>
      <c r="AI54" s="469"/>
      <c r="AJ54" s="469"/>
      <c r="AK54" s="469"/>
      <c r="AL54" s="469"/>
      <c r="AM54" s="469"/>
      <c r="AN54" s="469"/>
      <c r="AO54" s="469"/>
      <c r="AP54" s="469"/>
      <c r="AQ54" s="465"/>
      <c r="AR54" s="469"/>
      <c r="AS54" s="465"/>
      <c r="AT54" s="469"/>
      <c r="AU54" s="465"/>
      <c r="AV54" s="465"/>
      <c r="AW54" s="465"/>
      <c r="AX54" s="465"/>
      <c r="AY54" s="465"/>
      <c r="AZ54" s="465"/>
      <c r="BA54" s="465"/>
      <c r="BB54" s="465"/>
      <c r="BC54" s="469"/>
      <c r="BD54" s="465"/>
      <c r="BE54" s="465"/>
      <c r="BF54" s="465"/>
      <c r="BG54" s="465"/>
      <c r="BH54" s="465"/>
      <c r="BI54" s="465"/>
      <c r="BJ54" s="465"/>
      <c r="BK54" s="465"/>
      <c r="BL54" s="465"/>
      <c r="BM54" s="465"/>
      <c r="BN54" s="465"/>
      <c r="BO54" s="465"/>
      <c r="BP54" s="465"/>
      <c r="BQ54" s="465"/>
      <c r="BR54" s="465"/>
      <c r="BS54" s="465"/>
      <c r="BT54" s="465"/>
      <c r="BU54" s="465"/>
      <c r="BV54" s="465"/>
      <c r="BW54" s="465"/>
      <c r="BX54" s="465"/>
      <c r="BY54" s="465"/>
      <c r="BZ54" s="465"/>
      <c r="CE54" s="465"/>
    </row>
    <row r="55" spans="1:83">
      <c r="A55" s="465"/>
      <c r="J55" s="516"/>
      <c r="L55" s="513"/>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469"/>
      <c r="AK55" s="469"/>
      <c r="AL55" s="469"/>
      <c r="AM55" s="469"/>
      <c r="AN55" s="469"/>
      <c r="AO55" s="469"/>
      <c r="AP55" s="469"/>
      <c r="AQ55" s="465"/>
      <c r="AR55" s="469"/>
      <c r="AS55" s="465"/>
      <c r="AT55" s="469"/>
      <c r="AU55" s="465"/>
      <c r="AV55" s="465"/>
      <c r="AW55" s="465"/>
      <c r="AX55" s="465"/>
      <c r="AY55" s="465"/>
      <c r="AZ55" s="465"/>
      <c r="BA55" s="465"/>
      <c r="BB55" s="465"/>
      <c r="BC55" s="469"/>
      <c r="BD55" s="465"/>
      <c r="BE55" s="465"/>
      <c r="BF55" s="465"/>
      <c r="BG55" s="465"/>
      <c r="BH55" s="465"/>
      <c r="BI55" s="465"/>
      <c r="BJ55" s="465"/>
      <c r="BK55" s="465"/>
      <c r="BL55" s="465"/>
      <c r="BM55" s="465"/>
      <c r="BN55" s="465"/>
      <c r="BO55" s="465"/>
      <c r="BP55" s="465"/>
      <c r="BQ55" s="465"/>
      <c r="BR55" s="465"/>
      <c r="BS55" s="465"/>
      <c r="BT55" s="465"/>
      <c r="BU55" s="465"/>
      <c r="BV55" s="465"/>
      <c r="BW55" s="465"/>
      <c r="BX55" s="465"/>
      <c r="BY55" s="465"/>
      <c r="BZ55" s="465"/>
      <c r="CE55" s="465"/>
    </row>
    <row r="56" spans="1:83" ht="12.75">
      <c r="A56" s="465"/>
      <c r="B56" s="615" t="s">
        <v>57</v>
      </c>
      <c r="C56" s="616" t="s">
        <v>555</v>
      </c>
      <c r="D56" s="617" t="s">
        <v>556</v>
      </c>
      <c r="E56" s="618" t="s">
        <v>56</v>
      </c>
      <c r="F56" s="619"/>
      <c r="G56" s="619"/>
      <c r="H56" s="619"/>
      <c r="I56" s="619"/>
      <c r="J56" s="612"/>
      <c r="K56" s="613"/>
      <c r="L56" s="513"/>
      <c r="M56" s="469"/>
      <c r="N56" s="469"/>
      <c r="O56" s="469"/>
      <c r="P56" s="469"/>
      <c r="Q56" s="469"/>
      <c r="R56" s="469"/>
      <c r="S56" s="469"/>
      <c r="T56" s="469"/>
      <c r="U56" s="469"/>
      <c r="V56" s="469"/>
      <c r="W56" s="469"/>
      <c r="X56" s="469"/>
      <c r="Y56" s="469"/>
      <c r="Z56" s="469"/>
      <c r="AA56" s="469"/>
      <c r="AB56" s="469"/>
      <c r="AC56" s="469"/>
      <c r="AD56" s="469"/>
      <c r="AE56" s="469"/>
      <c r="AF56" s="469"/>
      <c r="AG56" s="469"/>
      <c r="AH56" s="469"/>
      <c r="AI56" s="469"/>
      <c r="AJ56" s="469"/>
      <c r="AK56" s="469"/>
      <c r="AL56" s="469"/>
      <c r="AM56" s="469"/>
      <c r="AN56" s="469"/>
      <c r="AO56" s="469"/>
      <c r="AP56" s="469"/>
      <c r="AQ56" s="465"/>
      <c r="AR56" s="469"/>
      <c r="AS56" s="465"/>
      <c r="AT56" s="469"/>
      <c r="AU56" s="465"/>
      <c r="AV56" s="465"/>
      <c r="AW56" s="465"/>
      <c r="AX56" s="465"/>
      <c r="AY56" s="465"/>
      <c r="AZ56" s="465"/>
      <c r="BA56" s="465"/>
      <c r="BB56" s="465"/>
      <c r="BC56" s="469"/>
      <c r="BD56" s="465"/>
      <c r="BE56" s="465"/>
      <c r="BF56" s="465"/>
      <c r="BG56" s="465"/>
      <c r="BH56" s="465"/>
      <c r="BI56" s="465"/>
      <c r="BJ56" s="465"/>
      <c r="BK56" s="465"/>
      <c r="BL56" s="465"/>
      <c r="BM56" s="465"/>
      <c r="BN56" s="465"/>
      <c r="BO56" s="465"/>
      <c r="BP56" s="465"/>
      <c r="BQ56" s="465"/>
      <c r="BR56" s="465"/>
      <c r="BS56" s="465"/>
      <c r="BT56" s="465"/>
      <c r="BU56" s="465"/>
      <c r="BV56" s="465"/>
      <c r="BW56" s="465"/>
      <c r="BX56" s="465"/>
      <c r="BY56" s="465"/>
      <c r="BZ56" s="465"/>
      <c r="CE56" s="465"/>
    </row>
    <row r="57" spans="1:83" ht="12.75">
      <c r="A57" s="465"/>
      <c r="B57" s="531" t="s">
        <v>60</v>
      </c>
      <c r="C57" s="620">
        <f>1/12</f>
        <v>8.3333333333333329E-2</v>
      </c>
      <c r="D57" s="621" t="e">
        <f ca="1">_xll.ciqfunctions.udf.CIQSP(B57, "IQ_LASTSALEPRICE",$B$1)/100</f>
        <v>#NAME?</v>
      </c>
      <c r="E57" s="622" t="e">
        <f ca="1">IF((_xll.ciqfunctions.udf.CIQ(B57, "IQ_COMPANY_NAME"))="(Invalid Identifier)","",(_xll.ciqfunctions.udf.CIQ(B57, "IQ_COMPANY_NAME")))</f>
        <v>#NAME?</v>
      </c>
      <c r="F57" s="623"/>
      <c r="G57" s="623"/>
      <c r="H57" s="623"/>
      <c r="I57" s="623"/>
      <c r="J57" s="536"/>
      <c r="K57" s="537"/>
      <c r="M57" s="469"/>
      <c r="N57" s="469"/>
      <c r="O57" s="469"/>
      <c r="P57" s="469"/>
      <c r="Q57" s="469"/>
      <c r="R57" s="469"/>
      <c r="S57" s="469"/>
      <c r="T57" s="469"/>
      <c r="U57" s="469"/>
      <c r="V57" s="469"/>
      <c r="W57" s="469"/>
      <c r="X57" s="469"/>
      <c r="Y57" s="469"/>
      <c r="Z57" s="469"/>
      <c r="AA57" s="469"/>
      <c r="AB57" s="469"/>
      <c r="AC57" s="469"/>
      <c r="AD57" s="469"/>
      <c r="AE57" s="469"/>
      <c r="AF57" s="469"/>
      <c r="AG57" s="469"/>
      <c r="AH57" s="469"/>
      <c r="AI57" s="469"/>
      <c r="AJ57" s="469"/>
      <c r="AK57" s="469"/>
      <c r="AL57" s="469"/>
      <c r="AM57" s="469"/>
      <c r="AN57" s="469"/>
      <c r="AO57" s="469"/>
      <c r="AP57" s="469"/>
      <c r="AQ57" s="465"/>
      <c r="AR57" s="469"/>
      <c r="AS57" s="465"/>
      <c r="AT57" s="469"/>
      <c r="AU57" s="465"/>
      <c r="AV57" s="465"/>
      <c r="AW57" s="465"/>
      <c r="AX57" s="465"/>
      <c r="AY57" s="465"/>
      <c r="AZ57" s="465"/>
      <c r="BA57" s="465"/>
      <c r="BB57" s="465"/>
      <c r="BC57" s="469"/>
      <c r="BD57" s="465"/>
      <c r="BE57" s="465"/>
      <c r="BF57" s="465"/>
      <c r="BG57" s="465"/>
      <c r="BH57" s="465"/>
      <c r="BI57" s="465"/>
      <c r="BJ57" s="465"/>
      <c r="BK57" s="465"/>
      <c r="BL57" s="465"/>
      <c r="BM57" s="465"/>
      <c r="BN57" s="465"/>
      <c r="BO57" s="465"/>
      <c r="BP57" s="465"/>
      <c r="BQ57" s="465"/>
      <c r="BR57" s="465"/>
      <c r="BS57" s="465"/>
      <c r="BT57" s="465"/>
      <c r="BU57" s="465"/>
      <c r="BV57" s="465"/>
      <c r="BW57" s="465"/>
      <c r="BX57" s="465"/>
      <c r="BY57" s="465"/>
      <c r="BZ57" s="465"/>
      <c r="CE57" s="465"/>
    </row>
    <row r="58" spans="1:83" ht="12.75">
      <c r="A58" s="465"/>
      <c r="B58" s="624" t="s">
        <v>61</v>
      </c>
      <c r="C58" s="625">
        <f>3/12</f>
        <v>0.25</v>
      </c>
      <c r="D58" s="497" t="e">
        <f ca="1">_xll.ciqfunctions.udf.CIQSP(B58, "IQ_LASTSALEPRICE",$B$1)/100</f>
        <v>#NAME?</v>
      </c>
      <c r="E58" s="622" t="e">
        <f ca="1">IF((_xll.ciqfunctions.udf.CIQ(B58, "IQ_COMPANY_NAME"))="(Invalid Identifier)","",(_xll.ciqfunctions.udf.CIQ(B58, "IQ_COMPANY_NAME")))</f>
        <v>#NAME?</v>
      </c>
      <c r="F58" s="623"/>
      <c r="G58" s="623"/>
      <c r="H58" s="623"/>
      <c r="I58" s="623"/>
      <c r="J58" s="536"/>
      <c r="K58" s="537"/>
      <c r="M58" s="469"/>
      <c r="N58" s="469"/>
      <c r="O58" s="469"/>
      <c r="P58" s="469"/>
      <c r="Q58" s="469"/>
      <c r="R58" s="469"/>
      <c r="S58" s="469"/>
      <c r="T58" s="469"/>
      <c r="U58" s="469"/>
      <c r="V58" s="469"/>
      <c r="W58" s="469"/>
      <c r="X58" s="469"/>
      <c r="Y58" s="469"/>
      <c r="Z58" s="469"/>
      <c r="AA58" s="469"/>
      <c r="AB58" s="469"/>
      <c r="AC58" s="469"/>
      <c r="AD58" s="469"/>
      <c r="AE58" s="469"/>
      <c r="AF58" s="469"/>
      <c r="AG58" s="469"/>
      <c r="AH58" s="469"/>
      <c r="AI58" s="469"/>
      <c r="AJ58" s="469"/>
      <c r="AK58" s="469"/>
      <c r="AL58" s="469"/>
      <c r="AM58" s="469"/>
      <c r="AN58" s="469"/>
      <c r="AO58" s="469"/>
      <c r="AP58" s="469"/>
      <c r="AQ58" s="465"/>
      <c r="AR58" s="469"/>
      <c r="AS58" s="465"/>
      <c r="AT58" s="469"/>
      <c r="AU58" s="465"/>
      <c r="AV58" s="465"/>
      <c r="AW58" s="465"/>
      <c r="AX58" s="465"/>
      <c r="AY58" s="465"/>
      <c r="AZ58" s="465"/>
      <c r="BA58" s="465"/>
      <c r="BB58" s="465"/>
      <c r="BC58" s="469"/>
      <c r="BD58" s="465"/>
      <c r="BE58" s="465"/>
      <c r="BF58" s="465"/>
      <c r="BG58" s="465"/>
      <c r="BH58" s="465"/>
      <c r="BI58" s="465"/>
      <c r="BJ58" s="465"/>
      <c r="BK58" s="465"/>
      <c r="BL58" s="465"/>
      <c r="BM58" s="465"/>
      <c r="BN58" s="465"/>
      <c r="BO58" s="465"/>
      <c r="BP58" s="465"/>
      <c r="BQ58" s="465"/>
      <c r="BR58" s="465"/>
      <c r="BS58" s="465"/>
      <c r="BT58" s="465"/>
      <c r="BU58" s="465"/>
      <c r="BV58" s="465"/>
      <c r="BW58" s="465"/>
      <c r="BX58" s="465"/>
      <c r="BY58" s="465"/>
      <c r="BZ58" s="465"/>
      <c r="CE58" s="465"/>
    </row>
    <row r="59" spans="1:83" ht="12.75">
      <c r="A59" s="465"/>
      <c r="B59" s="624" t="s">
        <v>62</v>
      </c>
      <c r="C59" s="625">
        <f>6/12</f>
        <v>0.5</v>
      </c>
      <c r="D59" s="497" t="e">
        <f ca="1">_xll.ciqfunctions.udf.CIQSP(B59, "IQ_LASTSALEPRICE",$B$1)/100</f>
        <v>#NAME?</v>
      </c>
      <c r="E59" s="622" t="e">
        <f ca="1">IF((_xll.ciqfunctions.udf.CIQ(B59, "IQ_COMPANY_NAME"))="(Invalid Identifier)","",(_xll.ciqfunctions.udf.CIQ(B59, "IQ_COMPANY_NAME")))</f>
        <v>#NAME?</v>
      </c>
      <c r="F59" s="623"/>
      <c r="G59" s="623"/>
      <c r="H59" s="623"/>
      <c r="I59" s="623"/>
      <c r="J59" s="536"/>
      <c r="K59" s="537"/>
      <c r="M59" s="469"/>
      <c r="N59" s="469"/>
      <c r="O59" s="469"/>
      <c r="P59" s="469"/>
      <c r="Q59" s="469"/>
      <c r="R59" s="469"/>
      <c r="S59" s="469"/>
      <c r="T59" s="469"/>
      <c r="U59" s="469"/>
      <c r="V59" s="469"/>
      <c r="W59" s="469"/>
      <c r="X59" s="469"/>
      <c r="Y59" s="469"/>
      <c r="Z59" s="469"/>
      <c r="AA59" s="469"/>
      <c r="AB59" s="469"/>
      <c r="AC59" s="469"/>
      <c r="AD59" s="469"/>
      <c r="AE59" s="469"/>
      <c r="AF59" s="469"/>
      <c r="AG59" s="469"/>
      <c r="AH59" s="469"/>
      <c r="AI59" s="469"/>
      <c r="AJ59" s="469"/>
      <c r="AK59" s="469"/>
      <c r="AL59" s="469"/>
      <c r="AM59" s="469"/>
      <c r="AN59" s="469"/>
      <c r="AO59" s="469"/>
      <c r="AP59" s="469"/>
      <c r="AQ59" s="465"/>
      <c r="AR59" s="469"/>
      <c r="AS59" s="465"/>
      <c r="AT59" s="469"/>
      <c r="AU59" s="465"/>
      <c r="AV59" s="465"/>
      <c r="AW59" s="465"/>
      <c r="AX59" s="465"/>
      <c r="AY59" s="465"/>
      <c r="AZ59" s="465"/>
      <c r="BA59" s="465"/>
      <c r="BB59" s="465"/>
      <c r="BC59" s="469"/>
      <c r="BD59" s="465"/>
      <c r="BE59" s="465"/>
      <c r="BF59" s="465"/>
      <c r="BG59" s="465"/>
      <c r="BH59" s="465"/>
      <c r="BI59" s="465"/>
      <c r="BJ59" s="465"/>
      <c r="BK59" s="465"/>
      <c r="BL59" s="465"/>
      <c r="BM59" s="465"/>
      <c r="BN59" s="465"/>
      <c r="BO59" s="465"/>
      <c r="BP59" s="465"/>
      <c r="BQ59" s="465"/>
      <c r="BR59" s="465"/>
      <c r="BS59" s="465"/>
      <c r="BT59" s="465"/>
      <c r="BU59" s="465"/>
      <c r="BV59" s="465"/>
      <c r="BW59" s="465"/>
      <c r="BX59" s="465"/>
      <c r="BY59" s="465"/>
      <c r="BZ59" s="465"/>
      <c r="CE59" s="465"/>
    </row>
    <row r="60" spans="1:83" ht="12.75">
      <c r="A60" s="465"/>
      <c r="B60" s="624" t="s">
        <v>63</v>
      </c>
      <c r="C60" s="625">
        <v>1</v>
      </c>
      <c r="D60" s="497" t="e">
        <f ca="1">_xll.ciqfunctions.udf.CIQSP(B60, "IQ_LASTSALEPRICE",$B$1)/100</f>
        <v>#NAME?</v>
      </c>
      <c r="E60" s="622" t="e">
        <f ca="1">IF((_xll.ciqfunctions.udf.CIQ(B60, "IQ_COMPANY_NAME"))="(Invalid Identifier)","",(_xll.ciqfunctions.udf.CIQ(B60, "IQ_COMPANY_NAME")))</f>
        <v>#NAME?</v>
      </c>
      <c r="F60" s="623"/>
      <c r="G60" s="623"/>
      <c r="H60" s="623"/>
      <c r="I60" s="623"/>
      <c r="J60" s="536"/>
      <c r="K60" s="537"/>
      <c r="M60" s="469"/>
      <c r="N60" s="469"/>
      <c r="O60" s="469"/>
      <c r="P60" s="469"/>
      <c r="Q60" s="469"/>
      <c r="R60" s="469"/>
      <c r="S60" s="469"/>
      <c r="T60" s="469"/>
      <c r="U60" s="469"/>
      <c r="V60" s="469"/>
      <c r="W60" s="469"/>
      <c r="X60" s="469"/>
      <c r="Y60" s="469"/>
      <c r="Z60" s="469"/>
      <c r="AA60" s="469"/>
      <c r="AB60" s="469"/>
      <c r="AC60" s="469"/>
      <c r="AD60" s="469"/>
      <c r="AE60" s="469"/>
      <c r="AF60" s="469"/>
      <c r="AG60" s="469"/>
      <c r="AH60" s="469"/>
      <c r="AI60" s="469"/>
      <c r="AJ60" s="469"/>
      <c r="AK60" s="469"/>
      <c r="AL60" s="469"/>
      <c r="AM60" s="469"/>
      <c r="AN60" s="469"/>
      <c r="AO60" s="469"/>
      <c r="AP60" s="469"/>
      <c r="AQ60" s="465"/>
      <c r="AR60" s="469"/>
      <c r="AS60" s="465"/>
      <c r="AT60" s="469"/>
      <c r="AU60" s="465"/>
      <c r="AV60" s="465"/>
      <c r="AW60" s="465"/>
      <c r="AX60" s="465"/>
      <c r="AY60" s="465"/>
      <c r="AZ60" s="465"/>
      <c r="BA60" s="465"/>
      <c r="BB60" s="465"/>
      <c r="BC60" s="469"/>
      <c r="BD60" s="465"/>
      <c r="BE60" s="465"/>
      <c r="BF60" s="465"/>
      <c r="BG60" s="465"/>
      <c r="BH60" s="465"/>
      <c r="BI60" s="465"/>
      <c r="BJ60" s="465"/>
      <c r="BK60" s="465"/>
      <c r="BL60" s="465"/>
      <c r="BM60" s="465"/>
      <c r="BN60" s="465"/>
      <c r="BO60" s="465"/>
      <c r="BP60" s="465"/>
      <c r="BQ60" s="465"/>
      <c r="BR60" s="465"/>
      <c r="BS60" s="465"/>
      <c r="BT60" s="465"/>
      <c r="BU60" s="465"/>
      <c r="BV60" s="465"/>
      <c r="BW60" s="465"/>
      <c r="BX60" s="465"/>
      <c r="BY60" s="465"/>
      <c r="BZ60" s="465"/>
      <c r="CE60" s="465"/>
    </row>
    <row r="61" spans="1:83" ht="12.75">
      <c r="A61" s="465"/>
      <c r="B61" s="624" t="s">
        <v>64</v>
      </c>
      <c r="C61" s="625">
        <v>2</v>
      </c>
      <c r="D61" s="497" t="e">
        <f ca="1">_xll.ciqfunctions.udf.CIQSP(B61, "IQ_LASTSALEPRICE",$B$1)/100</f>
        <v>#NAME?</v>
      </c>
      <c r="E61" s="622" t="e">
        <f ca="1">IF((_xll.ciqfunctions.udf.CIQ(B61, "IQ_COMPANY_NAME"))="(Invalid Identifier)","",(_xll.ciqfunctions.udf.CIQ(B61, "IQ_COMPANY_NAME")))</f>
        <v>#NAME?</v>
      </c>
      <c r="F61" s="623"/>
      <c r="G61" s="623"/>
      <c r="H61" s="623"/>
      <c r="I61" s="623"/>
      <c r="J61" s="536"/>
      <c r="K61" s="537"/>
      <c r="M61" s="469"/>
      <c r="N61" s="469"/>
      <c r="O61" s="469"/>
      <c r="P61" s="469"/>
      <c r="Q61" s="469"/>
      <c r="R61" s="469"/>
      <c r="S61" s="469"/>
      <c r="T61" s="469"/>
      <c r="U61" s="469"/>
      <c r="V61" s="469"/>
      <c r="W61" s="469"/>
      <c r="X61" s="469"/>
      <c r="Y61" s="469"/>
      <c r="Z61" s="469"/>
      <c r="AA61" s="469"/>
      <c r="AB61" s="469"/>
      <c r="AC61" s="469"/>
      <c r="AD61" s="469"/>
      <c r="AE61" s="469"/>
      <c r="AF61" s="469"/>
      <c r="AG61" s="469"/>
      <c r="AH61" s="469"/>
      <c r="AI61" s="469"/>
      <c r="AJ61" s="469"/>
      <c r="AK61" s="469"/>
      <c r="AL61" s="469"/>
      <c r="AM61" s="469"/>
      <c r="AN61" s="469"/>
      <c r="AO61" s="469"/>
      <c r="AP61" s="469"/>
      <c r="AQ61" s="465"/>
      <c r="AR61" s="469"/>
      <c r="AS61" s="465"/>
      <c r="AT61" s="469"/>
      <c r="AU61" s="465"/>
      <c r="AV61" s="465"/>
      <c r="AW61" s="465"/>
      <c r="AX61" s="465"/>
      <c r="AY61" s="465"/>
      <c r="AZ61" s="465"/>
      <c r="BA61" s="465"/>
      <c r="BB61" s="465"/>
      <c r="BC61" s="469"/>
      <c r="BD61" s="465"/>
      <c r="BE61" s="465"/>
      <c r="BF61" s="465"/>
      <c r="BG61" s="465"/>
      <c r="BH61" s="465"/>
      <c r="BI61" s="465"/>
      <c r="BJ61" s="465"/>
      <c r="BK61" s="465"/>
      <c r="BL61" s="465"/>
      <c r="BM61" s="465"/>
      <c r="BN61" s="465"/>
      <c r="BO61" s="465"/>
      <c r="BP61" s="465"/>
      <c r="BQ61" s="465"/>
      <c r="BR61" s="465"/>
      <c r="BS61" s="465"/>
      <c r="BT61" s="465"/>
      <c r="BU61" s="465"/>
      <c r="BV61" s="465"/>
      <c r="BW61" s="465"/>
      <c r="BX61" s="465"/>
      <c r="BY61" s="465"/>
      <c r="BZ61" s="465"/>
      <c r="CE61" s="465"/>
    </row>
    <row r="62" spans="1:83" ht="12.75">
      <c r="A62" s="465"/>
      <c r="B62" s="624" t="s">
        <v>65</v>
      </c>
      <c r="C62" s="625">
        <v>3</v>
      </c>
      <c r="D62" s="497" t="e">
        <f ca="1">_xll.ciqfunctions.udf.CIQSP(B62, "IQ_LASTSALEPRICE",$B$1)/100</f>
        <v>#NAME?</v>
      </c>
      <c r="E62" s="622" t="e">
        <f ca="1">IF((_xll.ciqfunctions.udf.CIQ(B62, "IQ_COMPANY_NAME"))="(Invalid Identifier)","",(_xll.ciqfunctions.udf.CIQ(B62, "IQ_COMPANY_NAME")))</f>
        <v>#NAME?</v>
      </c>
      <c r="F62" s="623"/>
      <c r="G62" s="623"/>
      <c r="H62" s="623"/>
      <c r="I62" s="623"/>
      <c r="J62" s="536"/>
      <c r="K62" s="537"/>
      <c r="M62" s="469"/>
      <c r="N62" s="469"/>
      <c r="O62" s="469"/>
      <c r="P62" s="469"/>
      <c r="Q62" s="469"/>
      <c r="R62" s="469"/>
      <c r="S62" s="469"/>
      <c r="T62" s="469"/>
      <c r="U62" s="469"/>
      <c r="V62" s="469"/>
      <c r="W62" s="469"/>
      <c r="X62" s="469"/>
      <c r="Y62" s="469"/>
      <c r="Z62" s="469"/>
      <c r="AA62" s="469"/>
      <c r="AB62" s="469"/>
      <c r="AC62" s="469"/>
      <c r="AD62" s="469"/>
      <c r="AE62" s="469"/>
      <c r="AF62" s="469"/>
      <c r="AG62" s="469"/>
      <c r="AH62" s="469"/>
      <c r="AI62" s="469"/>
      <c r="AJ62" s="469"/>
      <c r="AK62" s="469"/>
      <c r="AL62" s="469"/>
      <c r="AM62" s="469"/>
      <c r="AN62" s="469"/>
      <c r="AO62" s="469"/>
      <c r="AP62" s="469"/>
      <c r="AQ62" s="465"/>
      <c r="AR62" s="469"/>
      <c r="AS62" s="465"/>
      <c r="AT62" s="469"/>
      <c r="AU62" s="465"/>
      <c r="AV62" s="465"/>
      <c r="AW62" s="465"/>
      <c r="AX62" s="465"/>
      <c r="AY62" s="465"/>
      <c r="AZ62" s="465"/>
      <c r="BA62" s="465"/>
      <c r="BB62" s="465"/>
      <c r="BC62" s="469"/>
      <c r="BD62" s="465"/>
      <c r="BE62" s="465"/>
      <c r="BF62" s="465"/>
      <c r="BG62" s="465"/>
      <c r="BH62" s="465"/>
      <c r="BI62" s="465"/>
      <c r="BJ62" s="465"/>
      <c r="BK62" s="465"/>
      <c r="BL62" s="465"/>
      <c r="BM62" s="465"/>
      <c r="BN62" s="465"/>
      <c r="BO62" s="465"/>
      <c r="BP62" s="465"/>
      <c r="BQ62" s="465"/>
      <c r="BR62" s="465"/>
      <c r="BS62" s="465"/>
      <c r="BT62" s="465"/>
      <c r="BU62" s="465"/>
      <c r="BV62" s="465"/>
      <c r="BW62" s="465"/>
      <c r="BX62" s="465"/>
      <c r="BY62" s="465"/>
      <c r="BZ62" s="465"/>
      <c r="CE62" s="465"/>
    </row>
    <row r="63" spans="1:83" ht="12.75">
      <c r="A63" s="465"/>
      <c r="B63" s="624" t="s">
        <v>66</v>
      </c>
      <c r="C63" s="625">
        <v>5</v>
      </c>
      <c r="D63" s="497" t="e">
        <f ca="1">_xll.ciqfunctions.udf.CIQSP(B63, "IQ_LASTSALEPRICE",$B$1)/100</f>
        <v>#NAME?</v>
      </c>
      <c r="E63" s="622" t="e">
        <f ca="1">IF((_xll.ciqfunctions.udf.CIQ(B63, "IQ_COMPANY_NAME"))="(Invalid Identifier)","",(_xll.ciqfunctions.udf.CIQ(B63, "IQ_COMPANY_NAME")))</f>
        <v>#NAME?</v>
      </c>
      <c r="F63" s="623"/>
      <c r="G63" s="623"/>
      <c r="H63" s="623"/>
      <c r="I63" s="623"/>
      <c r="J63" s="536"/>
      <c r="K63" s="537"/>
      <c r="M63" s="469"/>
      <c r="N63" s="469"/>
      <c r="O63" s="469"/>
      <c r="P63" s="469"/>
      <c r="Q63" s="469"/>
      <c r="R63" s="469"/>
      <c r="S63" s="469"/>
      <c r="T63" s="469"/>
      <c r="U63" s="469"/>
      <c r="V63" s="469"/>
      <c r="W63" s="469"/>
      <c r="X63" s="469"/>
      <c r="Y63" s="469"/>
      <c r="Z63" s="469"/>
      <c r="AA63" s="469"/>
      <c r="AB63" s="469"/>
      <c r="AC63" s="469"/>
      <c r="AD63" s="469"/>
      <c r="AE63" s="469"/>
      <c r="AF63" s="469"/>
      <c r="AG63" s="469"/>
      <c r="AH63" s="469"/>
      <c r="AI63" s="469"/>
      <c r="AJ63" s="469"/>
      <c r="AK63" s="469"/>
      <c r="AL63" s="469"/>
      <c r="AM63" s="469"/>
      <c r="AN63" s="469"/>
      <c r="AO63" s="469"/>
      <c r="AP63" s="469"/>
      <c r="AQ63" s="465"/>
      <c r="AR63" s="469"/>
      <c r="AS63" s="465"/>
      <c r="AT63" s="469"/>
      <c r="AU63" s="465"/>
      <c r="AV63" s="465"/>
      <c r="AW63" s="465"/>
      <c r="AX63" s="465"/>
      <c r="AY63" s="465"/>
      <c r="AZ63" s="465"/>
      <c r="BA63" s="465"/>
      <c r="BB63" s="465"/>
      <c r="BC63" s="469"/>
      <c r="BD63" s="465"/>
      <c r="BE63" s="465"/>
      <c r="BF63" s="465"/>
      <c r="BG63" s="465"/>
      <c r="BH63" s="465"/>
      <c r="BI63" s="465"/>
      <c r="BJ63" s="465"/>
      <c r="BK63" s="465"/>
      <c r="BL63" s="465"/>
      <c r="BM63" s="465"/>
      <c r="BN63" s="465"/>
      <c r="BO63" s="465"/>
      <c r="BP63" s="465"/>
      <c r="BQ63" s="465"/>
      <c r="BR63" s="465"/>
      <c r="BS63" s="465"/>
      <c r="BT63" s="465"/>
      <c r="BU63" s="465"/>
      <c r="BV63" s="465"/>
      <c r="BW63" s="465"/>
      <c r="BX63" s="465"/>
      <c r="BY63" s="465"/>
      <c r="BZ63" s="465"/>
      <c r="CE63" s="465"/>
    </row>
    <row r="64" spans="1:83" ht="12.75">
      <c r="A64" s="465"/>
      <c r="B64" s="624" t="s">
        <v>67</v>
      </c>
      <c r="C64" s="625">
        <v>7</v>
      </c>
      <c r="D64" s="497" t="e">
        <f ca="1">_xll.ciqfunctions.udf.CIQSP(B64, "IQ_LASTSALEPRICE",$B$1)/100</f>
        <v>#NAME?</v>
      </c>
      <c r="E64" s="622" t="e">
        <f ca="1">IF((_xll.ciqfunctions.udf.CIQ(B64, "IQ_COMPANY_NAME"))="(Invalid Identifier)","",(_xll.ciqfunctions.udf.CIQ(B64, "IQ_COMPANY_NAME")))</f>
        <v>#NAME?</v>
      </c>
      <c r="F64" s="623"/>
      <c r="G64" s="623"/>
      <c r="H64" s="623"/>
      <c r="I64" s="623"/>
      <c r="J64" s="536"/>
      <c r="K64" s="537"/>
      <c r="M64" s="469"/>
      <c r="N64" s="469"/>
      <c r="O64" s="469"/>
      <c r="P64" s="469"/>
      <c r="Q64" s="469"/>
      <c r="R64" s="469"/>
      <c r="S64" s="469"/>
      <c r="T64" s="469"/>
      <c r="U64" s="469"/>
      <c r="V64" s="469"/>
      <c r="W64" s="469"/>
      <c r="X64" s="469"/>
      <c r="Y64" s="469"/>
      <c r="Z64" s="469"/>
      <c r="AA64" s="469"/>
      <c r="AB64" s="469"/>
      <c r="AC64" s="469"/>
      <c r="AD64" s="469"/>
      <c r="AE64" s="469"/>
      <c r="AF64" s="469"/>
      <c r="AG64" s="469"/>
      <c r="AH64" s="469"/>
      <c r="AI64" s="469"/>
      <c r="AJ64" s="469"/>
      <c r="AK64" s="469"/>
      <c r="AL64" s="469"/>
      <c r="AM64" s="469"/>
      <c r="AN64" s="469"/>
      <c r="AO64" s="469"/>
      <c r="AP64" s="469"/>
      <c r="AQ64" s="465"/>
      <c r="AR64" s="469"/>
      <c r="AS64" s="465"/>
      <c r="AT64" s="469"/>
      <c r="AU64" s="465"/>
      <c r="AV64" s="465"/>
      <c r="AW64" s="465"/>
      <c r="AX64" s="465"/>
      <c r="AY64" s="465"/>
      <c r="AZ64" s="465"/>
      <c r="BA64" s="465"/>
      <c r="BB64" s="465"/>
      <c r="BC64" s="469"/>
      <c r="BD64" s="465"/>
      <c r="BE64" s="465"/>
      <c r="BF64" s="465"/>
      <c r="BG64" s="465"/>
      <c r="BH64" s="465"/>
      <c r="BI64" s="465"/>
      <c r="BJ64" s="465"/>
      <c r="BK64" s="465"/>
      <c r="BL64" s="465"/>
      <c r="BM64" s="465"/>
      <c r="BN64" s="465"/>
      <c r="BO64" s="465"/>
      <c r="BP64" s="465"/>
      <c r="BQ64" s="465"/>
      <c r="BR64" s="465"/>
      <c r="BS64" s="465"/>
      <c r="BT64" s="465"/>
      <c r="BU64" s="465"/>
      <c r="BV64" s="465"/>
      <c r="BW64" s="465"/>
      <c r="BX64" s="465"/>
      <c r="BY64" s="465"/>
      <c r="BZ64" s="465"/>
      <c r="CE64" s="465"/>
    </row>
    <row r="65" spans="1:83" ht="12.75">
      <c r="A65" s="465"/>
      <c r="B65" s="624" t="s">
        <v>68</v>
      </c>
      <c r="C65" s="625">
        <v>10</v>
      </c>
      <c r="D65" s="497" t="e">
        <f ca="1">_xll.ciqfunctions.udf.CIQSP(B65, "IQ_LASTSALEPRICE",$B$1)/100</f>
        <v>#NAME?</v>
      </c>
      <c r="E65" s="622" t="e">
        <f ca="1">IF((_xll.ciqfunctions.udf.CIQ(B65, "IQ_COMPANY_NAME"))="(Invalid Identifier)","",(_xll.ciqfunctions.udf.CIQ(B65, "IQ_COMPANY_NAME")))</f>
        <v>#NAME?</v>
      </c>
      <c r="F65" s="623"/>
      <c r="G65" s="623"/>
      <c r="H65" s="623"/>
      <c r="I65" s="623"/>
      <c r="J65" s="536"/>
      <c r="K65" s="537"/>
      <c r="M65" s="469"/>
      <c r="N65" s="469"/>
      <c r="O65" s="469"/>
      <c r="P65" s="469"/>
      <c r="Q65" s="469"/>
      <c r="R65" s="469"/>
      <c r="S65" s="469"/>
      <c r="T65" s="469"/>
      <c r="U65" s="469"/>
      <c r="V65" s="469"/>
      <c r="W65" s="469"/>
      <c r="X65" s="469"/>
      <c r="Y65" s="469"/>
      <c r="Z65" s="469"/>
      <c r="AA65" s="469"/>
      <c r="AB65" s="469"/>
      <c r="AC65" s="469"/>
      <c r="AD65" s="469"/>
      <c r="AE65" s="469"/>
      <c r="AF65" s="469"/>
      <c r="AG65" s="469"/>
      <c r="AH65" s="469"/>
      <c r="AI65" s="469"/>
      <c r="AJ65" s="469"/>
      <c r="AK65" s="469"/>
      <c r="AL65" s="469"/>
      <c r="AM65" s="469"/>
      <c r="AN65" s="469"/>
      <c r="AO65" s="469"/>
      <c r="AP65" s="469"/>
      <c r="AQ65" s="465"/>
      <c r="AR65" s="469"/>
      <c r="AS65" s="465"/>
      <c r="AT65" s="469"/>
      <c r="AU65" s="465"/>
      <c r="AV65" s="465"/>
      <c r="AW65" s="465"/>
      <c r="AX65" s="465"/>
      <c r="AY65" s="465"/>
      <c r="AZ65" s="465"/>
      <c r="BA65" s="465"/>
      <c r="BB65" s="465"/>
      <c r="BC65" s="469"/>
      <c r="BD65" s="465"/>
      <c r="BE65" s="465"/>
      <c r="BF65" s="465"/>
      <c r="BG65" s="465"/>
      <c r="BH65" s="465"/>
      <c r="BI65" s="465"/>
      <c r="BJ65" s="465"/>
      <c r="BK65" s="465"/>
      <c r="BL65" s="465"/>
      <c r="BM65" s="465"/>
      <c r="BN65" s="465"/>
      <c r="BO65" s="465"/>
      <c r="BP65" s="465"/>
      <c r="BQ65" s="465"/>
      <c r="BR65" s="465"/>
      <c r="BS65" s="465"/>
      <c r="BT65" s="465"/>
      <c r="BU65" s="465"/>
      <c r="BV65" s="465"/>
      <c r="BW65" s="465"/>
      <c r="BX65" s="465"/>
      <c r="BY65" s="465"/>
      <c r="BZ65" s="465"/>
      <c r="CE65" s="465"/>
    </row>
    <row r="66" spans="1:83" ht="12.75">
      <c r="A66" s="465"/>
      <c r="B66" s="624" t="s">
        <v>69</v>
      </c>
      <c r="C66" s="625">
        <v>20</v>
      </c>
      <c r="D66" s="497" t="e">
        <f ca="1">_xll.ciqfunctions.udf.CIQSP(B66, "IQ_LASTSALEPRICE",$B$1)/100</f>
        <v>#NAME?</v>
      </c>
      <c r="E66" s="622" t="e">
        <f ca="1">IF((_xll.ciqfunctions.udf.CIQ(B66, "IQ_COMPANY_NAME"))="(Invalid Identifier)","",(_xll.ciqfunctions.udf.CIQ(B66, "IQ_COMPANY_NAME")))</f>
        <v>#NAME?</v>
      </c>
      <c r="F66" s="623"/>
      <c r="G66" s="623"/>
      <c r="H66" s="623"/>
      <c r="I66" s="623"/>
      <c r="J66" s="536"/>
      <c r="K66" s="537"/>
      <c r="M66" s="469"/>
      <c r="N66" s="469"/>
      <c r="O66" s="469"/>
      <c r="P66" s="469"/>
      <c r="Q66" s="469"/>
      <c r="R66" s="469"/>
      <c r="S66" s="469"/>
      <c r="T66" s="469"/>
      <c r="U66" s="469"/>
      <c r="V66" s="469"/>
      <c r="W66" s="469"/>
      <c r="X66" s="469"/>
      <c r="Y66" s="469"/>
      <c r="Z66" s="469"/>
      <c r="AA66" s="469"/>
      <c r="AB66" s="469"/>
      <c r="AC66" s="469"/>
      <c r="AD66" s="469"/>
      <c r="AE66" s="469"/>
      <c r="AF66" s="469"/>
      <c r="AG66" s="469"/>
      <c r="AH66" s="469"/>
      <c r="AI66" s="469"/>
      <c r="AJ66" s="469"/>
      <c r="AK66" s="469"/>
      <c r="AL66" s="469"/>
      <c r="AM66" s="469"/>
      <c r="AN66" s="469"/>
      <c r="AO66" s="469"/>
      <c r="AP66" s="469"/>
      <c r="AQ66" s="465"/>
      <c r="AR66" s="469"/>
      <c r="AS66" s="465"/>
      <c r="AT66" s="469"/>
      <c r="AU66" s="465"/>
      <c r="AV66" s="465"/>
      <c r="AW66" s="465"/>
      <c r="AX66" s="465"/>
      <c r="AY66" s="465"/>
      <c r="AZ66" s="465"/>
      <c r="BA66" s="465"/>
      <c r="BB66" s="465"/>
      <c r="BC66" s="469"/>
      <c r="BD66" s="465"/>
      <c r="BE66" s="465"/>
      <c r="BF66" s="465"/>
      <c r="BG66" s="465"/>
      <c r="BH66" s="465"/>
      <c r="BI66" s="465"/>
      <c r="BJ66" s="465"/>
      <c r="BK66" s="465"/>
      <c r="BL66" s="465"/>
      <c r="BM66" s="465"/>
      <c r="BN66" s="465"/>
      <c r="BO66" s="465"/>
      <c r="BP66" s="465"/>
      <c r="BQ66" s="465"/>
      <c r="BR66" s="465"/>
      <c r="BS66" s="465"/>
      <c r="BT66" s="465"/>
      <c r="BU66" s="465"/>
      <c r="BV66" s="465"/>
      <c r="BW66" s="465"/>
      <c r="BX66" s="465"/>
      <c r="BY66" s="465"/>
      <c r="BZ66" s="465"/>
      <c r="CE66" s="465"/>
    </row>
    <row r="67" spans="1:83" ht="12.75">
      <c r="A67" s="465"/>
      <c r="B67" s="626" t="s">
        <v>70</v>
      </c>
      <c r="C67" s="627">
        <v>30</v>
      </c>
      <c r="D67" s="472" t="e">
        <f ca="1">_xll.ciqfunctions.udf.CIQSP(B67, "IQ_LASTSALEPRICE",$B$1)/100</f>
        <v>#NAME?</v>
      </c>
      <c r="E67" s="628" t="e">
        <f ca="1">IF((_xll.ciqfunctions.udf.CIQ(B67, "IQ_COMPANY_NAME"))="(Invalid Identifier)","",(_xll.ciqfunctions.udf.CIQ(B67, "IQ_COMPANY_NAME")))</f>
        <v>#NAME?</v>
      </c>
      <c r="F67" s="629"/>
      <c r="G67" s="629"/>
      <c r="H67" s="629"/>
      <c r="I67" s="629"/>
      <c r="J67" s="544"/>
      <c r="K67" s="545"/>
      <c r="M67" s="469"/>
      <c r="N67" s="469"/>
      <c r="O67" s="469"/>
      <c r="P67" s="469"/>
      <c r="Q67" s="469"/>
      <c r="R67" s="469"/>
      <c r="S67" s="469"/>
      <c r="T67" s="469"/>
      <c r="U67" s="469"/>
      <c r="V67" s="469"/>
      <c r="W67" s="469"/>
      <c r="X67" s="469"/>
      <c r="Y67" s="469"/>
      <c r="Z67" s="469"/>
      <c r="AA67" s="469"/>
      <c r="AB67" s="469"/>
      <c r="AC67" s="469"/>
      <c r="AD67" s="469"/>
      <c r="AE67" s="469"/>
      <c r="AF67" s="469"/>
      <c r="AG67" s="469"/>
      <c r="AH67" s="469"/>
      <c r="AI67" s="469"/>
      <c r="AJ67" s="469"/>
      <c r="AK67" s="469"/>
      <c r="AL67" s="469"/>
      <c r="AM67" s="469"/>
      <c r="AN67" s="469"/>
      <c r="AO67" s="469"/>
      <c r="AP67" s="469"/>
      <c r="AQ67" s="465"/>
      <c r="AR67" s="469"/>
      <c r="AS67" s="465"/>
      <c r="AT67" s="469"/>
      <c r="AU67" s="465"/>
      <c r="AV67" s="465"/>
      <c r="AW67" s="465"/>
      <c r="AX67" s="465"/>
      <c r="AY67" s="465"/>
      <c r="AZ67" s="465"/>
      <c r="BA67" s="465"/>
      <c r="BB67" s="465"/>
      <c r="BC67" s="469"/>
      <c r="BD67" s="465"/>
      <c r="BE67" s="465"/>
      <c r="BF67" s="465"/>
      <c r="BG67" s="465"/>
      <c r="BH67" s="465"/>
      <c r="BI67" s="465"/>
      <c r="BJ67" s="465"/>
      <c r="BK67" s="465"/>
      <c r="BL67" s="465"/>
      <c r="BM67" s="465"/>
      <c r="BN67" s="465"/>
      <c r="BO67" s="465"/>
      <c r="BP67" s="465"/>
      <c r="BQ67" s="465"/>
      <c r="BR67" s="465"/>
      <c r="BS67" s="465"/>
      <c r="BT67" s="465"/>
      <c r="BU67" s="465"/>
      <c r="BV67" s="465"/>
      <c r="BW67" s="465"/>
      <c r="BX67" s="465"/>
      <c r="BY67" s="465"/>
      <c r="BZ67" s="465"/>
      <c r="CE67" s="465"/>
    </row>
    <row r="70" spans="1:83">
      <c r="A70" s="465"/>
      <c r="B70" s="546" t="s">
        <v>557</v>
      </c>
      <c r="K70" s="469"/>
      <c r="L70" s="469"/>
      <c r="M70" s="469"/>
      <c r="N70" s="469"/>
      <c r="O70" s="469"/>
      <c r="P70" s="469"/>
      <c r="Q70" s="469"/>
      <c r="R70" s="469"/>
      <c r="S70" s="469"/>
      <c r="T70" s="469"/>
      <c r="U70" s="469"/>
      <c r="V70" s="469"/>
      <c r="W70" s="469"/>
      <c r="X70" s="469"/>
      <c r="Y70" s="469"/>
      <c r="Z70" s="469"/>
      <c r="AA70" s="469"/>
      <c r="AB70" s="469"/>
      <c r="AC70" s="469"/>
      <c r="AD70" s="469"/>
      <c r="AE70" s="469"/>
      <c r="AF70" s="469"/>
      <c r="AG70" s="469"/>
      <c r="AH70" s="469"/>
      <c r="AI70" s="469"/>
      <c r="AJ70" s="469"/>
      <c r="AK70" s="469"/>
      <c r="AL70" s="469"/>
      <c r="AM70" s="469"/>
      <c r="AN70" s="469"/>
      <c r="AO70" s="469"/>
      <c r="AP70" s="469"/>
      <c r="AQ70" s="465"/>
      <c r="AR70" s="469"/>
      <c r="AS70" s="465"/>
      <c r="AT70" s="469"/>
      <c r="AU70" s="465"/>
      <c r="AV70" s="465"/>
      <c r="AW70" s="465"/>
      <c r="AX70" s="465"/>
      <c r="AY70" s="465"/>
      <c r="AZ70" s="465"/>
      <c r="BA70" s="465"/>
      <c r="BB70" s="465"/>
      <c r="BC70" s="469"/>
      <c r="BD70" s="465"/>
      <c r="BE70" s="465"/>
      <c r="BF70" s="465"/>
      <c r="BG70" s="465"/>
      <c r="BH70" s="465"/>
      <c r="BI70" s="465"/>
      <c r="BJ70" s="465"/>
      <c r="BK70" s="465"/>
      <c r="BL70" s="465"/>
      <c r="BM70" s="465"/>
      <c r="BN70" s="465"/>
      <c r="BO70" s="465"/>
      <c r="BP70" s="465"/>
      <c r="BQ70" s="465"/>
      <c r="BR70" s="465"/>
      <c r="BS70" s="465"/>
      <c r="BT70" s="465"/>
      <c r="BU70" s="465"/>
      <c r="BV70" s="465"/>
      <c r="BW70" s="465"/>
      <c r="BX70" s="465"/>
      <c r="BY70" s="465"/>
      <c r="BZ70" s="465"/>
      <c r="CE70" s="465"/>
    </row>
    <row r="71" spans="1:83" ht="12.75">
      <c r="A71" s="465"/>
      <c r="B71" s="630" t="s">
        <v>558</v>
      </c>
      <c r="C71" s="548" t="e">
        <f ca="1">_xll.ciqfunctions.udf.CIQSP(B71, "IQ_LASTSALEPRICE",$B$1)/100</f>
        <v>#NAME?</v>
      </c>
      <c r="D71" s="631" t="s">
        <v>634</v>
      </c>
      <c r="E71" s="632"/>
      <c r="F71" s="632"/>
      <c r="G71" s="632"/>
      <c r="H71" s="632"/>
      <c r="I71" s="632"/>
      <c r="J71" s="633"/>
      <c r="K71" s="469"/>
      <c r="L71" s="469"/>
      <c r="M71" s="469"/>
      <c r="N71" s="469"/>
      <c r="O71" s="469"/>
      <c r="P71" s="469"/>
      <c r="Q71" s="469"/>
      <c r="R71" s="469"/>
      <c r="S71" s="469"/>
      <c r="T71" s="469"/>
      <c r="U71" s="469"/>
      <c r="V71" s="469"/>
      <c r="W71" s="469"/>
      <c r="X71" s="469"/>
      <c r="Y71" s="469"/>
      <c r="Z71" s="469"/>
      <c r="AA71" s="469"/>
      <c r="AB71" s="469"/>
      <c r="AC71" s="469"/>
      <c r="AD71" s="469"/>
      <c r="AE71" s="469"/>
      <c r="AF71" s="469"/>
      <c r="AG71" s="469"/>
      <c r="AH71" s="469"/>
      <c r="AI71" s="469"/>
      <c r="AJ71" s="469"/>
      <c r="AK71" s="469"/>
      <c r="AL71" s="469"/>
      <c r="AM71" s="469"/>
      <c r="AN71" s="469"/>
      <c r="AO71" s="469"/>
      <c r="AP71" s="469"/>
      <c r="AQ71" s="465"/>
      <c r="AR71" s="469"/>
      <c r="AS71" s="465"/>
      <c r="AT71" s="469"/>
      <c r="AU71" s="465"/>
      <c r="AV71" s="465"/>
      <c r="AW71" s="465"/>
      <c r="AX71" s="465"/>
      <c r="AY71" s="465"/>
      <c r="AZ71" s="465"/>
      <c r="BA71" s="465"/>
      <c r="BB71" s="465"/>
      <c r="BC71" s="469"/>
      <c r="BD71" s="465"/>
      <c r="BE71" s="465"/>
      <c r="BF71" s="465"/>
      <c r="BG71" s="465"/>
      <c r="BH71" s="465"/>
      <c r="BI71" s="465"/>
      <c r="BJ71" s="465"/>
      <c r="BK71" s="465"/>
      <c r="BL71" s="465"/>
      <c r="BM71" s="465"/>
      <c r="BN71" s="465"/>
      <c r="BO71" s="465"/>
      <c r="BP71" s="465"/>
      <c r="BQ71" s="465"/>
      <c r="BR71" s="465"/>
      <c r="BS71" s="465"/>
      <c r="BT71" s="465"/>
      <c r="BU71" s="465"/>
      <c r="BV71" s="465"/>
      <c r="BW71" s="465"/>
      <c r="BX71" s="465"/>
      <c r="BY71" s="465"/>
      <c r="BZ71" s="465"/>
      <c r="CE71" s="465"/>
    </row>
    <row r="73" spans="1:83">
      <c r="A73" s="465"/>
      <c r="B73" s="546" t="s">
        <v>559</v>
      </c>
      <c r="K73" s="469"/>
      <c r="L73" s="469"/>
      <c r="M73" s="469"/>
      <c r="N73" s="469"/>
      <c r="O73" s="469"/>
      <c r="P73" s="469"/>
      <c r="Q73" s="469"/>
      <c r="R73" s="469"/>
      <c r="S73" s="469"/>
      <c r="T73" s="469"/>
      <c r="U73" s="469"/>
      <c r="V73" s="469"/>
      <c r="W73" s="469"/>
      <c r="X73" s="469"/>
      <c r="Y73" s="469"/>
      <c r="Z73" s="469"/>
      <c r="AA73" s="469"/>
      <c r="AB73" s="469"/>
      <c r="AC73" s="469"/>
      <c r="AD73" s="469"/>
      <c r="AE73" s="469"/>
      <c r="AF73" s="469"/>
      <c r="AG73" s="469"/>
      <c r="AH73" s="469"/>
      <c r="AI73" s="469"/>
      <c r="AJ73" s="469"/>
      <c r="AK73" s="469"/>
      <c r="AL73" s="469"/>
      <c r="AM73" s="469"/>
      <c r="AN73" s="469"/>
      <c r="AO73" s="469"/>
      <c r="AP73" s="469"/>
      <c r="AQ73" s="465"/>
      <c r="AR73" s="469"/>
      <c r="AS73" s="465"/>
      <c r="AT73" s="469"/>
      <c r="AU73" s="465"/>
      <c r="AV73" s="465"/>
      <c r="AW73" s="465"/>
      <c r="AX73" s="465"/>
      <c r="AY73" s="465"/>
      <c r="AZ73" s="465"/>
      <c r="BA73" s="465"/>
      <c r="BB73" s="465"/>
      <c r="BC73" s="469"/>
      <c r="BD73" s="465"/>
      <c r="BE73" s="465"/>
      <c r="BF73" s="465"/>
      <c r="BG73" s="465"/>
      <c r="BH73" s="465"/>
      <c r="BI73" s="465"/>
      <c r="BJ73" s="465"/>
      <c r="BK73" s="465"/>
      <c r="BL73" s="465"/>
      <c r="BM73" s="465"/>
      <c r="BN73" s="465"/>
      <c r="BO73" s="465"/>
      <c r="BP73" s="465"/>
      <c r="BQ73" s="465"/>
      <c r="BR73" s="465"/>
      <c r="BS73" s="465"/>
      <c r="BT73" s="465"/>
      <c r="BU73" s="465"/>
      <c r="BV73" s="465"/>
      <c r="BW73" s="465"/>
      <c r="BX73" s="465"/>
      <c r="BY73" s="465"/>
      <c r="BZ73" s="465"/>
      <c r="CE73" s="465"/>
    </row>
    <row r="74" spans="1:83" ht="12.75">
      <c r="A74" s="465"/>
      <c r="B74" s="630" t="s">
        <v>560</v>
      </c>
      <c r="C74" s="548" t="str">
        <f ca="1">IF(ISERROR(_xll.ciqfunctions.udf.CIQ("%USPMRT","IQ_LASTSALEPRICE",B1)/100),"NM",_xll.ciqfunctions.udf.CIQ("%USPMRT","IQ_LASTSALEPRICE",B1)/100)</f>
        <v>NM</v>
      </c>
      <c r="D74" s="631"/>
      <c r="E74" s="632"/>
      <c r="F74" s="632"/>
      <c r="G74" s="632"/>
      <c r="H74" s="632"/>
      <c r="I74" s="632"/>
      <c r="J74" s="633"/>
      <c r="K74" s="469"/>
      <c r="L74" s="469"/>
      <c r="M74" s="469"/>
      <c r="N74" s="469"/>
      <c r="O74" s="469"/>
      <c r="P74" s="469"/>
      <c r="Q74" s="469"/>
      <c r="R74" s="469"/>
      <c r="S74" s="469"/>
      <c r="T74" s="469"/>
      <c r="U74" s="469"/>
      <c r="V74" s="469"/>
      <c r="W74" s="469"/>
      <c r="X74" s="469"/>
      <c r="Y74" s="469"/>
      <c r="Z74" s="469"/>
      <c r="AA74" s="469"/>
      <c r="AB74" s="469"/>
      <c r="AC74" s="469"/>
      <c r="AD74" s="469"/>
      <c r="AE74" s="469"/>
      <c r="AF74" s="469"/>
      <c r="AG74" s="469"/>
      <c r="AH74" s="469"/>
      <c r="AI74" s="469"/>
      <c r="AJ74" s="469"/>
      <c r="AK74" s="469"/>
      <c r="AL74" s="469"/>
      <c r="AM74" s="469"/>
      <c r="AN74" s="469"/>
      <c r="AO74" s="469"/>
      <c r="AP74" s="469"/>
      <c r="AQ74" s="465"/>
      <c r="AR74" s="469"/>
      <c r="AS74" s="465"/>
      <c r="AT74" s="469"/>
      <c r="AU74" s="465"/>
      <c r="AV74" s="465"/>
      <c r="AW74" s="465"/>
      <c r="AX74" s="465"/>
      <c r="AY74" s="465"/>
      <c r="AZ74" s="465"/>
      <c r="BA74" s="465"/>
      <c r="BB74" s="465"/>
      <c r="BC74" s="469"/>
      <c r="BD74" s="465"/>
      <c r="BE74" s="465"/>
      <c r="BF74" s="465"/>
      <c r="BG74" s="465"/>
      <c r="BH74" s="465"/>
      <c r="BI74" s="465"/>
      <c r="BJ74" s="465"/>
      <c r="BK74" s="465"/>
      <c r="BL74" s="465"/>
      <c r="BM74" s="465"/>
      <c r="BN74" s="465"/>
      <c r="BO74" s="465"/>
      <c r="BP74" s="465"/>
      <c r="BQ74" s="465"/>
      <c r="BR74" s="465"/>
      <c r="BS74" s="465"/>
      <c r="BT74" s="465"/>
      <c r="BU74" s="465"/>
      <c r="BV74" s="465"/>
      <c r="BW74" s="465"/>
      <c r="BX74" s="465"/>
      <c r="BY74" s="465"/>
      <c r="BZ74" s="465"/>
      <c r="CE74" s="465"/>
    </row>
  </sheetData>
  <dataValidations count="1">
    <dataValidation type="list" allowBlank="1" showInputMessage="1" showErrorMessage="1" sqref="CC13:CD42">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B1:AJ57"/>
  <sheetViews>
    <sheetView showGridLines="0" view="pageBreakPreview" topLeftCell="A8" zoomScale="90" zoomScaleNormal="100" zoomScaleSheetLayoutView="90" workbookViewId="0">
      <selection activeCell="O11" sqref="O10:O29"/>
    </sheetView>
  </sheetViews>
  <sheetFormatPr defaultRowHeight="12.75" outlineLevelCol="1"/>
  <cols>
    <col min="1" max="1" width="2.83203125" style="610" customWidth="1"/>
    <col min="2" max="2" width="11.83203125" style="610" customWidth="1"/>
    <col min="3" max="3" width="28.83203125" style="610" customWidth="1"/>
    <col min="4" max="4" width="26.33203125" style="610" customWidth="1"/>
    <col min="5" max="5" width="26.33203125" style="610" hidden="1" customWidth="1" outlineLevel="1"/>
    <col min="6" max="6" width="10.1640625" style="610" bestFit="1" customWidth="1" collapsed="1"/>
    <col min="7" max="7" width="10" style="610" hidden="1" customWidth="1" outlineLevel="1"/>
    <col min="8" max="8" width="2.83203125" style="610" customWidth="1" collapsed="1"/>
    <col min="9" max="11" width="16.33203125" style="610" customWidth="1"/>
    <col min="12" max="12" width="15.6640625" style="610" customWidth="1"/>
    <col min="13" max="13" width="2.83203125" style="610" customWidth="1"/>
    <col min="14" max="16" width="19.1640625" style="610" customWidth="1"/>
    <col min="17" max="17" width="2.83203125" style="610" customWidth="1"/>
    <col min="18" max="20" width="11.33203125" style="610" customWidth="1"/>
    <col min="21" max="22" width="11.33203125" style="610" hidden="1" customWidth="1" outlineLevel="1"/>
    <col min="23" max="23" width="2.83203125" style="610" customWidth="1" collapsed="1"/>
    <col min="24" max="26" width="11.33203125" style="610" hidden="1" customWidth="1" outlineLevel="1"/>
    <col min="27" max="27" width="2.83203125" style="610" hidden="1" customWidth="1" outlineLevel="1"/>
    <col min="28" max="30" width="11.33203125" style="610" hidden="1" customWidth="1" outlineLevel="1"/>
    <col min="31" max="31" width="2.83203125" style="610" hidden="1" customWidth="1" outlineLevel="1"/>
    <col min="32" max="32" width="12.1640625" style="610" customWidth="1" collapsed="1"/>
    <col min="33" max="33" width="11.6640625" style="610" customWidth="1"/>
    <col min="34" max="34" width="2.83203125" style="610" customWidth="1"/>
    <col min="35" max="35" width="24.6640625" style="610" customWidth="1"/>
    <col min="36" max="36" width="51.1640625" style="610" customWidth="1"/>
    <col min="37" max="16384" width="9.33203125" style="610"/>
  </cols>
  <sheetData>
    <row r="1" spans="2:36" s="385" customFormat="1" ht="10.7" customHeight="1" thickBot="1"/>
    <row r="2" spans="2:36" s="385" customFormat="1" ht="16.5" customHeight="1" thickTop="1">
      <c r="B2" s="10" t="s">
        <v>472</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I2" s="555" t="s">
        <v>22</v>
      </c>
      <c r="AJ2" s="640">
        <f>+'Capital IQ Sheet-STM'!AL2</f>
        <v>42704</v>
      </c>
    </row>
    <row r="3" spans="2:36" s="385" customFormat="1" ht="15.75" customHeight="1">
      <c r="B3" s="11" t="s">
        <v>595</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I3" s="335" t="s">
        <v>299</v>
      </c>
      <c r="AJ3" s="275" t="s">
        <v>301</v>
      </c>
    </row>
    <row r="4" spans="2:36" s="385" customFormat="1" ht="16.5" customHeight="1" thickBot="1">
      <c r="B4" s="12" t="s">
        <v>527</v>
      </c>
      <c r="C4" s="12"/>
      <c r="D4" s="12"/>
      <c r="E4" s="12"/>
      <c r="F4" s="12"/>
      <c r="G4" s="12"/>
      <c r="H4" s="12"/>
      <c r="I4" s="12"/>
      <c r="J4" s="12"/>
      <c r="K4" s="12"/>
      <c r="L4" s="12"/>
      <c r="M4" s="12"/>
      <c r="N4" s="13"/>
      <c r="O4" s="13"/>
      <c r="P4" s="13"/>
      <c r="Q4" s="13" t="s">
        <v>23</v>
      </c>
      <c r="R4" s="13"/>
      <c r="S4" s="13"/>
      <c r="T4" s="13"/>
      <c r="U4" s="13"/>
      <c r="V4" s="13"/>
      <c r="W4" s="13"/>
      <c r="X4" s="13"/>
      <c r="Y4" s="13"/>
      <c r="Z4" s="13"/>
      <c r="AA4" s="13"/>
      <c r="AB4" s="13"/>
      <c r="AC4" s="13"/>
      <c r="AD4" s="13"/>
      <c r="AE4" s="13"/>
      <c r="AF4" s="13"/>
      <c r="AG4" s="13"/>
      <c r="AI4" s="335" t="s">
        <v>300</v>
      </c>
      <c r="AJ4" s="275" t="s">
        <v>302</v>
      </c>
    </row>
    <row r="5" spans="2:36" s="16" customFormat="1" ht="12.75" customHeight="1" thickTop="1">
      <c r="B5" s="385"/>
      <c r="C5" s="385"/>
      <c r="D5" s="385"/>
      <c r="E5" s="385"/>
      <c r="F5" s="385"/>
      <c r="G5" s="385"/>
      <c r="H5" s="385"/>
      <c r="I5" s="385"/>
      <c r="J5" s="385"/>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78" t="s">
        <v>24</v>
      </c>
      <c r="AJ5" s="641" t="s">
        <v>25</v>
      </c>
    </row>
    <row r="6" spans="2:36" s="642" customFormat="1" ht="12.75" customHeight="1">
      <c r="C6" s="610"/>
      <c r="D6" s="643"/>
    </row>
    <row r="7" spans="2:36" s="642" customFormat="1" ht="12.75" customHeight="1">
      <c r="I7" s="644" t="s">
        <v>313</v>
      </c>
      <c r="J7" s="992"/>
      <c r="K7" s="992"/>
      <c r="L7" s="645"/>
      <c r="N7" s="644" t="s">
        <v>196</v>
      </c>
      <c r="O7" s="646"/>
      <c r="P7" s="645"/>
      <c r="R7" s="644" t="s">
        <v>195</v>
      </c>
      <c r="S7" s="646"/>
      <c r="T7" s="645"/>
      <c r="U7" s="646"/>
      <c r="V7" s="645"/>
      <c r="X7" s="644" t="s">
        <v>197</v>
      </c>
      <c r="Y7" s="646"/>
      <c r="Z7" s="645"/>
      <c r="AB7" s="644" t="s">
        <v>198</v>
      </c>
      <c r="AC7" s="646"/>
      <c r="AD7" s="645"/>
      <c r="AF7" s="644" t="s">
        <v>201</v>
      </c>
      <c r="AG7" s="647"/>
    </row>
    <row r="8" spans="2:36" s="651" customFormat="1" ht="30.75" customHeight="1">
      <c r="B8" s="648" t="s">
        <v>190</v>
      </c>
      <c r="C8" s="649" t="s">
        <v>628</v>
      </c>
      <c r="D8" s="649" t="s">
        <v>191</v>
      </c>
      <c r="E8" s="649" t="s">
        <v>317</v>
      </c>
      <c r="F8" s="650" t="s">
        <v>192</v>
      </c>
      <c r="G8" s="650" t="s">
        <v>194</v>
      </c>
      <c r="I8" s="648" t="s">
        <v>75</v>
      </c>
      <c r="J8" s="993" t="s">
        <v>1291</v>
      </c>
      <c r="K8" s="993" t="s">
        <v>1292</v>
      </c>
      <c r="L8" s="650" t="s">
        <v>314</v>
      </c>
      <c r="M8" s="652"/>
      <c r="N8" s="648" t="s">
        <v>85</v>
      </c>
      <c r="O8" s="649" t="s">
        <v>93</v>
      </c>
      <c r="P8" s="650" t="s">
        <v>94</v>
      </c>
      <c r="R8" s="648" t="s">
        <v>85</v>
      </c>
      <c r="S8" s="649" t="s">
        <v>93</v>
      </c>
      <c r="T8" s="650" t="s">
        <v>94</v>
      </c>
      <c r="U8" s="649" t="s">
        <v>315</v>
      </c>
      <c r="V8" s="650" t="s">
        <v>316</v>
      </c>
      <c r="X8" s="648" t="s">
        <v>85</v>
      </c>
      <c r="Y8" s="649" t="s">
        <v>93</v>
      </c>
      <c r="Z8" s="650" t="s">
        <v>94</v>
      </c>
      <c r="AB8" s="648" t="s">
        <v>85</v>
      </c>
      <c r="AC8" s="649" t="s">
        <v>93</v>
      </c>
      <c r="AD8" s="650" t="s">
        <v>94</v>
      </c>
      <c r="AF8" s="653" t="s">
        <v>199</v>
      </c>
      <c r="AG8" s="654" t="s">
        <v>200</v>
      </c>
      <c r="AI8" s="655" t="s">
        <v>193</v>
      </c>
    </row>
    <row r="9" spans="2:36" s="642" customFormat="1" ht="12.75" customHeight="1"/>
    <row r="10" spans="2:36" s="657" customFormat="1" ht="12.75" customHeight="1">
      <c r="B10" s="656" t="e">
        <f ca="1">_xll.ciqfunctions.udf.CIQ($AI10,"IQ_TR_CLOSED_DATE")</f>
        <v>#NAME?</v>
      </c>
      <c r="C10" s="657" t="e">
        <f ca="1">_xll.ciqfunctions.udf.CIQ($AI10,"IQ_TR_BUYERNAME")</f>
        <v>#NAME?</v>
      </c>
      <c r="D10" s="657" t="e">
        <f ca="1">_xll.ciqfunctions.udf.CIQ($AI10,"IQ_TR_TARGETNAME")</f>
        <v>#NAME?</v>
      </c>
      <c r="E10" s="657" t="e">
        <f ca="1">_xll.ciqfunctions.udf.CIQ($AI10, "IQ_PRIMARY_INDUSTRY")</f>
        <v>#NAME?</v>
      </c>
      <c r="F10" s="658" t="e">
        <f ca="1">_xll.ciqfunctions.udf.CIQ($AI10, "IQ_TR_PCT_SOUGHT")/100</f>
        <v>#NAME?</v>
      </c>
      <c r="G10" s="659" t="e">
        <f ca="1">_xll.ciqfunctions.udf.CIQ(AI10, "IQ_TR_MAJ_MIN_STAKE")</f>
        <v>#NAME?</v>
      </c>
      <c r="I10" s="660" t="e">
        <f ca="1">_xll.ciqfunctions.udf.CIQ($AI10, "IQ_TR_IMPLIED_EV_FINAL", , $AJ$4,$AJ$5)</f>
        <v>#NAME?</v>
      </c>
      <c r="J10" s="660" t="e">
        <f ca="1">IF(_xll.ciqfunctions.udf.CIQ(AI10, "IQ_TR_TOTAL_CASH")="n/a",0,_xll.ciqfunctions.udf.CIQ(AI10, "IQ_TR_TOTAL_CASH"))+IF(_xll.ciqfunctions.udf.CIQ(AI10, "IQ_TR_TOTAL_STOCK")="n/a",0,_xll.ciqfunctions.udf.CIQ(AI10, "IQ_TR_TOTAL_STOCK"))</f>
        <v>#NAME?</v>
      </c>
      <c r="K10" s="148" t="e">
        <f ca="1">_xll.ciqfunctions.udf.CIQ(AI10, "IQ_TR_EARNOUTS")</f>
        <v>#NAME?</v>
      </c>
      <c r="L10" s="660" t="e">
        <f ca="1">IF(_xll.ciqfunctions.udf.CIQ($AI10, "IQ_TR_TOTAL_GROSS_TV",$AJ$4,$AJ$5)=0,"NA",_xll.ciqfunctions.udf.CIQ($AI10, "IQ_TR_TOTAL_GROSS_TV",,"USD"))</f>
        <v>#NAME?</v>
      </c>
      <c r="M10" s="661"/>
      <c r="N10" s="660" t="e">
        <f ca="1">_xll.ciqfunctions.udf.CIQ($AI10, "IQ_TR_TARGET_TOTAL_REV",,$AJ$4,$AJ$5)</f>
        <v>#NAME?</v>
      </c>
      <c r="O10" s="660" t="e">
        <f ca="1">_xll.ciqfunctions.udf.CIQ($AI10, "IQ_TR_TARGET_EBITDA", , $AJ$4,$AJ$5)</f>
        <v>#NAME?</v>
      </c>
      <c r="P10" s="660" t="e">
        <f ca="1">_xll.ciqfunctions.udf.CIQ($AI10, "IQ_TR_TARGET_EBIT", , $AJ$4,$AJ$5)</f>
        <v>#NAME?</v>
      </c>
      <c r="Q10" s="661"/>
      <c r="R10" s="662" t="str">
        <f ca="1">IF(ISERROR($I10/N10), "n/a", $I10/N10)</f>
        <v>n/a</v>
      </c>
      <c r="S10" s="662" t="str">
        <f ca="1">IF(ISERROR($I10/O10), "n/a", $I10/O10)</f>
        <v>n/a</v>
      </c>
      <c r="T10" s="662" t="str">
        <f ca="1">IF(ISERROR($I10/P10), "n/a", $I10/P10)</f>
        <v>n/a</v>
      </c>
      <c r="U10" s="662" t="e">
        <f ca="1">IF(_xll.ciqfunctions.udf.CIQ($AI10, "IQ_TR_IMPLIED_EQ_BV")=0,"NA",_xll.ciqfunctions.udf.CIQ($AI10, "IQ_TR_IMPLIED_EQ_BV"))</f>
        <v>#NAME?</v>
      </c>
      <c r="V10" s="662" t="e">
        <f ca="1">IF(_xll.ciqfunctions.udf.CIQ($AI10, "IQ_TR_IMPLIED_EQ_NI_LTM")=0,"NA",_xll.ciqfunctions.udf.CIQ($AI10, "IQ_TR_IMPLIED_EQ_NI_LTM"))</f>
        <v>#NAME?</v>
      </c>
      <c r="W10" s="661"/>
      <c r="X10" s="660" t="e">
        <f ca="1">_xll.ciqfunctions.udf.CIQ($AI10, "IQ_TR_TARGET_REVENUE_EST",, $AJ$4,$AJ$5)</f>
        <v>#NAME?</v>
      </c>
      <c r="Y10" s="660" t="e">
        <f ca="1">_xll.ciqfunctions.udf.CIQ($AI10, "IQ_TR_TARGET_EBITDA_EST",, $AJ$4,$AJ$5)</f>
        <v>#NAME?</v>
      </c>
      <c r="Z10" s="660" t="e">
        <f ca="1">_xll.ciqfunctions.udf.CIQ(AI10, "IQ_TR_IMPLIED_EV_EBIT_FWD")</f>
        <v>#NAME?</v>
      </c>
      <c r="AA10" s="661"/>
      <c r="AB10" s="662" t="str">
        <f ca="1">IF(ISERROR($I10/X10), "n/a", $I10/X10)</f>
        <v>n/a</v>
      </c>
      <c r="AC10" s="662" t="str">
        <f ca="1">IF(ISERROR($I10/Y10), "n/a", $I10/Y10)</f>
        <v>n/a</v>
      </c>
      <c r="AD10" s="662" t="str">
        <f ca="1">IF(ISERROR($I10/Z10), "n/a", $I10/Z10)</f>
        <v>n/a</v>
      </c>
      <c r="AF10" s="663" t="e">
        <f ca="1">IF((_xll.ciqfunctions.udf.CIQ($AI10, "IQ_TR_TARGET_STOCKPREMIUM_1W")/100)&lt;=0,"NM",_xll.ciqfunctions.udf.CIQ($AI10, "IQ_TR_TARGET_STOCKPREMIUM_1W")/100)</f>
        <v>#NAME?</v>
      </c>
      <c r="AG10" s="663" t="e">
        <f ca="1">IF((_xll.ciqfunctions.udf.CIQ($AI10, "IQ_TR_TARGET_STOCKPREMIUM_1M")/100)&lt;=0,"NM",_xll.ciqfunctions.udf.CIQ($AI10, "IQ_TR_TARGET_STOCKPREMIUM_1M")/100)</f>
        <v>#NAME?</v>
      </c>
      <c r="AI10" s="664" t="str">
        <f>+'Capital IQ Sheet-STM'!AK10</f>
        <v>IQTR330031184</v>
      </c>
      <c r="AJ10" s="657" t="e">
        <f ca="1">_xll.ciqfunctions.udf.CIQ(AI10, "IQ_BUSINESS_DESCRIPTION")</f>
        <v>#NAME?</v>
      </c>
    </row>
    <row r="11" spans="2:36" s="657" customFormat="1" ht="12.75" customHeight="1">
      <c r="B11" s="656" t="e">
        <f ca="1">_xll.ciqfunctions.udf.CIQ($AI11,"IQ_TR_CLOSED_DATE")</f>
        <v>#NAME?</v>
      </c>
      <c r="C11" s="657" t="e">
        <f ca="1">_xll.ciqfunctions.udf.CIQ($AI11,"IQ_TR_BUYERNAME")</f>
        <v>#NAME?</v>
      </c>
      <c r="D11" s="657" t="e">
        <f ca="1">_xll.ciqfunctions.udf.CIQ($AI11,"IQ_TR_TARGETNAME")</f>
        <v>#NAME?</v>
      </c>
      <c r="E11" s="657" t="e">
        <f ca="1">_xll.ciqfunctions.udf.CIQ($AI11, "IQ_PRIMARY_INDUSTRY")</f>
        <v>#NAME?</v>
      </c>
      <c r="F11" s="658" t="e">
        <f ca="1">_xll.ciqfunctions.udf.CIQ($AI11, "IQ_TR_PCT_SOUGHT")/100</f>
        <v>#NAME?</v>
      </c>
      <c r="G11" s="659" t="e">
        <f ca="1">_xll.ciqfunctions.udf.CIQ(AI11, "IQ_TR_MAJ_MIN_STAKE")</f>
        <v>#NAME?</v>
      </c>
      <c r="I11" s="660" t="e">
        <f ca="1">_xll.ciqfunctions.udf.CIQ($AI11, "IQ_TR_IMPLIED_EV_FINAL", , $AJ$4,$AJ$5)</f>
        <v>#NAME?</v>
      </c>
      <c r="J11" s="660" t="e">
        <f ca="1">IF(_xll.ciqfunctions.udf.CIQ(AI11, "IQ_TR_TOTAL_CASH")="n/a",0,_xll.ciqfunctions.udf.CIQ(AI11, "IQ_TR_TOTAL_CASH"))+IF(_xll.ciqfunctions.udf.CIQ(AI11, "IQ_TR_TOTAL_STOCK")="n/a",0,_xll.ciqfunctions.udf.CIQ(AI11, "IQ_TR_TOTAL_STOCK"))</f>
        <v>#NAME?</v>
      </c>
      <c r="K11" s="148" t="e">
        <f ca="1">_xll.ciqfunctions.udf.CIQ(AI11, "IQ_TR_EARNOUTS")</f>
        <v>#NAME?</v>
      </c>
      <c r="L11" s="660" t="e">
        <f ca="1">IF(_xll.ciqfunctions.udf.CIQ($AI11, "IQ_TR_TOTAL_GROSS_TV",$AJ$4,$AJ$5)=0,"NA",_xll.ciqfunctions.udf.CIQ($AI11, "IQ_TR_TOTAL_GROSS_TV",,"USD"))</f>
        <v>#NAME?</v>
      </c>
      <c r="M11" s="661"/>
      <c r="N11" s="660" t="e">
        <f ca="1">_xll.ciqfunctions.udf.CIQ($AI11, "IQ_TR_TARGET_TOTAL_REV",,$AJ$4,$AJ$5)</f>
        <v>#NAME?</v>
      </c>
      <c r="O11" s="660" t="e">
        <f ca="1">_xll.ciqfunctions.udf.CIQ($AI11, "IQ_TR_TARGET_EBITDA", , $AJ$4,$AJ$5)</f>
        <v>#NAME?</v>
      </c>
      <c r="P11" s="660" t="e">
        <f ca="1">_xll.ciqfunctions.udf.CIQ($AI11, "IQ_TR_TARGET_EBIT", , $AJ$4,$AJ$5)</f>
        <v>#NAME?</v>
      </c>
      <c r="Q11" s="661"/>
      <c r="R11" s="662" t="str">
        <f t="shared" ref="R11:T29" ca="1" si="0">IF(ISERROR($I11/N11), "n/a", $I11/N11)</f>
        <v>n/a</v>
      </c>
      <c r="S11" s="662" t="str">
        <f t="shared" ca="1" si="0"/>
        <v>n/a</v>
      </c>
      <c r="T11" s="662" t="str">
        <f t="shared" ca="1" si="0"/>
        <v>n/a</v>
      </c>
      <c r="U11" s="662" t="e">
        <f ca="1">IF(_xll.ciqfunctions.udf.CIQ($AI11, "IQ_TR_IMPLIED_EQ_BV")=0,"NA",_xll.ciqfunctions.udf.CIQ($AI11, "IQ_TR_IMPLIED_EQ_BV"))</f>
        <v>#NAME?</v>
      </c>
      <c r="V11" s="662" t="e">
        <f ca="1">IF(_xll.ciqfunctions.udf.CIQ($AI11, "IQ_TR_IMPLIED_EQ_NI_LTM")=0,"NA",_xll.ciqfunctions.udf.CIQ($AI11, "IQ_TR_IMPLIED_EQ_NI_LTM"))</f>
        <v>#NAME?</v>
      </c>
      <c r="W11" s="661"/>
      <c r="X11" s="660" t="e">
        <f ca="1">_xll.ciqfunctions.udf.CIQ($AI11, "IQ_TR_TARGET_REVENUE_EST",, $AJ$4,$AJ$5)</f>
        <v>#NAME?</v>
      </c>
      <c r="Y11" s="660" t="e">
        <f ca="1">_xll.ciqfunctions.udf.CIQ($AI11, "IQ_TR_TARGET_EBITDA_EST",, $AJ$4,$AJ$5)</f>
        <v>#NAME?</v>
      </c>
      <c r="Z11" s="660" t="e">
        <f ca="1">_xll.ciqfunctions.udf.CIQ(AI11, "IQ_TR_IMPLIED_EV_EBIT_FWD")</f>
        <v>#NAME?</v>
      </c>
      <c r="AA11" s="661"/>
      <c r="AB11" s="662" t="str">
        <f t="shared" ref="AB11:AD29" ca="1" si="1">IF(ISERROR($I11/X11), "n/a", $I11/X11)</f>
        <v>n/a</v>
      </c>
      <c r="AC11" s="662" t="str">
        <f t="shared" ca="1" si="1"/>
        <v>n/a</v>
      </c>
      <c r="AD11" s="662" t="str">
        <f t="shared" ca="1" si="1"/>
        <v>n/a</v>
      </c>
      <c r="AF11" s="663" t="e">
        <f ca="1">IF((_xll.ciqfunctions.udf.CIQ($AI11, "IQ_TR_TARGET_STOCKPREMIUM_1W")/100)&lt;=0,"NM",_xll.ciqfunctions.udf.CIQ($AI11, "IQ_TR_TARGET_STOCKPREMIUM_1W")/100)</f>
        <v>#NAME?</v>
      </c>
      <c r="AG11" s="663" t="e">
        <f ca="1">IF((_xll.ciqfunctions.udf.CIQ($AI11, "IQ_TR_TARGET_STOCKPREMIUM_1M")/100)&lt;=0,"NM",_xll.ciqfunctions.udf.CIQ($AI11, "IQ_TR_TARGET_STOCKPREMIUM_1M")/100)</f>
        <v>#NAME?</v>
      </c>
      <c r="AI11" s="664" t="str">
        <f>+'Capital IQ Sheet-STM'!AK11</f>
        <v>IQTR548704819</v>
      </c>
      <c r="AJ11" s="657" t="e">
        <f ca="1">_xll.ciqfunctions.udf.CIQ(AI11, "IQ_BUSINESS_DESCRIPTION")</f>
        <v>#NAME?</v>
      </c>
    </row>
    <row r="12" spans="2:36" s="657" customFormat="1" ht="12.75" customHeight="1">
      <c r="B12" s="656" t="e">
        <f ca="1">_xll.ciqfunctions.udf.CIQ($AI12,"IQ_TR_CLOSED_DATE")</f>
        <v>#NAME?</v>
      </c>
      <c r="C12" s="657" t="e">
        <f ca="1">_xll.ciqfunctions.udf.CIQ($AI12,"IQ_TR_BUYERNAME")</f>
        <v>#NAME?</v>
      </c>
      <c r="D12" s="657" t="e">
        <f ca="1">_xll.ciqfunctions.udf.CIQ($AI12,"IQ_TR_TARGETNAME")</f>
        <v>#NAME?</v>
      </c>
      <c r="E12" s="657" t="e">
        <f ca="1">_xll.ciqfunctions.udf.CIQ($AI12, "IQ_PRIMARY_INDUSTRY")</f>
        <v>#NAME?</v>
      </c>
      <c r="F12" s="658" t="e">
        <f ca="1">_xll.ciqfunctions.udf.CIQ($AI12, "IQ_TR_PCT_SOUGHT")/100</f>
        <v>#NAME?</v>
      </c>
      <c r="G12" s="659" t="e">
        <f ca="1">_xll.ciqfunctions.udf.CIQ(AI12, "IQ_TR_MAJ_MIN_STAKE")</f>
        <v>#NAME?</v>
      </c>
      <c r="I12" s="660" t="e">
        <f ca="1">_xll.ciqfunctions.udf.CIQ($AI12, "IQ_TR_IMPLIED_EV_FINAL", , $AJ$4,$AJ$5)</f>
        <v>#NAME?</v>
      </c>
      <c r="J12" s="660" t="e">
        <f ca="1">IF(_xll.ciqfunctions.udf.CIQ(AI12, "IQ_TR_TOTAL_CASH")="n/a",0,_xll.ciqfunctions.udf.CIQ(AI12, "IQ_TR_TOTAL_CASH"))+IF(_xll.ciqfunctions.udf.CIQ(AI12, "IQ_TR_TOTAL_STOCK")="n/a",0,_xll.ciqfunctions.udf.CIQ(AI12, "IQ_TR_TOTAL_STOCK"))</f>
        <v>#NAME?</v>
      </c>
      <c r="K12" s="148" t="e">
        <f ca="1">_xll.ciqfunctions.udf.CIQ(AI12, "IQ_TR_EARNOUTS")</f>
        <v>#NAME?</v>
      </c>
      <c r="L12" s="660" t="e">
        <f ca="1">IF(_xll.ciqfunctions.udf.CIQ($AI12, "IQ_TR_TOTAL_GROSS_TV",$AJ$4,$AJ$5)=0,"NA",_xll.ciqfunctions.udf.CIQ($AI12, "IQ_TR_TOTAL_GROSS_TV",,"USD"))</f>
        <v>#NAME?</v>
      </c>
      <c r="M12" s="661"/>
      <c r="N12" s="660" t="e">
        <f ca="1">_xll.ciqfunctions.udf.CIQ($AI12, "IQ_TR_TARGET_TOTAL_REV",,$AJ$4,$AJ$5)</f>
        <v>#NAME?</v>
      </c>
      <c r="O12" s="660" t="e">
        <f ca="1">_xll.ciqfunctions.udf.CIQ($AI12, "IQ_TR_TARGET_EBITDA", , $AJ$4,$AJ$5)</f>
        <v>#NAME?</v>
      </c>
      <c r="P12" s="660" t="e">
        <f ca="1">_xll.ciqfunctions.udf.CIQ($AI12, "IQ_TR_TARGET_EBIT", , $AJ$4,$AJ$5)</f>
        <v>#NAME?</v>
      </c>
      <c r="Q12" s="661"/>
      <c r="R12" s="662" t="str">
        <f t="shared" ca="1" si="0"/>
        <v>n/a</v>
      </c>
      <c r="S12" s="803" t="str">
        <f t="shared" ca="1" si="0"/>
        <v>n/a</v>
      </c>
      <c r="T12" s="803" t="str">
        <f t="shared" ca="1" si="0"/>
        <v>n/a</v>
      </c>
      <c r="U12" s="662" t="e">
        <f ca="1">IF(_xll.ciqfunctions.udf.CIQ($AI12, "IQ_TR_IMPLIED_EQ_BV")=0,"NA",_xll.ciqfunctions.udf.CIQ($AI12, "IQ_TR_IMPLIED_EQ_BV"))</f>
        <v>#NAME?</v>
      </c>
      <c r="V12" s="662" t="e">
        <f ca="1">IF(_xll.ciqfunctions.udf.CIQ($AI12, "IQ_TR_IMPLIED_EQ_NI_LTM")=0,"NA",_xll.ciqfunctions.udf.CIQ($AI12, "IQ_TR_IMPLIED_EQ_NI_LTM"))</f>
        <v>#NAME?</v>
      </c>
      <c r="W12" s="661"/>
      <c r="X12" s="660" t="e">
        <f ca="1">_xll.ciqfunctions.udf.CIQ($AI12, "IQ_TR_TARGET_REVENUE_EST",, $AJ$4,$AJ$5)</f>
        <v>#NAME?</v>
      </c>
      <c r="Y12" s="660" t="e">
        <f ca="1">_xll.ciqfunctions.udf.CIQ($AI12, "IQ_TR_TARGET_EBITDA_EST",, $AJ$4,$AJ$5)</f>
        <v>#NAME?</v>
      </c>
      <c r="Z12" s="660" t="e">
        <f ca="1">_xll.ciqfunctions.udf.CIQ(AI12, "IQ_TR_IMPLIED_EV_EBIT_FWD")</f>
        <v>#NAME?</v>
      </c>
      <c r="AA12" s="661"/>
      <c r="AB12" s="662" t="str">
        <f t="shared" ca="1" si="1"/>
        <v>n/a</v>
      </c>
      <c r="AC12" s="662" t="str">
        <f t="shared" ca="1" si="1"/>
        <v>n/a</v>
      </c>
      <c r="AD12" s="662" t="str">
        <f t="shared" ca="1" si="1"/>
        <v>n/a</v>
      </c>
      <c r="AF12" s="663" t="e">
        <f ca="1">IF((_xll.ciqfunctions.udf.CIQ($AI12, "IQ_TR_TARGET_STOCKPREMIUM_1W")/100)&lt;=0,"NM",_xll.ciqfunctions.udf.CIQ($AI12, "IQ_TR_TARGET_STOCKPREMIUM_1W")/100)</f>
        <v>#NAME?</v>
      </c>
      <c r="AG12" s="663" t="e">
        <f ca="1">IF((_xll.ciqfunctions.udf.CIQ($AI12, "IQ_TR_TARGET_STOCKPREMIUM_1M")/100)&lt;=0,"NM",_xll.ciqfunctions.udf.CIQ($AI12, "IQ_TR_TARGET_STOCKPREMIUM_1M")/100)</f>
        <v>#NAME?</v>
      </c>
      <c r="AI12" s="664" t="str">
        <f>+'Capital IQ Sheet-STM'!AK12</f>
        <v>IQTR531920507</v>
      </c>
      <c r="AJ12" s="657" t="e">
        <f ca="1">_xll.ciqfunctions.udf.CIQ(AI12, "IQ_BUSINESS_DESCRIPTION")</f>
        <v>#NAME?</v>
      </c>
    </row>
    <row r="13" spans="2:36" s="657" customFormat="1" ht="12.75" customHeight="1">
      <c r="B13" s="656" t="e">
        <f ca="1">_xll.ciqfunctions.udf.CIQ($AI13,"IQ_TR_CLOSED_DATE")</f>
        <v>#NAME?</v>
      </c>
      <c r="C13" s="657" t="e">
        <f ca="1">_xll.ciqfunctions.udf.CIQ($AI13,"IQ_TR_BUYERNAME")</f>
        <v>#NAME?</v>
      </c>
      <c r="D13" s="657" t="e">
        <f ca="1">_xll.ciqfunctions.udf.CIQ($AI13,"IQ_TR_TARGETNAME")</f>
        <v>#NAME?</v>
      </c>
      <c r="E13" s="657" t="e">
        <f ca="1">_xll.ciqfunctions.udf.CIQ($AI13, "IQ_PRIMARY_INDUSTRY")</f>
        <v>#NAME?</v>
      </c>
      <c r="F13" s="658" t="e">
        <f ca="1">_xll.ciqfunctions.udf.CIQ($AI13, "IQ_TR_PCT_SOUGHT")/100</f>
        <v>#NAME?</v>
      </c>
      <c r="G13" s="659" t="e">
        <f ca="1">_xll.ciqfunctions.udf.CIQ(AI13, "IQ_TR_MAJ_MIN_STAKE")</f>
        <v>#NAME?</v>
      </c>
      <c r="I13" s="660" t="e">
        <f ca="1">_xll.ciqfunctions.udf.CIQ($AI13, "IQ_TR_IMPLIED_EV_FINAL", , $AJ$4,$AJ$5)</f>
        <v>#NAME?</v>
      </c>
      <c r="J13" s="660" t="e">
        <f ca="1">IF(_xll.ciqfunctions.udf.CIQ(AI13, "IQ_TR_TOTAL_CASH")="n/a",0,_xll.ciqfunctions.udf.CIQ(AI13, "IQ_TR_TOTAL_CASH"))+IF(_xll.ciqfunctions.udf.CIQ(AI13, "IQ_TR_TOTAL_STOCK")="n/a",0,_xll.ciqfunctions.udf.CIQ(AI13, "IQ_TR_TOTAL_STOCK"))</f>
        <v>#NAME?</v>
      </c>
      <c r="K13" s="148" t="e">
        <f ca="1">_xll.ciqfunctions.udf.CIQ(AI13, "IQ_TR_EARNOUTS")</f>
        <v>#NAME?</v>
      </c>
      <c r="L13" s="660" t="e">
        <f ca="1">IF(_xll.ciqfunctions.udf.CIQ($AI13, "IQ_TR_TOTAL_GROSS_TV",$AJ$4,$AJ$5)=0,"NA",_xll.ciqfunctions.udf.CIQ($AI13, "IQ_TR_TOTAL_GROSS_TV",,"USD"))</f>
        <v>#NAME?</v>
      </c>
      <c r="M13" s="661"/>
      <c r="N13" s="660" t="e">
        <f ca="1">_xll.ciqfunctions.udf.CIQ($AI13, "IQ_TR_TARGET_TOTAL_REV",,$AJ$4,$AJ$5)</f>
        <v>#NAME?</v>
      </c>
      <c r="O13" s="660" t="e">
        <f ca="1">_xll.ciqfunctions.udf.CIQ($AI13, "IQ_TR_TARGET_EBITDA", , $AJ$4,$AJ$5)</f>
        <v>#NAME?</v>
      </c>
      <c r="P13" s="660" t="e">
        <f ca="1">_xll.ciqfunctions.udf.CIQ($AI13, "IQ_TR_TARGET_EBIT", , $AJ$4,$AJ$5)</f>
        <v>#NAME?</v>
      </c>
      <c r="Q13" s="661"/>
      <c r="R13" s="662" t="str">
        <f t="shared" ca="1" si="0"/>
        <v>n/a</v>
      </c>
      <c r="S13" s="662" t="str">
        <f t="shared" ca="1" si="0"/>
        <v>n/a</v>
      </c>
      <c r="T13" s="662" t="str">
        <f t="shared" ca="1" si="0"/>
        <v>n/a</v>
      </c>
      <c r="U13" s="662" t="e">
        <f ca="1">IF(_xll.ciqfunctions.udf.CIQ($AI13, "IQ_TR_IMPLIED_EQ_BV")=0,"NA",_xll.ciqfunctions.udf.CIQ($AI13, "IQ_TR_IMPLIED_EQ_BV"))</f>
        <v>#NAME?</v>
      </c>
      <c r="V13" s="662" t="e">
        <f ca="1">IF(_xll.ciqfunctions.udf.CIQ($AI13, "IQ_TR_IMPLIED_EQ_NI_LTM")=0,"NA",_xll.ciqfunctions.udf.CIQ($AI13, "IQ_TR_IMPLIED_EQ_NI_LTM"))</f>
        <v>#NAME?</v>
      </c>
      <c r="W13" s="661"/>
      <c r="X13" s="660" t="e">
        <f ca="1">_xll.ciqfunctions.udf.CIQ($AI13, "IQ_TR_TARGET_REVENUE_EST",, $AJ$4,$AJ$5)</f>
        <v>#NAME?</v>
      </c>
      <c r="Y13" s="660" t="e">
        <f ca="1">_xll.ciqfunctions.udf.CIQ($AI13, "IQ_TR_TARGET_EBITDA_EST",, $AJ$4,$AJ$5)</f>
        <v>#NAME?</v>
      </c>
      <c r="Z13" s="660" t="e">
        <f ca="1">_xll.ciqfunctions.udf.CIQ(AI13, "IQ_TR_IMPLIED_EV_EBIT_FWD")</f>
        <v>#NAME?</v>
      </c>
      <c r="AA13" s="661"/>
      <c r="AB13" s="662" t="str">
        <f t="shared" ca="1" si="1"/>
        <v>n/a</v>
      </c>
      <c r="AC13" s="662" t="str">
        <f t="shared" ca="1" si="1"/>
        <v>n/a</v>
      </c>
      <c r="AD13" s="662" t="str">
        <f t="shared" ca="1" si="1"/>
        <v>n/a</v>
      </c>
      <c r="AF13" s="663" t="e">
        <f ca="1">IF((_xll.ciqfunctions.udf.CIQ($AI13, "IQ_TR_TARGET_STOCKPREMIUM_1W")/100)&lt;=0,"NM",_xll.ciqfunctions.udf.CIQ($AI13, "IQ_TR_TARGET_STOCKPREMIUM_1W")/100)</f>
        <v>#NAME?</v>
      </c>
      <c r="AG13" s="663" t="e">
        <f ca="1">IF((_xll.ciqfunctions.udf.CIQ($AI13, "IQ_TR_TARGET_STOCKPREMIUM_1M")/100)&lt;=0,"NM",_xll.ciqfunctions.udf.CIQ($AI13, "IQ_TR_TARGET_STOCKPREMIUM_1M")/100)</f>
        <v>#NAME?</v>
      </c>
      <c r="AI13" s="664" t="str">
        <f>+'Capital IQ Sheet-STM'!AK13</f>
        <v>IQTR428101034</v>
      </c>
      <c r="AJ13" s="657" t="e">
        <f ca="1">_xll.ciqfunctions.udf.CIQ(AI13, "IQ_BUSINESS_DESCRIPTION")</f>
        <v>#NAME?</v>
      </c>
    </row>
    <row r="14" spans="2:36" s="657" customFormat="1" ht="12.75" customHeight="1">
      <c r="B14" s="656" t="e">
        <f ca="1">_xll.ciqfunctions.udf.CIQ($AI14,"IQ_TR_CLOSED_DATE")</f>
        <v>#NAME?</v>
      </c>
      <c r="C14" s="657" t="e">
        <f ca="1">_xll.ciqfunctions.udf.CIQ($AI14,"IQ_TR_BUYERNAME")</f>
        <v>#NAME?</v>
      </c>
      <c r="D14" s="657" t="e">
        <f ca="1">_xll.ciqfunctions.udf.CIQ($AI14,"IQ_TR_TARGETNAME")</f>
        <v>#NAME?</v>
      </c>
      <c r="E14" s="657" t="e">
        <f ca="1">_xll.ciqfunctions.udf.CIQ($AI14, "IQ_PRIMARY_INDUSTRY")</f>
        <v>#NAME?</v>
      </c>
      <c r="F14" s="658" t="e">
        <f ca="1">_xll.ciqfunctions.udf.CIQ($AI14, "IQ_TR_PCT_SOUGHT")/100</f>
        <v>#NAME?</v>
      </c>
      <c r="G14" s="659" t="e">
        <f ca="1">_xll.ciqfunctions.udf.CIQ(AI14, "IQ_TR_MAJ_MIN_STAKE")</f>
        <v>#NAME?</v>
      </c>
      <c r="I14" s="660" t="e">
        <f ca="1">_xll.ciqfunctions.udf.CIQ($AI14, "IQ_TR_IMPLIED_EV_FINAL", , $AJ$4,$AJ$5)</f>
        <v>#NAME?</v>
      </c>
      <c r="J14" s="660" t="e">
        <f ca="1">IF(_xll.ciqfunctions.udf.CIQ(AI14, "IQ_TR_TOTAL_CASH")="n/a",0,_xll.ciqfunctions.udf.CIQ(AI14, "IQ_TR_TOTAL_CASH"))+IF(_xll.ciqfunctions.udf.CIQ(AI14, "IQ_TR_TOTAL_STOCK")="n/a",0,_xll.ciqfunctions.udf.CIQ(AI14, "IQ_TR_TOTAL_STOCK"))</f>
        <v>#NAME?</v>
      </c>
      <c r="K14" s="148" t="e">
        <f ca="1">_xll.ciqfunctions.udf.CIQ(AI14, "IQ_TR_EARNOUTS")</f>
        <v>#NAME?</v>
      </c>
      <c r="L14" s="660" t="e">
        <f ca="1">IF(_xll.ciqfunctions.udf.CIQ($AI14, "IQ_TR_TOTAL_GROSS_TV",$AJ$4,$AJ$5)=0,"NA",_xll.ciqfunctions.udf.CIQ($AI14, "IQ_TR_TOTAL_GROSS_TV",,"USD"))</f>
        <v>#NAME?</v>
      </c>
      <c r="M14" s="661"/>
      <c r="N14" s="660" t="e">
        <f ca="1">_xll.ciqfunctions.udf.CIQ($AI14, "IQ_TR_TARGET_TOTAL_REV",,$AJ$4,$AJ$5)</f>
        <v>#NAME?</v>
      </c>
      <c r="O14" s="660" t="e">
        <f ca="1">_xll.ciqfunctions.udf.CIQ($AI14, "IQ_TR_TARGET_EBITDA", , $AJ$4,$AJ$5)</f>
        <v>#NAME?</v>
      </c>
      <c r="P14" s="660" t="e">
        <f ca="1">_xll.ciqfunctions.udf.CIQ($AI14, "IQ_TR_TARGET_EBIT", , $AJ$4,$AJ$5)</f>
        <v>#NAME?</v>
      </c>
      <c r="Q14" s="661"/>
      <c r="R14" s="662" t="str">
        <f t="shared" ca="1" si="0"/>
        <v>n/a</v>
      </c>
      <c r="S14" s="662" t="str">
        <f t="shared" ca="1" si="0"/>
        <v>n/a</v>
      </c>
      <c r="T14" s="662" t="str">
        <f t="shared" ca="1" si="0"/>
        <v>n/a</v>
      </c>
      <c r="U14" s="662" t="e">
        <f ca="1">IF(_xll.ciqfunctions.udf.CIQ($AI14, "IQ_TR_IMPLIED_EQ_BV")=0,"NA",_xll.ciqfunctions.udf.CIQ($AI14, "IQ_TR_IMPLIED_EQ_BV"))</f>
        <v>#NAME?</v>
      </c>
      <c r="V14" s="662" t="e">
        <f ca="1">IF(_xll.ciqfunctions.udf.CIQ($AI14, "IQ_TR_IMPLIED_EQ_NI_LTM")=0,"NA",_xll.ciqfunctions.udf.CIQ($AI14, "IQ_TR_IMPLIED_EQ_NI_LTM"))</f>
        <v>#NAME?</v>
      </c>
      <c r="W14" s="661"/>
      <c r="X14" s="660" t="e">
        <f ca="1">_xll.ciqfunctions.udf.CIQ($AI14, "IQ_TR_TARGET_REVENUE_EST",, $AJ$4,$AJ$5)</f>
        <v>#NAME?</v>
      </c>
      <c r="Y14" s="660" t="e">
        <f ca="1">_xll.ciqfunctions.udf.CIQ($AI14, "IQ_TR_TARGET_EBITDA_EST",, $AJ$4,$AJ$5)</f>
        <v>#NAME?</v>
      </c>
      <c r="Z14" s="660" t="e">
        <f ca="1">_xll.ciqfunctions.udf.CIQ(AI14, "IQ_TR_IMPLIED_EV_EBIT_FWD")</f>
        <v>#NAME?</v>
      </c>
      <c r="AA14" s="661"/>
      <c r="AB14" s="662" t="str">
        <f t="shared" ca="1" si="1"/>
        <v>n/a</v>
      </c>
      <c r="AC14" s="662" t="str">
        <f t="shared" ca="1" si="1"/>
        <v>n/a</v>
      </c>
      <c r="AD14" s="662" t="str">
        <f t="shared" ca="1" si="1"/>
        <v>n/a</v>
      </c>
      <c r="AF14" s="663" t="e">
        <f ca="1">IF((_xll.ciqfunctions.udf.CIQ($AI14, "IQ_TR_TARGET_STOCKPREMIUM_1W")/100)&lt;=0,"NM",_xll.ciqfunctions.udf.CIQ($AI14, "IQ_TR_TARGET_STOCKPREMIUM_1W")/100)</f>
        <v>#NAME?</v>
      </c>
      <c r="AG14" s="663" t="e">
        <f ca="1">IF((_xll.ciqfunctions.udf.CIQ($AI14, "IQ_TR_TARGET_STOCKPREMIUM_1M")/100)&lt;=0,"NM",_xll.ciqfunctions.udf.CIQ($AI14, "IQ_TR_TARGET_STOCKPREMIUM_1M")/100)</f>
        <v>#NAME?</v>
      </c>
      <c r="AI14" s="664" t="str">
        <f>+'Capital IQ Sheet-STM'!AK14</f>
        <v>IQTR415611815</v>
      </c>
      <c r="AJ14" s="657" t="e">
        <f ca="1">_xll.ciqfunctions.udf.CIQ(AI14, "IQ_BUSINESS_DESCRIPTION")</f>
        <v>#NAME?</v>
      </c>
    </row>
    <row r="15" spans="2:36" s="657" customFormat="1" ht="12.75" customHeight="1">
      <c r="B15" s="656" t="e">
        <f ca="1">_xll.ciqfunctions.udf.CIQ($AI15,"IQ_TR_CLOSED_DATE")</f>
        <v>#NAME?</v>
      </c>
      <c r="C15" s="657" t="e">
        <f ca="1">_xll.ciqfunctions.udf.CIQ($AI15,"IQ_TR_BUYERNAME")</f>
        <v>#NAME?</v>
      </c>
      <c r="D15" s="657" t="e">
        <f ca="1">_xll.ciqfunctions.udf.CIQ($AI15,"IQ_TR_TARGETNAME")</f>
        <v>#NAME?</v>
      </c>
      <c r="E15" s="657" t="e">
        <f ca="1">_xll.ciqfunctions.udf.CIQ($AI15, "IQ_PRIMARY_INDUSTRY")</f>
        <v>#NAME?</v>
      </c>
      <c r="F15" s="658" t="e">
        <f ca="1">_xll.ciqfunctions.udf.CIQ($AI15, "IQ_TR_PCT_SOUGHT")/100</f>
        <v>#NAME?</v>
      </c>
      <c r="G15" s="659" t="e">
        <f ca="1">_xll.ciqfunctions.udf.CIQ(AI15, "IQ_TR_MAJ_MIN_STAKE")</f>
        <v>#NAME?</v>
      </c>
      <c r="I15" s="660" t="e">
        <f ca="1">_xll.ciqfunctions.udf.CIQ($AI15, "IQ_TR_IMPLIED_EV_FINAL", , $AJ$4,$AJ$5)</f>
        <v>#NAME?</v>
      </c>
      <c r="J15" s="660" t="e">
        <f ca="1">IF(_xll.ciqfunctions.udf.CIQ(AI15, "IQ_TR_TOTAL_CASH")="n/a",0,_xll.ciqfunctions.udf.CIQ(AI15, "IQ_TR_TOTAL_CASH"))+IF(_xll.ciqfunctions.udf.CIQ(AI15, "IQ_TR_TOTAL_STOCK")="n/a",0,_xll.ciqfunctions.udf.CIQ(AI15, "IQ_TR_TOTAL_STOCK"))</f>
        <v>#NAME?</v>
      </c>
      <c r="K15" s="148" t="e">
        <f ca="1">_xll.ciqfunctions.udf.CIQ(AI15, "IQ_TR_EARNOUTS")</f>
        <v>#NAME?</v>
      </c>
      <c r="L15" s="660" t="e">
        <f ca="1">IF(_xll.ciqfunctions.udf.CIQ($AI15, "IQ_TR_TOTAL_GROSS_TV",$AJ$4,$AJ$5)=0,"NA",_xll.ciqfunctions.udf.CIQ($AI15, "IQ_TR_TOTAL_GROSS_TV",,"USD"))</f>
        <v>#NAME?</v>
      </c>
      <c r="M15" s="661"/>
      <c r="N15" s="660" t="e">
        <f ca="1">_xll.ciqfunctions.udf.CIQ($AI15, "IQ_TR_TARGET_TOTAL_REV",,$AJ$4,$AJ$5)</f>
        <v>#NAME?</v>
      </c>
      <c r="O15" s="660" t="e">
        <f ca="1">_xll.ciqfunctions.udf.CIQ($AI15, "IQ_TR_TARGET_EBITDA", , $AJ$4,$AJ$5)</f>
        <v>#NAME?</v>
      </c>
      <c r="P15" s="660" t="e">
        <f ca="1">_xll.ciqfunctions.udf.CIQ($AI15, "IQ_TR_TARGET_EBIT", , $AJ$4,$AJ$5)</f>
        <v>#NAME?</v>
      </c>
      <c r="Q15" s="661"/>
      <c r="R15" s="662" t="str">
        <f t="shared" ca="1" si="0"/>
        <v>n/a</v>
      </c>
      <c r="S15" s="662" t="str">
        <f t="shared" ca="1" si="0"/>
        <v>n/a</v>
      </c>
      <c r="T15" s="662" t="str">
        <f t="shared" ca="1" si="0"/>
        <v>n/a</v>
      </c>
      <c r="U15" s="662" t="e">
        <f ca="1">IF(_xll.ciqfunctions.udf.CIQ($AI15, "IQ_TR_IMPLIED_EQ_BV")=0,"NA",_xll.ciqfunctions.udf.CIQ($AI15, "IQ_TR_IMPLIED_EQ_BV"))</f>
        <v>#NAME?</v>
      </c>
      <c r="V15" s="662" t="e">
        <f ca="1">IF(_xll.ciqfunctions.udf.CIQ($AI15, "IQ_TR_IMPLIED_EQ_NI_LTM")=0,"NA",_xll.ciqfunctions.udf.CIQ($AI15, "IQ_TR_IMPLIED_EQ_NI_LTM"))</f>
        <v>#NAME?</v>
      </c>
      <c r="W15" s="661"/>
      <c r="X15" s="660" t="e">
        <f ca="1">_xll.ciqfunctions.udf.CIQ($AI15, "IQ_TR_TARGET_REVENUE_EST",, $AJ$4,$AJ$5)</f>
        <v>#NAME?</v>
      </c>
      <c r="Y15" s="660" t="e">
        <f ca="1">_xll.ciqfunctions.udf.CIQ($AI15, "IQ_TR_TARGET_EBITDA_EST",, $AJ$4,$AJ$5)</f>
        <v>#NAME?</v>
      </c>
      <c r="Z15" s="660" t="e">
        <f ca="1">_xll.ciqfunctions.udf.CIQ(AI15, "IQ_TR_IMPLIED_EV_EBIT_FWD")</f>
        <v>#NAME?</v>
      </c>
      <c r="AA15" s="661"/>
      <c r="AB15" s="662" t="str">
        <f t="shared" ca="1" si="1"/>
        <v>n/a</v>
      </c>
      <c r="AC15" s="662" t="str">
        <f t="shared" ca="1" si="1"/>
        <v>n/a</v>
      </c>
      <c r="AD15" s="662" t="str">
        <f t="shared" ca="1" si="1"/>
        <v>n/a</v>
      </c>
      <c r="AF15" s="663" t="e">
        <f ca="1">IF((_xll.ciqfunctions.udf.CIQ($AI15, "IQ_TR_TARGET_STOCKPREMIUM_1W")/100)&lt;=0,"NM",_xll.ciqfunctions.udf.CIQ($AI15, "IQ_TR_TARGET_STOCKPREMIUM_1W")/100)</f>
        <v>#NAME?</v>
      </c>
      <c r="AG15" s="663" t="e">
        <f ca="1">IF((_xll.ciqfunctions.udf.CIQ($AI15, "IQ_TR_TARGET_STOCKPREMIUM_1M")/100)&lt;=0,"NM",_xll.ciqfunctions.udf.CIQ($AI15, "IQ_TR_TARGET_STOCKPREMIUM_1M")/100)</f>
        <v>#NAME?</v>
      </c>
      <c r="AI15" s="664" t="str">
        <f>+'Capital IQ Sheet-STM'!AK15</f>
        <v>IQTR401979689</v>
      </c>
      <c r="AJ15" s="657" t="e">
        <f ca="1">_xll.ciqfunctions.udf.CIQ(AI15, "IQ_BUSINESS_DESCRIPTION")</f>
        <v>#NAME?</v>
      </c>
    </row>
    <row r="16" spans="2:36" s="657" customFormat="1" ht="12.75" customHeight="1">
      <c r="B16" s="656" t="e">
        <f ca="1">_xll.ciqfunctions.udf.CIQ($AI16,"IQ_TR_CLOSED_DATE")</f>
        <v>#NAME?</v>
      </c>
      <c r="C16" s="657" t="e">
        <f ca="1">_xll.ciqfunctions.udf.CIQ($AI16,"IQ_TR_BUYERNAME")</f>
        <v>#NAME?</v>
      </c>
      <c r="D16" s="657" t="e">
        <f ca="1">_xll.ciqfunctions.udf.CIQ($AI16,"IQ_TR_TARGETNAME")</f>
        <v>#NAME?</v>
      </c>
      <c r="E16" s="657" t="e">
        <f ca="1">_xll.ciqfunctions.udf.CIQ($AI16, "IQ_PRIMARY_INDUSTRY")</f>
        <v>#NAME?</v>
      </c>
      <c r="F16" s="658" t="e">
        <f ca="1">_xll.ciqfunctions.udf.CIQ($AI16, "IQ_TR_PCT_SOUGHT")/100</f>
        <v>#NAME?</v>
      </c>
      <c r="G16" s="659" t="e">
        <f ca="1">_xll.ciqfunctions.udf.CIQ(AI16, "IQ_TR_MAJ_MIN_STAKE")</f>
        <v>#NAME?</v>
      </c>
      <c r="I16" s="660" t="e">
        <f ca="1">_xll.ciqfunctions.udf.CIQ($AI16, "IQ_TR_IMPLIED_EV_FINAL", , $AJ$4,$AJ$5)</f>
        <v>#NAME?</v>
      </c>
      <c r="J16" s="660" t="e">
        <f ca="1">IF(_xll.ciqfunctions.udf.CIQ(AI16, "IQ_TR_TOTAL_CASH")="n/a",0,_xll.ciqfunctions.udf.CIQ(AI16, "IQ_TR_TOTAL_CASH"))+IF(_xll.ciqfunctions.udf.CIQ(AI16, "IQ_TR_TOTAL_STOCK")="n/a",0,_xll.ciqfunctions.udf.CIQ(AI16, "IQ_TR_TOTAL_STOCK"))</f>
        <v>#NAME?</v>
      </c>
      <c r="K16" s="148" t="e">
        <f ca="1">_xll.ciqfunctions.udf.CIQ(AI16, "IQ_TR_EARNOUTS")</f>
        <v>#NAME?</v>
      </c>
      <c r="L16" s="660" t="e">
        <f ca="1">IF(_xll.ciqfunctions.udf.CIQ($AI16, "IQ_TR_TOTAL_GROSS_TV",$AJ$4,$AJ$5)=0,"NA",_xll.ciqfunctions.udf.CIQ($AI16, "IQ_TR_TOTAL_GROSS_TV",,"USD"))</f>
        <v>#NAME?</v>
      </c>
      <c r="M16" s="661"/>
      <c r="N16" s="660" t="e">
        <f ca="1">_xll.ciqfunctions.udf.CIQ($AI16, "IQ_TR_TARGET_TOTAL_REV",,$AJ$4,$AJ$5)</f>
        <v>#NAME?</v>
      </c>
      <c r="O16" s="660" t="e">
        <f ca="1">_xll.ciqfunctions.udf.CIQ($AI16, "IQ_TR_TARGET_EBITDA", , $AJ$4,$AJ$5)</f>
        <v>#NAME?</v>
      </c>
      <c r="P16" s="660" t="e">
        <f ca="1">_xll.ciqfunctions.udf.CIQ($AI16, "IQ_TR_TARGET_EBIT", , $AJ$4,$AJ$5)</f>
        <v>#NAME?</v>
      </c>
      <c r="Q16" s="661"/>
      <c r="R16" s="662" t="str">
        <f t="shared" ca="1" si="0"/>
        <v>n/a</v>
      </c>
      <c r="S16" s="662" t="str">
        <f t="shared" ca="1" si="0"/>
        <v>n/a</v>
      </c>
      <c r="T16" s="662" t="str">
        <f t="shared" ca="1" si="0"/>
        <v>n/a</v>
      </c>
      <c r="U16" s="662" t="e">
        <f ca="1">IF(_xll.ciqfunctions.udf.CIQ($AI16, "IQ_TR_IMPLIED_EQ_BV")=0,"NA",_xll.ciqfunctions.udf.CIQ($AI16, "IQ_TR_IMPLIED_EQ_BV"))</f>
        <v>#NAME?</v>
      </c>
      <c r="V16" s="662" t="e">
        <f ca="1">IF(_xll.ciqfunctions.udf.CIQ($AI16, "IQ_TR_IMPLIED_EQ_NI_LTM")=0,"NA",_xll.ciqfunctions.udf.CIQ($AI16, "IQ_TR_IMPLIED_EQ_NI_LTM"))</f>
        <v>#NAME?</v>
      </c>
      <c r="W16" s="661"/>
      <c r="X16" s="660" t="e">
        <f ca="1">_xll.ciqfunctions.udf.CIQ($AI16, "IQ_TR_TARGET_REVENUE_EST",, $AJ$4,$AJ$5)</f>
        <v>#NAME?</v>
      </c>
      <c r="Y16" s="660" t="e">
        <f ca="1">_xll.ciqfunctions.udf.CIQ($AI16, "IQ_TR_TARGET_EBITDA_EST",, $AJ$4,$AJ$5)</f>
        <v>#NAME?</v>
      </c>
      <c r="Z16" s="660" t="e">
        <f ca="1">_xll.ciqfunctions.udf.CIQ(AI16, "IQ_TR_IMPLIED_EV_EBIT_FWD")</f>
        <v>#NAME?</v>
      </c>
      <c r="AA16" s="661"/>
      <c r="AB16" s="662" t="str">
        <f t="shared" ca="1" si="1"/>
        <v>n/a</v>
      </c>
      <c r="AC16" s="662" t="str">
        <f t="shared" ca="1" si="1"/>
        <v>n/a</v>
      </c>
      <c r="AD16" s="662" t="str">
        <f t="shared" ca="1" si="1"/>
        <v>n/a</v>
      </c>
      <c r="AF16" s="663" t="e">
        <f ca="1">IF((_xll.ciqfunctions.udf.CIQ($AI16, "IQ_TR_TARGET_STOCKPREMIUM_1W")/100)&lt;=0,"NM",_xll.ciqfunctions.udf.CIQ($AI16, "IQ_TR_TARGET_STOCKPREMIUM_1W")/100)</f>
        <v>#NAME?</v>
      </c>
      <c r="AG16" s="663" t="e">
        <f ca="1">IF((_xll.ciqfunctions.udf.CIQ($AI16, "IQ_TR_TARGET_STOCKPREMIUM_1M")/100)&lt;=0,"NM",_xll.ciqfunctions.udf.CIQ($AI16, "IQ_TR_TARGET_STOCKPREMIUM_1M")/100)</f>
        <v>#NAME?</v>
      </c>
      <c r="AI16" s="664" t="str">
        <f>+'Capital IQ Sheet-STM'!AK16</f>
        <v>IQTR402034569</v>
      </c>
      <c r="AJ16" s="657" t="e">
        <f ca="1">_xll.ciqfunctions.udf.CIQ(AI16, "IQ_BUSINESS_DESCRIPTION")</f>
        <v>#NAME?</v>
      </c>
    </row>
    <row r="17" spans="2:36" s="657" customFormat="1" ht="12.75" customHeight="1">
      <c r="B17" s="656" t="e">
        <f ca="1">_xll.ciqfunctions.udf.CIQ($AI17,"IQ_TR_CLOSED_DATE")</f>
        <v>#NAME?</v>
      </c>
      <c r="C17" s="657" t="e">
        <f ca="1">_xll.ciqfunctions.udf.CIQ($AI17,"IQ_TR_BUYERNAME")</f>
        <v>#NAME?</v>
      </c>
      <c r="D17" s="657" t="e">
        <f ca="1">_xll.ciqfunctions.udf.CIQ($AI17,"IQ_TR_TARGETNAME")</f>
        <v>#NAME?</v>
      </c>
      <c r="E17" s="657" t="e">
        <f ca="1">_xll.ciqfunctions.udf.CIQ($AI17, "IQ_PRIMARY_INDUSTRY")</f>
        <v>#NAME?</v>
      </c>
      <c r="F17" s="658" t="e">
        <f ca="1">_xll.ciqfunctions.udf.CIQ($AI17, "IQ_TR_PCT_SOUGHT")/100</f>
        <v>#NAME?</v>
      </c>
      <c r="G17" s="659" t="e">
        <f ca="1">_xll.ciqfunctions.udf.CIQ(AI17, "IQ_TR_MAJ_MIN_STAKE")</f>
        <v>#NAME?</v>
      </c>
      <c r="I17" s="660" t="e">
        <f ca="1">_xll.ciqfunctions.udf.CIQ($AI17, "IQ_TR_IMPLIED_EV_FINAL", , $AJ$4,$AJ$5)</f>
        <v>#NAME?</v>
      </c>
      <c r="J17" s="660" t="e">
        <f ca="1">IF(_xll.ciqfunctions.udf.CIQ(AI17, "IQ_TR_TOTAL_CASH")="n/a",0,_xll.ciqfunctions.udf.CIQ(AI17, "IQ_TR_TOTAL_CASH"))+IF(_xll.ciqfunctions.udf.CIQ(AI17, "IQ_TR_TOTAL_STOCK")="n/a",0,_xll.ciqfunctions.udf.CIQ(AI17, "IQ_TR_TOTAL_STOCK"))</f>
        <v>#NAME?</v>
      </c>
      <c r="K17" s="148" t="e">
        <f ca="1">_xll.ciqfunctions.udf.CIQ(AI17, "IQ_TR_EARNOUTS")</f>
        <v>#NAME?</v>
      </c>
      <c r="L17" s="660" t="e">
        <f ca="1">IF(_xll.ciqfunctions.udf.CIQ($AI17, "IQ_TR_TOTAL_GROSS_TV",$AJ$4,$AJ$5)=0,"NA",_xll.ciqfunctions.udf.CIQ($AI17, "IQ_TR_TOTAL_GROSS_TV",,"USD"))</f>
        <v>#NAME?</v>
      </c>
      <c r="M17" s="661"/>
      <c r="N17" s="660" t="e">
        <f ca="1">_xll.ciqfunctions.udf.CIQ($AI17, "IQ_TR_TARGET_TOTAL_REV",,$AJ$4,$AJ$5)</f>
        <v>#NAME?</v>
      </c>
      <c r="O17" s="660" t="e">
        <f ca="1">_xll.ciqfunctions.udf.CIQ($AI17, "IQ_TR_TARGET_EBITDA", , $AJ$4,$AJ$5)</f>
        <v>#NAME?</v>
      </c>
      <c r="P17" s="660" t="e">
        <f ca="1">_xll.ciqfunctions.udf.CIQ($AI17, "IQ_TR_TARGET_EBIT", , $AJ$4,$AJ$5)</f>
        <v>#NAME?</v>
      </c>
      <c r="Q17" s="661"/>
      <c r="R17" s="662" t="str">
        <f t="shared" ca="1" si="0"/>
        <v>n/a</v>
      </c>
      <c r="S17" s="662" t="str">
        <f t="shared" ca="1" si="0"/>
        <v>n/a</v>
      </c>
      <c r="T17" s="662" t="str">
        <f t="shared" ca="1" si="0"/>
        <v>n/a</v>
      </c>
      <c r="U17" s="662" t="e">
        <f ca="1">IF(_xll.ciqfunctions.udf.CIQ($AI17, "IQ_TR_IMPLIED_EQ_BV")=0,"NA",_xll.ciqfunctions.udf.CIQ($AI17, "IQ_TR_IMPLIED_EQ_BV"))</f>
        <v>#NAME?</v>
      </c>
      <c r="V17" s="662" t="e">
        <f ca="1">IF(_xll.ciqfunctions.udf.CIQ($AI17, "IQ_TR_IMPLIED_EQ_NI_LTM")=0,"NA",_xll.ciqfunctions.udf.CIQ($AI17, "IQ_TR_IMPLIED_EQ_NI_LTM"))</f>
        <v>#NAME?</v>
      </c>
      <c r="W17" s="661"/>
      <c r="X17" s="660" t="e">
        <f ca="1">_xll.ciqfunctions.udf.CIQ($AI17, "IQ_TR_TARGET_REVENUE_EST",, $AJ$4,$AJ$5)</f>
        <v>#NAME?</v>
      </c>
      <c r="Y17" s="660" t="e">
        <f ca="1">_xll.ciqfunctions.udf.CIQ($AI17, "IQ_TR_TARGET_EBITDA_EST",, $AJ$4,$AJ$5)</f>
        <v>#NAME?</v>
      </c>
      <c r="Z17" s="660" t="e">
        <f ca="1">_xll.ciqfunctions.udf.CIQ(AI17, "IQ_TR_IMPLIED_EV_EBIT_FWD")</f>
        <v>#NAME?</v>
      </c>
      <c r="AA17" s="661"/>
      <c r="AB17" s="662" t="str">
        <f t="shared" ca="1" si="1"/>
        <v>n/a</v>
      </c>
      <c r="AC17" s="662" t="str">
        <f t="shared" ca="1" si="1"/>
        <v>n/a</v>
      </c>
      <c r="AD17" s="662" t="str">
        <f t="shared" ca="1" si="1"/>
        <v>n/a</v>
      </c>
      <c r="AF17" s="663" t="e">
        <f ca="1">IF((_xll.ciqfunctions.udf.CIQ($AI17, "IQ_TR_TARGET_STOCKPREMIUM_1W")/100)&lt;=0,"NM",_xll.ciqfunctions.udf.CIQ($AI17, "IQ_TR_TARGET_STOCKPREMIUM_1W")/100)</f>
        <v>#NAME?</v>
      </c>
      <c r="AG17" s="663" t="e">
        <f ca="1">IF((_xll.ciqfunctions.udf.CIQ($AI17, "IQ_TR_TARGET_STOCKPREMIUM_1M")/100)&lt;=0,"NM",_xll.ciqfunctions.udf.CIQ($AI17, "IQ_TR_TARGET_STOCKPREMIUM_1M")/100)</f>
        <v>#NAME?</v>
      </c>
      <c r="AI17" s="664" t="str">
        <f>+'Capital IQ Sheet-STM'!AK17</f>
        <v>IQTR347591591</v>
      </c>
      <c r="AJ17" s="657" t="e">
        <f ca="1">_xll.ciqfunctions.udf.CIQ(AI17, "IQ_BUSINESS_DESCRIPTION")</f>
        <v>#NAME?</v>
      </c>
    </row>
    <row r="18" spans="2:36" s="657" customFormat="1" ht="12.75" customHeight="1">
      <c r="B18" s="656" t="e">
        <f ca="1">_xll.ciqfunctions.udf.CIQ($AI18,"IQ_TR_CLOSED_DATE")</f>
        <v>#NAME?</v>
      </c>
      <c r="C18" s="657" t="e">
        <f ca="1">_xll.ciqfunctions.udf.CIQ($AI18,"IQ_TR_BUYERNAME")</f>
        <v>#NAME?</v>
      </c>
      <c r="D18" s="657" t="e">
        <f ca="1">_xll.ciqfunctions.udf.CIQ($AI18,"IQ_TR_TARGETNAME")</f>
        <v>#NAME?</v>
      </c>
      <c r="E18" s="657" t="e">
        <f ca="1">_xll.ciqfunctions.udf.CIQ($AI18, "IQ_PRIMARY_INDUSTRY")</f>
        <v>#NAME?</v>
      </c>
      <c r="F18" s="658" t="e">
        <f ca="1">_xll.ciqfunctions.udf.CIQ($AI18, "IQ_TR_PCT_SOUGHT")/100</f>
        <v>#NAME?</v>
      </c>
      <c r="G18" s="659" t="e">
        <f ca="1">_xll.ciqfunctions.udf.CIQ(AI18, "IQ_TR_MAJ_MIN_STAKE")</f>
        <v>#NAME?</v>
      </c>
      <c r="I18" s="660" t="e">
        <f ca="1">_xll.ciqfunctions.udf.CIQ($AI18, "IQ_TR_IMPLIED_EV_FINAL", , $AJ$4,$AJ$5)</f>
        <v>#NAME?</v>
      </c>
      <c r="J18" s="660" t="e">
        <f ca="1">IF(_xll.ciqfunctions.udf.CIQ(AI18, "IQ_TR_TOTAL_CASH")="n/a",0,_xll.ciqfunctions.udf.CIQ(AI18, "IQ_TR_TOTAL_CASH"))+IF(_xll.ciqfunctions.udf.CIQ(AI18, "IQ_TR_TOTAL_STOCK")="n/a",0,_xll.ciqfunctions.udf.CIQ(AI18, "IQ_TR_TOTAL_STOCK"))</f>
        <v>#NAME?</v>
      </c>
      <c r="K18" s="148" t="e">
        <f ca="1">_xll.ciqfunctions.udf.CIQ(AI18, "IQ_TR_EARNOUTS")</f>
        <v>#NAME?</v>
      </c>
      <c r="L18" s="660" t="e">
        <f ca="1">IF(_xll.ciqfunctions.udf.CIQ($AI18, "IQ_TR_TOTAL_GROSS_TV",$AJ$4,$AJ$5)=0,"NA",_xll.ciqfunctions.udf.CIQ($AI18, "IQ_TR_TOTAL_GROSS_TV",,"USD"))</f>
        <v>#NAME?</v>
      </c>
      <c r="M18" s="661"/>
      <c r="N18" s="660" t="e">
        <f ca="1">_xll.ciqfunctions.udf.CIQ($AI18, "IQ_TR_TARGET_TOTAL_REV",,$AJ$4,$AJ$5)</f>
        <v>#NAME?</v>
      </c>
      <c r="O18" s="660" t="e">
        <f ca="1">_xll.ciqfunctions.udf.CIQ($AI18, "IQ_TR_TARGET_EBITDA", , $AJ$4,$AJ$5)</f>
        <v>#NAME?</v>
      </c>
      <c r="P18" s="660" t="e">
        <f ca="1">_xll.ciqfunctions.udf.CIQ($AI18, "IQ_TR_TARGET_EBIT", , $AJ$4,$AJ$5)</f>
        <v>#NAME?</v>
      </c>
      <c r="Q18" s="661"/>
      <c r="R18" s="662" t="str">
        <f t="shared" ca="1" si="0"/>
        <v>n/a</v>
      </c>
      <c r="S18" s="662" t="str">
        <f t="shared" ca="1" si="0"/>
        <v>n/a</v>
      </c>
      <c r="T18" s="662" t="str">
        <f t="shared" ca="1" si="0"/>
        <v>n/a</v>
      </c>
      <c r="U18" s="662" t="e">
        <f ca="1">IF(_xll.ciqfunctions.udf.CIQ($AI18, "IQ_TR_IMPLIED_EQ_BV")=0,"NA",_xll.ciqfunctions.udf.CIQ($AI18, "IQ_TR_IMPLIED_EQ_BV"))</f>
        <v>#NAME?</v>
      </c>
      <c r="V18" s="662" t="e">
        <f ca="1">IF(_xll.ciqfunctions.udf.CIQ($AI18, "IQ_TR_IMPLIED_EQ_NI_LTM")=0,"NA",_xll.ciqfunctions.udf.CIQ($AI18, "IQ_TR_IMPLIED_EQ_NI_LTM"))</f>
        <v>#NAME?</v>
      </c>
      <c r="W18" s="661"/>
      <c r="X18" s="660" t="e">
        <f ca="1">_xll.ciqfunctions.udf.CIQ($AI18, "IQ_TR_TARGET_REVENUE_EST",, $AJ$4,$AJ$5)</f>
        <v>#NAME?</v>
      </c>
      <c r="Y18" s="660" t="e">
        <f ca="1">_xll.ciqfunctions.udf.CIQ($AI18, "IQ_TR_TARGET_EBITDA_EST",, $AJ$4,$AJ$5)</f>
        <v>#NAME?</v>
      </c>
      <c r="Z18" s="660" t="e">
        <f ca="1">_xll.ciqfunctions.udf.CIQ(AI18, "IQ_TR_IMPLIED_EV_EBIT_FWD")</f>
        <v>#NAME?</v>
      </c>
      <c r="AA18" s="661"/>
      <c r="AB18" s="662" t="str">
        <f t="shared" ca="1" si="1"/>
        <v>n/a</v>
      </c>
      <c r="AC18" s="662" t="str">
        <f t="shared" ca="1" si="1"/>
        <v>n/a</v>
      </c>
      <c r="AD18" s="662" t="str">
        <f t="shared" ca="1" si="1"/>
        <v>n/a</v>
      </c>
      <c r="AF18" s="663" t="e">
        <f ca="1">IF((_xll.ciqfunctions.udf.CIQ($AI18, "IQ_TR_TARGET_STOCKPREMIUM_1W")/100)&lt;=0,"NM",_xll.ciqfunctions.udf.CIQ($AI18, "IQ_TR_TARGET_STOCKPREMIUM_1W")/100)</f>
        <v>#NAME?</v>
      </c>
      <c r="AG18" s="663" t="e">
        <f ca="1">IF((_xll.ciqfunctions.udf.CIQ($AI18, "IQ_TR_TARGET_STOCKPREMIUM_1M")/100)&lt;=0,"NM",_xll.ciqfunctions.udf.CIQ($AI18, "IQ_TR_TARGET_STOCKPREMIUM_1M")/100)</f>
        <v>#NAME?</v>
      </c>
      <c r="AI18" s="664" t="str">
        <f>+'Capital IQ Sheet-STM'!AK18</f>
        <v>IQTR313251877</v>
      </c>
      <c r="AJ18" s="657" t="e">
        <f ca="1">_xll.ciqfunctions.udf.CIQ(AI18, "IQ_BUSINESS_DESCRIPTION")</f>
        <v>#NAME?</v>
      </c>
    </row>
    <row r="19" spans="2:36" s="657" customFormat="1" ht="12.75" customHeight="1">
      <c r="B19" s="656" t="e">
        <f ca="1">_xll.ciqfunctions.udf.CIQ($AI19,"IQ_TR_CLOSED_DATE")</f>
        <v>#NAME?</v>
      </c>
      <c r="C19" s="657" t="e">
        <f ca="1">_xll.ciqfunctions.udf.CIQ($AI19,"IQ_TR_BUYERNAME")</f>
        <v>#NAME?</v>
      </c>
      <c r="D19" s="657" t="e">
        <f ca="1">_xll.ciqfunctions.udf.CIQ($AI19,"IQ_TR_TARGETNAME")</f>
        <v>#NAME?</v>
      </c>
      <c r="E19" s="657" t="e">
        <f ca="1">_xll.ciqfunctions.udf.CIQ($AI19, "IQ_PRIMARY_INDUSTRY")</f>
        <v>#NAME?</v>
      </c>
      <c r="F19" s="658" t="e">
        <f ca="1">_xll.ciqfunctions.udf.CIQ($AI19, "IQ_TR_PCT_SOUGHT")/100</f>
        <v>#NAME?</v>
      </c>
      <c r="G19" s="659" t="e">
        <f ca="1">_xll.ciqfunctions.udf.CIQ(AI19, "IQ_TR_MAJ_MIN_STAKE")</f>
        <v>#NAME?</v>
      </c>
      <c r="I19" s="660" t="e">
        <f ca="1">_xll.ciqfunctions.udf.CIQ($AI19, "IQ_TR_IMPLIED_EV_FINAL", , $AJ$4,$AJ$5)</f>
        <v>#NAME?</v>
      </c>
      <c r="J19" s="660" t="e">
        <f ca="1">IF(_xll.ciqfunctions.udf.CIQ(AI19, "IQ_TR_TOTAL_CASH")="n/a",0,_xll.ciqfunctions.udf.CIQ(AI19, "IQ_TR_TOTAL_CASH"))+IF(_xll.ciqfunctions.udf.CIQ(AI19, "IQ_TR_TOTAL_STOCK")="n/a",0,_xll.ciqfunctions.udf.CIQ(AI19, "IQ_TR_TOTAL_STOCK"))</f>
        <v>#NAME?</v>
      </c>
      <c r="K19" s="148" t="e">
        <f ca="1">_xll.ciqfunctions.udf.CIQ(AI19, "IQ_TR_EARNOUTS")</f>
        <v>#NAME?</v>
      </c>
      <c r="L19" s="660" t="e">
        <f ca="1">IF(_xll.ciqfunctions.udf.CIQ($AI19, "IQ_TR_TOTAL_GROSS_TV",$AJ$4,$AJ$5)=0,"NA",_xll.ciqfunctions.udf.CIQ($AI19, "IQ_TR_TOTAL_GROSS_TV",,"USD"))</f>
        <v>#NAME?</v>
      </c>
      <c r="M19" s="661"/>
      <c r="N19" s="660" t="e">
        <f ca="1">_xll.ciqfunctions.udf.CIQ($AI19, "IQ_TR_TARGET_TOTAL_REV",,$AJ$4,$AJ$5)</f>
        <v>#NAME?</v>
      </c>
      <c r="O19" s="660" t="e">
        <f ca="1">_xll.ciqfunctions.udf.CIQ($AI19, "IQ_TR_TARGET_EBITDA", , $AJ$4,$AJ$5)</f>
        <v>#NAME?</v>
      </c>
      <c r="P19" s="660" t="e">
        <f ca="1">_xll.ciqfunctions.udf.CIQ($AI19, "IQ_TR_TARGET_EBIT", , $AJ$4,$AJ$5)</f>
        <v>#NAME?</v>
      </c>
      <c r="Q19" s="661"/>
      <c r="R19" s="662" t="str">
        <f t="shared" ca="1" si="0"/>
        <v>n/a</v>
      </c>
      <c r="S19" s="662" t="str">
        <f t="shared" ca="1" si="0"/>
        <v>n/a</v>
      </c>
      <c r="T19" s="662" t="str">
        <f t="shared" ca="1" si="0"/>
        <v>n/a</v>
      </c>
      <c r="U19" s="662" t="e">
        <f ca="1">IF(_xll.ciqfunctions.udf.CIQ($AI19, "IQ_TR_IMPLIED_EQ_BV")=0,"NA",_xll.ciqfunctions.udf.CIQ($AI19, "IQ_TR_IMPLIED_EQ_BV"))</f>
        <v>#NAME?</v>
      </c>
      <c r="V19" s="662" t="e">
        <f ca="1">IF(_xll.ciqfunctions.udf.CIQ($AI19, "IQ_TR_IMPLIED_EQ_NI_LTM")=0,"NA",_xll.ciqfunctions.udf.CIQ($AI19, "IQ_TR_IMPLIED_EQ_NI_LTM"))</f>
        <v>#NAME?</v>
      </c>
      <c r="W19" s="661"/>
      <c r="X19" s="660" t="e">
        <f ca="1">_xll.ciqfunctions.udf.CIQ($AI19, "IQ_TR_TARGET_REVENUE_EST",, $AJ$4,$AJ$5)</f>
        <v>#NAME?</v>
      </c>
      <c r="Y19" s="660" t="e">
        <f ca="1">_xll.ciqfunctions.udf.CIQ($AI19, "IQ_TR_TARGET_EBITDA_EST",, $AJ$4,$AJ$5)</f>
        <v>#NAME?</v>
      </c>
      <c r="Z19" s="660" t="e">
        <f ca="1">_xll.ciqfunctions.udf.CIQ(AI19, "IQ_TR_IMPLIED_EV_EBIT_FWD")</f>
        <v>#NAME?</v>
      </c>
      <c r="AA19" s="661"/>
      <c r="AB19" s="662" t="str">
        <f t="shared" ca="1" si="1"/>
        <v>n/a</v>
      </c>
      <c r="AC19" s="662" t="str">
        <f t="shared" ca="1" si="1"/>
        <v>n/a</v>
      </c>
      <c r="AD19" s="662" t="str">
        <f t="shared" ca="1" si="1"/>
        <v>n/a</v>
      </c>
      <c r="AF19" s="663" t="e">
        <f ca="1">IF((_xll.ciqfunctions.udf.CIQ($AI19, "IQ_TR_TARGET_STOCKPREMIUM_1W")/100)&lt;=0,"NM",_xll.ciqfunctions.udf.CIQ($AI19, "IQ_TR_TARGET_STOCKPREMIUM_1W")/100)</f>
        <v>#NAME?</v>
      </c>
      <c r="AG19" s="663" t="e">
        <f ca="1">IF((_xll.ciqfunctions.udf.CIQ($AI19, "IQ_TR_TARGET_STOCKPREMIUM_1M")/100)&lt;=0,"NM",_xll.ciqfunctions.udf.CIQ($AI19, "IQ_TR_TARGET_STOCKPREMIUM_1M")/100)</f>
        <v>#NAME?</v>
      </c>
      <c r="AI19" s="664" t="str">
        <f>+'Capital IQ Sheet-STM'!AK19</f>
        <v>IQTR286410736</v>
      </c>
      <c r="AJ19" s="657" t="e">
        <f ca="1">_xll.ciqfunctions.udf.CIQ(AI19, "IQ_BUSINESS_DESCRIPTION")</f>
        <v>#NAME?</v>
      </c>
    </row>
    <row r="20" spans="2:36" s="657" customFormat="1" ht="12.75" customHeight="1">
      <c r="B20" s="656" t="e">
        <f ca="1">_xll.ciqfunctions.udf.CIQ($AI20,"IQ_TR_CLOSED_DATE")</f>
        <v>#NAME?</v>
      </c>
      <c r="C20" s="657" t="e">
        <f ca="1">_xll.ciqfunctions.udf.CIQ($AI20,"IQ_TR_BUYERNAME")</f>
        <v>#NAME?</v>
      </c>
      <c r="D20" s="657" t="e">
        <f ca="1">_xll.ciqfunctions.udf.CIQ($AI20,"IQ_TR_TARGETNAME")</f>
        <v>#NAME?</v>
      </c>
      <c r="E20" s="657" t="e">
        <f ca="1">_xll.ciqfunctions.udf.CIQ($AI20, "IQ_PRIMARY_INDUSTRY")</f>
        <v>#NAME?</v>
      </c>
      <c r="F20" s="658" t="e">
        <f ca="1">_xll.ciqfunctions.udf.CIQ($AI20, "IQ_TR_PCT_SOUGHT")/100</f>
        <v>#NAME?</v>
      </c>
      <c r="G20" s="659" t="e">
        <f ca="1">_xll.ciqfunctions.udf.CIQ(AI20, "IQ_TR_MAJ_MIN_STAKE")</f>
        <v>#NAME?</v>
      </c>
      <c r="I20" s="660" t="e">
        <f ca="1">_xll.ciqfunctions.udf.CIQ($AI20, "IQ_TR_IMPLIED_EV_FINAL", , $AJ$4,$AJ$5)</f>
        <v>#NAME?</v>
      </c>
      <c r="J20" s="660" t="e">
        <f ca="1">IF(_xll.ciqfunctions.udf.CIQ(AI20, "IQ_TR_TOTAL_CASH")="n/a",0,_xll.ciqfunctions.udf.CIQ(AI20, "IQ_TR_TOTAL_CASH"))+IF(_xll.ciqfunctions.udf.CIQ(AI20, "IQ_TR_TOTAL_STOCK")="n/a",0,_xll.ciqfunctions.udf.CIQ(AI20, "IQ_TR_TOTAL_STOCK"))</f>
        <v>#NAME?</v>
      </c>
      <c r="K20" s="148" t="e">
        <f ca="1">_xll.ciqfunctions.udf.CIQ(AI20, "IQ_TR_EARNOUTS")</f>
        <v>#NAME?</v>
      </c>
      <c r="L20" s="660" t="e">
        <f ca="1">IF(_xll.ciqfunctions.udf.CIQ($AI20, "IQ_TR_TOTAL_GROSS_TV",$AJ$4,$AJ$5)=0,"NA",_xll.ciqfunctions.udf.CIQ($AI20, "IQ_TR_TOTAL_GROSS_TV",,"USD"))</f>
        <v>#NAME?</v>
      </c>
      <c r="M20" s="661"/>
      <c r="N20" s="660" t="e">
        <f ca="1">_xll.ciqfunctions.udf.CIQ($AI20, "IQ_TR_TARGET_TOTAL_REV",,$AJ$4,$AJ$5)</f>
        <v>#NAME?</v>
      </c>
      <c r="O20" s="660" t="e">
        <f ca="1">_xll.ciqfunctions.udf.CIQ($AI20, "IQ_TR_TARGET_EBITDA", , $AJ$4,$AJ$5)</f>
        <v>#NAME?</v>
      </c>
      <c r="P20" s="660" t="e">
        <f ca="1">_xll.ciqfunctions.udf.CIQ($AI20, "IQ_TR_TARGET_EBIT", , $AJ$4,$AJ$5)</f>
        <v>#NAME?</v>
      </c>
      <c r="Q20" s="661"/>
      <c r="R20" s="662" t="str">
        <f t="shared" ca="1" si="0"/>
        <v>n/a</v>
      </c>
      <c r="S20" s="662" t="str">
        <f t="shared" ca="1" si="0"/>
        <v>n/a</v>
      </c>
      <c r="T20" s="662" t="str">
        <f t="shared" ca="1" si="0"/>
        <v>n/a</v>
      </c>
      <c r="U20" s="662" t="e">
        <f ca="1">IF(_xll.ciqfunctions.udf.CIQ($AI20, "IQ_TR_IMPLIED_EQ_BV")=0,"NA",_xll.ciqfunctions.udf.CIQ($AI20, "IQ_TR_IMPLIED_EQ_BV"))</f>
        <v>#NAME?</v>
      </c>
      <c r="V20" s="662" t="e">
        <f ca="1">IF(_xll.ciqfunctions.udf.CIQ($AI20, "IQ_TR_IMPLIED_EQ_NI_LTM")=0,"NA",_xll.ciqfunctions.udf.CIQ($AI20, "IQ_TR_IMPLIED_EQ_NI_LTM"))</f>
        <v>#NAME?</v>
      </c>
      <c r="W20" s="661"/>
      <c r="X20" s="660" t="e">
        <f ca="1">_xll.ciqfunctions.udf.CIQ($AI20, "IQ_TR_TARGET_REVENUE_EST",, $AJ$4,$AJ$5)</f>
        <v>#NAME?</v>
      </c>
      <c r="Y20" s="660" t="e">
        <f ca="1">_xll.ciqfunctions.udf.CIQ($AI20, "IQ_TR_TARGET_EBITDA_EST",, $AJ$4,$AJ$5)</f>
        <v>#NAME?</v>
      </c>
      <c r="Z20" s="660" t="e">
        <f ca="1">_xll.ciqfunctions.udf.CIQ(AI20, "IQ_TR_IMPLIED_EV_EBIT_FWD")</f>
        <v>#NAME?</v>
      </c>
      <c r="AA20" s="661"/>
      <c r="AB20" s="662" t="str">
        <f t="shared" ca="1" si="1"/>
        <v>n/a</v>
      </c>
      <c r="AC20" s="662" t="str">
        <f t="shared" ca="1" si="1"/>
        <v>n/a</v>
      </c>
      <c r="AD20" s="662" t="str">
        <f t="shared" ca="1" si="1"/>
        <v>n/a</v>
      </c>
      <c r="AF20" s="663" t="e">
        <f ca="1">IF((_xll.ciqfunctions.udf.CIQ($AI20, "IQ_TR_TARGET_STOCKPREMIUM_1W")/100)&lt;=0,"NM",_xll.ciqfunctions.udf.CIQ($AI20, "IQ_TR_TARGET_STOCKPREMIUM_1W")/100)</f>
        <v>#NAME?</v>
      </c>
      <c r="AG20" s="663" t="e">
        <f ca="1">IF((_xll.ciqfunctions.udf.CIQ($AI20, "IQ_TR_TARGET_STOCKPREMIUM_1M")/100)&lt;=0,"NM",_xll.ciqfunctions.udf.CIQ($AI20, "IQ_TR_TARGET_STOCKPREMIUM_1M")/100)</f>
        <v>#NAME?</v>
      </c>
      <c r="AI20" s="664" t="str">
        <f>+'Capital IQ Sheet-STM'!AK20</f>
        <v>IQTR270789584</v>
      </c>
      <c r="AJ20" s="657" t="e">
        <f ca="1">_xll.ciqfunctions.udf.CIQ(AI20, "IQ_BUSINESS_DESCRIPTION")</f>
        <v>#NAME?</v>
      </c>
    </row>
    <row r="21" spans="2:36" s="657" customFormat="1" ht="12.75" customHeight="1">
      <c r="B21" s="656" t="e">
        <f ca="1">_xll.ciqfunctions.udf.CIQ($AI21,"IQ_TR_CLOSED_DATE")</f>
        <v>#NAME?</v>
      </c>
      <c r="C21" s="657" t="e">
        <f ca="1">_xll.ciqfunctions.udf.CIQ($AI21,"IQ_TR_BUYERNAME")</f>
        <v>#NAME?</v>
      </c>
      <c r="D21" s="657" t="e">
        <f ca="1">_xll.ciqfunctions.udf.CIQ($AI21,"IQ_TR_TARGETNAME")</f>
        <v>#NAME?</v>
      </c>
      <c r="E21" s="657" t="e">
        <f ca="1">_xll.ciqfunctions.udf.CIQ($AI21, "IQ_PRIMARY_INDUSTRY")</f>
        <v>#NAME?</v>
      </c>
      <c r="F21" s="658" t="e">
        <f ca="1">_xll.ciqfunctions.udf.CIQ($AI21, "IQ_TR_PCT_SOUGHT")/100</f>
        <v>#NAME?</v>
      </c>
      <c r="G21" s="659" t="e">
        <f ca="1">_xll.ciqfunctions.udf.CIQ(AI21, "IQ_TR_MAJ_MIN_STAKE")</f>
        <v>#NAME?</v>
      </c>
      <c r="I21" s="660" t="e">
        <f ca="1">_xll.ciqfunctions.udf.CIQ($AI21, "IQ_TR_IMPLIED_EV_FINAL", , $AJ$4,$AJ$5)</f>
        <v>#NAME?</v>
      </c>
      <c r="J21" s="660" t="e">
        <f ca="1">IF(_xll.ciqfunctions.udf.CIQ(AI21, "IQ_TR_TOTAL_CASH")="n/a",0,_xll.ciqfunctions.udf.CIQ(AI21, "IQ_TR_TOTAL_CASH"))+IF(_xll.ciqfunctions.udf.CIQ(AI21, "IQ_TR_TOTAL_STOCK")="n/a",0,_xll.ciqfunctions.udf.CIQ(AI21, "IQ_TR_TOTAL_STOCK"))</f>
        <v>#NAME?</v>
      </c>
      <c r="K21" s="148" t="e">
        <f ca="1">_xll.ciqfunctions.udf.CIQ(AI21, "IQ_TR_EARNOUTS")</f>
        <v>#NAME?</v>
      </c>
      <c r="L21" s="660" t="e">
        <f ca="1">IF(_xll.ciqfunctions.udf.CIQ($AI21, "IQ_TR_TOTAL_GROSS_TV",$AJ$4,$AJ$5)=0,"NA",_xll.ciqfunctions.udf.CIQ($AI21, "IQ_TR_TOTAL_GROSS_TV",,"USD"))</f>
        <v>#NAME?</v>
      </c>
      <c r="M21" s="661"/>
      <c r="N21" s="660" t="e">
        <f ca="1">_xll.ciqfunctions.udf.CIQ($AI21, "IQ_TR_TARGET_TOTAL_REV",,$AJ$4,$AJ$5)</f>
        <v>#NAME?</v>
      </c>
      <c r="O21" s="660" t="e">
        <f ca="1">_xll.ciqfunctions.udf.CIQ($AI21, "IQ_TR_TARGET_EBITDA", , $AJ$4,$AJ$5)</f>
        <v>#NAME?</v>
      </c>
      <c r="P21" s="660" t="e">
        <f ca="1">_xll.ciqfunctions.udf.CIQ($AI21, "IQ_TR_TARGET_EBIT", , $AJ$4,$AJ$5)</f>
        <v>#NAME?</v>
      </c>
      <c r="Q21" s="661"/>
      <c r="R21" s="662" t="str">
        <f t="shared" ca="1" si="0"/>
        <v>n/a</v>
      </c>
      <c r="S21" s="662" t="str">
        <f t="shared" ca="1" si="0"/>
        <v>n/a</v>
      </c>
      <c r="T21" s="662" t="str">
        <f t="shared" ca="1" si="0"/>
        <v>n/a</v>
      </c>
      <c r="U21" s="662" t="e">
        <f ca="1">IF(_xll.ciqfunctions.udf.CIQ($AI21, "IQ_TR_IMPLIED_EQ_BV")=0,"NA",_xll.ciqfunctions.udf.CIQ($AI21, "IQ_TR_IMPLIED_EQ_BV"))</f>
        <v>#NAME?</v>
      </c>
      <c r="V21" s="662" t="e">
        <f ca="1">IF(_xll.ciqfunctions.udf.CIQ($AI21, "IQ_TR_IMPLIED_EQ_NI_LTM")=0,"NA",_xll.ciqfunctions.udf.CIQ($AI21, "IQ_TR_IMPLIED_EQ_NI_LTM"))</f>
        <v>#NAME?</v>
      </c>
      <c r="W21" s="661"/>
      <c r="X21" s="660" t="e">
        <f ca="1">_xll.ciqfunctions.udf.CIQ($AI21, "IQ_TR_TARGET_REVENUE_EST",, $AJ$4,$AJ$5)</f>
        <v>#NAME?</v>
      </c>
      <c r="Y21" s="660" t="e">
        <f ca="1">_xll.ciqfunctions.udf.CIQ($AI21, "IQ_TR_TARGET_EBITDA_EST",, $AJ$4,$AJ$5)</f>
        <v>#NAME?</v>
      </c>
      <c r="Z21" s="660" t="e">
        <f ca="1">_xll.ciqfunctions.udf.CIQ(AI21, "IQ_TR_IMPLIED_EV_EBIT_FWD")</f>
        <v>#NAME?</v>
      </c>
      <c r="AA21" s="661"/>
      <c r="AB21" s="662" t="str">
        <f t="shared" ca="1" si="1"/>
        <v>n/a</v>
      </c>
      <c r="AC21" s="662" t="str">
        <f t="shared" ca="1" si="1"/>
        <v>n/a</v>
      </c>
      <c r="AD21" s="662" t="str">
        <f t="shared" ca="1" si="1"/>
        <v>n/a</v>
      </c>
      <c r="AF21" s="663" t="e">
        <f ca="1">IF((_xll.ciqfunctions.udf.CIQ($AI21, "IQ_TR_TARGET_STOCKPREMIUM_1W")/100)&lt;=0,"NM",_xll.ciqfunctions.udf.CIQ($AI21, "IQ_TR_TARGET_STOCKPREMIUM_1W")/100)</f>
        <v>#NAME?</v>
      </c>
      <c r="AG21" s="663" t="e">
        <f ca="1">IF((_xll.ciqfunctions.udf.CIQ($AI21, "IQ_TR_TARGET_STOCKPREMIUM_1M")/100)&lt;=0,"NM",_xll.ciqfunctions.udf.CIQ($AI21, "IQ_TR_TARGET_STOCKPREMIUM_1M")/100)</f>
        <v>#NAME?</v>
      </c>
      <c r="AI21" s="664" t="str">
        <f>+'Capital IQ Sheet-STM'!AK21</f>
        <v>IQTR270111368</v>
      </c>
      <c r="AJ21" s="657" t="e">
        <f ca="1">_xll.ciqfunctions.udf.CIQ(AI21, "IQ_BUSINESS_DESCRIPTION")</f>
        <v>#NAME?</v>
      </c>
    </row>
    <row r="22" spans="2:36" s="657" customFormat="1" ht="12.75" customHeight="1">
      <c r="B22" s="656" t="e">
        <f ca="1">_xll.ciqfunctions.udf.CIQ($AI22,"IQ_TR_CLOSED_DATE")</f>
        <v>#NAME?</v>
      </c>
      <c r="C22" s="657" t="e">
        <f ca="1">_xll.ciqfunctions.udf.CIQ($AI22,"IQ_TR_BUYERNAME")</f>
        <v>#NAME?</v>
      </c>
      <c r="D22" s="657" t="e">
        <f ca="1">_xll.ciqfunctions.udf.CIQ($AI22,"IQ_TR_TARGETNAME")</f>
        <v>#NAME?</v>
      </c>
      <c r="E22" s="657" t="e">
        <f ca="1">_xll.ciqfunctions.udf.CIQ($AI22, "IQ_PRIMARY_INDUSTRY")</f>
        <v>#NAME?</v>
      </c>
      <c r="F22" s="658" t="e">
        <f ca="1">_xll.ciqfunctions.udf.CIQ($AI22, "IQ_TR_PCT_SOUGHT")/100</f>
        <v>#NAME?</v>
      </c>
      <c r="G22" s="659" t="e">
        <f ca="1">_xll.ciqfunctions.udf.CIQ(AI22, "IQ_TR_MAJ_MIN_STAKE")</f>
        <v>#NAME?</v>
      </c>
      <c r="I22" s="660" t="e">
        <f ca="1">_xll.ciqfunctions.udf.CIQ($AI22, "IQ_TR_IMPLIED_EV_FINAL", , $AJ$4,$AJ$5)</f>
        <v>#NAME?</v>
      </c>
      <c r="J22" s="660" t="e">
        <f ca="1">IF(_xll.ciqfunctions.udf.CIQ(AI22, "IQ_TR_TOTAL_CASH")="n/a",0,_xll.ciqfunctions.udf.CIQ(AI22, "IQ_TR_TOTAL_CASH"))+IF(_xll.ciqfunctions.udf.CIQ(AI22, "IQ_TR_TOTAL_STOCK")="n/a",0,_xll.ciqfunctions.udf.CIQ(AI22, "IQ_TR_TOTAL_STOCK"))</f>
        <v>#NAME?</v>
      </c>
      <c r="K22" s="148" t="e">
        <f ca="1">_xll.ciqfunctions.udf.CIQ(AI22, "IQ_TR_EARNOUTS")</f>
        <v>#NAME?</v>
      </c>
      <c r="L22" s="660" t="e">
        <f ca="1">IF(_xll.ciqfunctions.udf.CIQ($AI22, "IQ_TR_TOTAL_GROSS_TV",$AJ$4,$AJ$5)=0,"NA",_xll.ciqfunctions.udf.CIQ($AI22, "IQ_TR_TOTAL_GROSS_TV",,"USD"))</f>
        <v>#NAME?</v>
      </c>
      <c r="M22" s="661"/>
      <c r="N22" s="660" t="e">
        <f ca="1">_xll.ciqfunctions.udf.CIQ($AI22, "IQ_TR_TARGET_TOTAL_REV",,$AJ$4,$AJ$5)</f>
        <v>#NAME?</v>
      </c>
      <c r="O22" s="660" t="e">
        <f ca="1">_xll.ciqfunctions.udf.CIQ($AI22, "IQ_TR_TARGET_EBITDA", , $AJ$4,$AJ$5)</f>
        <v>#NAME?</v>
      </c>
      <c r="P22" s="660" t="e">
        <f ca="1">_xll.ciqfunctions.udf.CIQ($AI22, "IQ_TR_TARGET_EBIT", , $AJ$4,$AJ$5)</f>
        <v>#NAME?</v>
      </c>
      <c r="Q22" s="661"/>
      <c r="R22" s="662" t="str">
        <f t="shared" ca="1" si="0"/>
        <v>n/a</v>
      </c>
      <c r="S22" s="662" t="str">
        <f t="shared" ca="1" si="0"/>
        <v>n/a</v>
      </c>
      <c r="T22" s="662" t="str">
        <f t="shared" ca="1" si="0"/>
        <v>n/a</v>
      </c>
      <c r="U22" s="662" t="e">
        <f ca="1">IF(_xll.ciqfunctions.udf.CIQ($AI22, "IQ_TR_IMPLIED_EQ_BV")=0,"NA",_xll.ciqfunctions.udf.CIQ($AI22, "IQ_TR_IMPLIED_EQ_BV"))</f>
        <v>#NAME?</v>
      </c>
      <c r="V22" s="662" t="e">
        <f ca="1">IF(_xll.ciqfunctions.udf.CIQ($AI22, "IQ_TR_IMPLIED_EQ_NI_LTM")=0,"NA",_xll.ciqfunctions.udf.CIQ($AI22, "IQ_TR_IMPLIED_EQ_NI_LTM"))</f>
        <v>#NAME?</v>
      </c>
      <c r="W22" s="661"/>
      <c r="X22" s="660" t="e">
        <f ca="1">_xll.ciqfunctions.udf.CIQ($AI22, "IQ_TR_TARGET_REVENUE_EST",, $AJ$4,$AJ$5)</f>
        <v>#NAME?</v>
      </c>
      <c r="Y22" s="660" t="e">
        <f ca="1">_xll.ciqfunctions.udf.CIQ($AI22, "IQ_TR_TARGET_EBITDA_EST",, $AJ$4,$AJ$5)</f>
        <v>#NAME?</v>
      </c>
      <c r="Z22" s="660" t="e">
        <f ca="1">_xll.ciqfunctions.udf.CIQ(AI22, "IQ_TR_IMPLIED_EV_EBIT_FWD")</f>
        <v>#NAME?</v>
      </c>
      <c r="AA22" s="661"/>
      <c r="AB22" s="662" t="str">
        <f t="shared" ca="1" si="1"/>
        <v>n/a</v>
      </c>
      <c r="AC22" s="662" t="str">
        <f t="shared" ca="1" si="1"/>
        <v>n/a</v>
      </c>
      <c r="AD22" s="662" t="str">
        <f t="shared" ca="1" si="1"/>
        <v>n/a</v>
      </c>
      <c r="AF22" s="663" t="e">
        <f ca="1">IF((_xll.ciqfunctions.udf.CIQ($AI22, "IQ_TR_TARGET_STOCKPREMIUM_1W")/100)&lt;=0,"NM",_xll.ciqfunctions.udf.CIQ($AI22, "IQ_TR_TARGET_STOCKPREMIUM_1W")/100)</f>
        <v>#NAME?</v>
      </c>
      <c r="AG22" s="663" t="e">
        <f ca="1">IF((_xll.ciqfunctions.udf.CIQ($AI22, "IQ_TR_TARGET_STOCKPREMIUM_1M")/100)&lt;=0,"NM",_xll.ciqfunctions.udf.CIQ($AI22, "IQ_TR_TARGET_STOCKPREMIUM_1M")/100)</f>
        <v>#NAME?</v>
      </c>
      <c r="AI22" s="664" t="str">
        <f>+'Capital IQ Sheet-STM'!AK22</f>
        <v>IQTR263707289</v>
      </c>
      <c r="AJ22" s="657" t="e">
        <f ca="1">_xll.ciqfunctions.udf.CIQ(AI22, "IQ_BUSINESS_DESCRIPTION")</f>
        <v>#NAME?</v>
      </c>
    </row>
    <row r="23" spans="2:36" s="657" customFormat="1" ht="12.75" customHeight="1">
      <c r="B23" s="656" t="e">
        <f ca="1">_xll.ciqfunctions.udf.CIQ($AI23,"IQ_TR_CLOSED_DATE")</f>
        <v>#NAME?</v>
      </c>
      <c r="C23" s="657" t="e">
        <f ca="1">_xll.ciqfunctions.udf.CIQ($AI23,"IQ_TR_BUYERNAME")</f>
        <v>#NAME?</v>
      </c>
      <c r="D23" s="657" t="e">
        <f ca="1">_xll.ciqfunctions.udf.CIQ($AI23,"IQ_TR_TARGETNAME")</f>
        <v>#NAME?</v>
      </c>
      <c r="E23" s="657" t="e">
        <f ca="1">_xll.ciqfunctions.udf.CIQ($AI23, "IQ_PRIMARY_INDUSTRY")</f>
        <v>#NAME?</v>
      </c>
      <c r="F23" s="658" t="e">
        <f ca="1">_xll.ciqfunctions.udf.CIQ($AI23, "IQ_TR_PCT_SOUGHT")/100</f>
        <v>#NAME?</v>
      </c>
      <c r="G23" s="659" t="e">
        <f ca="1">_xll.ciqfunctions.udf.CIQ(AI23, "IQ_TR_MAJ_MIN_STAKE")</f>
        <v>#NAME?</v>
      </c>
      <c r="I23" s="660" t="e">
        <f ca="1">_xll.ciqfunctions.udf.CIQ($AI23, "IQ_TR_IMPLIED_EV_FINAL", , $AJ$4,$AJ$5)</f>
        <v>#NAME?</v>
      </c>
      <c r="J23" s="660" t="e">
        <f ca="1">IF(_xll.ciqfunctions.udf.CIQ(AI23, "IQ_TR_TOTAL_CASH")="n/a",0,_xll.ciqfunctions.udf.CIQ(AI23, "IQ_TR_TOTAL_CASH"))+IF(_xll.ciqfunctions.udf.CIQ(AI23, "IQ_TR_TOTAL_STOCK")="n/a",0,_xll.ciqfunctions.udf.CIQ(AI23, "IQ_TR_TOTAL_STOCK"))</f>
        <v>#NAME?</v>
      </c>
      <c r="K23" s="148" t="e">
        <f ca="1">_xll.ciqfunctions.udf.CIQ(AI23, "IQ_TR_EARNOUTS")</f>
        <v>#NAME?</v>
      </c>
      <c r="L23" s="660" t="e">
        <f ca="1">IF(_xll.ciqfunctions.udf.CIQ($AI23, "IQ_TR_TOTAL_GROSS_TV",$AJ$4,$AJ$5)=0,"NA",_xll.ciqfunctions.udf.CIQ($AI23, "IQ_TR_TOTAL_GROSS_TV",,"USD"))</f>
        <v>#NAME?</v>
      </c>
      <c r="M23" s="661"/>
      <c r="N23" s="660" t="e">
        <f ca="1">_xll.ciqfunctions.udf.CIQ($AI23, "IQ_TR_TARGET_TOTAL_REV",,$AJ$4,$AJ$5)</f>
        <v>#NAME?</v>
      </c>
      <c r="O23" s="660" t="e">
        <f ca="1">_xll.ciqfunctions.udf.CIQ($AI23, "IQ_TR_TARGET_EBITDA", , $AJ$4,$AJ$5)</f>
        <v>#NAME?</v>
      </c>
      <c r="P23" s="660" t="e">
        <f ca="1">_xll.ciqfunctions.udf.CIQ($AI23, "IQ_TR_TARGET_EBIT", , $AJ$4,$AJ$5)</f>
        <v>#NAME?</v>
      </c>
      <c r="Q23" s="661"/>
      <c r="R23" s="662" t="str">
        <f t="shared" ca="1" si="0"/>
        <v>n/a</v>
      </c>
      <c r="S23" s="662" t="str">
        <f t="shared" ca="1" si="0"/>
        <v>n/a</v>
      </c>
      <c r="T23" s="662" t="str">
        <f t="shared" ca="1" si="0"/>
        <v>n/a</v>
      </c>
      <c r="U23" s="662" t="e">
        <f ca="1">IF(_xll.ciqfunctions.udf.CIQ($AI23, "IQ_TR_IMPLIED_EQ_BV")=0,"NA",_xll.ciqfunctions.udf.CIQ($AI23, "IQ_TR_IMPLIED_EQ_BV"))</f>
        <v>#NAME?</v>
      </c>
      <c r="V23" s="662" t="e">
        <f ca="1">IF(_xll.ciqfunctions.udf.CIQ($AI23, "IQ_TR_IMPLIED_EQ_NI_LTM")=0,"NA",_xll.ciqfunctions.udf.CIQ($AI23, "IQ_TR_IMPLIED_EQ_NI_LTM"))</f>
        <v>#NAME?</v>
      </c>
      <c r="W23" s="661"/>
      <c r="X23" s="660" t="e">
        <f ca="1">_xll.ciqfunctions.udf.CIQ($AI23, "IQ_TR_TARGET_REVENUE_EST",, $AJ$4,$AJ$5)</f>
        <v>#NAME?</v>
      </c>
      <c r="Y23" s="660" t="e">
        <f ca="1">_xll.ciqfunctions.udf.CIQ($AI23, "IQ_TR_TARGET_EBITDA_EST",, $AJ$4,$AJ$5)</f>
        <v>#NAME?</v>
      </c>
      <c r="Z23" s="660" t="e">
        <f ca="1">_xll.ciqfunctions.udf.CIQ(AI23, "IQ_TR_IMPLIED_EV_EBIT_FWD")</f>
        <v>#NAME?</v>
      </c>
      <c r="AA23" s="661"/>
      <c r="AB23" s="662" t="str">
        <f t="shared" ca="1" si="1"/>
        <v>n/a</v>
      </c>
      <c r="AC23" s="662" t="str">
        <f t="shared" ca="1" si="1"/>
        <v>n/a</v>
      </c>
      <c r="AD23" s="662" t="str">
        <f t="shared" ca="1" si="1"/>
        <v>n/a</v>
      </c>
      <c r="AF23" s="663" t="e">
        <f ca="1">IF((_xll.ciqfunctions.udf.CIQ($AI23, "IQ_TR_TARGET_STOCKPREMIUM_1W")/100)&lt;=0,"NM",_xll.ciqfunctions.udf.CIQ($AI23, "IQ_TR_TARGET_STOCKPREMIUM_1W")/100)</f>
        <v>#NAME?</v>
      </c>
      <c r="AG23" s="663" t="e">
        <f ca="1">IF((_xll.ciqfunctions.udf.CIQ($AI23, "IQ_TR_TARGET_STOCKPREMIUM_1M")/100)&lt;=0,"NM",_xll.ciqfunctions.udf.CIQ($AI23, "IQ_TR_TARGET_STOCKPREMIUM_1M")/100)</f>
        <v>#NAME?</v>
      </c>
      <c r="AI23" s="664" t="str">
        <f>+'Capital IQ Sheet-STM'!AK23</f>
        <v>IQTR259985962</v>
      </c>
      <c r="AJ23" s="657" t="e">
        <f ca="1">_xll.ciqfunctions.udf.CIQ(AI23, "IQ_BUSINESS_DESCRIPTION")</f>
        <v>#NAME?</v>
      </c>
    </row>
    <row r="24" spans="2:36" s="657" customFormat="1" ht="12.75" customHeight="1">
      <c r="B24" s="656" t="e">
        <f ca="1">_xll.ciqfunctions.udf.CIQ($AI24,"IQ_TR_CLOSED_DATE")</f>
        <v>#NAME?</v>
      </c>
      <c r="C24" s="657" t="e">
        <f ca="1">_xll.ciqfunctions.udf.CIQ($AI24,"IQ_TR_BUYERNAME")</f>
        <v>#NAME?</v>
      </c>
      <c r="D24" s="657" t="e">
        <f ca="1">_xll.ciqfunctions.udf.CIQ($AI24,"IQ_TR_TARGETNAME")</f>
        <v>#NAME?</v>
      </c>
      <c r="E24" s="657" t="e">
        <f ca="1">_xll.ciqfunctions.udf.CIQ($AI24, "IQ_PRIMARY_INDUSTRY")</f>
        <v>#NAME?</v>
      </c>
      <c r="F24" s="658" t="e">
        <f ca="1">_xll.ciqfunctions.udf.CIQ($AI24, "IQ_TR_PCT_SOUGHT")/100</f>
        <v>#NAME?</v>
      </c>
      <c r="G24" s="659" t="e">
        <f ca="1">_xll.ciqfunctions.udf.CIQ(AI24, "IQ_TR_MAJ_MIN_STAKE")</f>
        <v>#NAME?</v>
      </c>
      <c r="I24" s="660" t="e">
        <f ca="1">_xll.ciqfunctions.udf.CIQ($AI24, "IQ_TR_IMPLIED_EV_FINAL", , $AJ$4,$AJ$5)</f>
        <v>#NAME?</v>
      </c>
      <c r="J24" s="660" t="e">
        <f ca="1">IF(_xll.ciqfunctions.udf.CIQ(AI24, "IQ_TR_TOTAL_CASH")="n/a",0,_xll.ciqfunctions.udf.CIQ(AI24, "IQ_TR_TOTAL_CASH"))+IF(_xll.ciqfunctions.udf.CIQ(AI24, "IQ_TR_TOTAL_STOCK")="n/a",0,_xll.ciqfunctions.udf.CIQ(AI24, "IQ_TR_TOTAL_STOCK"))</f>
        <v>#NAME?</v>
      </c>
      <c r="K24" s="148" t="e">
        <f ca="1">_xll.ciqfunctions.udf.CIQ(AI24, "IQ_TR_EARNOUTS")</f>
        <v>#NAME?</v>
      </c>
      <c r="L24" s="660" t="e">
        <f ca="1">IF(_xll.ciqfunctions.udf.CIQ($AI24, "IQ_TR_TOTAL_GROSS_TV",$AJ$4,$AJ$5)=0,"NA",_xll.ciqfunctions.udf.CIQ($AI24, "IQ_TR_TOTAL_GROSS_TV",,"USD"))</f>
        <v>#NAME?</v>
      </c>
      <c r="M24" s="661"/>
      <c r="N24" s="660" t="e">
        <f ca="1">_xll.ciqfunctions.udf.CIQ($AI24, "IQ_TR_TARGET_TOTAL_REV",,$AJ$4,$AJ$5)</f>
        <v>#NAME?</v>
      </c>
      <c r="O24" s="660" t="e">
        <f ca="1">_xll.ciqfunctions.udf.CIQ($AI24, "IQ_TR_TARGET_EBITDA", , $AJ$4,$AJ$5)</f>
        <v>#NAME?</v>
      </c>
      <c r="P24" s="660" t="e">
        <f ca="1">_xll.ciqfunctions.udf.CIQ($AI24, "IQ_TR_TARGET_EBIT", , $AJ$4,$AJ$5)</f>
        <v>#NAME?</v>
      </c>
      <c r="Q24" s="661"/>
      <c r="R24" s="662" t="str">
        <f t="shared" ca="1" si="0"/>
        <v>n/a</v>
      </c>
      <c r="S24" s="662" t="str">
        <f t="shared" ca="1" si="0"/>
        <v>n/a</v>
      </c>
      <c r="T24" s="662" t="str">
        <f t="shared" ca="1" si="0"/>
        <v>n/a</v>
      </c>
      <c r="U24" s="662" t="e">
        <f ca="1">IF(_xll.ciqfunctions.udf.CIQ($AI24, "IQ_TR_IMPLIED_EQ_BV")=0,"NA",_xll.ciqfunctions.udf.CIQ($AI24, "IQ_TR_IMPLIED_EQ_BV"))</f>
        <v>#NAME?</v>
      </c>
      <c r="V24" s="662" t="e">
        <f ca="1">IF(_xll.ciqfunctions.udf.CIQ($AI24, "IQ_TR_IMPLIED_EQ_NI_LTM")=0,"NA",_xll.ciqfunctions.udf.CIQ($AI24, "IQ_TR_IMPLIED_EQ_NI_LTM"))</f>
        <v>#NAME?</v>
      </c>
      <c r="W24" s="661"/>
      <c r="X24" s="660" t="e">
        <f ca="1">_xll.ciqfunctions.udf.CIQ($AI24, "IQ_TR_TARGET_REVENUE_EST",, $AJ$4,$AJ$5)</f>
        <v>#NAME?</v>
      </c>
      <c r="Y24" s="660" t="e">
        <f ca="1">_xll.ciqfunctions.udf.CIQ($AI24, "IQ_TR_TARGET_EBITDA_EST",, $AJ$4,$AJ$5)</f>
        <v>#NAME?</v>
      </c>
      <c r="Z24" s="660" t="e">
        <f ca="1">_xll.ciqfunctions.udf.CIQ(AI24, "IQ_TR_IMPLIED_EV_EBIT_FWD")</f>
        <v>#NAME?</v>
      </c>
      <c r="AA24" s="661"/>
      <c r="AB24" s="662" t="str">
        <f t="shared" ca="1" si="1"/>
        <v>n/a</v>
      </c>
      <c r="AC24" s="662" t="str">
        <f t="shared" ca="1" si="1"/>
        <v>n/a</v>
      </c>
      <c r="AD24" s="662" t="str">
        <f t="shared" ca="1" si="1"/>
        <v>n/a</v>
      </c>
      <c r="AF24" s="663" t="e">
        <f ca="1">IF((_xll.ciqfunctions.udf.CIQ($AI24, "IQ_TR_TARGET_STOCKPREMIUM_1W")/100)&lt;=0,"NM",_xll.ciqfunctions.udf.CIQ($AI24, "IQ_TR_TARGET_STOCKPREMIUM_1W")/100)</f>
        <v>#NAME?</v>
      </c>
      <c r="AG24" s="663" t="e">
        <f ca="1">IF((_xll.ciqfunctions.udf.CIQ($AI24, "IQ_TR_TARGET_STOCKPREMIUM_1M")/100)&lt;=0,"NM",_xll.ciqfunctions.udf.CIQ($AI24, "IQ_TR_TARGET_STOCKPREMIUM_1M")/100)</f>
        <v>#NAME?</v>
      </c>
      <c r="AI24" s="664" t="str">
        <f>+'Capital IQ Sheet-STM'!AK24</f>
        <v>IQTR256683655</v>
      </c>
      <c r="AJ24" s="657" t="e">
        <f ca="1">_xll.ciqfunctions.udf.CIQ(AI24, "IQ_BUSINESS_DESCRIPTION")</f>
        <v>#NAME?</v>
      </c>
    </row>
    <row r="25" spans="2:36" s="657" customFormat="1" ht="12.75" customHeight="1">
      <c r="B25" s="656" t="e">
        <f ca="1">_xll.ciqfunctions.udf.CIQ($AI25,"IQ_TR_CLOSED_DATE")</f>
        <v>#NAME?</v>
      </c>
      <c r="C25" s="657" t="e">
        <f ca="1">_xll.ciqfunctions.udf.CIQ($AI25,"IQ_TR_BUYERNAME")</f>
        <v>#NAME?</v>
      </c>
      <c r="D25" s="657" t="e">
        <f ca="1">_xll.ciqfunctions.udf.CIQ($AI25,"IQ_TR_TARGETNAME")</f>
        <v>#NAME?</v>
      </c>
      <c r="E25" s="657" t="e">
        <f ca="1">_xll.ciqfunctions.udf.CIQ($AI25, "IQ_PRIMARY_INDUSTRY")</f>
        <v>#NAME?</v>
      </c>
      <c r="F25" s="658" t="e">
        <f ca="1">_xll.ciqfunctions.udf.CIQ($AI25, "IQ_TR_PCT_SOUGHT")/100</f>
        <v>#NAME?</v>
      </c>
      <c r="G25" s="659" t="e">
        <f ca="1">_xll.ciqfunctions.udf.CIQ(AI25, "IQ_TR_MAJ_MIN_STAKE")</f>
        <v>#NAME?</v>
      </c>
      <c r="I25" s="660" t="e">
        <f ca="1">_xll.ciqfunctions.udf.CIQ($AI25, "IQ_TR_IMPLIED_EV_FINAL", , $AJ$4,$AJ$5)</f>
        <v>#NAME?</v>
      </c>
      <c r="J25" s="660" t="e">
        <f ca="1">IF(_xll.ciqfunctions.udf.CIQ(AI25, "IQ_TR_TOTAL_CASH")="n/a",0,_xll.ciqfunctions.udf.CIQ(AI25, "IQ_TR_TOTAL_CASH"))+IF(_xll.ciqfunctions.udf.CIQ(AI25, "IQ_TR_TOTAL_STOCK")="n/a",0,_xll.ciqfunctions.udf.CIQ(AI25, "IQ_TR_TOTAL_STOCK"))</f>
        <v>#NAME?</v>
      </c>
      <c r="K25" s="148" t="e">
        <f ca="1">_xll.ciqfunctions.udf.CIQ(AI25, "IQ_TR_EARNOUTS")</f>
        <v>#NAME?</v>
      </c>
      <c r="L25" s="660" t="e">
        <f ca="1">IF(_xll.ciqfunctions.udf.CIQ($AI25, "IQ_TR_TOTAL_GROSS_TV",$AJ$4,$AJ$5)=0,"NA",_xll.ciqfunctions.udf.CIQ($AI25, "IQ_TR_TOTAL_GROSS_TV",,"USD"))</f>
        <v>#NAME?</v>
      </c>
      <c r="M25" s="661"/>
      <c r="N25" s="660" t="e">
        <f ca="1">_xll.ciqfunctions.udf.CIQ($AI25, "IQ_TR_TARGET_TOTAL_REV",,$AJ$4,$AJ$5)</f>
        <v>#NAME?</v>
      </c>
      <c r="O25" s="660" t="e">
        <f ca="1">_xll.ciqfunctions.udf.CIQ($AI25, "IQ_TR_TARGET_EBITDA", , $AJ$4,$AJ$5)</f>
        <v>#NAME?</v>
      </c>
      <c r="P25" s="660" t="e">
        <f ca="1">_xll.ciqfunctions.udf.CIQ($AI25, "IQ_TR_TARGET_EBIT", , $AJ$4,$AJ$5)</f>
        <v>#NAME?</v>
      </c>
      <c r="Q25" s="661"/>
      <c r="R25" s="662" t="str">
        <f t="shared" ca="1" si="0"/>
        <v>n/a</v>
      </c>
      <c r="S25" s="662" t="str">
        <f t="shared" ca="1" si="0"/>
        <v>n/a</v>
      </c>
      <c r="T25" s="662" t="str">
        <f t="shared" ca="1" si="0"/>
        <v>n/a</v>
      </c>
      <c r="U25" s="662" t="e">
        <f ca="1">IF(_xll.ciqfunctions.udf.CIQ($AI25, "IQ_TR_IMPLIED_EQ_BV")=0,"NA",_xll.ciqfunctions.udf.CIQ($AI25, "IQ_TR_IMPLIED_EQ_BV"))</f>
        <v>#NAME?</v>
      </c>
      <c r="V25" s="662" t="e">
        <f ca="1">IF(_xll.ciqfunctions.udf.CIQ($AI25, "IQ_TR_IMPLIED_EQ_NI_LTM")=0,"NA",_xll.ciqfunctions.udf.CIQ($AI25, "IQ_TR_IMPLIED_EQ_NI_LTM"))</f>
        <v>#NAME?</v>
      </c>
      <c r="W25" s="661"/>
      <c r="X25" s="660" t="e">
        <f ca="1">_xll.ciqfunctions.udf.CIQ($AI25, "IQ_TR_TARGET_REVENUE_EST",, $AJ$4,$AJ$5)</f>
        <v>#NAME?</v>
      </c>
      <c r="Y25" s="660" t="e">
        <f ca="1">_xll.ciqfunctions.udf.CIQ($AI25, "IQ_TR_TARGET_EBITDA_EST",, $AJ$4,$AJ$5)</f>
        <v>#NAME?</v>
      </c>
      <c r="Z25" s="660" t="e">
        <f ca="1">_xll.ciqfunctions.udf.CIQ(AI25, "IQ_TR_IMPLIED_EV_EBIT_FWD")</f>
        <v>#NAME?</v>
      </c>
      <c r="AA25" s="661"/>
      <c r="AB25" s="662" t="str">
        <f t="shared" ca="1" si="1"/>
        <v>n/a</v>
      </c>
      <c r="AC25" s="662" t="str">
        <f t="shared" ca="1" si="1"/>
        <v>n/a</v>
      </c>
      <c r="AD25" s="662" t="str">
        <f t="shared" ca="1" si="1"/>
        <v>n/a</v>
      </c>
      <c r="AF25" s="663" t="e">
        <f ca="1">IF((_xll.ciqfunctions.udf.CIQ($AI25, "IQ_TR_TARGET_STOCKPREMIUM_1W")/100)&lt;=0,"NM",_xll.ciqfunctions.udf.CIQ($AI25, "IQ_TR_TARGET_STOCKPREMIUM_1W")/100)</f>
        <v>#NAME?</v>
      </c>
      <c r="AG25" s="663" t="e">
        <f ca="1">IF((_xll.ciqfunctions.udf.CIQ($AI25, "IQ_TR_TARGET_STOCKPREMIUM_1M")/100)&lt;=0,"NM",_xll.ciqfunctions.udf.CIQ($AI25, "IQ_TR_TARGET_STOCKPREMIUM_1M")/100)</f>
        <v>#NAME?</v>
      </c>
      <c r="AI25" s="664" t="str">
        <f>+'Capital IQ Sheet-STM'!AK25</f>
        <v>IQTR253877203</v>
      </c>
      <c r="AJ25" s="657" t="e">
        <f ca="1">_xll.ciqfunctions.udf.CIQ(AI25, "IQ_BUSINESS_DESCRIPTION")</f>
        <v>#NAME?</v>
      </c>
    </row>
    <row r="26" spans="2:36" s="657" customFormat="1" ht="12.75" customHeight="1">
      <c r="B26" s="656" t="e">
        <f ca="1">_xll.ciqfunctions.udf.CIQ($AI26,"IQ_TR_CLOSED_DATE")</f>
        <v>#NAME?</v>
      </c>
      <c r="C26" s="657" t="e">
        <f ca="1">_xll.ciqfunctions.udf.CIQ($AI26,"IQ_TR_BUYERNAME")</f>
        <v>#NAME?</v>
      </c>
      <c r="D26" s="657" t="e">
        <f ca="1">_xll.ciqfunctions.udf.CIQ($AI26,"IQ_TR_TARGETNAME")</f>
        <v>#NAME?</v>
      </c>
      <c r="E26" s="657" t="e">
        <f ca="1">_xll.ciqfunctions.udf.CIQ($AI26, "IQ_PRIMARY_INDUSTRY")</f>
        <v>#NAME?</v>
      </c>
      <c r="F26" s="658" t="e">
        <f ca="1">_xll.ciqfunctions.udf.CIQ($AI26, "IQ_TR_PCT_SOUGHT")/100</f>
        <v>#NAME?</v>
      </c>
      <c r="G26" s="659" t="e">
        <f ca="1">_xll.ciqfunctions.udf.CIQ(AI26, "IQ_TR_MAJ_MIN_STAKE")</f>
        <v>#NAME?</v>
      </c>
      <c r="I26" s="660" t="e">
        <f ca="1">_xll.ciqfunctions.udf.CIQ($AI26, "IQ_TR_IMPLIED_EV_FINAL", , $AJ$4,$AJ$5)</f>
        <v>#NAME?</v>
      </c>
      <c r="J26" s="660" t="e">
        <f ca="1">IF(_xll.ciqfunctions.udf.CIQ(AI26, "IQ_TR_TOTAL_CASH")="n/a",0,_xll.ciqfunctions.udf.CIQ(AI26, "IQ_TR_TOTAL_CASH"))+IF(_xll.ciqfunctions.udf.CIQ(AI26, "IQ_TR_TOTAL_STOCK")="n/a",0,_xll.ciqfunctions.udf.CIQ(AI26, "IQ_TR_TOTAL_STOCK"))</f>
        <v>#NAME?</v>
      </c>
      <c r="K26" s="148" t="e">
        <f ca="1">_xll.ciqfunctions.udf.CIQ(AI26, "IQ_TR_EARNOUTS")</f>
        <v>#NAME?</v>
      </c>
      <c r="L26" s="660" t="e">
        <f ca="1">IF(_xll.ciqfunctions.udf.CIQ($AI26, "IQ_TR_TOTAL_GROSS_TV",$AJ$4,$AJ$5)=0,"NA",_xll.ciqfunctions.udf.CIQ($AI26, "IQ_TR_TOTAL_GROSS_TV",,"USD"))</f>
        <v>#NAME?</v>
      </c>
      <c r="M26" s="661"/>
      <c r="N26" s="660" t="e">
        <f ca="1">_xll.ciqfunctions.udf.CIQ($AI26, "IQ_TR_TARGET_TOTAL_REV",,$AJ$4,$AJ$5)</f>
        <v>#NAME?</v>
      </c>
      <c r="O26" s="660" t="e">
        <f ca="1">_xll.ciqfunctions.udf.CIQ($AI26, "IQ_TR_TARGET_EBITDA", , $AJ$4,$AJ$5)</f>
        <v>#NAME?</v>
      </c>
      <c r="P26" s="660" t="e">
        <f ca="1">_xll.ciqfunctions.udf.CIQ($AI26, "IQ_TR_TARGET_EBIT", , $AJ$4,$AJ$5)</f>
        <v>#NAME?</v>
      </c>
      <c r="Q26" s="661"/>
      <c r="R26" s="662" t="str">
        <f t="shared" ca="1" si="0"/>
        <v>n/a</v>
      </c>
      <c r="S26" s="662" t="str">
        <f t="shared" ca="1" si="0"/>
        <v>n/a</v>
      </c>
      <c r="T26" s="662" t="str">
        <f t="shared" ca="1" si="0"/>
        <v>n/a</v>
      </c>
      <c r="U26" s="662" t="e">
        <f ca="1">IF(_xll.ciqfunctions.udf.CIQ($AI26, "IQ_TR_IMPLIED_EQ_BV")=0,"NA",_xll.ciqfunctions.udf.CIQ($AI26, "IQ_TR_IMPLIED_EQ_BV"))</f>
        <v>#NAME?</v>
      </c>
      <c r="V26" s="662" t="e">
        <f ca="1">IF(_xll.ciqfunctions.udf.CIQ($AI26, "IQ_TR_IMPLIED_EQ_NI_LTM")=0,"NA",_xll.ciqfunctions.udf.CIQ($AI26, "IQ_TR_IMPLIED_EQ_NI_LTM"))</f>
        <v>#NAME?</v>
      </c>
      <c r="W26" s="661"/>
      <c r="X26" s="660" t="e">
        <f ca="1">_xll.ciqfunctions.udf.CIQ($AI26, "IQ_TR_TARGET_REVENUE_EST",, $AJ$4,$AJ$5)</f>
        <v>#NAME?</v>
      </c>
      <c r="Y26" s="660" t="e">
        <f ca="1">_xll.ciqfunctions.udf.CIQ($AI26, "IQ_TR_TARGET_EBITDA_EST",, $AJ$4,$AJ$5)</f>
        <v>#NAME?</v>
      </c>
      <c r="Z26" s="660" t="e">
        <f ca="1">_xll.ciqfunctions.udf.CIQ(AI26, "IQ_TR_IMPLIED_EV_EBIT_FWD")</f>
        <v>#NAME?</v>
      </c>
      <c r="AA26" s="661"/>
      <c r="AB26" s="662" t="str">
        <f t="shared" ca="1" si="1"/>
        <v>n/a</v>
      </c>
      <c r="AC26" s="662" t="str">
        <f t="shared" ca="1" si="1"/>
        <v>n/a</v>
      </c>
      <c r="AD26" s="662" t="str">
        <f t="shared" ca="1" si="1"/>
        <v>n/a</v>
      </c>
      <c r="AF26" s="663" t="e">
        <f ca="1">IF((_xll.ciqfunctions.udf.CIQ($AI26, "IQ_TR_TARGET_STOCKPREMIUM_1W")/100)&lt;=0,"NM",_xll.ciqfunctions.udf.CIQ($AI26, "IQ_TR_TARGET_STOCKPREMIUM_1W")/100)</f>
        <v>#NAME?</v>
      </c>
      <c r="AG26" s="663" t="e">
        <f ca="1">IF((_xll.ciqfunctions.udf.CIQ($AI26, "IQ_TR_TARGET_STOCKPREMIUM_1M")/100)&lt;=0,"NM",_xll.ciqfunctions.udf.CIQ($AI26, "IQ_TR_TARGET_STOCKPREMIUM_1M")/100)</f>
        <v>#NAME?</v>
      </c>
      <c r="AI26" s="664" t="str">
        <f>+'Capital IQ Sheet-STM'!AK26</f>
        <v>IQTR170229386</v>
      </c>
      <c r="AJ26" s="657" t="e">
        <f ca="1">_xll.ciqfunctions.udf.CIQ(AI26, "IQ_BUSINESS_DESCRIPTION")</f>
        <v>#NAME?</v>
      </c>
    </row>
    <row r="27" spans="2:36" s="657" customFormat="1" ht="12.75" customHeight="1">
      <c r="B27" s="656" t="e">
        <f ca="1">_xll.ciqfunctions.udf.CIQ($AI27,"IQ_TR_CLOSED_DATE")</f>
        <v>#NAME?</v>
      </c>
      <c r="C27" s="657" t="e">
        <f ca="1">_xll.ciqfunctions.udf.CIQ($AI27,"IQ_TR_BUYERNAME")</f>
        <v>#NAME?</v>
      </c>
      <c r="D27" s="657" t="e">
        <f ca="1">_xll.ciqfunctions.udf.CIQ($AI27,"IQ_TR_TARGETNAME")</f>
        <v>#NAME?</v>
      </c>
      <c r="E27" s="657" t="e">
        <f ca="1">_xll.ciqfunctions.udf.CIQ($AI27, "IQ_PRIMARY_INDUSTRY")</f>
        <v>#NAME?</v>
      </c>
      <c r="F27" s="658" t="e">
        <f ca="1">_xll.ciqfunctions.udf.CIQ($AI27, "IQ_TR_PCT_SOUGHT")/100</f>
        <v>#NAME?</v>
      </c>
      <c r="G27" s="659" t="e">
        <f ca="1">_xll.ciqfunctions.udf.CIQ(AI27, "IQ_TR_MAJ_MIN_STAKE")</f>
        <v>#NAME?</v>
      </c>
      <c r="I27" s="660" t="e">
        <f ca="1">_xll.ciqfunctions.udf.CIQ($AI27, "IQ_TR_IMPLIED_EV_FINAL", , $AJ$4,$AJ$5)</f>
        <v>#NAME?</v>
      </c>
      <c r="J27" s="660" t="e">
        <f ca="1">IF(_xll.ciqfunctions.udf.CIQ(AI27, "IQ_TR_TOTAL_CASH")="n/a",0,_xll.ciqfunctions.udf.CIQ(AI27, "IQ_TR_TOTAL_CASH"))+IF(_xll.ciqfunctions.udf.CIQ(AI27, "IQ_TR_TOTAL_STOCK")="n/a",0,_xll.ciqfunctions.udf.CIQ(AI27, "IQ_TR_TOTAL_STOCK"))</f>
        <v>#NAME?</v>
      </c>
      <c r="K27" s="148" t="e">
        <f ca="1">_xll.ciqfunctions.udf.CIQ(AI27, "IQ_TR_EARNOUTS")</f>
        <v>#NAME?</v>
      </c>
      <c r="L27" s="660" t="e">
        <f ca="1">IF(_xll.ciqfunctions.udf.CIQ($AI27, "IQ_TR_TOTAL_GROSS_TV",$AJ$4,$AJ$5)=0,"NA",_xll.ciqfunctions.udf.CIQ($AI27, "IQ_TR_TOTAL_GROSS_TV",,"USD"))</f>
        <v>#NAME?</v>
      </c>
      <c r="M27" s="661"/>
      <c r="N27" s="660" t="e">
        <f ca="1">_xll.ciqfunctions.udf.CIQ($AI27, "IQ_TR_TARGET_TOTAL_REV",,$AJ$4,$AJ$5)</f>
        <v>#NAME?</v>
      </c>
      <c r="O27" s="660" t="e">
        <f ca="1">_xll.ciqfunctions.udf.CIQ($AI27, "IQ_TR_TARGET_EBITDA", , $AJ$4,$AJ$5)</f>
        <v>#NAME?</v>
      </c>
      <c r="P27" s="660" t="e">
        <f ca="1">_xll.ciqfunctions.udf.CIQ($AI27, "IQ_TR_TARGET_EBIT", , $AJ$4,$AJ$5)</f>
        <v>#NAME?</v>
      </c>
      <c r="Q27" s="661"/>
      <c r="R27" s="662" t="str">
        <f t="shared" ca="1" si="0"/>
        <v>n/a</v>
      </c>
      <c r="S27" s="662" t="str">
        <f t="shared" ca="1" si="0"/>
        <v>n/a</v>
      </c>
      <c r="T27" s="662" t="str">
        <f t="shared" ca="1" si="0"/>
        <v>n/a</v>
      </c>
      <c r="U27" s="662" t="e">
        <f ca="1">IF(_xll.ciqfunctions.udf.CIQ($AI27, "IQ_TR_IMPLIED_EQ_BV")=0,"NA",_xll.ciqfunctions.udf.CIQ($AI27, "IQ_TR_IMPLIED_EQ_BV"))</f>
        <v>#NAME?</v>
      </c>
      <c r="V27" s="662" t="e">
        <f ca="1">IF(_xll.ciqfunctions.udf.CIQ($AI27, "IQ_TR_IMPLIED_EQ_NI_LTM")=0,"NA",_xll.ciqfunctions.udf.CIQ($AI27, "IQ_TR_IMPLIED_EQ_NI_LTM"))</f>
        <v>#NAME?</v>
      </c>
      <c r="W27" s="661"/>
      <c r="X27" s="660" t="e">
        <f ca="1">_xll.ciqfunctions.udf.CIQ($AI27, "IQ_TR_TARGET_REVENUE_EST",, $AJ$4,$AJ$5)</f>
        <v>#NAME?</v>
      </c>
      <c r="Y27" s="660" t="e">
        <f ca="1">_xll.ciqfunctions.udf.CIQ($AI27, "IQ_TR_TARGET_EBITDA_EST",, $AJ$4,$AJ$5)</f>
        <v>#NAME?</v>
      </c>
      <c r="Z27" s="660" t="e">
        <f ca="1">_xll.ciqfunctions.udf.CIQ(AI27, "IQ_TR_IMPLIED_EV_EBIT_FWD")</f>
        <v>#NAME?</v>
      </c>
      <c r="AA27" s="661"/>
      <c r="AB27" s="662" t="str">
        <f t="shared" ca="1" si="1"/>
        <v>n/a</v>
      </c>
      <c r="AC27" s="662" t="str">
        <f t="shared" ca="1" si="1"/>
        <v>n/a</v>
      </c>
      <c r="AD27" s="662" t="str">
        <f t="shared" ca="1" si="1"/>
        <v>n/a</v>
      </c>
      <c r="AF27" s="663" t="e">
        <f ca="1">IF((_xll.ciqfunctions.udf.CIQ($AI27, "IQ_TR_TARGET_STOCKPREMIUM_1W")/100)&lt;=0,"NM",_xll.ciqfunctions.udf.CIQ($AI27, "IQ_TR_TARGET_STOCKPREMIUM_1W")/100)</f>
        <v>#NAME?</v>
      </c>
      <c r="AG27" s="663" t="e">
        <f ca="1">IF((_xll.ciqfunctions.udf.CIQ($AI27, "IQ_TR_TARGET_STOCKPREMIUM_1M")/100)&lt;=0,"NM",_xll.ciqfunctions.udf.CIQ($AI27, "IQ_TR_TARGET_STOCKPREMIUM_1M")/100)</f>
        <v>#NAME?</v>
      </c>
      <c r="AI27" s="664" t="str">
        <f>+'Capital IQ Sheet-STM'!AK27</f>
        <v>IQTR138251462</v>
      </c>
      <c r="AJ27" s="657" t="e">
        <f ca="1">_xll.ciqfunctions.udf.CIQ(AI27, "IQ_BUSINESS_DESCRIPTION")</f>
        <v>#NAME?</v>
      </c>
    </row>
    <row r="28" spans="2:36" s="657" customFormat="1" ht="12.75" customHeight="1">
      <c r="B28" s="656" t="e">
        <f ca="1">_xll.ciqfunctions.udf.CIQ($AI28,"IQ_TR_CLOSED_DATE")</f>
        <v>#NAME?</v>
      </c>
      <c r="C28" s="657" t="e">
        <f ca="1">_xll.ciqfunctions.udf.CIQ($AI28,"IQ_TR_BUYERNAME")</f>
        <v>#NAME?</v>
      </c>
      <c r="D28" s="657" t="e">
        <f ca="1">_xll.ciqfunctions.udf.CIQ($AI28,"IQ_TR_TARGETNAME")</f>
        <v>#NAME?</v>
      </c>
      <c r="E28" s="657" t="e">
        <f ca="1">_xll.ciqfunctions.udf.CIQ($AI28, "IQ_PRIMARY_INDUSTRY")</f>
        <v>#NAME?</v>
      </c>
      <c r="F28" s="658" t="e">
        <f ca="1">_xll.ciqfunctions.udf.CIQ($AI28, "IQ_TR_PCT_SOUGHT")/100</f>
        <v>#NAME?</v>
      </c>
      <c r="G28" s="659" t="e">
        <f ca="1">_xll.ciqfunctions.udf.CIQ(AI28, "IQ_TR_MAJ_MIN_STAKE")</f>
        <v>#NAME?</v>
      </c>
      <c r="I28" s="660" t="e">
        <f ca="1">_xll.ciqfunctions.udf.CIQ($AI28, "IQ_TR_IMPLIED_EV_FINAL", , $AJ$4,$AJ$5)</f>
        <v>#NAME?</v>
      </c>
      <c r="J28" s="660" t="e">
        <f ca="1">IF(_xll.ciqfunctions.udf.CIQ(AI28, "IQ_TR_TOTAL_CASH")="n/a",0,_xll.ciqfunctions.udf.CIQ(AI28, "IQ_TR_TOTAL_CASH"))+IF(_xll.ciqfunctions.udf.CIQ(AI28, "IQ_TR_TOTAL_STOCK")="n/a",0,_xll.ciqfunctions.udf.CIQ(AI28, "IQ_TR_TOTAL_STOCK"))</f>
        <v>#NAME?</v>
      </c>
      <c r="K28" s="148" t="e">
        <f ca="1">_xll.ciqfunctions.udf.CIQ(AI28, "IQ_TR_EARNOUTS")</f>
        <v>#NAME?</v>
      </c>
      <c r="L28" s="660" t="e">
        <f ca="1">IF(_xll.ciqfunctions.udf.CIQ($AI28, "IQ_TR_TOTAL_GROSS_TV",$AJ$4,$AJ$5)=0,"NA",_xll.ciqfunctions.udf.CIQ($AI28, "IQ_TR_TOTAL_GROSS_TV",,"USD"))</f>
        <v>#NAME?</v>
      </c>
      <c r="M28" s="661"/>
      <c r="N28" s="660" t="e">
        <f ca="1">_xll.ciqfunctions.udf.CIQ($AI28, "IQ_TR_TARGET_TOTAL_REV",,$AJ$4,$AJ$5)</f>
        <v>#NAME?</v>
      </c>
      <c r="O28" s="660" t="e">
        <f ca="1">_xll.ciqfunctions.udf.CIQ($AI28, "IQ_TR_TARGET_EBITDA", , $AJ$4,$AJ$5)</f>
        <v>#NAME?</v>
      </c>
      <c r="P28" s="660" t="e">
        <f ca="1">_xll.ciqfunctions.udf.CIQ($AI28, "IQ_TR_TARGET_EBIT", , $AJ$4,$AJ$5)</f>
        <v>#NAME?</v>
      </c>
      <c r="Q28" s="661"/>
      <c r="R28" s="662" t="str">
        <f t="shared" ca="1" si="0"/>
        <v>n/a</v>
      </c>
      <c r="S28" s="662" t="str">
        <f t="shared" ca="1" si="0"/>
        <v>n/a</v>
      </c>
      <c r="T28" s="662" t="str">
        <f t="shared" ca="1" si="0"/>
        <v>n/a</v>
      </c>
      <c r="U28" s="662" t="e">
        <f ca="1">IF(_xll.ciqfunctions.udf.CIQ($AI28, "IQ_TR_IMPLIED_EQ_BV")=0,"NA",_xll.ciqfunctions.udf.CIQ($AI28, "IQ_TR_IMPLIED_EQ_BV"))</f>
        <v>#NAME?</v>
      </c>
      <c r="V28" s="662" t="e">
        <f ca="1">IF(_xll.ciqfunctions.udf.CIQ($AI28, "IQ_TR_IMPLIED_EQ_NI_LTM")=0,"NA",_xll.ciqfunctions.udf.CIQ($AI28, "IQ_TR_IMPLIED_EQ_NI_LTM"))</f>
        <v>#NAME?</v>
      </c>
      <c r="W28" s="661"/>
      <c r="X28" s="660" t="e">
        <f ca="1">_xll.ciqfunctions.udf.CIQ($AI28, "IQ_TR_TARGET_REVENUE_EST",, $AJ$4,$AJ$5)</f>
        <v>#NAME?</v>
      </c>
      <c r="Y28" s="660" t="e">
        <f ca="1">_xll.ciqfunctions.udf.CIQ($AI28, "IQ_TR_TARGET_EBITDA_EST",, $AJ$4,$AJ$5)</f>
        <v>#NAME?</v>
      </c>
      <c r="Z28" s="660" t="e">
        <f ca="1">_xll.ciqfunctions.udf.CIQ(AI28, "IQ_TR_IMPLIED_EV_EBIT_FWD")</f>
        <v>#NAME?</v>
      </c>
      <c r="AA28" s="661"/>
      <c r="AB28" s="662" t="str">
        <f t="shared" ca="1" si="1"/>
        <v>n/a</v>
      </c>
      <c r="AC28" s="662" t="str">
        <f t="shared" ca="1" si="1"/>
        <v>n/a</v>
      </c>
      <c r="AD28" s="662" t="str">
        <f t="shared" ca="1" si="1"/>
        <v>n/a</v>
      </c>
      <c r="AF28" s="663" t="e">
        <f ca="1">IF((_xll.ciqfunctions.udf.CIQ($AI28, "IQ_TR_TARGET_STOCKPREMIUM_1W")/100)&lt;=0,"NM",_xll.ciqfunctions.udf.CIQ($AI28, "IQ_TR_TARGET_STOCKPREMIUM_1W")/100)</f>
        <v>#NAME?</v>
      </c>
      <c r="AG28" s="663" t="e">
        <f ca="1">IF((_xll.ciqfunctions.udf.CIQ($AI28, "IQ_TR_TARGET_STOCKPREMIUM_1M")/100)&lt;=0,"NM",_xll.ciqfunctions.udf.CIQ($AI28, "IQ_TR_TARGET_STOCKPREMIUM_1M")/100)</f>
        <v>#NAME?</v>
      </c>
      <c r="AI28" s="664" t="str">
        <f>+'Capital IQ Sheet-STM'!AK28</f>
        <v>IQTR117291465</v>
      </c>
      <c r="AJ28" s="657" t="e">
        <f ca="1">_xll.ciqfunctions.udf.CIQ(AI28, "IQ_BUSINESS_DESCRIPTION")</f>
        <v>#NAME?</v>
      </c>
    </row>
    <row r="29" spans="2:36" s="657" customFormat="1" ht="12.75" customHeight="1">
      <c r="B29" s="656" t="e">
        <f ca="1">_xll.ciqfunctions.udf.CIQ($AI29,"IQ_TR_CLOSED_DATE")</f>
        <v>#NAME?</v>
      </c>
      <c r="C29" s="657" t="e">
        <f ca="1">_xll.ciqfunctions.udf.CIQ($AI29,"IQ_TR_BUYERNAME")</f>
        <v>#NAME?</v>
      </c>
      <c r="D29" s="657" t="e">
        <f ca="1">_xll.ciqfunctions.udf.CIQ($AI29,"IQ_TR_TARGETNAME")</f>
        <v>#NAME?</v>
      </c>
      <c r="E29" s="657" t="e">
        <f ca="1">_xll.ciqfunctions.udf.CIQ($AI29, "IQ_PRIMARY_INDUSTRY")</f>
        <v>#NAME?</v>
      </c>
      <c r="F29" s="658" t="e">
        <f ca="1">_xll.ciqfunctions.udf.CIQ($AI29, "IQ_TR_PCT_SOUGHT")/100</f>
        <v>#NAME?</v>
      </c>
      <c r="G29" s="659" t="e">
        <f ca="1">_xll.ciqfunctions.udf.CIQ(AI29, "IQ_TR_MAJ_MIN_STAKE")</f>
        <v>#NAME?</v>
      </c>
      <c r="I29" s="660" t="e">
        <f ca="1">_xll.ciqfunctions.udf.CIQ($AI29, "IQ_TR_IMPLIED_EV_FINAL", , $AJ$4,$AJ$5)</f>
        <v>#NAME?</v>
      </c>
      <c r="J29" s="660" t="e">
        <f ca="1">IF(_xll.ciqfunctions.udf.CIQ(AI29, "IQ_TR_TOTAL_CASH")="n/a",0,_xll.ciqfunctions.udf.CIQ(AI29, "IQ_TR_TOTAL_CASH"))+IF(_xll.ciqfunctions.udf.CIQ(AI29, "IQ_TR_TOTAL_STOCK")="n/a",0,_xll.ciqfunctions.udf.CIQ(AI29, "IQ_TR_TOTAL_STOCK"))</f>
        <v>#NAME?</v>
      </c>
      <c r="K29" s="148" t="e">
        <f ca="1">_xll.ciqfunctions.udf.CIQ(AI29, "IQ_TR_EARNOUTS")</f>
        <v>#NAME?</v>
      </c>
      <c r="L29" s="660" t="e">
        <f ca="1">IF(_xll.ciqfunctions.udf.CIQ($AI29, "IQ_TR_TOTAL_GROSS_TV",$AJ$4,$AJ$5)=0,"NA",_xll.ciqfunctions.udf.CIQ($AI29, "IQ_TR_TOTAL_GROSS_TV",,"USD"))</f>
        <v>#NAME?</v>
      </c>
      <c r="M29" s="661"/>
      <c r="N29" s="660" t="e">
        <f ca="1">_xll.ciqfunctions.udf.CIQ($AI29, "IQ_TR_TARGET_TOTAL_REV",,$AJ$4,$AJ$5)</f>
        <v>#NAME?</v>
      </c>
      <c r="O29" s="660" t="e">
        <f ca="1">_xll.ciqfunctions.udf.CIQ($AI29, "IQ_TR_TARGET_EBITDA", , $AJ$4,$AJ$5)</f>
        <v>#NAME?</v>
      </c>
      <c r="P29" s="660" t="e">
        <f ca="1">_xll.ciqfunctions.udf.CIQ($AI29, "IQ_TR_TARGET_EBIT", , $AJ$4,$AJ$5)</f>
        <v>#NAME?</v>
      </c>
      <c r="Q29" s="661"/>
      <c r="R29" s="662" t="str">
        <f t="shared" ca="1" si="0"/>
        <v>n/a</v>
      </c>
      <c r="S29" s="662" t="str">
        <f t="shared" ca="1" si="0"/>
        <v>n/a</v>
      </c>
      <c r="T29" s="662" t="str">
        <f t="shared" ca="1" si="0"/>
        <v>n/a</v>
      </c>
      <c r="U29" s="662" t="e">
        <f ca="1">IF(_xll.ciqfunctions.udf.CIQ($AI29, "IQ_TR_IMPLIED_EQ_BV")=0,"NA",_xll.ciqfunctions.udf.CIQ($AI29, "IQ_TR_IMPLIED_EQ_BV"))</f>
        <v>#NAME?</v>
      </c>
      <c r="V29" s="662" t="e">
        <f ca="1">IF(_xll.ciqfunctions.udf.CIQ($AI29, "IQ_TR_IMPLIED_EQ_NI_LTM")=0,"NA",_xll.ciqfunctions.udf.CIQ($AI29, "IQ_TR_IMPLIED_EQ_NI_LTM"))</f>
        <v>#NAME?</v>
      </c>
      <c r="W29" s="661"/>
      <c r="X29" s="660" t="e">
        <f ca="1">_xll.ciqfunctions.udf.CIQ($AI29, "IQ_TR_TARGET_REVENUE_EST",, $AJ$4,$AJ$5)</f>
        <v>#NAME?</v>
      </c>
      <c r="Y29" s="660" t="e">
        <f ca="1">_xll.ciqfunctions.udf.CIQ($AI29, "IQ_TR_TARGET_EBITDA_EST",, $AJ$4,$AJ$5)</f>
        <v>#NAME?</v>
      </c>
      <c r="Z29" s="660" t="e">
        <f ca="1">_xll.ciqfunctions.udf.CIQ(AI29, "IQ_TR_IMPLIED_EV_EBIT_FWD")</f>
        <v>#NAME?</v>
      </c>
      <c r="AA29" s="661"/>
      <c r="AB29" s="662" t="str">
        <f t="shared" ca="1" si="1"/>
        <v>n/a</v>
      </c>
      <c r="AC29" s="662" t="str">
        <f t="shared" ca="1" si="1"/>
        <v>n/a</v>
      </c>
      <c r="AD29" s="662" t="str">
        <f t="shared" ca="1" si="1"/>
        <v>n/a</v>
      </c>
      <c r="AF29" s="663" t="e">
        <f ca="1">IF((_xll.ciqfunctions.udf.CIQ($AI29, "IQ_TR_TARGET_STOCKPREMIUM_1W")/100)&lt;=0,"NM",_xll.ciqfunctions.udf.CIQ($AI29, "IQ_TR_TARGET_STOCKPREMIUM_1W")/100)</f>
        <v>#NAME?</v>
      </c>
      <c r="AG29" s="663" t="e">
        <f ca="1">IF((_xll.ciqfunctions.udf.CIQ($AI29, "IQ_TR_TARGET_STOCKPREMIUM_1M")/100)&lt;=0,"NM",_xll.ciqfunctions.udf.CIQ($AI29, "IQ_TR_TARGET_STOCKPREMIUM_1M")/100)</f>
        <v>#NAME?</v>
      </c>
      <c r="AI29" s="664">
        <f>+'Capital IQ Sheet-STM'!AK29</f>
        <v>0</v>
      </c>
      <c r="AJ29" s="657" t="e">
        <f ca="1">_xll.ciqfunctions.udf.CIQ(AI29, "IQ_BUSINESS_DESCRIPTION")</f>
        <v>#NAME?</v>
      </c>
    </row>
    <row r="30" spans="2:36" s="657" customFormat="1" ht="12.75" customHeight="1">
      <c r="B30" s="656"/>
      <c r="F30" s="658"/>
      <c r="G30" s="659"/>
      <c r="I30" s="660"/>
      <c r="J30" s="660"/>
      <c r="K30" s="660"/>
      <c r="L30" s="660"/>
      <c r="M30" s="661"/>
      <c r="N30" s="660"/>
      <c r="O30" s="660"/>
      <c r="P30" s="660"/>
      <c r="Q30" s="661"/>
      <c r="R30" s="662"/>
      <c r="S30" s="662"/>
      <c r="T30" s="662"/>
      <c r="U30" s="662"/>
      <c r="V30" s="662"/>
      <c r="W30" s="661"/>
      <c r="X30" s="660"/>
      <c r="Y30" s="660"/>
      <c r="Z30" s="660"/>
      <c r="AA30" s="661"/>
      <c r="AB30" s="662"/>
      <c r="AC30" s="662"/>
      <c r="AD30" s="662"/>
      <c r="AF30" s="663"/>
      <c r="AG30" s="663"/>
      <c r="AI30" s="664">
        <f>+'Capital IQ Sheet-STM'!AK30</f>
        <v>0</v>
      </c>
    </row>
    <row r="31" spans="2:36" s="657" customFormat="1" ht="12.75" customHeight="1">
      <c r="B31" s="656"/>
      <c r="F31" s="658"/>
      <c r="G31" s="659"/>
      <c r="I31" s="660"/>
      <c r="J31" s="660"/>
      <c r="K31" s="660"/>
      <c r="L31" s="660"/>
      <c r="M31" s="661"/>
      <c r="N31" s="660"/>
      <c r="O31" s="660"/>
      <c r="P31" s="660"/>
      <c r="Q31" s="661"/>
      <c r="R31" s="662"/>
      <c r="S31" s="662"/>
      <c r="T31" s="662"/>
      <c r="U31" s="662"/>
      <c r="V31" s="662"/>
      <c r="W31" s="661"/>
      <c r="X31" s="660"/>
      <c r="Y31" s="660"/>
      <c r="Z31" s="660"/>
      <c r="AA31" s="661"/>
      <c r="AB31" s="662"/>
      <c r="AC31" s="662"/>
      <c r="AD31" s="662"/>
      <c r="AF31" s="663"/>
      <c r="AG31" s="663"/>
      <c r="AI31" s="664">
        <f>+'Capital IQ Sheet-STM'!AK31</f>
        <v>0</v>
      </c>
    </row>
    <row r="32" spans="2:36" s="657" customFormat="1" ht="12.75" customHeight="1">
      <c r="B32" s="656"/>
      <c r="F32" s="658"/>
      <c r="G32" s="659"/>
      <c r="I32" s="660"/>
      <c r="J32" s="660"/>
      <c r="K32" s="660"/>
      <c r="L32" s="660"/>
      <c r="M32" s="661"/>
      <c r="N32" s="660"/>
      <c r="O32" s="660"/>
      <c r="P32" s="660"/>
      <c r="Q32" s="661"/>
      <c r="R32" s="662"/>
      <c r="S32" s="662"/>
      <c r="T32" s="662"/>
      <c r="U32" s="662"/>
      <c r="V32" s="662"/>
      <c r="W32" s="661"/>
      <c r="X32" s="660"/>
      <c r="Y32" s="660"/>
      <c r="Z32" s="660"/>
      <c r="AA32" s="661"/>
      <c r="AB32" s="662"/>
      <c r="AC32" s="662"/>
      <c r="AD32" s="662"/>
      <c r="AF32" s="663"/>
      <c r="AG32" s="663"/>
      <c r="AI32" s="664">
        <f>+'Capital IQ Sheet-STM'!AK32</f>
        <v>0</v>
      </c>
    </row>
    <row r="33" spans="2:35" s="657" customFormat="1" ht="12.75" customHeight="1">
      <c r="B33" s="656"/>
      <c r="F33" s="658"/>
      <c r="G33" s="659"/>
      <c r="I33" s="660"/>
      <c r="J33" s="660"/>
      <c r="K33" s="660"/>
      <c r="L33" s="660"/>
      <c r="M33" s="661"/>
      <c r="N33" s="660"/>
      <c r="O33" s="660"/>
      <c r="P33" s="660"/>
      <c r="Q33" s="661"/>
      <c r="R33" s="662"/>
      <c r="S33" s="662"/>
      <c r="T33" s="662"/>
      <c r="U33" s="662"/>
      <c r="V33" s="662"/>
      <c r="W33" s="661"/>
      <c r="X33" s="660"/>
      <c r="Y33" s="660"/>
      <c r="Z33" s="660"/>
      <c r="AA33" s="661"/>
      <c r="AB33" s="662"/>
      <c r="AC33" s="662"/>
      <c r="AD33" s="662"/>
      <c r="AF33" s="663"/>
      <c r="AG33" s="663"/>
      <c r="AI33" s="664">
        <f>+'Capital IQ Sheet-STM'!AK33</f>
        <v>0</v>
      </c>
    </row>
    <row r="34" spans="2:35" s="657" customFormat="1" ht="12.75" customHeight="1">
      <c r="B34" s="656"/>
      <c r="F34" s="658"/>
      <c r="G34" s="659"/>
      <c r="I34" s="660"/>
      <c r="J34" s="660"/>
      <c r="K34" s="660"/>
      <c r="L34" s="660"/>
      <c r="M34" s="661"/>
      <c r="N34" s="660"/>
      <c r="O34" s="660"/>
      <c r="P34" s="660"/>
      <c r="Q34" s="661"/>
      <c r="R34" s="662"/>
      <c r="S34" s="662"/>
      <c r="T34" s="662"/>
      <c r="U34" s="662"/>
      <c r="V34" s="662"/>
      <c r="W34" s="661"/>
      <c r="X34" s="660"/>
      <c r="Y34" s="660"/>
      <c r="Z34" s="660"/>
      <c r="AA34" s="661"/>
      <c r="AB34" s="662"/>
      <c r="AC34" s="662"/>
      <c r="AD34" s="662"/>
      <c r="AF34" s="663"/>
      <c r="AG34" s="663"/>
      <c r="AI34" s="664">
        <f>+'Capital IQ Sheet-STM'!AK34</f>
        <v>0</v>
      </c>
    </row>
    <row r="35" spans="2:35" s="657" customFormat="1" ht="12.75" customHeight="1">
      <c r="B35" s="656"/>
      <c r="F35" s="658"/>
      <c r="G35" s="659"/>
      <c r="I35" s="660"/>
      <c r="J35" s="660"/>
      <c r="K35" s="660"/>
      <c r="L35" s="660"/>
      <c r="M35" s="661"/>
      <c r="N35" s="660"/>
      <c r="O35" s="660"/>
      <c r="P35" s="660"/>
      <c r="Q35" s="661"/>
      <c r="R35" s="662"/>
      <c r="S35" s="662"/>
      <c r="T35" s="662"/>
      <c r="U35" s="662"/>
      <c r="V35" s="662"/>
      <c r="W35" s="661"/>
      <c r="X35" s="660"/>
      <c r="Y35" s="660"/>
      <c r="Z35" s="660"/>
      <c r="AA35" s="661"/>
      <c r="AB35" s="662"/>
      <c r="AC35" s="662"/>
      <c r="AD35" s="662"/>
      <c r="AF35" s="663"/>
      <c r="AG35" s="663"/>
      <c r="AI35" s="664">
        <f>+'Capital IQ Sheet-STM'!AK35</f>
        <v>0</v>
      </c>
    </row>
    <row r="36" spans="2:35" s="657" customFormat="1" ht="12.75" customHeight="1">
      <c r="B36" s="656"/>
      <c r="F36" s="658"/>
      <c r="G36" s="659"/>
      <c r="I36" s="660"/>
      <c r="J36" s="660"/>
      <c r="K36" s="660"/>
      <c r="L36" s="660"/>
      <c r="M36" s="661"/>
      <c r="N36" s="660"/>
      <c r="O36" s="660"/>
      <c r="P36" s="660"/>
      <c r="Q36" s="661"/>
      <c r="R36" s="662"/>
      <c r="S36" s="662"/>
      <c r="T36" s="662"/>
      <c r="U36" s="662"/>
      <c r="V36" s="662"/>
      <c r="W36" s="661"/>
      <c r="X36" s="660"/>
      <c r="Y36" s="660"/>
      <c r="Z36" s="660"/>
      <c r="AA36" s="661"/>
      <c r="AB36" s="662"/>
      <c r="AC36" s="662"/>
      <c r="AD36" s="662"/>
      <c r="AF36" s="663"/>
      <c r="AG36" s="663"/>
      <c r="AI36" s="664">
        <f>+'Capital IQ Sheet-STM'!AK36</f>
        <v>0</v>
      </c>
    </row>
    <row r="37" spans="2:35" s="657" customFormat="1" ht="12.75" customHeight="1">
      <c r="B37" s="656"/>
      <c r="F37" s="658"/>
      <c r="G37" s="659"/>
      <c r="I37" s="660"/>
      <c r="J37" s="660"/>
      <c r="K37" s="660"/>
      <c r="L37" s="660"/>
      <c r="M37" s="661"/>
      <c r="N37" s="660"/>
      <c r="O37" s="660"/>
      <c r="P37" s="660"/>
      <c r="Q37" s="661"/>
      <c r="R37" s="662"/>
      <c r="S37" s="662"/>
      <c r="T37" s="662"/>
      <c r="U37" s="662"/>
      <c r="V37" s="662"/>
      <c r="W37" s="661"/>
      <c r="X37" s="660"/>
      <c r="Y37" s="660"/>
      <c r="Z37" s="660"/>
      <c r="AA37" s="661"/>
      <c r="AB37" s="662"/>
      <c r="AC37" s="662"/>
      <c r="AD37" s="662"/>
      <c r="AF37" s="663"/>
      <c r="AG37" s="663"/>
      <c r="AI37" s="664">
        <f>+'Capital IQ Sheet-STM'!AK37</f>
        <v>0</v>
      </c>
    </row>
    <row r="38" spans="2:35" s="657" customFormat="1" ht="12.75" customHeight="1">
      <c r="B38" s="656"/>
      <c r="F38" s="658"/>
      <c r="G38" s="659"/>
      <c r="I38" s="660"/>
      <c r="J38" s="660"/>
      <c r="K38" s="660"/>
      <c r="L38" s="660"/>
      <c r="M38" s="661"/>
      <c r="N38" s="660"/>
      <c r="O38" s="660"/>
      <c r="P38" s="660"/>
      <c r="Q38" s="661"/>
      <c r="R38" s="662"/>
      <c r="S38" s="662"/>
      <c r="T38" s="662"/>
      <c r="U38" s="662"/>
      <c r="V38" s="662"/>
      <c r="W38" s="661"/>
      <c r="X38" s="660"/>
      <c r="Y38" s="660"/>
      <c r="Z38" s="660"/>
      <c r="AA38" s="661"/>
      <c r="AB38" s="662"/>
      <c r="AC38" s="662"/>
      <c r="AD38" s="662"/>
      <c r="AF38" s="663"/>
      <c r="AG38" s="663"/>
      <c r="AI38" s="664">
        <f>+'Capital IQ Sheet-STM'!AK38</f>
        <v>0</v>
      </c>
    </row>
    <row r="39" spans="2:35" s="657" customFormat="1" ht="12.75" customHeight="1">
      <c r="B39" s="656"/>
      <c r="F39" s="658"/>
      <c r="G39" s="659"/>
      <c r="I39" s="660"/>
      <c r="J39" s="660"/>
      <c r="K39" s="660"/>
      <c r="L39" s="660"/>
      <c r="M39" s="661"/>
      <c r="N39" s="660"/>
      <c r="O39" s="660"/>
      <c r="P39" s="660"/>
      <c r="Q39" s="661"/>
      <c r="R39" s="662"/>
      <c r="S39" s="662"/>
      <c r="T39" s="662"/>
      <c r="U39" s="662"/>
      <c r="V39" s="662"/>
      <c r="W39" s="661"/>
      <c r="X39" s="660"/>
      <c r="Y39" s="660"/>
      <c r="Z39" s="660"/>
      <c r="AA39" s="661"/>
      <c r="AB39" s="662"/>
      <c r="AC39" s="662"/>
      <c r="AD39" s="662"/>
      <c r="AF39" s="663"/>
      <c r="AG39" s="663"/>
      <c r="AI39" s="664">
        <f>+'Capital IQ Sheet-STM'!AK39</f>
        <v>0</v>
      </c>
    </row>
    <row r="40" spans="2:35" s="657" customFormat="1" ht="12.75" customHeight="1">
      <c r="B40" s="656"/>
      <c r="F40" s="658"/>
      <c r="G40" s="659"/>
      <c r="I40" s="660"/>
      <c r="J40" s="660"/>
      <c r="K40" s="660"/>
      <c r="L40" s="660"/>
      <c r="M40" s="661"/>
      <c r="N40" s="660"/>
      <c r="O40" s="660"/>
      <c r="P40" s="660"/>
      <c r="Q40" s="661"/>
      <c r="R40" s="662"/>
      <c r="S40" s="662"/>
      <c r="T40" s="662"/>
      <c r="U40" s="662"/>
      <c r="V40" s="662"/>
      <c r="W40" s="661"/>
      <c r="X40" s="660"/>
      <c r="Y40" s="660"/>
      <c r="Z40" s="660"/>
      <c r="AA40" s="661"/>
      <c r="AB40" s="662"/>
      <c r="AC40" s="662"/>
      <c r="AD40" s="662"/>
      <c r="AF40" s="663"/>
      <c r="AG40" s="663"/>
      <c r="AI40" s="664">
        <f>+'Capital IQ Sheet-STM'!AK40</f>
        <v>0</v>
      </c>
    </row>
    <row r="41" spans="2:35" s="657" customFormat="1" ht="12.75" customHeight="1">
      <c r="B41" s="656"/>
      <c r="F41" s="658"/>
      <c r="G41" s="659"/>
      <c r="I41" s="660"/>
      <c r="J41" s="660"/>
      <c r="K41" s="660"/>
      <c r="L41" s="660"/>
      <c r="M41" s="661"/>
      <c r="N41" s="660"/>
      <c r="O41" s="660"/>
      <c r="P41" s="660"/>
      <c r="Q41" s="661"/>
      <c r="R41" s="662"/>
      <c r="S41" s="662"/>
      <c r="T41" s="662"/>
      <c r="U41" s="662"/>
      <c r="V41" s="662"/>
      <c r="W41" s="661"/>
      <c r="X41" s="660"/>
      <c r="Y41" s="660"/>
      <c r="Z41" s="660"/>
      <c r="AA41" s="661"/>
      <c r="AB41" s="662"/>
      <c r="AC41" s="662"/>
      <c r="AD41" s="662"/>
      <c r="AF41" s="663"/>
      <c r="AG41" s="663"/>
      <c r="AI41" s="664"/>
    </row>
    <row r="42" spans="2:35" s="657" customFormat="1" ht="12.75" customHeight="1">
      <c r="B42" s="656"/>
      <c r="F42" s="658"/>
      <c r="G42" s="659"/>
      <c r="I42" s="660"/>
      <c r="J42" s="660"/>
      <c r="K42" s="660"/>
      <c r="L42" s="660"/>
      <c r="M42" s="661"/>
      <c r="N42" s="660"/>
      <c r="O42" s="660"/>
      <c r="P42" s="660"/>
      <c r="Q42" s="661"/>
      <c r="R42" s="662"/>
      <c r="S42" s="662"/>
      <c r="T42" s="662"/>
      <c r="U42" s="662"/>
      <c r="V42" s="662"/>
      <c r="W42" s="661"/>
      <c r="X42" s="660"/>
      <c r="Y42" s="660"/>
      <c r="Z42" s="660"/>
      <c r="AA42" s="661"/>
      <c r="AB42" s="662"/>
      <c r="AC42" s="662"/>
      <c r="AD42" s="662"/>
      <c r="AF42" s="663"/>
      <c r="AG42" s="663"/>
      <c r="AI42" s="664"/>
    </row>
    <row r="43" spans="2:35" s="657" customFormat="1" ht="12.75" customHeight="1">
      <c r="B43" s="656"/>
      <c r="F43" s="658"/>
      <c r="G43" s="659"/>
      <c r="I43" s="660"/>
      <c r="J43" s="660"/>
      <c r="K43" s="660"/>
      <c r="L43" s="660"/>
      <c r="M43" s="661"/>
      <c r="N43" s="660"/>
      <c r="O43" s="660"/>
      <c r="P43" s="660"/>
      <c r="Q43" s="661"/>
      <c r="R43" s="662"/>
      <c r="S43" s="662"/>
      <c r="T43" s="662"/>
      <c r="U43" s="662"/>
      <c r="V43" s="662"/>
      <c r="W43" s="661"/>
      <c r="X43" s="660"/>
      <c r="Y43" s="660"/>
      <c r="Z43" s="660"/>
      <c r="AA43" s="661"/>
      <c r="AB43" s="662"/>
      <c r="AC43" s="662"/>
      <c r="AD43" s="662"/>
      <c r="AF43" s="663"/>
      <c r="AG43" s="663"/>
      <c r="AI43" s="664"/>
    </row>
    <row r="44" spans="2:35" s="657" customFormat="1" ht="12.75" customHeight="1">
      <c r="B44" s="656"/>
      <c r="F44" s="658"/>
      <c r="G44" s="659"/>
      <c r="I44" s="660"/>
      <c r="J44" s="660"/>
      <c r="K44" s="660"/>
      <c r="L44" s="660"/>
      <c r="M44" s="661"/>
      <c r="N44" s="660"/>
      <c r="O44" s="660"/>
      <c r="P44" s="660"/>
      <c r="Q44" s="661"/>
      <c r="R44" s="662"/>
      <c r="S44" s="662"/>
      <c r="T44" s="662"/>
      <c r="U44" s="662"/>
      <c r="V44" s="662"/>
      <c r="W44" s="661"/>
      <c r="X44" s="660"/>
      <c r="Y44" s="660"/>
      <c r="Z44" s="660"/>
      <c r="AA44" s="661"/>
      <c r="AB44" s="662"/>
      <c r="AC44" s="662"/>
      <c r="AD44" s="662"/>
      <c r="AF44" s="663"/>
      <c r="AG44" s="663"/>
      <c r="AI44" s="664"/>
    </row>
    <row r="45" spans="2:35" s="642" customFormat="1" ht="12.75" customHeight="1"/>
    <row r="46" spans="2:35" s="642" customFormat="1" ht="12.75" customHeight="1"/>
    <row r="47" spans="2:35" s="642" customFormat="1" ht="12.75" customHeight="1">
      <c r="B47" s="665" t="s">
        <v>46</v>
      </c>
      <c r="C47" s="666"/>
      <c r="D47" s="666"/>
      <c r="E47" s="666"/>
      <c r="F47" s="666"/>
      <c r="G47" s="666"/>
      <c r="H47" s="666"/>
      <c r="I47" s="667" t="e">
        <f ca="1">MAX(I10:I45)</f>
        <v>#NAME?</v>
      </c>
      <c r="J47" s="994"/>
      <c r="K47" s="994"/>
      <c r="L47" s="667"/>
      <c r="M47" s="666"/>
      <c r="N47" s="667" t="e">
        <f ca="1">MAX(N10:N45)</f>
        <v>#NAME?</v>
      </c>
      <c r="O47" s="667" t="e">
        <f ca="1">MAX(O10:O45)</f>
        <v>#NAME?</v>
      </c>
      <c r="P47" s="667" t="e">
        <f ca="1">MAX(P10:P45)</f>
        <v>#NAME?</v>
      </c>
      <c r="Q47" s="668"/>
      <c r="R47" s="669">
        <f ca="1">MAX(R10:R45)</f>
        <v>0</v>
      </c>
      <c r="S47" s="669">
        <f ca="1">MAX(S10:S45)</f>
        <v>0</v>
      </c>
      <c r="T47" s="669">
        <f ca="1">MAX(T10:T45)</f>
        <v>0</v>
      </c>
      <c r="U47" s="669" t="e">
        <f ca="1">MAX(U10:U45)</f>
        <v>#NAME?</v>
      </c>
      <c r="V47" s="669" t="e">
        <f ca="1">MAX(V10:V45)</f>
        <v>#NAME?</v>
      </c>
      <c r="W47" s="666"/>
      <c r="X47" s="667" t="e">
        <f ca="1">MAX(X10:X45)</f>
        <v>#NAME?</v>
      </c>
      <c r="Y47" s="667" t="e">
        <f ca="1">MAX(Y10:Y45)</f>
        <v>#NAME?</v>
      </c>
      <c r="Z47" s="667" t="e">
        <f ca="1">MAX(Z10:Z45)</f>
        <v>#NAME?</v>
      </c>
      <c r="AA47" s="666"/>
      <c r="AB47" s="669">
        <f ca="1">MAX(AB10:AB45)</f>
        <v>0</v>
      </c>
      <c r="AC47" s="669">
        <f ca="1">MAX(AC10:AC45)</f>
        <v>0</v>
      </c>
      <c r="AD47" s="669">
        <f ca="1">MAX(AD10:AD45)</f>
        <v>0</v>
      </c>
      <c r="AE47" s="666"/>
      <c r="AF47" s="670" t="e">
        <f ca="1">MAX(AF10:AF45)</f>
        <v>#NAME?</v>
      </c>
      <c r="AG47" s="671" t="e">
        <f ca="1">MAX(AG10:AG45)</f>
        <v>#NAME?</v>
      </c>
    </row>
    <row r="48" spans="2:35" s="642" customFormat="1" ht="12.75" customHeight="1">
      <c r="B48" s="672" t="s">
        <v>50</v>
      </c>
      <c r="C48" s="673"/>
      <c r="D48" s="673"/>
      <c r="E48" s="673"/>
      <c r="F48" s="673"/>
      <c r="G48" s="673"/>
      <c r="H48" s="673"/>
      <c r="I48" s="674" t="e">
        <f ca="1">QUARTILE(I10:I45,3)</f>
        <v>#NAME?</v>
      </c>
      <c r="J48" s="674"/>
      <c r="K48" s="674"/>
      <c r="L48" s="674"/>
      <c r="M48" s="673"/>
      <c r="N48" s="674" t="e">
        <f ca="1">QUARTILE(N10:N45,3)</f>
        <v>#NAME?</v>
      </c>
      <c r="O48" s="674" t="e">
        <f ca="1">QUARTILE(O10:O45,3)</f>
        <v>#NAME?</v>
      </c>
      <c r="P48" s="674" t="e">
        <f ca="1">QUARTILE(P10:P45,3)</f>
        <v>#NAME?</v>
      </c>
      <c r="Q48" s="675"/>
      <c r="R48" s="676" t="e">
        <f ca="1">QUARTILE(R10:R45,3)</f>
        <v>#NUM!</v>
      </c>
      <c r="S48" s="676" t="e">
        <f ca="1">QUARTILE(S10:S45,3)</f>
        <v>#NUM!</v>
      </c>
      <c r="T48" s="676" t="e">
        <f ca="1">QUARTILE(T10:T45,3)</f>
        <v>#NUM!</v>
      </c>
      <c r="U48" s="676" t="e">
        <f ca="1">QUARTILE(U10:U45,3)</f>
        <v>#NAME?</v>
      </c>
      <c r="V48" s="676" t="e">
        <f ca="1">QUARTILE(V10:V45,3)</f>
        <v>#NAME?</v>
      </c>
      <c r="W48" s="673"/>
      <c r="X48" s="674" t="e">
        <f ca="1">QUARTILE(X10:X45,3)</f>
        <v>#NAME?</v>
      </c>
      <c r="Y48" s="674" t="e">
        <f ca="1">QUARTILE(Y10:Y45,3)</f>
        <v>#NAME?</v>
      </c>
      <c r="Z48" s="674" t="e">
        <f ca="1">QUARTILE(Z10:Z45,3)</f>
        <v>#NAME?</v>
      </c>
      <c r="AA48" s="673"/>
      <c r="AB48" s="676" t="e">
        <f ca="1">QUARTILE(AB10:AB45,3)</f>
        <v>#NUM!</v>
      </c>
      <c r="AC48" s="676" t="e">
        <f ca="1">QUARTILE(AC10:AC45,3)</f>
        <v>#NUM!</v>
      </c>
      <c r="AD48" s="676" t="e">
        <f ca="1">QUARTILE(AD10:AD45,3)</f>
        <v>#NUM!</v>
      </c>
      <c r="AE48" s="673"/>
      <c r="AF48" s="677" t="e">
        <f ca="1">QUARTILE(AF10:AF45,3)</f>
        <v>#NAME?</v>
      </c>
      <c r="AG48" s="678" t="e">
        <f ca="1">QUARTILE(AG10:AG45,3)</f>
        <v>#NAME?</v>
      </c>
    </row>
    <row r="49" spans="2:33" s="642" customFormat="1" ht="12.75" customHeight="1">
      <c r="B49" s="672" t="s">
        <v>48</v>
      </c>
      <c r="C49" s="673"/>
      <c r="D49" s="673"/>
      <c r="E49" s="673"/>
      <c r="F49" s="673"/>
      <c r="G49" s="673"/>
      <c r="H49" s="673"/>
      <c r="I49" s="674" t="e">
        <f ca="1">AVERAGE(I10:I45)</f>
        <v>#NAME?</v>
      </c>
      <c r="J49" s="674"/>
      <c r="K49" s="674"/>
      <c r="L49" s="674"/>
      <c r="M49" s="673"/>
      <c r="N49" s="674" t="e">
        <f ca="1">AVERAGE(N10:N45)</f>
        <v>#NAME?</v>
      </c>
      <c r="O49" s="674" t="e">
        <f ca="1">AVERAGE(O10:O45)</f>
        <v>#NAME?</v>
      </c>
      <c r="P49" s="674" t="e">
        <f ca="1">AVERAGE(P10:P45)</f>
        <v>#NAME?</v>
      </c>
      <c r="Q49" s="675"/>
      <c r="R49" s="676" t="e">
        <f ca="1">AVERAGE(R10:R45)</f>
        <v>#DIV/0!</v>
      </c>
      <c r="S49" s="676" t="e">
        <f ca="1">AVERAGE(S10:S45)</f>
        <v>#DIV/0!</v>
      </c>
      <c r="T49" s="676" t="e">
        <f ca="1">AVERAGE(T10:T45)</f>
        <v>#DIV/0!</v>
      </c>
      <c r="U49" s="676" t="e">
        <f ca="1">AVERAGE(U10:U45)</f>
        <v>#NAME?</v>
      </c>
      <c r="V49" s="676" t="e">
        <f ca="1">AVERAGE(V10:V45)</f>
        <v>#NAME?</v>
      </c>
      <c r="W49" s="673"/>
      <c r="X49" s="674" t="e">
        <f ca="1">AVERAGE(X10:X45)</f>
        <v>#NAME?</v>
      </c>
      <c r="Y49" s="674" t="e">
        <f ca="1">AVERAGE(Y10:Y45)</f>
        <v>#NAME?</v>
      </c>
      <c r="Z49" s="674" t="e">
        <f ca="1">AVERAGE(Z10:Z45)</f>
        <v>#NAME?</v>
      </c>
      <c r="AA49" s="673"/>
      <c r="AB49" s="676" t="e">
        <f ca="1">AVERAGE(AB10:AB45)</f>
        <v>#DIV/0!</v>
      </c>
      <c r="AC49" s="676" t="e">
        <f ca="1">AVERAGE(AC10:AC45)</f>
        <v>#DIV/0!</v>
      </c>
      <c r="AD49" s="676" t="e">
        <f ca="1">AVERAGE(AD10:AD45)</f>
        <v>#DIV/0!</v>
      </c>
      <c r="AE49" s="673"/>
      <c r="AF49" s="677" t="e">
        <f ca="1">AVERAGE(AF10:AF45)</f>
        <v>#NAME?</v>
      </c>
      <c r="AG49" s="678" t="e">
        <f ca="1">AVERAGE(AG10:AG45)</f>
        <v>#NAME?</v>
      </c>
    </row>
    <row r="50" spans="2:33" s="642" customFormat="1" ht="12.75" customHeight="1">
      <c r="B50" s="672" t="s">
        <v>3</v>
      </c>
      <c r="C50" s="673"/>
      <c r="D50" s="673"/>
      <c r="E50" s="673"/>
      <c r="F50" s="673"/>
      <c r="G50" s="673"/>
      <c r="H50" s="673"/>
      <c r="I50" s="674" t="e">
        <f ca="1">MEDIAN(I10:I45)</f>
        <v>#NAME?</v>
      </c>
      <c r="J50" s="674"/>
      <c r="K50" s="674"/>
      <c r="L50" s="674"/>
      <c r="M50" s="673"/>
      <c r="N50" s="674" t="e">
        <f ca="1">MEDIAN(N10:N45)</f>
        <v>#NAME?</v>
      </c>
      <c r="O50" s="674" t="e">
        <f ca="1">MEDIAN(O10:O45)</f>
        <v>#NAME?</v>
      </c>
      <c r="P50" s="674" t="e">
        <f ca="1">MEDIAN(P10:P45)</f>
        <v>#NAME?</v>
      </c>
      <c r="Q50" s="675"/>
      <c r="R50" s="676" t="e">
        <f ca="1">MEDIAN(R10:R45)</f>
        <v>#NUM!</v>
      </c>
      <c r="S50" s="676" t="e">
        <f ca="1">MEDIAN(S10:S45)</f>
        <v>#NUM!</v>
      </c>
      <c r="T50" s="676" t="e">
        <f ca="1">MEDIAN(T10:T45)</f>
        <v>#NUM!</v>
      </c>
      <c r="U50" s="676" t="e">
        <f ca="1">MEDIAN(U10:U45)</f>
        <v>#NAME?</v>
      </c>
      <c r="V50" s="676" t="e">
        <f ca="1">MEDIAN(V10:V45)</f>
        <v>#NAME?</v>
      </c>
      <c r="W50" s="673"/>
      <c r="X50" s="674" t="e">
        <f ca="1">MEDIAN(X10:X45)</f>
        <v>#NAME?</v>
      </c>
      <c r="Y50" s="674" t="e">
        <f ca="1">MEDIAN(Y10:Y45)</f>
        <v>#NAME?</v>
      </c>
      <c r="Z50" s="674" t="e">
        <f ca="1">MEDIAN(Z10:Z45)</f>
        <v>#NAME?</v>
      </c>
      <c r="AA50" s="673"/>
      <c r="AB50" s="676" t="e">
        <f ca="1">MEDIAN(AB10:AB45)</f>
        <v>#NUM!</v>
      </c>
      <c r="AC50" s="676" t="e">
        <f ca="1">MEDIAN(AC10:AC45)</f>
        <v>#NUM!</v>
      </c>
      <c r="AD50" s="676" t="e">
        <f ca="1">MEDIAN(AD10:AD45)</f>
        <v>#NUM!</v>
      </c>
      <c r="AE50" s="673"/>
      <c r="AF50" s="677" t="e">
        <f ca="1">MEDIAN(AF10:AF45)</f>
        <v>#NAME?</v>
      </c>
      <c r="AG50" s="678" t="e">
        <f ca="1">MEDIAN(AG10:AG45)</f>
        <v>#NAME?</v>
      </c>
    </row>
    <row r="51" spans="2:33" s="642" customFormat="1" ht="12.75" customHeight="1">
      <c r="B51" s="672" t="s">
        <v>49</v>
      </c>
      <c r="C51" s="673"/>
      <c r="D51" s="673"/>
      <c r="E51" s="673"/>
      <c r="F51" s="673"/>
      <c r="G51" s="673"/>
      <c r="H51" s="673"/>
      <c r="I51" s="674" t="e">
        <f ca="1">QUARTILE(I10:I45,1)</f>
        <v>#NAME?</v>
      </c>
      <c r="J51" s="674"/>
      <c r="K51" s="674"/>
      <c r="L51" s="674"/>
      <c r="M51" s="673"/>
      <c r="N51" s="674" t="e">
        <f ca="1">QUARTILE(N10:N45,1)</f>
        <v>#NAME?</v>
      </c>
      <c r="O51" s="674" t="e">
        <f ca="1">QUARTILE(O10:O45,1)</f>
        <v>#NAME?</v>
      </c>
      <c r="P51" s="674" t="e">
        <f ca="1">QUARTILE(P10:P45,1)</f>
        <v>#NAME?</v>
      </c>
      <c r="Q51" s="675"/>
      <c r="R51" s="676" t="e">
        <f ca="1">QUARTILE(R10:R45,1)</f>
        <v>#NUM!</v>
      </c>
      <c r="S51" s="676" t="e">
        <f ca="1">QUARTILE(S10:S45,1)</f>
        <v>#NUM!</v>
      </c>
      <c r="T51" s="676" t="e">
        <f ca="1">QUARTILE(T10:T45,1)</f>
        <v>#NUM!</v>
      </c>
      <c r="U51" s="676" t="e">
        <f ca="1">QUARTILE(U10:U45,1)</f>
        <v>#NAME?</v>
      </c>
      <c r="V51" s="676" t="e">
        <f ca="1">QUARTILE(V10:V45,1)</f>
        <v>#NAME?</v>
      </c>
      <c r="W51" s="673"/>
      <c r="X51" s="674" t="e">
        <f ca="1">QUARTILE(X10:X45,1)</f>
        <v>#NAME?</v>
      </c>
      <c r="Y51" s="674" t="e">
        <f ca="1">QUARTILE(Y10:Y45,1)</f>
        <v>#NAME?</v>
      </c>
      <c r="Z51" s="674" t="e">
        <f ca="1">QUARTILE(Z10:Z45,1)</f>
        <v>#NAME?</v>
      </c>
      <c r="AA51" s="673"/>
      <c r="AB51" s="676" t="e">
        <f ca="1">QUARTILE(AB10:AB45,1)</f>
        <v>#NUM!</v>
      </c>
      <c r="AC51" s="676" t="e">
        <f ca="1">QUARTILE(AC10:AC45,1)</f>
        <v>#NUM!</v>
      </c>
      <c r="AD51" s="676" t="e">
        <f ca="1">QUARTILE(AD10:AD45,1)</f>
        <v>#NUM!</v>
      </c>
      <c r="AE51" s="673"/>
      <c r="AF51" s="677" t="e">
        <f ca="1">QUARTILE(AF10:AF45,1)</f>
        <v>#NAME?</v>
      </c>
      <c r="AG51" s="678" t="e">
        <f ca="1">QUARTILE(AG10:AG45,1)</f>
        <v>#NAME?</v>
      </c>
    </row>
    <row r="52" spans="2:33" s="642" customFormat="1" ht="12.75" customHeight="1">
      <c r="B52" s="679" t="s">
        <v>47</v>
      </c>
      <c r="C52" s="680"/>
      <c r="D52" s="680"/>
      <c r="E52" s="680"/>
      <c r="F52" s="680"/>
      <c r="G52" s="680"/>
      <c r="H52" s="680"/>
      <c r="I52" s="681" t="e">
        <f ca="1">MIN(I10:I45)</f>
        <v>#NAME?</v>
      </c>
      <c r="J52" s="681"/>
      <c r="K52" s="681"/>
      <c r="L52" s="681"/>
      <c r="M52" s="680"/>
      <c r="N52" s="681" t="e">
        <f ca="1">MIN(N10:N45)</f>
        <v>#NAME?</v>
      </c>
      <c r="O52" s="681" t="e">
        <f ca="1">MIN(O10:O45)</f>
        <v>#NAME?</v>
      </c>
      <c r="P52" s="681" t="e">
        <f ca="1">MIN(P10:P45)</f>
        <v>#NAME?</v>
      </c>
      <c r="Q52" s="682"/>
      <c r="R52" s="683">
        <f ca="1">MIN(R10:R45)</f>
        <v>0</v>
      </c>
      <c r="S52" s="683">
        <f ca="1">MIN(S10:S45)</f>
        <v>0</v>
      </c>
      <c r="T52" s="683">
        <f ca="1">MIN(T10:T45)</f>
        <v>0</v>
      </c>
      <c r="U52" s="683" t="e">
        <f ca="1">MIN(U10:U45)</f>
        <v>#NAME?</v>
      </c>
      <c r="V52" s="683" t="e">
        <f ca="1">MIN(V10:V45)</f>
        <v>#NAME?</v>
      </c>
      <c r="W52" s="680"/>
      <c r="X52" s="681" t="e">
        <f ca="1">MIN(X10:X45)</f>
        <v>#NAME?</v>
      </c>
      <c r="Y52" s="681" t="e">
        <f ca="1">MIN(Y10:Y45)</f>
        <v>#NAME?</v>
      </c>
      <c r="Z52" s="681" t="e">
        <f ca="1">MIN(Z10:Z45)</f>
        <v>#NAME?</v>
      </c>
      <c r="AA52" s="680"/>
      <c r="AB52" s="683">
        <f ca="1">MIN(AB10:AB45)</f>
        <v>0</v>
      </c>
      <c r="AC52" s="683">
        <f ca="1">MIN(AC10:AC45)</f>
        <v>0</v>
      </c>
      <c r="AD52" s="683">
        <f ca="1">MIN(AD10:AD45)</f>
        <v>0</v>
      </c>
      <c r="AE52" s="680"/>
      <c r="AF52" s="684" t="e">
        <f ca="1">MIN(AF10:AF45)</f>
        <v>#NAME?</v>
      </c>
      <c r="AG52" s="685" t="e">
        <f ca="1">MIN(AG10:AG45)</f>
        <v>#NAME?</v>
      </c>
    </row>
    <row r="53" spans="2:33" s="642" customFormat="1" ht="12.75" customHeight="1"/>
    <row r="54" spans="2:33" s="642" customFormat="1" ht="12.75" customHeight="1"/>
    <row r="55" spans="2:33" s="642" customFormat="1" ht="12.75" customHeight="1">
      <c r="B55" s="686" t="s">
        <v>51</v>
      </c>
    </row>
    <row r="56" spans="2:33" s="642" customFormat="1" ht="12.75" customHeight="1"/>
    <row r="57" spans="2:33" s="642" customFormat="1" ht="12.75" customHeight="1"/>
  </sheetData>
  <conditionalFormatting sqref="AG4">
    <cfRule type="cellIs" dxfId="70" priority="1" stopIfTrue="1" operator="equal">
      <formula>"input"</formula>
    </cfRule>
  </conditionalFormatting>
  <conditionalFormatting sqref="R4">
    <cfRule type="cellIs" dxfId="69" priority="5" stopIfTrue="1" operator="equal">
      <formula>"input"</formula>
    </cfRule>
  </conditionalFormatting>
  <conditionalFormatting sqref="B4:M4">
    <cfRule type="cellIs" dxfId="68" priority="11" stopIfTrue="1" operator="equal">
      <formula>"input"</formula>
    </cfRule>
  </conditionalFormatting>
  <conditionalFormatting sqref="N4">
    <cfRule type="cellIs" dxfId="67" priority="9" stopIfTrue="1" operator="equal">
      <formula>"input"</formula>
    </cfRule>
  </conditionalFormatting>
  <conditionalFormatting sqref="N4">
    <cfRule type="cellIs" dxfId="66" priority="10" stopIfTrue="1" operator="equal">
      <formula>"input"</formula>
    </cfRule>
  </conditionalFormatting>
  <conditionalFormatting sqref="O4:Q4">
    <cfRule type="cellIs" dxfId="65" priority="7" stopIfTrue="1" operator="equal">
      <formula>"input"</formula>
    </cfRule>
  </conditionalFormatting>
  <conditionalFormatting sqref="O4:Q4">
    <cfRule type="cellIs" dxfId="64" priority="8" stopIfTrue="1" operator="equal">
      <formula>"input"</formula>
    </cfRule>
  </conditionalFormatting>
  <conditionalFormatting sqref="R4">
    <cfRule type="cellIs" dxfId="63" priority="6" stopIfTrue="1" operator="equal">
      <formula>"input"</formula>
    </cfRule>
  </conditionalFormatting>
  <conditionalFormatting sqref="S4:AF4">
    <cfRule type="cellIs" dxfId="62" priority="3" stopIfTrue="1" operator="equal">
      <formula>"input"</formula>
    </cfRule>
  </conditionalFormatting>
  <conditionalFormatting sqref="S4:AF4">
    <cfRule type="cellIs" dxfId="61" priority="4" stopIfTrue="1" operator="equal">
      <formula>"input"</formula>
    </cfRule>
  </conditionalFormatting>
  <conditionalFormatting sqref="AG4">
    <cfRule type="cellIs" dxfId="60"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1"/>
  </sheetPr>
  <dimension ref="A1"/>
  <sheetViews>
    <sheetView showGridLines="0" workbookViewId="0"/>
  </sheetViews>
  <sheetFormatPr defaultRowHeight="12.75"/>
  <cols>
    <col min="1" max="16384" width="9.33203125" style="385"/>
  </cols>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2:E47"/>
  <sheetViews>
    <sheetView showGridLines="0" topLeftCell="A10" workbookViewId="0">
      <selection activeCell="B28" sqref="B28"/>
    </sheetView>
  </sheetViews>
  <sheetFormatPr defaultRowHeight="12.75"/>
  <cols>
    <col min="1" max="1" width="2.83203125" style="385" customWidth="1"/>
    <col min="2" max="2" width="18.1640625" style="385" bestFit="1" customWidth="1"/>
    <col min="3" max="3" width="23.1640625" style="385" bestFit="1" customWidth="1"/>
    <col min="4" max="4" width="18.33203125" style="385" bestFit="1" customWidth="1"/>
    <col min="5" max="5" width="20.5" style="385" bestFit="1" customWidth="1"/>
    <col min="6" max="16384" width="9.33203125" style="385"/>
  </cols>
  <sheetData>
    <row r="2" spans="2:5">
      <c r="B2" s="1" t="s">
        <v>349</v>
      </c>
      <c r="C2" s="1" t="s">
        <v>209</v>
      </c>
      <c r="D2" s="1" t="s">
        <v>365</v>
      </c>
      <c r="E2" s="1" t="s">
        <v>366</v>
      </c>
    </row>
    <row r="3" spans="2:5">
      <c r="B3" s="385" t="s">
        <v>361</v>
      </c>
      <c r="C3" s="385" t="s">
        <v>363</v>
      </c>
      <c r="D3" s="385" t="s">
        <v>367</v>
      </c>
      <c r="E3" s="385" t="s">
        <v>369</v>
      </c>
    </row>
    <row r="4" spans="2:5">
      <c r="B4" s="385" t="s">
        <v>320</v>
      </c>
      <c r="C4" s="385" t="s">
        <v>211</v>
      </c>
      <c r="D4" s="385" t="s">
        <v>368</v>
      </c>
      <c r="E4" s="385" t="s">
        <v>370</v>
      </c>
    </row>
    <row r="5" spans="2:5">
      <c r="B5" s="385" t="s">
        <v>119</v>
      </c>
      <c r="C5" s="385" t="s">
        <v>1</v>
      </c>
      <c r="E5" s="385" t="s">
        <v>371</v>
      </c>
    </row>
    <row r="6" spans="2:5">
      <c r="B6" s="385" t="s">
        <v>321</v>
      </c>
    </row>
    <row r="7" spans="2:5">
      <c r="B7" s="385" t="s">
        <v>322</v>
      </c>
    </row>
    <row r="8" spans="2:5">
      <c r="B8" s="385" t="s">
        <v>324</v>
      </c>
    </row>
    <row r="9" spans="2:5">
      <c r="B9" s="385" t="s">
        <v>323</v>
      </c>
    </row>
    <row r="10" spans="2:5">
      <c r="B10" s="385" t="s">
        <v>350</v>
      </c>
    </row>
    <row r="11" spans="2:5">
      <c r="B11" s="293" t="s">
        <v>357</v>
      </c>
    </row>
    <row r="12" spans="2:5">
      <c r="B12" s="293" t="s">
        <v>358</v>
      </c>
    </row>
    <row r="13" spans="2:5">
      <c r="B13" s="293" t="s">
        <v>359</v>
      </c>
    </row>
    <row r="14" spans="2:5">
      <c r="B14" s="293" t="s">
        <v>360</v>
      </c>
    </row>
    <row r="15" spans="2:5">
      <c r="B15" s="385" t="s">
        <v>471</v>
      </c>
    </row>
    <row r="16" spans="2:5">
      <c r="B16" s="385" t="s">
        <v>325</v>
      </c>
    </row>
    <row r="17" spans="2:2">
      <c r="B17" s="385" t="s">
        <v>326</v>
      </c>
    </row>
    <row r="18" spans="2:2">
      <c r="B18" s="385" t="s">
        <v>327</v>
      </c>
    </row>
    <row r="19" spans="2:2">
      <c r="B19" s="385" t="s">
        <v>328</v>
      </c>
    </row>
    <row r="20" spans="2:2">
      <c r="B20" s="385" t="s">
        <v>329</v>
      </c>
    </row>
    <row r="21" spans="2:2">
      <c r="B21" s="385" t="s">
        <v>330</v>
      </c>
    </row>
    <row r="22" spans="2:2">
      <c r="B22" s="385" t="s">
        <v>331</v>
      </c>
    </row>
    <row r="23" spans="2:2">
      <c r="B23" s="385" t="s">
        <v>332</v>
      </c>
    </row>
    <row r="24" spans="2:2">
      <c r="B24" s="385" t="s">
        <v>333</v>
      </c>
    </row>
    <row r="25" spans="2:2">
      <c r="B25" s="385" t="s">
        <v>334</v>
      </c>
    </row>
    <row r="26" spans="2:2">
      <c r="B26" s="385" t="s">
        <v>335</v>
      </c>
    </row>
    <row r="27" spans="2:2">
      <c r="B27" s="385" t="s">
        <v>2264</v>
      </c>
    </row>
    <row r="28" spans="2:2">
      <c r="B28" s="385" t="s">
        <v>2265</v>
      </c>
    </row>
    <row r="29" spans="2:2">
      <c r="B29" s="385" t="s">
        <v>336</v>
      </c>
    </row>
    <row r="30" spans="2:2">
      <c r="B30" s="385" t="s">
        <v>337</v>
      </c>
    </row>
    <row r="31" spans="2:2">
      <c r="B31" s="385" t="s">
        <v>338</v>
      </c>
    </row>
    <row r="32" spans="2:2">
      <c r="B32" s="385" t="s">
        <v>339</v>
      </c>
    </row>
    <row r="33" spans="2:2">
      <c r="B33" s="385" t="s">
        <v>340</v>
      </c>
    </row>
    <row r="34" spans="2:2">
      <c r="B34" s="385" t="s">
        <v>341</v>
      </c>
    </row>
    <row r="35" spans="2:2">
      <c r="B35" s="385" t="s">
        <v>346</v>
      </c>
    </row>
    <row r="36" spans="2:2">
      <c r="B36" s="385" t="s">
        <v>347</v>
      </c>
    </row>
    <row r="37" spans="2:2">
      <c r="B37" s="385" t="s">
        <v>351</v>
      </c>
    </row>
    <row r="38" spans="2:2">
      <c r="B38" s="385" t="s">
        <v>342</v>
      </c>
    </row>
    <row r="39" spans="2:2">
      <c r="B39" s="385" t="s">
        <v>352</v>
      </c>
    </row>
    <row r="40" spans="2:2">
      <c r="B40" s="385" t="s">
        <v>353</v>
      </c>
    </row>
    <row r="41" spans="2:2">
      <c r="B41" s="385" t="s">
        <v>354</v>
      </c>
    </row>
    <row r="42" spans="2:2">
      <c r="B42" s="385" t="s">
        <v>343</v>
      </c>
    </row>
    <row r="43" spans="2:2">
      <c r="B43" s="385" t="s">
        <v>348</v>
      </c>
    </row>
    <row r="44" spans="2:2">
      <c r="B44" s="385" t="s">
        <v>355</v>
      </c>
    </row>
    <row r="45" spans="2:2">
      <c r="B45" s="385" t="s">
        <v>356</v>
      </c>
    </row>
    <row r="46" spans="2:2">
      <c r="B46" s="385" t="s">
        <v>344</v>
      </c>
    </row>
    <row r="47" spans="2:2">
      <c r="B47" s="385" t="s">
        <v>345</v>
      </c>
    </row>
  </sheetData>
  <sortState ref="B3:B46">
    <sortCondition ref="B3:B46"/>
  </sortState>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H24"/>
  <sheetViews>
    <sheetView showGridLines="0" workbookViewId="0"/>
  </sheetViews>
  <sheetFormatPr defaultRowHeight="12.75"/>
  <cols>
    <col min="1" max="1" width="9.33203125" style="385"/>
    <col min="2" max="2" width="5.33203125" style="385" customWidth="1"/>
    <col min="3" max="3" width="34.5" style="385" bestFit="1" customWidth="1"/>
    <col min="4" max="4" width="9.33203125" style="169"/>
    <col min="5" max="16384" width="9.33203125" style="385"/>
  </cols>
  <sheetData>
    <row r="5" spans="1:5">
      <c r="B5" s="385" t="s">
        <v>381</v>
      </c>
    </row>
    <row r="7" spans="1:5">
      <c r="A7" s="385" t="s">
        <v>79</v>
      </c>
      <c r="B7" s="391">
        <v>1</v>
      </c>
      <c r="C7" s="385" t="s">
        <v>382</v>
      </c>
      <c r="D7" s="169" t="s">
        <v>426</v>
      </c>
    </row>
    <row r="8" spans="1:5">
      <c r="A8" s="385" t="s">
        <v>79</v>
      </c>
      <c r="B8" s="391">
        <f t="shared" ref="B8:B13" si="0">+B7+1</f>
        <v>2</v>
      </c>
      <c r="C8" s="385" t="s">
        <v>383</v>
      </c>
      <c r="D8" s="169" t="s">
        <v>426</v>
      </c>
    </row>
    <row r="9" spans="1:5">
      <c r="A9" s="385" t="s">
        <v>79</v>
      </c>
      <c r="B9" s="391">
        <f t="shared" si="0"/>
        <v>3</v>
      </c>
      <c r="C9" s="385" t="s">
        <v>384</v>
      </c>
      <c r="D9" s="169" t="s">
        <v>426</v>
      </c>
    </row>
    <row r="10" spans="1:5">
      <c r="A10" s="385" t="s">
        <v>79</v>
      </c>
      <c r="B10" s="391">
        <f t="shared" si="0"/>
        <v>4</v>
      </c>
      <c r="C10" s="385" t="s">
        <v>402</v>
      </c>
      <c r="D10" s="169" t="s">
        <v>426</v>
      </c>
    </row>
    <row r="11" spans="1:5">
      <c r="A11" s="385" t="s">
        <v>396</v>
      </c>
      <c r="B11" s="391">
        <f t="shared" si="0"/>
        <v>5</v>
      </c>
      <c r="C11" s="385" t="s">
        <v>397</v>
      </c>
      <c r="D11" s="169" t="s">
        <v>426</v>
      </c>
    </row>
    <row r="12" spans="1:5">
      <c r="A12" s="385" t="s">
        <v>396</v>
      </c>
      <c r="B12" s="391">
        <f t="shared" si="0"/>
        <v>6</v>
      </c>
      <c r="C12" s="385" t="s">
        <v>398</v>
      </c>
      <c r="D12" s="169" t="s">
        <v>426</v>
      </c>
    </row>
    <row r="13" spans="1:5">
      <c r="A13" s="385" t="s">
        <v>399</v>
      </c>
      <c r="B13" s="391">
        <f t="shared" si="0"/>
        <v>7</v>
      </c>
      <c r="C13" s="385" t="s">
        <v>400</v>
      </c>
      <c r="D13" s="169" t="s">
        <v>426</v>
      </c>
      <c r="E13" s="385" t="s">
        <v>432</v>
      </c>
    </row>
    <row r="14" spans="1:5">
      <c r="A14" s="385" t="s">
        <v>401</v>
      </c>
      <c r="B14" s="391">
        <f t="shared" ref="B14:B22" si="1">+B13+1</f>
        <v>8</v>
      </c>
      <c r="C14" s="385" t="s">
        <v>397</v>
      </c>
      <c r="D14" s="169" t="s">
        <v>426</v>
      </c>
    </row>
    <row r="15" spans="1:5">
      <c r="A15" s="385" t="s">
        <v>401</v>
      </c>
      <c r="B15" s="391">
        <f t="shared" si="1"/>
        <v>9</v>
      </c>
      <c r="C15" s="385" t="s">
        <v>398</v>
      </c>
      <c r="D15" s="169" t="s">
        <v>426</v>
      </c>
    </row>
    <row r="16" spans="1:5">
      <c r="A16" s="385" t="s">
        <v>403</v>
      </c>
      <c r="B16" s="391">
        <f t="shared" si="1"/>
        <v>10</v>
      </c>
      <c r="C16" s="385" t="s">
        <v>404</v>
      </c>
    </row>
    <row r="17" spans="1:8">
      <c r="A17" s="385" t="s">
        <v>9</v>
      </c>
      <c r="B17" s="391">
        <f t="shared" si="1"/>
        <v>11</v>
      </c>
      <c r="C17" s="385" t="s">
        <v>405</v>
      </c>
    </row>
    <row r="18" spans="1:8">
      <c r="A18" s="385" t="s">
        <v>401</v>
      </c>
      <c r="B18" s="391">
        <f t="shared" si="1"/>
        <v>12</v>
      </c>
      <c r="C18" s="385" t="s">
        <v>433</v>
      </c>
      <c r="E18" s="385" t="s">
        <v>434</v>
      </c>
    </row>
    <row r="19" spans="1:8">
      <c r="B19" s="391">
        <f t="shared" si="1"/>
        <v>13</v>
      </c>
      <c r="C19" s="385" t="s">
        <v>461</v>
      </c>
      <c r="D19" s="169" t="s">
        <v>463</v>
      </c>
      <c r="G19" s="1" t="s">
        <v>426</v>
      </c>
    </row>
    <row r="20" spans="1:8">
      <c r="B20" s="391">
        <f t="shared" si="1"/>
        <v>14</v>
      </c>
      <c r="C20" s="385" t="s">
        <v>462</v>
      </c>
      <c r="D20" s="169" t="s">
        <v>463</v>
      </c>
      <c r="G20" s="1" t="s">
        <v>426</v>
      </c>
    </row>
    <row r="21" spans="1:8">
      <c r="B21" s="391">
        <f t="shared" si="1"/>
        <v>15</v>
      </c>
      <c r="C21" s="385" t="s">
        <v>464</v>
      </c>
      <c r="D21" s="169" t="s">
        <v>463</v>
      </c>
      <c r="G21" s="1" t="s">
        <v>426</v>
      </c>
      <c r="H21" s="385" t="s">
        <v>467</v>
      </c>
    </row>
    <row r="22" spans="1:8">
      <c r="B22" s="391">
        <f t="shared" si="1"/>
        <v>16</v>
      </c>
      <c r="C22" s="385" t="s">
        <v>465</v>
      </c>
      <c r="D22" s="169" t="s">
        <v>463</v>
      </c>
    </row>
    <row r="23" spans="1:8">
      <c r="C23" s="385" t="s">
        <v>466</v>
      </c>
      <c r="D23" s="169" t="s">
        <v>463</v>
      </c>
      <c r="G23" s="1" t="s">
        <v>426</v>
      </c>
      <c r="H23" s="385" t="s">
        <v>468</v>
      </c>
    </row>
    <row r="24" spans="1:8">
      <c r="C24" s="385" t="s">
        <v>469</v>
      </c>
      <c r="D24" s="169" t="s">
        <v>463</v>
      </c>
      <c r="G24" s="1" t="s">
        <v>426</v>
      </c>
    </row>
  </sheetData>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T132"/>
  <sheetViews>
    <sheetView showGridLines="0" view="pageBreakPreview" topLeftCell="C10" zoomScale="90" zoomScaleNormal="85" zoomScaleSheetLayoutView="90" workbookViewId="0">
      <selection activeCell="D10" sqref="D10"/>
    </sheetView>
  </sheetViews>
  <sheetFormatPr defaultRowHeight="12.75" outlineLevelRow="1"/>
  <cols>
    <col min="1" max="1" width="4.5" style="385" customWidth="1"/>
    <col min="2" max="2" width="49.1640625" style="385" customWidth="1"/>
    <col min="3" max="3" width="2.83203125" style="385" customWidth="1"/>
    <col min="4" max="11" width="18.83203125" style="385" customWidth="1"/>
    <col min="12" max="12" width="4.5" style="385" customWidth="1"/>
    <col min="13" max="13" width="12.33203125" style="385" bestFit="1" customWidth="1"/>
    <col min="14" max="14" width="1.83203125" style="385" customWidth="1"/>
    <col min="15" max="15" width="21.83203125" style="169" customWidth="1"/>
    <col min="16" max="16" width="12.5" style="385" customWidth="1"/>
    <col min="17" max="17" width="15.5" style="385" customWidth="1"/>
    <col min="18" max="18" width="12.83203125" style="385" customWidth="1"/>
    <col min="19" max="19" width="12.6640625" style="385" customWidth="1"/>
    <col min="20" max="16384" width="9.33203125" style="385"/>
  </cols>
  <sheetData>
    <row r="1" spans="2:20" ht="10.7" customHeight="1" thickBot="1"/>
    <row r="2" spans="2:20" ht="16.5" customHeight="1" thickTop="1">
      <c r="B2" s="10" t="str">
        <f>'MASTER PubCo Inputs'!$C$5</f>
        <v>Pliant Therapeutics, Inc.</v>
      </c>
      <c r="C2" s="10"/>
      <c r="D2" s="10"/>
      <c r="E2" s="10"/>
      <c r="F2" s="10"/>
      <c r="G2" s="10"/>
      <c r="H2" s="10"/>
      <c r="I2" s="10"/>
      <c r="J2" s="10"/>
      <c r="K2" s="10"/>
    </row>
    <row r="3" spans="2:20" ht="15.75" customHeight="1">
      <c r="B3" s="11" t="e">
        <f>VLOOKUP(B4,Outline!$E$8:$G$69,COLUMNS(Outline!$E$8:$G$8),FALSE)</f>
        <v>#N/A</v>
      </c>
      <c r="C3" s="11"/>
      <c r="D3" s="11"/>
      <c r="E3" s="11"/>
      <c r="F3" s="11"/>
      <c r="G3" s="11"/>
      <c r="H3" s="11"/>
      <c r="I3" s="11"/>
      <c r="J3" s="11"/>
      <c r="K3" s="11"/>
    </row>
    <row r="4" spans="2:20" ht="16.5" customHeight="1" thickBot="1">
      <c r="B4" s="12" t="s">
        <v>439</v>
      </c>
      <c r="C4" s="12"/>
      <c r="D4" s="12"/>
      <c r="E4" s="12"/>
      <c r="F4" s="12"/>
      <c r="G4" s="12"/>
      <c r="H4" s="12"/>
      <c r="I4" s="12"/>
      <c r="J4" s="13"/>
      <c r="K4" s="13" t="str">
        <f>+'MASTER PubCo Inputs'!$C$20</f>
        <v>(in thousands of USD and shares, except price per share)</v>
      </c>
      <c r="O4" s="169" t="s">
        <v>2294</v>
      </c>
    </row>
    <row r="5" spans="2:20" s="16" customFormat="1" ht="12.75" customHeight="1" thickTop="1">
      <c r="B5" s="385"/>
      <c r="C5" s="385"/>
      <c r="D5" s="385"/>
      <c r="E5" s="385"/>
      <c r="F5" s="385"/>
      <c r="G5" s="385"/>
      <c r="H5" s="385"/>
      <c r="I5" s="385"/>
      <c r="J5" s="385"/>
      <c r="K5" s="385"/>
      <c r="L5" s="385"/>
      <c r="M5" s="385"/>
      <c r="O5" s="292"/>
      <c r="P5" s="344" t="s">
        <v>737</v>
      </c>
      <c r="Q5" s="344" t="s">
        <v>2295</v>
      </c>
      <c r="R5" s="344" t="s">
        <v>2296</v>
      </c>
      <c r="S5" s="344" t="s">
        <v>2285</v>
      </c>
      <c r="T5" s="344" t="s">
        <v>2285</v>
      </c>
    </row>
    <row r="6" spans="2:20" s="16" customFormat="1" ht="12.75" customHeight="1">
      <c r="B6" s="385"/>
      <c r="C6" s="385"/>
      <c r="D6" s="385"/>
      <c r="E6" s="385"/>
      <c r="F6" s="385"/>
      <c r="G6" s="385"/>
      <c r="H6" s="385"/>
      <c r="I6" s="385"/>
      <c r="J6" s="385"/>
      <c r="K6" s="385"/>
      <c r="L6" s="385"/>
      <c r="O6" s="1697" t="s">
        <v>2297</v>
      </c>
      <c r="P6" s="1703">
        <f>PWERM_2!D13</f>
        <v>1.4191780821917808</v>
      </c>
      <c r="Q6" s="1703">
        <f>PWERM_2!E13</f>
        <v>2.9178082191780823</v>
      </c>
      <c r="R6" s="1703">
        <f>PWERM_2!F13</f>
        <v>2.9178082191780823</v>
      </c>
      <c r="S6" s="1703">
        <f>PWERM_2!G13</f>
        <v>1.4191780821917808</v>
      </c>
      <c r="T6" s="1703">
        <f>PWERM_2!H13</f>
        <v>2.9178082191780823</v>
      </c>
    </row>
    <row r="7" spans="2:20" ht="12.75" customHeight="1">
      <c r="B7" s="73" t="s">
        <v>218</v>
      </c>
      <c r="C7" s="154"/>
      <c r="D7" s="154"/>
      <c r="E7" s="1010" t="s">
        <v>5</v>
      </c>
      <c r="F7" s="154"/>
      <c r="G7" s="154"/>
      <c r="H7" s="154"/>
      <c r="I7" s="154"/>
      <c r="J7" s="154"/>
      <c r="K7" s="2025"/>
      <c r="O7" s="17" t="s">
        <v>419</v>
      </c>
      <c r="P7" s="1704">
        <f t="array" ref="P7:T7">TRANSPOSE('Exit Probability'!I43:I47)</f>
        <v>6.5000000000000002E-2</v>
      </c>
      <c r="Q7" s="1704">
        <v>8.6506874999999997E-2</v>
      </c>
      <c r="R7" s="1704">
        <v>0.54615437499999997</v>
      </c>
      <c r="S7" s="1704">
        <v>0.10500000000000001</v>
      </c>
      <c r="T7" s="1704">
        <v>0.19733875000000001</v>
      </c>
    </row>
    <row r="8" spans="2:20" s="20" customFormat="1" ht="12.75" customHeight="1">
      <c r="B8" s="48"/>
      <c r="C8" s="48"/>
      <c r="D8" s="48"/>
      <c r="E8" s="48"/>
      <c r="F8" s="48"/>
      <c r="G8" s="48"/>
      <c r="H8" s="48"/>
      <c r="I8" s="48"/>
      <c r="J8" s="48"/>
      <c r="K8" s="48"/>
      <c r="O8" s="1700" t="s">
        <v>2298</v>
      </c>
      <c r="P8" s="1699">
        <f>SUMPRODUCT(P6:T6,P7:T7)</f>
        <v>2.6630410958904109</v>
      </c>
    </row>
    <row r="9" spans="2:20" ht="12.75" customHeight="1">
      <c r="B9" s="385" t="s">
        <v>216</v>
      </c>
      <c r="C9" s="155"/>
      <c r="D9" s="790">
        <f>'OPM 2'!P7</f>
        <v>130627.93102519032</v>
      </c>
      <c r="E9" s="1009" t="s">
        <v>1474</v>
      </c>
      <c r="P9" s="177">
        <f>P7/SUM($P$7:$R$7)</f>
        <v>9.3168425220692727E-2</v>
      </c>
      <c r="Q9" s="177">
        <f t="shared" ref="Q9:R9" si="0">Q7/SUM($P$7:$R$7)</f>
        <v>0.12399552791558942</v>
      </c>
      <c r="R9" s="177">
        <f t="shared" si="0"/>
        <v>0.78283604686371799</v>
      </c>
    </row>
    <row r="10" spans="2:20" ht="12.75" customHeight="1">
      <c r="B10" s="385" t="s">
        <v>217</v>
      </c>
      <c r="D10" s="156">
        <f>'Hybrid OPM 1'!D10</f>
        <v>2.6630410958904109</v>
      </c>
      <c r="E10" s="1009" t="s">
        <v>2482</v>
      </c>
      <c r="P10" s="1699">
        <f>SUMPRODUCT(P9:R9,P6:R6)</f>
        <v>2.778183209326798</v>
      </c>
    </row>
    <row r="11" spans="2:20" ht="12.75" customHeight="1">
      <c r="B11" s="20" t="s">
        <v>9</v>
      </c>
      <c r="C11" s="157"/>
      <c r="D11" s="430">
        <f>'Asset Vol_OPM'!Q48</f>
        <v>0.74</v>
      </c>
      <c r="E11" s="1009" t="e">
        <f>'Asset Vol_OPM'!B3</f>
        <v>#N/A</v>
      </c>
      <c r="G11" s="50"/>
    </row>
    <row r="12" spans="2:20" ht="12.75" customHeight="1">
      <c r="B12" s="385" t="s">
        <v>7</v>
      </c>
      <c r="C12" s="157"/>
      <c r="D12" s="432">
        <f>'Hybrid OPM 1'!D12</f>
        <v>2.7329345205479451E-2</v>
      </c>
      <c r="E12" s="1009" t="str">
        <f>'Risk-Free Rates'!B3</f>
        <v>Exhibit H.6</v>
      </c>
      <c r="G12" s="50"/>
    </row>
    <row r="13" spans="2:20" ht="12.75" customHeight="1">
      <c r="B13" s="385" t="s">
        <v>8</v>
      </c>
      <c r="D13" s="158">
        <v>0</v>
      </c>
      <c r="E13" s="1009" t="s">
        <v>1473</v>
      </c>
      <c r="G13" s="50"/>
    </row>
    <row r="14" spans="2:20" ht="12.75" customHeight="1">
      <c r="D14" s="901"/>
      <c r="E14" s="74"/>
      <c r="F14" s="74"/>
      <c r="G14" s="50"/>
    </row>
    <row r="15" spans="2:20" ht="12.75" customHeight="1">
      <c r="D15" s="1878">
        <v>1</v>
      </c>
      <c r="E15" s="1879">
        <f>D15+1</f>
        <v>2</v>
      </c>
      <c r="F15" s="1879">
        <f t="shared" ref="F15:I15" si="1">E15+1</f>
        <v>3</v>
      </c>
      <c r="G15" s="1879">
        <f t="shared" si="1"/>
        <v>4</v>
      </c>
      <c r="H15" s="1879">
        <f t="shared" si="1"/>
        <v>5</v>
      </c>
      <c r="I15" s="1879">
        <f t="shared" si="1"/>
        <v>6</v>
      </c>
      <c r="J15" s="1879">
        <f t="shared" ref="J15" si="2">I15+1</f>
        <v>7</v>
      </c>
      <c r="K15" s="2023">
        <f t="shared" ref="K15" si="3">J15+1</f>
        <v>8</v>
      </c>
    </row>
    <row r="16" spans="2:20" s="6" customFormat="1" ht="76.5">
      <c r="B16" s="159" t="s">
        <v>219</v>
      </c>
      <c r="D16" s="559" t="str">
        <f t="array" ref="D16:K16">TRANSPOSE('Econ Rights'!I3:I10)</f>
        <v>Series B Receives Liquidation Preference</v>
      </c>
      <c r="E16" s="560" t="str">
        <v xml:space="preserve">Series A Receives Liquidation Preference </v>
      </c>
      <c r="F16" s="560" t="str">
        <v>Common Stock Starts Receiving Value</v>
      </c>
      <c r="G16" s="560" t="str">
        <v>Options at $0.001 Strike Price Exercise</v>
      </c>
      <c r="H16" s="560" t="str">
        <v>Options at $0.010 Strike Price Exercise</v>
      </c>
      <c r="I16" s="560" t="str">
        <v>Expected Options Grant Exercise and Phantom Stock receive cash at $0.290 Strike Price</v>
      </c>
      <c r="J16" s="560" t="str">
        <v>Series A Converts</v>
      </c>
      <c r="K16" s="2024" t="str">
        <v>Series B Converts</v>
      </c>
      <c r="M16" s="114"/>
      <c r="O16" s="298"/>
    </row>
    <row r="17" spans="2:20" ht="12.75" customHeight="1"/>
    <row r="18" spans="2:20" ht="12.75" customHeight="1">
      <c r="B18" s="1" t="s">
        <v>223</v>
      </c>
      <c r="O18" s="342" t="str">
        <f>B18</f>
        <v>Liquidation Preference</v>
      </c>
      <c r="P18" s="342" t="s">
        <v>1908</v>
      </c>
      <c r="Q18" s="342" t="s">
        <v>1909</v>
      </c>
      <c r="R18" s="342" t="s">
        <v>1055</v>
      </c>
      <c r="S18" s="342" t="s">
        <v>164</v>
      </c>
      <c r="T18" s="1" t="s">
        <v>2074</v>
      </c>
    </row>
    <row r="19" spans="2:20" ht="12.75" customHeight="1">
      <c r="B19" s="2" t="str">
        <f>'Cap Table'!$D$6</f>
        <v>Series A</v>
      </c>
      <c r="D19" s="371">
        <v>0</v>
      </c>
      <c r="E19" s="371">
        <f t="shared" ref="E19:K21" si="4">IF(E$37&lt;$T19,$Q19,0)</f>
        <v>73722.095342465749</v>
      </c>
      <c r="F19" s="371">
        <f t="shared" si="4"/>
        <v>73722.095342465749</v>
      </c>
      <c r="G19" s="371">
        <f t="shared" si="4"/>
        <v>73722.095342465749</v>
      </c>
      <c r="H19" s="371">
        <f t="shared" si="4"/>
        <v>73722.095342465749</v>
      </c>
      <c r="I19" s="371">
        <f t="shared" si="4"/>
        <v>73722.095342465749</v>
      </c>
      <c r="J19" s="371">
        <f t="shared" si="4"/>
        <v>0</v>
      </c>
      <c r="K19" s="371">
        <f t="shared" si="4"/>
        <v>0</v>
      </c>
      <c r="M19" s="386"/>
      <c r="O19" s="1701">
        <f>'Econ Rights'!$D$15</f>
        <v>56000</v>
      </c>
      <c r="P19" s="1701">
        <f>'Econ Rights'!P54</f>
        <v>17722.095342465753</v>
      </c>
      <c r="Q19" s="1881">
        <f>O19+P19</f>
        <v>73722.095342465749</v>
      </c>
      <c r="R19" s="1880">
        <f>'Econ Rights'!D11</f>
        <v>1</v>
      </c>
      <c r="S19" s="281">
        <f>'Econ Rights'!D$10</f>
        <v>56000</v>
      </c>
      <c r="T19" s="1880">
        <f t="array" ref="T19:T21">TRANSPOSE('Econ Rights'!D30:F30)</f>
        <v>1.316465988258317</v>
      </c>
    </row>
    <row r="20" spans="2:20" ht="12.75" customHeight="1">
      <c r="B20" s="2" t="s">
        <v>2292</v>
      </c>
      <c r="D20" s="371">
        <f>IF(D$37&lt;$T20,$Q20,0)</f>
        <v>75674.646487711463</v>
      </c>
      <c r="E20" s="371">
        <f t="shared" si="4"/>
        <v>75674.646487711463</v>
      </c>
      <c r="F20" s="371">
        <f t="shared" si="4"/>
        <v>75674.646487711463</v>
      </c>
      <c r="G20" s="371">
        <f t="shared" si="4"/>
        <v>75674.646487711463</v>
      </c>
      <c r="H20" s="371">
        <f t="shared" si="4"/>
        <v>75674.646487711463</v>
      </c>
      <c r="I20" s="371">
        <f t="shared" si="4"/>
        <v>75674.646487711463</v>
      </c>
      <c r="J20" s="371">
        <f t="shared" si="4"/>
        <v>75674.646487711463</v>
      </c>
      <c r="K20" s="371">
        <f t="shared" si="4"/>
        <v>0</v>
      </c>
      <c r="O20" s="1701">
        <f>'Econ Rights'!$E$15</f>
        <v>62148.313044199997</v>
      </c>
      <c r="P20" s="1701">
        <f>'Econ Rights'!$E$27</f>
        <v>13526.333443511461</v>
      </c>
      <c r="Q20" s="1881">
        <f t="shared" ref="Q20:Q21" si="5">O20+P20</f>
        <v>75674.646487711463</v>
      </c>
      <c r="R20" s="1880">
        <f>'Econ Rights'!E11</f>
        <v>1.3767</v>
      </c>
      <c r="S20" s="281">
        <f>'Econ Rights'!E$10</f>
        <v>45142.960008861766</v>
      </c>
      <c r="T20" s="1880">
        <v>1.6732194970168255</v>
      </c>
    </row>
    <row r="21" spans="2:20" ht="12.75" customHeight="1">
      <c r="B21" s="2" t="s">
        <v>2293</v>
      </c>
      <c r="C21" s="371">
        <f>IF(C$37&gt;$R$21,0,$Q$21)</f>
        <v>9402.2502200400486</v>
      </c>
      <c r="D21" s="371">
        <f>IF(D$37&lt;$T21,$Q21,0)</f>
        <v>9402.2502200400486</v>
      </c>
      <c r="E21" s="371">
        <f t="shared" si="4"/>
        <v>9402.2502200400486</v>
      </c>
      <c r="F21" s="371">
        <f t="shared" si="4"/>
        <v>9402.2502200400486</v>
      </c>
      <c r="G21" s="371">
        <f t="shared" si="4"/>
        <v>9402.2502200400486</v>
      </c>
      <c r="H21" s="371">
        <f t="shared" si="4"/>
        <v>9402.2502200400486</v>
      </c>
      <c r="I21" s="371">
        <f t="shared" si="4"/>
        <v>9402.2502200400486</v>
      </c>
      <c r="J21" s="371">
        <f t="shared" si="4"/>
        <v>9402.2502200400486</v>
      </c>
      <c r="K21" s="371">
        <f t="shared" si="4"/>
        <v>0</v>
      </c>
      <c r="O21" s="1701">
        <f>'Econ Rights'!$F$15</f>
        <v>7851.6863021999998</v>
      </c>
      <c r="P21" s="1701">
        <f>'Econ Rights'!$F$27</f>
        <v>1550.5639178400486</v>
      </c>
      <c r="Q21" s="1881">
        <f t="shared" si="5"/>
        <v>9402.2502200400486</v>
      </c>
      <c r="R21" s="1880">
        <f>'Econ Rights'!F11</f>
        <v>1.3767</v>
      </c>
      <c r="S21" s="281">
        <f>'Econ Rights'!F$10</f>
        <v>5703.2659999999996</v>
      </c>
      <c r="T21" s="1880">
        <v>1.6732194970168255</v>
      </c>
    </row>
    <row r="22" spans="2:20" ht="12.75" customHeight="1">
      <c r="B22" s="5"/>
      <c r="C22" s="5"/>
      <c r="D22" s="5"/>
      <c r="E22" s="5"/>
      <c r="F22" s="5"/>
      <c r="G22" s="5"/>
      <c r="H22" s="5"/>
      <c r="I22" s="5"/>
      <c r="J22" s="5"/>
      <c r="K22" s="5"/>
      <c r="O22" s="1702"/>
      <c r="P22" s="391"/>
      <c r="Q22" s="391"/>
      <c r="R22" s="391"/>
      <c r="S22" s="391"/>
    </row>
    <row r="23" spans="2:20" ht="12.75" customHeight="1">
      <c r="B23" s="39" t="s">
        <v>374</v>
      </c>
      <c r="D23" s="36">
        <f t="shared" ref="D23:I23" si="6">SUM(D19:D21)</f>
        <v>85076.896707751512</v>
      </c>
      <c r="E23" s="36">
        <f t="shared" si="6"/>
        <v>158798.99205021723</v>
      </c>
      <c r="F23" s="36">
        <f t="shared" si="6"/>
        <v>158798.99205021723</v>
      </c>
      <c r="G23" s="36">
        <f t="shared" si="6"/>
        <v>158798.99205021723</v>
      </c>
      <c r="H23" s="36">
        <f t="shared" si="6"/>
        <v>158798.99205021723</v>
      </c>
      <c r="I23" s="36">
        <f t="shared" si="6"/>
        <v>158798.99205021723</v>
      </c>
      <c r="J23" s="36">
        <f t="shared" ref="J23:K23" si="7">SUM(J19:J21)</f>
        <v>85076.896707751512</v>
      </c>
      <c r="K23" s="36">
        <f t="shared" si="7"/>
        <v>0</v>
      </c>
      <c r="O23" s="36">
        <f t="shared" ref="O23:Q23" si="8">SUM(O19:O21)</f>
        <v>125999.9993464</v>
      </c>
      <c r="P23" s="36">
        <f t="shared" si="8"/>
        <v>32798.992703817261</v>
      </c>
      <c r="Q23" s="36">
        <f t="shared" si="8"/>
        <v>158798.99205021723</v>
      </c>
    </row>
    <row r="24" spans="2:20" ht="12.75" customHeight="1"/>
    <row r="25" spans="2:20" ht="12.75" customHeight="1">
      <c r="B25" s="77" t="s">
        <v>376</v>
      </c>
      <c r="O25" s="39" t="str">
        <f>+B25</f>
        <v>Shares Outstanding / Converted to Common Stock</v>
      </c>
    </row>
    <row r="26" spans="2:20" ht="12.75" customHeight="1">
      <c r="B26" s="161" t="str">
        <f>+$B19</f>
        <v>Series A</v>
      </c>
      <c r="C26" s="371">
        <f>IF(C19=0,$O26,0)</f>
        <v>56000</v>
      </c>
      <c r="D26" s="371">
        <v>0</v>
      </c>
      <c r="E26" s="371">
        <v>0</v>
      </c>
      <c r="F26" s="371">
        <f t="shared" ref="F26:K28" si="9">IF(F19=0,$O26,0)</f>
        <v>0</v>
      </c>
      <c r="G26" s="371">
        <f t="shared" si="9"/>
        <v>0</v>
      </c>
      <c r="H26" s="371">
        <f t="shared" si="9"/>
        <v>0</v>
      </c>
      <c r="I26" s="371">
        <f t="shared" si="9"/>
        <v>0</v>
      </c>
      <c r="J26" s="371">
        <f t="shared" si="9"/>
        <v>56000</v>
      </c>
      <c r="K26" s="371">
        <f t="shared" si="9"/>
        <v>56000</v>
      </c>
      <c r="O26" s="744">
        <f>+'Cap Table'!$D$10*'Cap Table'!$D$18</f>
        <v>56000</v>
      </c>
    </row>
    <row r="27" spans="2:20" ht="12.75" customHeight="1">
      <c r="B27" s="161" t="str">
        <f>+$B20</f>
        <v>Series B - Tranche I</v>
      </c>
      <c r="C27" s="371">
        <f>IF(C20=0,$O27,0)</f>
        <v>45142.960008861766</v>
      </c>
      <c r="D27" s="371">
        <f>IF(D20=0,$O27,0)</f>
        <v>0</v>
      </c>
      <c r="E27" s="371">
        <f>IF(E20=0,$O27,0)</f>
        <v>0</v>
      </c>
      <c r="F27" s="371">
        <f t="shared" si="9"/>
        <v>0</v>
      </c>
      <c r="G27" s="371">
        <f t="shared" si="9"/>
        <v>0</v>
      </c>
      <c r="H27" s="371">
        <f t="shared" si="9"/>
        <v>0</v>
      </c>
      <c r="I27" s="371">
        <f t="shared" si="9"/>
        <v>0</v>
      </c>
      <c r="J27" s="371">
        <f t="shared" si="9"/>
        <v>0</v>
      </c>
      <c r="K27" s="371">
        <f t="shared" si="9"/>
        <v>45142.960008861766</v>
      </c>
      <c r="O27" s="744">
        <f>'Cap Table'!$E$10*'Cap Table'!$E$18</f>
        <v>45142.960008861766</v>
      </c>
    </row>
    <row r="28" spans="2:20" ht="12.75" customHeight="1">
      <c r="B28" s="161" t="str">
        <f>+$B21</f>
        <v>Series B - Tranche II</v>
      </c>
      <c r="D28" s="371">
        <f>IF(D21=0,$O28,0)</f>
        <v>0</v>
      </c>
      <c r="E28" s="371">
        <f>IF(E21=0,$O28,0)</f>
        <v>0</v>
      </c>
      <c r="F28" s="371">
        <f t="shared" si="9"/>
        <v>0</v>
      </c>
      <c r="G28" s="371">
        <f t="shared" si="9"/>
        <v>0</v>
      </c>
      <c r="H28" s="371">
        <f t="shared" si="9"/>
        <v>0</v>
      </c>
      <c r="I28" s="371">
        <f t="shared" si="9"/>
        <v>0</v>
      </c>
      <c r="J28" s="371">
        <f t="shared" si="9"/>
        <v>0</v>
      </c>
      <c r="K28" s="371">
        <f t="shared" si="9"/>
        <v>5703.2659999999996</v>
      </c>
      <c r="O28" s="744">
        <f>'Cap Table'!$F$10*'Cap Table'!$F$18</f>
        <v>5703.2659999999996</v>
      </c>
      <c r="P28" s="7"/>
    </row>
    <row r="29" spans="2:20" ht="12.75" customHeight="1">
      <c r="B29" s="297" t="str">
        <f>'Cap Table'!$B24</f>
        <v>Options at $0.001 Strike Price</v>
      </c>
      <c r="D29" s="371">
        <f t="shared" ref="D29:K32" si="10">IF(D$37&lt;$P29,0,$O29)</f>
        <v>0</v>
      </c>
      <c r="E29" s="371">
        <f t="shared" si="10"/>
        <v>0</v>
      </c>
      <c r="F29" s="371">
        <f t="shared" si="10"/>
        <v>0</v>
      </c>
      <c r="G29" s="371">
        <f t="shared" si="10"/>
        <v>10</v>
      </c>
      <c r="H29" s="371">
        <f t="shared" si="10"/>
        <v>10</v>
      </c>
      <c r="I29" s="371">
        <f t="shared" si="10"/>
        <v>10</v>
      </c>
      <c r="J29" s="371">
        <f t="shared" si="10"/>
        <v>10</v>
      </c>
      <c r="K29" s="371">
        <f t="shared" si="10"/>
        <v>10</v>
      </c>
      <c r="O29" s="744">
        <f>+'Cap Table'!$D24</f>
        <v>10</v>
      </c>
      <c r="P29" s="1542">
        <f>'Cap Table'!E24</f>
        <v>1E-3</v>
      </c>
    </row>
    <row r="30" spans="2:20" ht="12.75" customHeight="1">
      <c r="B30" s="297" t="str">
        <f>'Cap Table'!$B25</f>
        <v>Options at $0.010 Strike Price</v>
      </c>
      <c r="D30" s="371">
        <f t="shared" si="10"/>
        <v>0</v>
      </c>
      <c r="E30" s="371">
        <f t="shared" si="10"/>
        <v>0</v>
      </c>
      <c r="F30" s="371">
        <f t="shared" si="10"/>
        <v>0</v>
      </c>
      <c r="G30" s="371">
        <f t="shared" si="10"/>
        <v>0</v>
      </c>
      <c r="H30" s="371">
        <f t="shared" si="10"/>
        <v>206.9</v>
      </c>
      <c r="I30" s="371">
        <f t="shared" si="10"/>
        <v>206.9</v>
      </c>
      <c r="J30" s="371">
        <f t="shared" si="10"/>
        <v>206.9</v>
      </c>
      <c r="K30" s="371">
        <f t="shared" si="10"/>
        <v>206.9</v>
      </c>
      <c r="O30" s="744">
        <f>+'Cap Table'!$D25</f>
        <v>206.9</v>
      </c>
      <c r="P30" s="1542">
        <f>'Cap Table'!E25</f>
        <v>0.01</v>
      </c>
    </row>
    <row r="31" spans="2:20" ht="12.75" customHeight="1">
      <c r="B31" s="297" t="str">
        <f>'Cap Table'!$B26</f>
        <v>Expected Options Grant</v>
      </c>
      <c r="D31" s="371">
        <f t="shared" si="10"/>
        <v>0</v>
      </c>
      <c r="E31" s="371">
        <f t="shared" si="10"/>
        <v>0</v>
      </c>
      <c r="F31" s="371">
        <f t="shared" si="10"/>
        <v>0</v>
      </c>
      <c r="G31" s="371">
        <f t="shared" si="10"/>
        <v>0</v>
      </c>
      <c r="H31" s="371">
        <f t="shared" si="10"/>
        <v>0</v>
      </c>
      <c r="I31" s="371">
        <f t="shared" si="10"/>
        <v>7838.9179999999997</v>
      </c>
      <c r="J31" s="371">
        <f t="shared" si="10"/>
        <v>7838.9179999999997</v>
      </c>
      <c r="K31" s="371">
        <f t="shared" si="10"/>
        <v>7838.9179999999997</v>
      </c>
      <c r="O31" s="744">
        <f>+'Cap Table'!$D26</f>
        <v>7838.9179999999997</v>
      </c>
      <c r="P31" s="1542">
        <f>'Cap Table'!E26</f>
        <v>0.28999999999999998</v>
      </c>
    </row>
    <row r="32" spans="2:20" ht="12.75" customHeight="1">
      <c r="B32" s="297" t="str">
        <f>'Cap Table'!$B27</f>
        <v>Phantom Stock</v>
      </c>
      <c r="D32" s="371">
        <f t="shared" si="10"/>
        <v>0</v>
      </c>
      <c r="E32" s="371">
        <f t="shared" si="10"/>
        <v>0</v>
      </c>
      <c r="F32" s="371">
        <f t="shared" si="10"/>
        <v>0</v>
      </c>
      <c r="G32" s="371">
        <f t="shared" si="10"/>
        <v>0</v>
      </c>
      <c r="H32" s="371">
        <f t="shared" si="10"/>
        <v>0</v>
      </c>
      <c r="I32" s="371">
        <f t="shared" si="10"/>
        <v>1149.1089999999999</v>
      </c>
      <c r="J32" s="371">
        <f t="shared" si="10"/>
        <v>1149.1089999999999</v>
      </c>
      <c r="K32" s="371">
        <f t="shared" si="10"/>
        <v>1149.1089999999999</v>
      </c>
      <c r="O32" s="744">
        <f>+'Cap Table'!$D27</f>
        <v>1149.1089999999999</v>
      </c>
      <c r="P32" s="1542">
        <f>'Cap Table'!E27</f>
        <v>0.28999999999999998</v>
      </c>
    </row>
    <row r="33" spans="1:17" ht="12.75" customHeight="1">
      <c r="B33" s="160" t="str">
        <f>'Cap Table'!$G6 &amp;" Stock"</f>
        <v>Common Stock</v>
      </c>
      <c r="D33" s="371">
        <v>0</v>
      </c>
      <c r="E33" s="371">
        <v>0</v>
      </c>
      <c r="F33" s="371">
        <f t="shared" ref="F33:K33" si="11">$O$33</f>
        <v>15422.682000000001</v>
      </c>
      <c r="G33" s="371">
        <f t="shared" si="11"/>
        <v>15422.682000000001</v>
      </c>
      <c r="H33" s="371">
        <f t="shared" si="11"/>
        <v>15422.682000000001</v>
      </c>
      <c r="I33" s="371">
        <f t="shared" si="11"/>
        <v>15422.682000000001</v>
      </c>
      <c r="J33" s="371">
        <f t="shared" si="11"/>
        <v>15422.682000000001</v>
      </c>
      <c r="K33" s="371">
        <f t="shared" si="11"/>
        <v>15422.682000000001</v>
      </c>
      <c r="O33" s="744">
        <f>+'Cap Table'!G10</f>
        <v>15422.682000000001</v>
      </c>
      <c r="Q33" s="7"/>
    </row>
    <row r="34" spans="1:17" ht="12.75" customHeight="1" thickBot="1">
      <c r="B34" s="5"/>
      <c r="C34" s="5"/>
      <c r="D34" s="5"/>
      <c r="E34" s="5"/>
      <c r="F34" s="5"/>
      <c r="G34" s="5"/>
      <c r="H34" s="5"/>
      <c r="I34" s="5"/>
      <c r="J34" s="5"/>
      <c r="K34" s="5"/>
      <c r="O34" s="167"/>
    </row>
    <row r="35" spans="1:17" ht="12.75" customHeight="1" thickBot="1">
      <c r="B35" s="39" t="s">
        <v>1446</v>
      </c>
      <c r="D35" s="36">
        <f t="shared" ref="D35:K35" si="12">SUM(D26:D33)</f>
        <v>0</v>
      </c>
      <c r="E35" s="36">
        <f t="shared" si="12"/>
        <v>0</v>
      </c>
      <c r="F35" s="36">
        <f t="shared" si="12"/>
        <v>15422.682000000001</v>
      </c>
      <c r="G35" s="36">
        <f t="shared" si="12"/>
        <v>15432.682000000001</v>
      </c>
      <c r="H35" s="36">
        <f t="shared" si="12"/>
        <v>15639.582</v>
      </c>
      <c r="I35" s="36">
        <f t="shared" si="12"/>
        <v>24627.609</v>
      </c>
      <c r="J35" s="36">
        <f t="shared" si="12"/>
        <v>80627.608999999997</v>
      </c>
      <c r="K35" s="36">
        <f t="shared" si="12"/>
        <v>131473.83500886176</v>
      </c>
      <c r="M35" s="384" t="str">
        <f>IF('Cap Table'!I20&lt;&gt;O35,"ERROR","")</f>
        <v/>
      </c>
      <c r="O35" s="36">
        <f>SUM(O26:O33)</f>
        <v>131473.83500886176</v>
      </c>
    </row>
    <row r="36" spans="1:17" ht="12.75" customHeight="1"/>
    <row r="37" spans="1:17" ht="12.75" customHeight="1">
      <c r="B37" s="2" t="s">
        <v>225</v>
      </c>
      <c r="D37" s="1362">
        <f t="array" ref="D37:K37">TRANSPOSE('Econ Rights'!J3:J10)</f>
        <v>0</v>
      </c>
      <c r="E37" s="1362">
        <v>0</v>
      </c>
      <c r="F37" s="1362">
        <v>0</v>
      </c>
      <c r="G37" s="1362">
        <v>1E-3</v>
      </c>
      <c r="H37" s="1362">
        <v>0.01</v>
      </c>
      <c r="I37" s="1362">
        <v>0.28999999999999998</v>
      </c>
      <c r="J37" s="1362">
        <v>1.316465988258317</v>
      </c>
      <c r="K37" s="1362">
        <v>1.6732194970168255</v>
      </c>
    </row>
    <row r="38" spans="1:17" ht="12.75" customHeight="1">
      <c r="B38" s="5"/>
      <c r="C38" s="5"/>
      <c r="D38" s="5"/>
      <c r="E38" s="5"/>
      <c r="F38" s="5"/>
      <c r="G38" s="5"/>
      <c r="H38" s="5"/>
      <c r="I38" s="5"/>
      <c r="J38" s="5"/>
      <c r="K38" s="1932"/>
    </row>
    <row r="39" spans="1:17" ht="12.75" customHeight="1">
      <c r="B39" s="24" t="s">
        <v>1447</v>
      </c>
      <c r="C39" s="16"/>
      <c r="D39" s="1011">
        <f>D35*D37</f>
        <v>0</v>
      </c>
      <c r="E39" s="1011">
        <f t="shared" ref="E39:G39" si="13">E35*E37</f>
        <v>0</v>
      </c>
      <c r="F39" s="1011">
        <f t="shared" si="13"/>
        <v>0</v>
      </c>
      <c r="G39" s="1011">
        <f t="shared" si="13"/>
        <v>15.432682000000002</v>
      </c>
      <c r="H39" s="1011">
        <f t="shared" ref="H39:K39" si="14">H35*H37</f>
        <v>156.39582000000001</v>
      </c>
      <c r="I39" s="1011">
        <f t="shared" si="14"/>
        <v>7142.0066099999995</v>
      </c>
      <c r="J39" s="1011">
        <f t="shared" si="14"/>
        <v>106143.50496309016</v>
      </c>
      <c r="K39" s="1011">
        <f t="shared" si="14"/>
        <v>219984.58408440076</v>
      </c>
    </row>
    <row r="40" spans="1:17" ht="12.75" customHeight="1"/>
    <row r="41" spans="1:17" ht="12.75" customHeight="1">
      <c r="B41" s="2" t="s">
        <v>226</v>
      </c>
      <c r="D41" s="40">
        <f t="shared" ref="D41:K41" si="15">-SUMPRODUCT(D29:D32,$P$29:$P$32)</f>
        <v>0</v>
      </c>
      <c r="E41" s="40">
        <f t="shared" si="15"/>
        <v>0</v>
      </c>
      <c r="F41" s="40">
        <f t="shared" si="15"/>
        <v>0</v>
      </c>
      <c r="G41" s="40">
        <f t="shared" si="15"/>
        <v>-0.01</v>
      </c>
      <c r="H41" s="40">
        <f t="shared" si="15"/>
        <v>-2.0789999999999997</v>
      </c>
      <c r="I41" s="40">
        <f t="shared" si="15"/>
        <v>-2608.6068300000002</v>
      </c>
      <c r="J41" s="40">
        <f t="shared" si="15"/>
        <v>-2608.6068300000002</v>
      </c>
      <c r="K41" s="40">
        <f t="shared" si="15"/>
        <v>-2608.6068300000002</v>
      </c>
    </row>
    <row r="42" spans="1:17" ht="12.75" customHeight="1">
      <c r="B42" s="5"/>
      <c r="C42" s="5"/>
      <c r="D42" s="5"/>
      <c r="E42" s="5"/>
      <c r="F42" s="5"/>
      <c r="G42" s="5"/>
      <c r="H42" s="5"/>
      <c r="I42" s="5"/>
      <c r="J42" s="5"/>
      <c r="K42" s="5"/>
    </row>
    <row r="43" spans="1:17" ht="12.75" customHeight="1">
      <c r="B43" s="39" t="s">
        <v>227</v>
      </c>
      <c r="D43" s="1011">
        <f t="shared" ref="D43:K43" si="16">SUM(D39:D41)+D23</f>
        <v>85076.896707751512</v>
      </c>
      <c r="E43" s="1011">
        <f t="shared" si="16"/>
        <v>158798.99205021723</v>
      </c>
      <c r="F43" s="1011">
        <f t="shared" si="16"/>
        <v>158798.99205021723</v>
      </c>
      <c r="G43" s="1011">
        <f t="shared" si="16"/>
        <v>158814.41473221724</v>
      </c>
      <c r="H43" s="1011">
        <f t="shared" si="16"/>
        <v>158953.30887021724</v>
      </c>
      <c r="I43" s="1011">
        <f t="shared" si="16"/>
        <v>163332.39183021724</v>
      </c>
      <c r="J43" s="1011">
        <f t="shared" si="16"/>
        <v>188611.79484084167</v>
      </c>
      <c r="K43" s="1011">
        <f t="shared" si="16"/>
        <v>217375.97725440076</v>
      </c>
    </row>
    <row r="44" spans="1:17" ht="12.75" customHeight="1">
      <c r="B44" s="39"/>
      <c r="D44" s="36"/>
      <c r="E44" s="36"/>
      <c r="F44" s="36"/>
      <c r="G44" s="36"/>
      <c r="H44" s="36"/>
      <c r="I44" s="36"/>
      <c r="J44" s="36"/>
      <c r="K44" s="36"/>
    </row>
    <row r="45" spans="1:17" ht="12.75" customHeight="1"/>
    <row r="46" spans="1:17" s="6" customFormat="1" ht="12.75" customHeight="1">
      <c r="A46" s="72"/>
      <c r="B46" s="246" t="s">
        <v>229</v>
      </c>
      <c r="D46" s="247">
        <f>D$15</f>
        <v>1</v>
      </c>
      <c r="E46" s="248">
        <f t="shared" ref="E46:K46" si="17">E$15</f>
        <v>2</v>
      </c>
      <c r="F46" s="248">
        <f t="shared" si="17"/>
        <v>3</v>
      </c>
      <c r="G46" s="248">
        <f t="shared" si="17"/>
        <v>4</v>
      </c>
      <c r="H46" s="248">
        <f t="shared" si="17"/>
        <v>5</v>
      </c>
      <c r="I46" s="248">
        <f t="shared" si="17"/>
        <v>6</v>
      </c>
      <c r="J46" s="248">
        <f t="shared" si="17"/>
        <v>7</v>
      </c>
      <c r="K46" s="2026">
        <f t="shared" si="17"/>
        <v>8</v>
      </c>
      <c r="O46" s="298"/>
    </row>
    <row r="47" spans="1:17" ht="12.75" customHeight="1"/>
    <row r="48" spans="1:17" ht="12.75" customHeight="1">
      <c r="B48" s="385" t="s">
        <v>230</v>
      </c>
      <c r="D48" s="91">
        <v>1E-10</v>
      </c>
      <c r="E48" s="91">
        <f>D49</f>
        <v>85076.896707751512</v>
      </c>
      <c r="F48" s="91">
        <f t="shared" ref="F48:H48" si="18">E49</f>
        <v>158798.99205021723</v>
      </c>
      <c r="G48" s="91">
        <f t="shared" si="18"/>
        <v>158814.41473221724</v>
      </c>
      <c r="H48" s="91">
        <f t="shared" si="18"/>
        <v>158953.30887021724</v>
      </c>
      <c r="I48" s="91">
        <f t="shared" ref="I48" si="19">H49</f>
        <v>163332.39183021724</v>
      </c>
      <c r="J48" s="91">
        <f t="shared" ref="J48" si="20">I49</f>
        <v>188611.79484084167</v>
      </c>
      <c r="K48" s="91">
        <f t="shared" ref="K48" si="21">J49</f>
        <v>217375.97725440076</v>
      </c>
    </row>
    <row r="49" spans="2:15" ht="12.75" customHeight="1">
      <c r="B49" s="385" t="s">
        <v>231</v>
      </c>
      <c r="D49" s="91">
        <f>D43</f>
        <v>85076.896707751512</v>
      </c>
      <c r="E49" s="91">
        <f>IF(F43=0,"n/a",IF(D49=E43,F43,E43))</f>
        <v>158798.99205021723</v>
      </c>
      <c r="F49" s="91">
        <f t="shared" ref="F49:H49" si="22">IF(G43=0,"n/a",IF(E49=F43,G43,F43))</f>
        <v>158814.41473221724</v>
      </c>
      <c r="G49" s="91">
        <f t="shared" si="22"/>
        <v>158953.30887021724</v>
      </c>
      <c r="H49" s="91">
        <f t="shared" si="22"/>
        <v>163332.39183021724</v>
      </c>
      <c r="I49" s="91">
        <f t="shared" ref="I49" si="23">IF(J43=0,"n/a",IF(H49=I43,J43,I43))</f>
        <v>188611.79484084167</v>
      </c>
      <c r="J49" s="91">
        <f t="shared" ref="J49" si="24">IF(K43=0,"n/a",IF(I49=J43,K43,J43))</f>
        <v>217375.97725440076</v>
      </c>
      <c r="K49" s="91" t="str">
        <f t="shared" ref="K49" si="25">IF(L43=0,"n/a",IF(J49=K43,L43,K43))</f>
        <v>n/a</v>
      </c>
    </row>
    <row r="50" spans="2:15" ht="12.75" customHeight="1"/>
    <row r="51" spans="2:15" ht="12.75" hidden="1" customHeight="1" outlineLevel="1">
      <c r="B51" s="385" t="s">
        <v>235</v>
      </c>
      <c r="D51" s="386">
        <f>(LN($D$9/D48)+($D$12+$D$11^2/2)*$D$10)/($D$11*SQRT($D$10))</f>
        <v>29.486651207579285</v>
      </c>
      <c r="E51" s="386">
        <f>(LN($D$9/E48)+($D$12+$D$11^2/2)*$D$10)/($D$11*SQRT($D$10))</f>
        <v>1.0191489828440208</v>
      </c>
      <c r="F51" s="386">
        <f t="shared" ref="F51:H51" si="26">(LN($D$9/F48)+($D$12+$D$11^2/2)*$D$10)/($D$11*SQRT($D$10))</f>
        <v>0.50234937367335619</v>
      </c>
      <c r="G51" s="386">
        <f t="shared" si="26"/>
        <v>0.50226895249729386</v>
      </c>
      <c r="H51" s="386">
        <f t="shared" si="26"/>
        <v>0.50154504428521918</v>
      </c>
      <c r="I51" s="386">
        <f t="shared" ref="I51:K51" si="27">(LN($D$9/I48)+($D$12+$D$11^2/2)*$D$10)/($D$11*SQRT($D$10))</f>
        <v>0.47904008630117623</v>
      </c>
      <c r="J51" s="386">
        <f t="shared" si="27"/>
        <v>0.3598744842930926</v>
      </c>
      <c r="K51" s="386">
        <f t="shared" si="27"/>
        <v>0.2423369204922606</v>
      </c>
    </row>
    <row r="52" spans="2:15" ht="12.75" hidden="1" customHeight="1" outlineLevel="1">
      <c r="B52" s="385" t="s">
        <v>237</v>
      </c>
      <c r="D52" s="386">
        <f>D51-$D$11*SQRT($D$10)</f>
        <v>28.279058021067542</v>
      </c>
      <c r="E52" s="386">
        <f t="shared" ref="E52:H52" si="28">E51-$D$11*SQRT($D$10)</f>
        <v>-0.18844420366772385</v>
      </c>
      <c r="F52" s="386">
        <f t="shared" si="28"/>
        <v>-0.70524381283838844</v>
      </c>
      <c r="G52" s="386">
        <f t="shared" si="28"/>
        <v>-0.70532423401445077</v>
      </c>
      <c r="H52" s="386">
        <f t="shared" si="28"/>
        <v>-0.70604814222652545</v>
      </c>
      <c r="I52" s="386">
        <f t="shared" ref="I52:K52" si="29">I51-$D$11*SQRT($D$10)</f>
        <v>-0.72855310021056841</v>
      </c>
      <c r="J52" s="386">
        <f t="shared" si="29"/>
        <v>-0.84771870221865209</v>
      </c>
      <c r="K52" s="386">
        <f t="shared" si="29"/>
        <v>-0.965256266019484</v>
      </c>
    </row>
    <row r="53" spans="2:15" ht="12.75" hidden="1" customHeight="1" outlineLevel="1">
      <c r="D53" s="386"/>
      <c r="E53" s="386"/>
      <c r="F53" s="386"/>
      <c r="G53" s="386"/>
      <c r="H53" s="386"/>
      <c r="I53" s="386"/>
      <c r="J53" s="386"/>
      <c r="K53" s="386"/>
    </row>
    <row r="54" spans="2:15" ht="12.75" hidden="1" customHeight="1" outlineLevel="1">
      <c r="B54" s="385" t="s">
        <v>236</v>
      </c>
      <c r="D54" s="386">
        <f>(LN($D$9/D49)+($D$12+$D$11^2/2)*$D$10)/($D$11*SQRT($D$10))</f>
        <v>1.0191489828440208</v>
      </c>
      <c r="E54" s="91">
        <f>IF(E49="n/a","n/a",(LN($D$9/E49)+($D$12+$D$11^2/2)*$D$10)/($D$11*SQRT($D$10)))</f>
        <v>0.50234937367335619</v>
      </c>
      <c r="F54" s="91">
        <f t="shared" ref="F54:H54" si="30">IF(F49="n/a","n/a",(LN($D$9/F49)+($D$12+$D$11^2/2)*$D$10)/($D$11*SQRT($D$10)))</f>
        <v>0.50226895249729386</v>
      </c>
      <c r="G54" s="91">
        <f t="shared" si="30"/>
        <v>0.50154504428521918</v>
      </c>
      <c r="H54" s="91">
        <f t="shared" si="30"/>
        <v>0.47904008630117623</v>
      </c>
      <c r="I54" s="91">
        <f t="shared" ref="I54:K54" si="31">IF(I49="n/a","n/a",(LN($D$9/I49)+($D$12+$D$11^2/2)*$D$10)/($D$11*SQRT($D$10)))</f>
        <v>0.3598744842930926</v>
      </c>
      <c r="J54" s="91">
        <f t="shared" si="31"/>
        <v>0.2423369204922606</v>
      </c>
      <c r="K54" s="91" t="str">
        <f t="shared" si="31"/>
        <v>n/a</v>
      </c>
    </row>
    <row r="55" spans="2:15" ht="12.75" hidden="1" customHeight="1" outlineLevel="1">
      <c r="B55" s="385" t="s">
        <v>238</v>
      </c>
      <c r="D55" s="386">
        <f>D54-$D$11*SQRT($D$10)</f>
        <v>-0.18844420366772385</v>
      </c>
      <c r="E55" s="91">
        <f>IF(E49="n/a","n/a",E54-$D$11*SQRT($D$10))</f>
        <v>-0.70524381283838844</v>
      </c>
      <c r="F55" s="91">
        <f t="shared" ref="F55:H55" si="32">IF(F49="n/a","n/a",F54-$D$11*SQRT($D$10))</f>
        <v>-0.70532423401445077</v>
      </c>
      <c r="G55" s="91">
        <f t="shared" si="32"/>
        <v>-0.70604814222652545</v>
      </c>
      <c r="H55" s="91">
        <f t="shared" si="32"/>
        <v>-0.72855310021056841</v>
      </c>
      <c r="I55" s="91">
        <f t="shared" ref="I55:K55" si="33">IF(I49="n/a","n/a",I54-$D$11*SQRT($D$10))</f>
        <v>-0.84771870221865209</v>
      </c>
      <c r="J55" s="91">
        <f t="shared" si="33"/>
        <v>-0.965256266019484</v>
      </c>
      <c r="K55" s="91" t="str">
        <f t="shared" si="33"/>
        <v>n/a</v>
      </c>
    </row>
    <row r="56" spans="2:15" ht="12.75" hidden="1" customHeight="1" outlineLevel="1">
      <c r="D56" s="386"/>
      <c r="E56" s="386"/>
      <c r="F56" s="386"/>
      <c r="G56" s="386"/>
      <c r="H56" s="386"/>
      <c r="I56" s="386"/>
      <c r="J56" s="386"/>
      <c r="K56" s="386"/>
    </row>
    <row r="57" spans="2:15" ht="12.75" customHeight="1" collapsed="1">
      <c r="B57" s="385" t="s">
        <v>232</v>
      </c>
      <c r="D57" s="386">
        <f>$D$9*NORMSDIST(D51)-D48*EXP(-$D$12*$D$10)*NORMSDIST(D52)</f>
        <v>130627.93102519024</v>
      </c>
      <c r="E57" s="386">
        <f t="shared" ref="E57:H57" si="34">$D$9*NORMSDIST(E51)-E48*EXP(-$D$12*$D$10)*NORMSDIST(E52)</f>
        <v>76862.057012034231</v>
      </c>
      <c r="F57" s="386">
        <f t="shared" si="34"/>
        <v>54947.131278019471</v>
      </c>
      <c r="G57" s="386">
        <f t="shared" si="34"/>
        <v>54943.685110737359</v>
      </c>
      <c r="H57" s="386">
        <f t="shared" si="34"/>
        <v>54912.665651627241</v>
      </c>
      <c r="I57" s="386">
        <f t="shared" ref="I57:K57" si="35">$D$9*NORMSDIST(I51)-I48*EXP(-$D$12*$D$10)*NORMSDIST(I52)</f>
        <v>53949.370013452753</v>
      </c>
      <c r="J57" s="386">
        <f t="shared" si="35"/>
        <v>48895.164901882956</v>
      </c>
      <c r="K57" s="386">
        <f t="shared" si="35"/>
        <v>44024.628400072979</v>
      </c>
    </row>
    <row r="58" spans="2:15" ht="12.75" customHeight="1">
      <c r="B58" s="385" t="s">
        <v>233</v>
      </c>
      <c r="D58" s="386">
        <f>$D$9*NORMSDIST(D54)-D49*EXP(-$D$12*$D$10)*NORMSDIST(D55)</f>
        <v>76862.057012034231</v>
      </c>
      <c r="E58" s="91">
        <f>IF(E49="n/a","n/a",$D$9*NORMSDIST(E54)-E49*EXP(-$D$12*$D$10)*NORMSDIST(E55))</f>
        <v>54947.131278019471</v>
      </c>
      <c r="F58" s="91">
        <f t="shared" ref="F58:H58" si="36">IF(F49="n/a","n/a",$D$9*NORMSDIST(F54)-F49*EXP(-$D$12*$D$10)*NORMSDIST(F55))</f>
        <v>54943.685110737359</v>
      </c>
      <c r="G58" s="91">
        <f t="shared" si="36"/>
        <v>54912.665651627241</v>
      </c>
      <c r="H58" s="91">
        <f t="shared" si="36"/>
        <v>53949.370013452753</v>
      </c>
      <c r="I58" s="91">
        <f t="shared" ref="I58:K58" si="37">IF(I49="n/a","n/a",$D$9*NORMSDIST(I54)-I49*EXP(-$D$12*$D$10)*NORMSDIST(I55))</f>
        <v>48895.164901882956</v>
      </c>
      <c r="J58" s="91">
        <f t="shared" si="37"/>
        <v>44024.628400072979</v>
      </c>
      <c r="K58" s="91" t="str">
        <f t="shared" si="37"/>
        <v>n/a</v>
      </c>
    </row>
    <row r="59" spans="2:15" ht="12.75" customHeight="1"/>
    <row r="60" spans="2:15" ht="12.75" customHeight="1">
      <c r="B60" s="1" t="s">
        <v>234</v>
      </c>
      <c r="C60" s="1"/>
      <c r="D60" s="1011">
        <f>D57-D58</f>
        <v>53765.874013156004</v>
      </c>
      <c r="E60" s="1011">
        <f>IF(E49="n/a",E57,E57-E58)</f>
        <v>21914.92573401476</v>
      </c>
      <c r="F60" s="1011">
        <f t="shared" ref="F60:H60" si="38">IF(F49="n/a",F57,F57-F58)</f>
        <v>3.4461672821125831</v>
      </c>
      <c r="G60" s="1011">
        <f t="shared" si="38"/>
        <v>31.019459110117168</v>
      </c>
      <c r="H60" s="1011">
        <f t="shared" si="38"/>
        <v>963.29563817448798</v>
      </c>
      <c r="I60" s="1011">
        <f t="shared" ref="I60:K60" si="39">IF(I49="n/a",I57,I57-I58)</f>
        <v>5054.2051115697977</v>
      </c>
      <c r="J60" s="1011">
        <f t="shared" si="39"/>
        <v>4870.5365018099765</v>
      </c>
      <c r="K60" s="1011">
        <f t="shared" si="39"/>
        <v>44024.628400072979</v>
      </c>
    </row>
    <row r="61" spans="2:15" ht="12.75" customHeight="1"/>
    <row r="62" spans="2:15" s="6" customFormat="1" ht="12.75" customHeight="1">
      <c r="B62" s="246" t="s">
        <v>228</v>
      </c>
      <c r="D62" s="247">
        <f>D$15</f>
        <v>1</v>
      </c>
      <c r="E62" s="248">
        <f t="shared" ref="E62:K62" si="40">E$15</f>
        <v>2</v>
      </c>
      <c r="F62" s="248">
        <f t="shared" si="40"/>
        <v>3</v>
      </c>
      <c r="G62" s="248">
        <f t="shared" si="40"/>
        <v>4</v>
      </c>
      <c r="H62" s="248">
        <f t="shared" si="40"/>
        <v>5</v>
      </c>
      <c r="I62" s="248">
        <f t="shared" si="40"/>
        <v>6</v>
      </c>
      <c r="J62" s="248">
        <f t="shared" si="40"/>
        <v>7</v>
      </c>
      <c r="K62" s="2026">
        <f t="shared" si="40"/>
        <v>8</v>
      </c>
      <c r="O62" s="298"/>
    </row>
    <row r="63" spans="2:15" ht="12.75" customHeight="1"/>
    <row r="64" spans="2:15" ht="12.75" customHeight="1">
      <c r="D64" s="1012" t="s">
        <v>222</v>
      </c>
      <c r="E64" s="1012" t="s">
        <v>222</v>
      </c>
      <c r="F64" s="1012" t="s">
        <v>164</v>
      </c>
      <c r="G64" s="1012" t="s">
        <v>164</v>
      </c>
      <c r="H64" s="1012" t="s">
        <v>164</v>
      </c>
      <c r="I64" s="1012" t="s">
        <v>164</v>
      </c>
      <c r="J64" s="1012" t="s">
        <v>164</v>
      </c>
      <c r="K64" s="1012" t="s">
        <v>164</v>
      </c>
    </row>
    <row r="65" spans="2:11" ht="12.75" customHeight="1"/>
    <row r="66" spans="2:11" ht="12.75" customHeight="1">
      <c r="B66" s="161" t="str">
        <f t="shared" ref="B66:B73" si="41">B26</f>
        <v>Series A</v>
      </c>
      <c r="D66" s="371">
        <v>0</v>
      </c>
      <c r="E66" s="371">
        <f>E19</f>
        <v>73722.095342465749</v>
      </c>
      <c r="F66" s="371">
        <f t="shared" ref="F66:K73" si="42">F26</f>
        <v>0</v>
      </c>
      <c r="G66" s="371">
        <f t="shared" si="42"/>
        <v>0</v>
      </c>
      <c r="H66" s="371">
        <f t="shared" si="42"/>
        <v>0</v>
      </c>
      <c r="I66" s="371">
        <f t="shared" si="42"/>
        <v>0</v>
      </c>
      <c r="J66" s="371">
        <f t="shared" si="42"/>
        <v>56000</v>
      </c>
      <c r="K66" s="371">
        <f t="shared" si="42"/>
        <v>56000</v>
      </c>
    </row>
    <row r="67" spans="2:11" ht="12.75" customHeight="1">
      <c r="B67" s="161" t="str">
        <f t="shared" si="41"/>
        <v>Series B - Tranche I</v>
      </c>
      <c r="D67" s="371">
        <f>D20</f>
        <v>75674.646487711463</v>
      </c>
      <c r="E67" s="371">
        <v>0</v>
      </c>
      <c r="F67" s="371">
        <f t="shared" si="42"/>
        <v>0</v>
      </c>
      <c r="G67" s="371">
        <f t="shared" si="42"/>
        <v>0</v>
      </c>
      <c r="H67" s="371">
        <f t="shared" si="42"/>
        <v>0</v>
      </c>
      <c r="I67" s="371">
        <f t="shared" si="42"/>
        <v>0</v>
      </c>
      <c r="J67" s="371">
        <f t="shared" si="42"/>
        <v>0</v>
      </c>
      <c r="K67" s="371">
        <f t="shared" si="42"/>
        <v>45142.960008861766</v>
      </c>
    </row>
    <row r="68" spans="2:11" ht="12.75" customHeight="1">
      <c r="B68" s="161" t="str">
        <f t="shared" si="41"/>
        <v>Series B - Tranche II</v>
      </c>
      <c r="D68" s="371">
        <f>D21</f>
        <v>9402.2502200400486</v>
      </c>
      <c r="E68" s="371">
        <v>0</v>
      </c>
      <c r="F68" s="371">
        <f t="shared" si="42"/>
        <v>0</v>
      </c>
      <c r="G68" s="371">
        <f t="shared" si="42"/>
        <v>0</v>
      </c>
      <c r="H68" s="371">
        <f t="shared" si="42"/>
        <v>0</v>
      </c>
      <c r="I68" s="371">
        <f t="shared" si="42"/>
        <v>0</v>
      </c>
      <c r="J68" s="371">
        <f t="shared" si="42"/>
        <v>0</v>
      </c>
      <c r="K68" s="371">
        <f t="shared" si="42"/>
        <v>5703.2659999999996</v>
      </c>
    </row>
    <row r="69" spans="2:11" ht="12.75" customHeight="1">
      <c r="B69" s="161" t="str">
        <f t="shared" si="41"/>
        <v>Options at $0.001 Strike Price</v>
      </c>
      <c r="D69" s="371">
        <v>0</v>
      </c>
      <c r="E69" s="371">
        <v>0</v>
      </c>
      <c r="F69" s="371">
        <f t="shared" si="42"/>
        <v>0</v>
      </c>
      <c r="G69" s="371">
        <f t="shared" si="42"/>
        <v>10</v>
      </c>
      <c r="H69" s="371">
        <f t="shared" si="42"/>
        <v>10</v>
      </c>
      <c r="I69" s="371">
        <f t="shared" si="42"/>
        <v>10</v>
      </c>
      <c r="J69" s="371">
        <f t="shared" si="42"/>
        <v>10</v>
      </c>
      <c r="K69" s="371">
        <f t="shared" si="42"/>
        <v>10</v>
      </c>
    </row>
    <row r="70" spans="2:11" ht="12.75" customHeight="1">
      <c r="B70" s="161" t="str">
        <f t="shared" si="41"/>
        <v>Options at $0.010 Strike Price</v>
      </c>
      <c r="D70" s="371">
        <v>0</v>
      </c>
      <c r="E70" s="371">
        <v>0</v>
      </c>
      <c r="F70" s="371">
        <f t="shared" si="42"/>
        <v>0</v>
      </c>
      <c r="G70" s="371">
        <f t="shared" si="42"/>
        <v>0</v>
      </c>
      <c r="H70" s="371">
        <f t="shared" si="42"/>
        <v>206.9</v>
      </c>
      <c r="I70" s="371">
        <f t="shared" si="42"/>
        <v>206.9</v>
      </c>
      <c r="J70" s="371">
        <f t="shared" si="42"/>
        <v>206.9</v>
      </c>
      <c r="K70" s="371">
        <f t="shared" si="42"/>
        <v>206.9</v>
      </c>
    </row>
    <row r="71" spans="2:11" ht="12.75" customHeight="1">
      <c r="B71" s="297" t="str">
        <f t="shared" si="41"/>
        <v>Expected Options Grant</v>
      </c>
      <c r="D71" s="371">
        <v>0</v>
      </c>
      <c r="E71" s="371">
        <v>0</v>
      </c>
      <c r="F71" s="371">
        <f t="shared" si="42"/>
        <v>0</v>
      </c>
      <c r="G71" s="371">
        <f t="shared" si="42"/>
        <v>0</v>
      </c>
      <c r="H71" s="371">
        <f t="shared" si="42"/>
        <v>0</v>
      </c>
      <c r="I71" s="371">
        <f t="shared" si="42"/>
        <v>7838.9179999999997</v>
      </c>
      <c r="J71" s="371">
        <f t="shared" si="42"/>
        <v>7838.9179999999997</v>
      </c>
      <c r="K71" s="371">
        <f t="shared" si="42"/>
        <v>7838.9179999999997</v>
      </c>
    </row>
    <row r="72" spans="2:11" ht="12.75" customHeight="1">
      <c r="B72" s="297" t="str">
        <f t="shared" si="41"/>
        <v>Phantom Stock</v>
      </c>
      <c r="D72" s="371">
        <v>0</v>
      </c>
      <c r="E72" s="371">
        <v>0</v>
      </c>
      <c r="F72" s="371">
        <f t="shared" si="42"/>
        <v>0</v>
      </c>
      <c r="G72" s="371">
        <f t="shared" si="42"/>
        <v>0</v>
      </c>
      <c r="H72" s="371">
        <f t="shared" si="42"/>
        <v>0</v>
      </c>
      <c r="I72" s="371">
        <f t="shared" si="42"/>
        <v>1149.1089999999999</v>
      </c>
      <c r="J72" s="371">
        <f t="shared" si="42"/>
        <v>1149.1089999999999</v>
      </c>
      <c r="K72" s="371">
        <f t="shared" si="42"/>
        <v>1149.1089999999999</v>
      </c>
    </row>
    <row r="73" spans="2:11" ht="12.75" customHeight="1">
      <c r="B73" s="161" t="str">
        <f t="shared" si="41"/>
        <v>Common Stock</v>
      </c>
      <c r="D73" s="371">
        <v>0</v>
      </c>
      <c r="E73" s="371">
        <v>0</v>
      </c>
      <c r="F73" s="371">
        <f t="shared" si="42"/>
        <v>15422.682000000001</v>
      </c>
      <c r="G73" s="371">
        <f t="shared" si="42"/>
        <v>15422.682000000001</v>
      </c>
      <c r="H73" s="371">
        <f t="shared" si="42"/>
        <v>15422.682000000001</v>
      </c>
      <c r="I73" s="371">
        <f t="shared" si="42"/>
        <v>15422.682000000001</v>
      </c>
      <c r="J73" s="371">
        <f t="shared" si="42"/>
        <v>15422.682000000001</v>
      </c>
      <c r="K73" s="371">
        <f t="shared" si="42"/>
        <v>15422.682000000001</v>
      </c>
    </row>
    <row r="74" spans="2:11" ht="12.75" customHeight="1">
      <c r="B74" s="5"/>
      <c r="C74" s="5"/>
      <c r="D74" s="5"/>
      <c r="E74" s="5"/>
      <c r="F74" s="5"/>
      <c r="G74" s="5"/>
      <c r="H74" s="5"/>
      <c r="I74" s="5"/>
      <c r="J74" s="5"/>
      <c r="K74" s="1932"/>
    </row>
    <row r="75" spans="2:11" ht="12.75" customHeight="1">
      <c r="B75" s="39" t="s">
        <v>1448</v>
      </c>
      <c r="D75" s="36">
        <f t="shared" ref="D75:K75" si="43">SUM(D66:D73)</f>
        <v>85076.896707751512</v>
      </c>
      <c r="E75" s="36">
        <f t="shared" si="43"/>
        <v>73722.095342465749</v>
      </c>
      <c r="F75" s="36">
        <f t="shared" si="43"/>
        <v>15422.682000000001</v>
      </c>
      <c r="G75" s="36">
        <f t="shared" si="43"/>
        <v>15432.682000000001</v>
      </c>
      <c r="H75" s="36">
        <f t="shared" si="43"/>
        <v>15639.582</v>
      </c>
      <c r="I75" s="36">
        <f t="shared" si="43"/>
        <v>24627.609</v>
      </c>
      <c r="J75" s="36">
        <f t="shared" si="43"/>
        <v>80627.608999999997</v>
      </c>
      <c r="K75" s="36">
        <f t="shared" si="43"/>
        <v>131473.83500886176</v>
      </c>
    </row>
    <row r="76" spans="2:11" ht="12.75" customHeight="1"/>
    <row r="77" spans="2:11" ht="12.75" customHeight="1">
      <c r="B77" s="246" t="s">
        <v>1477</v>
      </c>
      <c r="C77" s="6"/>
      <c r="D77" s="247">
        <f>D$15</f>
        <v>1</v>
      </c>
      <c r="E77" s="248">
        <f t="shared" ref="E77:K77" si="44">E$15</f>
        <v>2</v>
      </c>
      <c r="F77" s="248">
        <f t="shared" si="44"/>
        <v>3</v>
      </c>
      <c r="G77" s="248">
        <f t="shared" si="44"/>
        <v>4</v>
      </c>
      <c r="H77" s="248">
        <f t="shared" si="44"/>
        <v>5</v>
      </c>
      <c r="I77" s="248">
        <f t="shared" si="44"/>
        <v>6</v>
      </c>
      <c r="J77" s="248">
        <f t="shared" si="44"/>
        <v>7</v>
      </c>
      <c r="K77" s="2026">
        <f t="shared" si="44"/>
        <v>8</v>
      </c>
    </row>
    <row r="78" spans="2:11" ht="12.75" customHeight="1"/>
    <row r="79" spans="2:11" ht="12.75" customHeight="1">
      <c r="B79" s="2" t="str">
        <f t="shared" ref="B79:B86" si="45">B66</f>
        <v>Series A</v>
      </c>
      <c r="D79" s="392">
        <f t="shared" ref="D79:K86" si="46">D66/D$75</f>
        <v>0</v>
      </c>
      <c r="E79" s="392">
        <f t="shared" si="46"/>
        <v>1</v>
      </c>
      <c r="F79" s="392">
        <f t="shared" si="46"/>
        <v>0</v>
      </c>
      <c r="G79" s="392">
        <f t="shared" si="46"/>
        <v>0</v>
      </c>
      <c r="H79" s="392">
        <f t="shared" si="46"/>
        <v>0</v>
      </c>
      <c r="I79" s="392">
        <f t="shared" si="46"/>
        <v>0</v>
      </c>
      <c r="J79" s="392">
        <f t="shared" si="46"/>
        <v>0.6945511679504226</v>
      </c>
      <c r="K79" s="392">
        <f t="shared" si="46"/>
        <v>0.42594026405501462</v>
      </c>
    </row>
    <row r="80" spans="2:11" ht="12.75" customHeight="1">
      <c r="B80" s="2" t="str">
        <f t="shared" si="45"/>
        <v>Series B - Tranche I</v>
      </c>
      <c r="D80" s="392">
        <f t="shared" si="46"/>
        <v>0.8894852705742452</v>
      </c>
      <c r="E80" s="392">
        <f t="shared" si="46"/>
        <v>0</v>
      </c>
      <c r="F80" s="392">
        <f t="shared" si="46"/>
        <v>0</v>
      </c>
      <c r="G80" s="392">
        <f t="shared" si="46"/>
        <v>0</v>
      </c>
      <c r="H80" s="392">
        <f t="shared" si="46"/>
        <v>0</v>
      </c>
      <c r="I80" s="392">
        <f t="shared" si="46"/>
        <v>0</v>
      </c>
      <c r="J80" s="392">
        <f t="shared" si="46"/>
        <v>0</v>
      </c>
      <c r="K80" s="392">
        <f t="shared" si="46"/>
        <v>0.34336079118570617</v>
      </c>
    </row>
    <row r="81" spans="2:15" ht="12.75" customHeight="1">
      <c r="B81" s="2" t="str">
        <f t="shared" si="45"/>
        <v>Series B - Tranche II</v>
      </c>
      <c r="D81" s="392">
        <f t="shared" si="46"/>
        <v>0.11051472942575481</v>
      </c>
      <c r="E81" s="392">
        <f t="shared" si="46"/>
        <v>0</v>
      </c>
      <c r="F81" s="392">
        <f t="shared" si="46"/>
        <v>0</v>
      </c>
      <c r="G81" s="392">
        <f t="shared" si="46"/>
        <v>0</v>
      </c>
      <c r="H81" s="392">
        <f t="shared" si="46"/>
        <v>0</v>
      </c>
      <c r="I81" s="392">
        <f t="shared" si="46"/>
        <v>0</v>
      </c>
      <c r="J81" s="392">
        <f t="shared" si="46"/>
        <v>0</v>
      </c>
      <c r="K81" s="392">
        <f t="shared" si="46"/>
        <v>4.3379475464571195E-2</v>
      </c>
    </row>
    <row r="82" spans="2:15" ht="12.75" customHeight="1">
      <c r="B82" s="2" t="str">
        <f t="shared" si="45"/>
        <v>Options at $0.001 Strike Price</v>
      </c>
      <c r="D82" s="392">
        <f t="shared" si="46"/>
        <v>0</v>
      </c>
      <c r="E82" s="392">
        <f t="shared" si="46"/>
        <v>0</v>
      </c>
      <c r="F82" s="392">
        <f t="shared" si="46"/>
        <v>0</v>
      </c>
      <c r="G82" s="392">
        <f t="shared" si="46"/>
        <v>6.4797551067273984E-4</v>
      </c>
      <c r="H82" s="392">
        <f t="shared" si="46"/>
        <v>6.3940327816945489E-4</v>
      </c>
      <c r="I82" s="392">
        <f t="shared" si="46"/>
        <v>4.0604835004486224E-4</v>
      </c>
      <c r="J82" s="392">
        <f t="shared" si="46"/>
        <v>1.2402699427686118E-4</v>
      </c>
      <c r="K82" s="392">
        <f t="shared" si="46"/>
        <v>7.6060761438395463E-5</v>
      </c>
    </row>
    <row r="83" spans="2:15" ht="12.75" customHeight="1">
      <c r="B83" s="2" t="str">
        <f t="shared" si="45"/>
        <v>Options at $0.010 Strike Price</v>
      </c>
      <c r="D83" s="392">
        <f t="shared" si="46"/>
        <v>0</v>
      </c>
      <c r="E83" s="392">
        <f t="shared" si="46"/>
        <v>0</v>
      </c>
      <c r="F83" s="392">
        <f t="shared" si="46"/>
        <v>0</v>
      </c>
      <c r="G83" s="392">
        <f t="shared" si="46"/>
        <v>0</v>
      </c>
      <c r="H83" s="392">
        <f t="shared" si="46"/>
        <v>1.3229253825326023E-2</v>
      </c>
      <c r="I83" s="392">
        <f t="shared" si="46"/>
        <v>8.4011403624281999E-3</v>
      </c>
      <c r="J83" s="392">
        <f t="shared" si="46"/>
        <v>2.5661185115882579E-3</v>
      </c>
      <c r="K83" s="392">
        <f t="shared" si="46"/>
        <v>1.5736971541604021E-3</v>
      </c>
    </row>
    <row r="84" spans="2:15" ht="12.75" customHeight="1">
      <c r="B84" s="2" t="str">
        <f t="shared" si="45"/>
        <v>Expected Options Grant</v>
      </c>
      <c r="D84" s="392">
        <f t="shared" si="46"/>
        <v>0</v>
      </c>
      <c r="E84" s="392">
        <f t="shared" si="46"/>
        <v>0</v>
      </c>
      <c r="F84" s="392">
        <f t="shared" si="46"/>
        <v>0</v>
      </c>
      <c r="G84" s="392">
        <f t="shared" si="46"/>
        <v>0</v>
      </c>
      <c r="H84" s="392">
        <f t="shared" si="46"/>
        <v>0</v>
      </c>
      <c r="I84" s="392">
        <f t="shared" si="46"/>
        <v>0.31829797200369714</v>
      </c>
      <c r="J84" s="392">
        <f t="shared" si="46"/>
        <v>9.7223743792278397E-2</v>
      </c>
      <c r="K84" s="392">
        <f t="shared" si="46"/>
        <v>5.9623407193314409E-2</v>
      </c>
    </row>
    <row r="85" spans="2:15" ht="12.75" customHeight="1">
      <c r="B85" s="2" t="str">
        <f t="shared" si="45"/>
        <v>Phantom Stock</v>
      </c>
      <c r="D85" s="392">
        <f t="shared" si="46"/>
        <v>0</v>
      </c>
      <c r="E85" s="392">
        <f t="shared" si="46"/>
        <v>0</v>
      </c>
      <c r="F85" s="392">
        <f t="shared" si="46"/>
        <v>0</v>
      </c>
      <c r="G85" s="392">
        <f t="shared" si="46"/>
        <v>0</v>
      </c>
      <c r="H85" s="392">
        <f t="shared" si="46"/>
        <v>0</v>
      </c>
      <c r="I85" s="392">
        <f t="shared" si="46"/>
        <v>4.665938134717016E-2</v>
      </c>
      <c r="J85" s="392">
        <f t="shared" si="46"/>
        <v>1.4252053536648965E-2</v>
      </c>
      <c r="K85" s="392">
        <f t="shared" si="46"/>
        <v>8.7402105515713164E-3</v>
      </c>
    </row>
    <row r="86" spans="2:15" ht="12.75" customHeight="1">
      <c r="B86" s="2" t="str">
        <f t="shared" si="45"/>
        <v>Common Stock</v>
      </c>
      <c r="D86" s="392">
        <f t="shared" si="46"/>
        <v>0</v>
      </c>
      <c r="E86" s="392">
        <f t="shared" si="46"/>
        <v>0</v>
      </c>
      <c r="F86" s="392">
        <f t="shared" si="46"/>
        <v>1</v>
      </c>
      <c r="G86" s="392">
        <f t="shared" si="46"/>
        <v>0.99935202448932725</v>
      </c>
      <c r="H86" s="392">
        <f t="shared" si="46"/>
        <v>0.9861313428965045</v>
      </c>
      <c r="I86" s="392">
        <f t="shared" si="46"/>
        <v>0.62623545793665969</v>
      </c>
      <c r="J86" s="392">
        <f t="shared" si="46"/>
        <v>0.19128288921478498</v>
      </c>
      <c r="K86" s="392">
        <f t="shared" si="46"/>
        <v>0.11730609363422359</v>
      </c>
    </row>
    <row r="87" spans="2:15" ht="12.75" customHeight="1">
      <c r="B87" s="59"/>
      <c r="C87" s="59"/>
      <c r="D87" s="5"/>
      <c r="E87" s="5"/>
      <c r="F87" s="5"/>
      <c r="G87" s="5"/>
      <c r="H87" s="5"/>
      <c r="I87" s="5"/>
      <c r="J87" s="5"/>
      <c r="K87" s="5"/>
    </row>
    <row r="88" spans="2:15" ht="12.75" customHeight="1">
      <c r="B88" s="1" t="s">
        <v>1478</v>
      </c>
      <c r="D88" s="1364">
        <f t="shared" ref="D88:K88" si="47">SUM(D79:D86)</f>
        <v>1</v>
      </c>
      <c r="E88" s="1364">
        <f t="shared" si="47"/>
        <v>1</v>
      </c>
      <c r="F88" s="1364">
        <f t="shared" si="47"/>
        <v>1</v>
      </c>
      <c r="G88" s="1364">
        <f t="shared" si="47"/>
        <v>1</v>
      </c>
      <c r="H88" s="1364">
        <f t="shared" si="47"/>
        <v>1</v>
      </c>
      <c r="I88" s="1364">
        <f t="shared" si="47"/>
        <v>1</v>
      </c>
      <c r="J88" s="1364">
        <f t="shared" si="47"/>
        <v>1</v>
      </c>
      <c r="K88" s="1364">
        <f t="shared" si="47"/>
        <v>1.0000000000000002</v>
      </c>
    </row>
    <row r="89" spans="2:15" ht="12.75" customHeight="1">
      <c r="B89" s="1"/>
      <c r="D89" s="36"/>
      <c r="E89" s="36"/>
      <c r="F89" s="36"/>
      <c r="G89" s="36"/>
      <c r="H89" s="36"/>
      <c r="I89" s="36"/>
      <c r="J89" s="36"/>
      <c r="K89" s="36"/>
    </row>
    <row r="90" spans="2:15" s="6" customFormat="1" ht="12.75" customHeight="1">
      <c r="B90" s="246" t="s">
        <v>239</v>
      </c>
      <c r="D90" s="247">
        <f>D$15</f>
        <v>1</v>
      </c>
      <c r="E90" s="248">
        <f t="shared" ref="E90:K90" si="48">E$15</f>
        <v>2</v>
      </c>
      <c r="F90" s="248">
        <f t="shared" si="48"/>
        <v>3</v>
      </c>
      <c r="G90" s="248">
        <f t="shared" si="48"/>
        <v>4</v>
      </c>
      <c r="H90" s="248">
        <f t="shared" si="48"/>
        <v>5</v>
      </c>
      <c r="I90" s="248">
        <f t="shared" si="48"/>
        <v>6</v>
      </c>
      <c r="J90" s="248">
        <f t="shared" si="48"/>
        <v>7</v>
      </c>
      <c r="K90" s="2026">
        <f t="shared" si="48"/>
        <v>8</v>
      </c>
      <c r="M90" s="110" t="s">
        <v>86</v>
      </c>
      <c r="O90" s="298"/>
    </row>
    <row r="91" spans="2:15" ht="12.75" customHeight="1"/>
    <row r="92" spans="2:15" ht="12.75" customHeight="1">
      <c r="B92" s="2" t="str">
        <f t="shared" ref="B92:B99" si="49">B66</f>
        <v>Series A</v>
      </c>
      <c r="D92" s="386">
        <f t="shared" ref="D92:K99" si="50">D$60*D79</f>
        <v>0</v>
      </c>
      <c r="E92" s="386">
        <f t="shared" si="50"/>
        <v>21914.92573401476</v>
      </c>
      <c r="F92" s="386">
        <f t="shared" si="50"/>
        <v>0</v>
      </c>
      <c r="G92" s="386">
        <f t="shared" si="50"/>
        <v>0</v>
      </c>
      <c r="H92" s="386">
        <f t="shared" si="50"/>
        <v>0</v>
      </c>
      <c r="I92" s="386">
        <f t="shared" si="50"/>
        <v>0</v>
      </c>
      <c r="J92" s="386">
        <f t="shared" si="50"/>
        <v>3382.8368158772846</v>
      </c>
      <c r="K92" s="386">
        <f t="shared" si="50"/>
        <v>18751.861845650979</v>
      </c>
      <c r="M92" s="386">
        <f t="shared" ref="M92:M99" si="51">SUM(D92:K92)</f>
        <v>44049.624395543025</v>
      </c>
    </row>
    <row r="93" spans="2:15" ht="12.75" customHeight="1">
      <c r="B93" s="2" t="str">
        <f t="shared" si="49"/>
        <v>Series B - Tranche I</v>
      </c>
      <c r="D93" s="386">
        <f t="shared" si="50"/>
        <v>47823.952994252846</v>
      </c>
      <c r="E93" s="386">
        <f t="shared" si="50"/>
        <v>0</v>
      </c>
      <c r="F93" s="386">
        <f t="shared" si="50"/>
        <v>0</v>
      </c>
      <c r="G93" s="386">
        <f t="shared" si="50"/>
        <v>0</v>
      </c>
      <c r="H93" s="386">
        <f t="shared" si="50"/>
        <v>0</v>
      </c>
      <c r="I93" s="386">
        <f t="shared" si="50"/>
        <v>0</v>
      </c>
      <c r="J93" s="386">
        <f t="shared" si="50"/>
        <v>0</v>
      </c>
      <c r="K93" s="386">
        <f t="shared" si="50"/>
        <v>15116.331239105768</v>
      </c>
      <c r="M93" s="386">
        <f t="shared" si="51"/>
        <v>62940.284233358616</v>
      </c>
    </row>
    <row r="94" spans="2:15" ht="12.75" customHeight="1">
      <c r="B94" s="2" t="str">
        <f t="shared" si="49"/>
        <v>Series B - Tranche II</v>
      </c>
      <c r="D94" s="386">
        <f t="shared" si="50"/>
        <v>5941.9210189031583</v>
      </c>
      <c r="E94" s="386">
        <f t="shared" si="50"/>
        <v>0</v>
      </c>
      <c r="F94" s="386">
        <f t="shared" si="50"/>
        <v>0</v>
      </c>
      <c r="G94" s="386">
        <f t="shared" si="50"/>
        <v>0</v>
      </c>
      <c r="H94" s="386">
        <f t="shared" si="50"/>
        <v>0</v>
      </c>
      <c r="I94" s="386">
        <f t="shared" si="50"/>
        <v>0</v>
      </c>
      <c r="J94" s="386">
        <f t="shared" si="50"/>
        <v>0</v>
      </c>
      <c r="K94" s="386">
        <f t="shared" si="50"/>
        <v>1909.7652875178301</v>
      </c>
      <c r="M94" s="386">
        <f t="shared" si="51"/>
        <v>7851.6863064209883</v>
      </c>
    </row>
    <row r="95" spans="2:15" ht="12.75" customHeight="1">
      <c r="B95" s="2" t="str">
        <f t="shared" si="49"/>
        <v>Options at $0.001 Strike Price</v>
      </c>
      <c r="D95" s="386">
        <f t="shared" si="50"/>
        <v>0</v>
      </c>
      <c r="E95" s="386">
        <f t="shared" si="50"/>
        <v>0</v>
      </c>
      <c r="F95" s="386">
        <f t="shared" si="50"/>
        <v>0</v>
      </c>
      <c r="G95" s="386">
        <f t="shared" si="50"/>
        <v>2.0099849857670344E-2</v>
      </c>
      <c r="H95" s="386">
        <f t="shared" si="50"/>
        <v>0.61593438889510466</v>
      </c>
      <c r="I95" s="386">
        <f t="shared" si="50"/>
        <v>2.052251646341225</v>
      </c>
      <c r="J95" s="386">
        <f t="shared" si="50"/>
        <v>0.60407800283522939</v>
      </c>
      <c r="K95" s="386">
        <f t="shared" si="50"/>
        <v>3.3485467581519606</v>
      </c>
      <c r="M95" s="386">
        <f t="shared" si="51"/>
        <v>6.6409106460811902</v>
      </c>
    </row>
    <row r="96" spans="2:15" ht="12.75" customHeight="1">
      <c r="B96" s="2" t="str">
        <f t="shared" si="49"/>
        <v>Options at $0.010 Strike Price</v>
      </c>
      <c r="D96" s="386">
        <f t="shared" si="50"/>
        <v>0</v>
      </c>
      <c r="E96" s="386">
        <f t="shared" si="50"/>
        <v>0</v>
      </c>
      <c r="F96" s="386">
        <f t="shared" si="50"/>
        <v>0</v>
      </c>
      <c r="G96" s="386">
        <f t="shared" si="50"/>
        <v>0</v>
      </c>
      <c r="H96" s="386">
        <f t="shared" si="50"/>
        <v>12.743682506239717</v>
      </c>
      <c r="I96" s="386">
        <f t="shared" si="50"/>
        <v>42.461086562799949</v>
      </c>
      <c r="J96" s="386">
        <f t="shared" si="50"/>
        <v>12.498373878660898</v>
      </c>
      <c r="K96" s="386">
        <f t="shared" si="50"/>
        <v>69.281432426164059</v>
      </c>
      <c r="M96" s="386">
        <f t="shared" si="51"/>
        <v>136.98457537386463</v>
      </c>
    </row>
    <row r="97" spans="2:15" ht="12.75" customHeight="1">
      <c r="B97" s="2" t="str">
        <f t="shared" si="49"/>
        <v>Expected Options Grant</v>
      </c>
      <c r="D97" s="386">
        <f t="shared" si="50"/>
        <v>0</v>
      </c>
      <c r="E97" s="386">
        <f t="shared" si="50"/>
        <v>0</v>
      </c>
      <c r="F97" s="386">
        <f t="shared" si="50"/>
        <v>0</v>
      </c>
      <c r="G97" s="386">
        <f t="shared" si="50"/>
        <v>0</v>
      </c>
      <c r="H97" s="386">
        <f t="shared" si="50"/>
        <v>0</v>
      </c>
      <c r="I97" s="386">
        <f t="shared" si="50"/>
        <v>1608.7432371033865</v>
      </c>
      <c r="J97" s="386">
        <f t="shared" si="50"/>
        <v>473.53179298291303</v>
      </c>
      <c r="K97" s="386">
        <f t="shared" si="50"/>
        <v>2624.8983456319052</v>
      </c>
      <c r="M97" s="386">
        <f t="shared" si="51"/>
        <v>4707.1733757182046</v>
      </c>
    </row>
    <row r="98" spans="2:15" ht="12.75" customHeight="1">
      <c r="B98" s="2" t="str">
        <f t="shared" si="49"/>
        <v>Phantom Stock</v>
      </c>
      <c r="D98" s="386">
        <f t="shared" si="50"/>
        <v>0</v>
      </c>
      <c r="E98" s="386">
        <f t="shared" si="50"/>
        <v>0</v>
      </c>
      <c r="F98" s="386">
        <f t="shared" si="50"/>
        <v>0</v>
      </c>
      <c r="G98" s="386">
        <f t="shared" si="50"/>
        <v>0</v>
      </c>
      <c r="H98" s="386">
        <f t="shared" si="50"/>
        <v>0</v>
      </c>
      <c r="I98" s="386">
        <f t="shared" si="50"/>
        <v>235.8260837075519</v>
      </c>
      <c r="J98" s="386">
        <f t="shared" si="50"/>
        <v>69.415146975998752</v>
      </c>
      <c r="K98" s="386">
        <f t="shared" si="50"/>
        <v>384.78452167132411</v>
      </c>
      <c r="M98" s="386">
        <f t="shared" si="51"/>
        <v>690.02575235487484</v>
      </c>
    </row>
    <row r="99" spans="2:15" ht="12.75" customHeight="1">
      <c r="B99" s="2" t="str">
        <f t="shared" si="49"/>
        <v>Common Stock</v>
      </c>
      <c r="D99" s="386">
        <f t="shared" si="50"/>
        <v>0</v>
      </c>
      <c r="E99" s="386">
        <f t="shared" si="50"/>
        <v>0</v>
      </c>
      <c r="F99" s="386">
        <f t="shared" si="50"/>
        <v>3.4461672821125831</v>
      </c>
      <c r="G99" s="386">
        <f t="shared" si="50"/>
        <v>30.999359260259496</v>
      </c>
      <c r="H99" s="386">
        <f t="shared" si="50"/>
        <v>949.9360212793531</v>
      </c>
      <c r="I99" s="386">
        <f t="shared" si="50"/>
        <v>3165.1224525497187</v>
      </c>
      <c r="J99" s="386">
        <f t="shared" si="50"/>
        <v>931.65029409228407</v>
      </c>
      <c r="K99" s="386">
        <f t="shared" si="50"/>
        <v>5164.3571813108601</v>
      </c>
      <c r="M99" s="386">
        <f t="shared" si="51"/>
        <v>10245.511475774587</v>
      </c>
    </row>
    <row r="100" spans="2:15" ht="12.75" customHeight="1">
      <c r="B100" s="59"/>
      <c r="C100" s="59"/>
      <c r="D100" s="5"/>
      <c r="E100" s="5"/>
      <c r="F100" s="5"/>
      <c r="G100" s="5"/>
      <c r="H100" s="5"/>
      <c r="I100" s="5"/>
      <c r="J100" s="5"/>
      <c r="K100" s="5"/>
      <c r="M100" s="5"/>
    </row>
    <row r="101" spans="2:15" ht="12.75" customHeight="1">
      <c r="B101" s="1" t="s">
        <v>1449</v>
      </c>
      <c r="D101" s="1013">
        <f t="shared" ref="D101:K101" si="52">SUM(D92:D99)</f>
        <v>53765.874013156004</v>
      </c>
      <c r="E101" s="1013">
        <f t="shared" si="52"/>
        <v>21914.92573401476</v>
      </c>
      <c r="F101" s="1013">
        <f t="shared" si="52"/>
        <v>3.4461672821125831</v>
      </c>
      <c r="G101" s="1013">
        <f t="shared" si="52"/>
        <v>31.019459110117165</v>
      </c>
      <c r="H101" s="1013">
        <f t="shared" si="52"/>
        <v>963.29563817448798</v>
      </c>
      <c r="I101" s="1013">
        <f t="shared" si="52"/>
        <v>5054.2051115697977</v>
      </c>
      <c r="J101" s="1013">
        <f t="shared" si="52"/>
        <v>4870.5365018099765</v>
      </c>
      <c r="K101" s="1013">
        <f t="shared" si="52"/>
        <v>44024.628400072979</v>
      </c>
      <c r="M101" s="36">
        <f>SUM(M92:M99)</f>
        <v>130627.93102519025</v>
      </c>
      <c r="O101" s="299">
        <f>M101-D9</f>
        <v>0</v>
      </c>
    </row>
    <row r="102" spans="2:15" ht="12.75" customHeight="1"/>
    <row r="103" spans="2:15" ht="12.75" customHeight="1"/>
    <row r="105" spans="2:15">
      <c r="B105" s="385" t="s">
        <v>1479</v>
      </c>
      <c r="D105" s="1014">
        <f>D43</f>
        <v>85076.896707751512</v>
      </c>
      <c r="E105" s="1014">
        <f>E43-D43</f>
        <v>73722.09534246572</v>
      </c>
      <c r="F105" s="1014">
        <f>G43-F43</f>
        <v>15.422682000003988</v>
      </c>
      <c r="G105" s="1014">
        <f>H43-G43</f>
        <v>138.8941380000033</v>
      </c>
      <c r="H105" s="1014">
        <f>I43-H43</f>
        <v>4379.0829599999997</v>
      </c>
      <c r="I105" s="1014">
        <f>J43-I43</f>
        <v>25279.403010624432</v>
      </c>
      <c r="J105" s="1014">
        <f>K43-J43</f>
        <v>28764.182413559087</v>
      </c>
      <c r="K105" s="1014"/>
    </row>
    <row r="106" spans="2:15">
      <c r="D106" s="1014"/>
      <c r="E106" s="1014"/>
      <c r="F106" s="1014"/>
      <c r="G106" s="1014"/>
      <c r="H106" s="1014"/>
      <c r="I106" s="1014"/>
      <c r="J106" s="1014"/>
      <c r="K106" s="1014"/>
    </row>
    <row r="107" spans="2:15">
      <c r="B107" s="1015" t="s">
        <v>1480</v>
      </c>
      <c r="C107" s="6"/>
      <c r="D107" s="1016">
        <f t="shared" ref="D107:J107" si="53">D90</f>
        <v>1</v>
      </c>
      <c r="E107" s="1017">
        <f t="shared" si="53"/>
        <v>2</v>
      </c>
      <c r="F107" s="1017">
        <f t="shared" si="53"/>
        <v>3</v>
      </c>
      <c r="G107" s="1017">
        <f t="shared" si="53"/>
        <v>4</v>
      </c>
      <c r="H107" s="1017">
        <f t="shared" si="53"/>
        <v>5</v>
      </c>
      <c r="I107" s="1017">
        <f t="shared" si="53"/>
        <v>6</v>
      </c>
      <c r="J107" s="1017">
        <f t="shared" si="53"/>
        <v>7</v>
      </c>
      <c r="K107" s="2026"/>
    </row>
    <row r="108" spans="2:15">
      <c r="D108" s="1014"/>
      <c r="E108" s="1014"/>
      <c r="F108" s="1014"/>
      <c r="G108" s="1014"/>
      <c r="H108" s="1014"/>
      <c r="I108" s="1014"/>
      <c r="J108" s="1014"/>
      <c r="K108" s="1014"/>
    </row>
    <row r="109" spans="2:15">
      <c r="B109" s="385" t="str">
        <f t="shared" ref="B109:B116" si="54">B92</f>
        <v>Series A</v>
      </c>
      <c r="D109" s="386">
        <f t="shared" ref="D109:J116" si="55">D66/D$75*D$105</f>
        <v>0</v>
      </c>
      <c r="E109" s="386">
        <f t="shared" si="55"/>
        <v>73722.09534246572</v>
      </c>
      <c r="F109" s="386">
        <f t="shared" si="55"/>
        <v>0</v>
      </c>
      <c r="G109" s="386">
        <f t="shared" si="55"/>
        <v>0</v>
      </c>
      <c r="H109" s="386">
        <f t="shared" si="55"/>
        <v>0</v>
      </c>
      <c r="I109" s="386">
        <f t="shared" si="55"/>
        <v>0</v>
      </c>
      <c r="J109" s="386">
        <f t="shared" si="55"/>
        <v>19978.196490476468</v>
      </c>
      <c r="K109" s="386"/>
    </row>
    <row r="110" spans="2:15">
      <c r="B110" s="385" t="str">
        <f t="shared" si="54"/>
        <v>Series B - Tranche I</v>
      </c>
      <c r="D110" s="386">
        <f t="shared" si="55"/>
        <v>75674.646487711463</v>
      </c>
      <c r="E110" s="386">
        <f t="shared" si="55"/>
        <v>0</v>
      </c>
      <c r="F110" s="386">
        <f t="shared" si="55"/>
        <v>0</v>
      </c>
      <c r="G110" s="386">
        <f t="shared" si="55"/>
        <v>0</v>
      </c>
      <c r="H110" s="386">
        <f t="shared" si="55"/>
        <v>0</v>
      </c>
      <c r="I110" s="386">
        <f t="shared" si="55"/>
        <v>0</v>
      </c>
      <c r="J110" s="386">
        <f t="shared" si="55"/>
        <v>0</v>
      </c>
      <c r="K110" s="386"/>
    </row>
    <row r="111" spans="2:15" outlineLevel="1">
      <c r="B111" s="385" t="str">
        <f t="shared" si="54"/>
        <v>Series B - Tranche II</v>
      </c>
      <c r="D111" s="386">
        <f t="shared" si="55"/>
        <v>9402.2502200400486</v>
      </c>
      <c r="E111" s="386">
        <f t="shared" si="55"/>
        <v>0</v>
      </c>
      <c r="F111" s="386">
        <f t="shared" si="55"/>
        <v>0</v>
      </c>
      <c r="G111" s="386">
        <f t="shared" si="55"/>
        <v>0</v>
      </c>
      <c r="H111" s="386">
        <f t="shared" si="55"/>
        <v>0</v>
      </c>
      <c r="I111" s="386">
        <f t="shared" si="55"/>
        <v>0</v>
      </c>
      <c r="J111" s="386">
        <f t="shared" si="55"/>
        <v>0</v>
      </c>
      <c r="K111" s="386"/>
    </row>
    <row r="112" spans="2:15">
      <c r="B112" s="385" t="str">
        <f t="shared" si="54"/>
        <v>Options at $0.001 Strike Price</v>
      </c>
      <c r="D112" s="386">
        <f t="shared" si="55"/>
        <v>0</v>
      </c>
      <c r="E112" s="386">
        <f t="shared" si="55"/>
        <v>0</v>
      </c>
      <c r="F112" s="386">
        <f t="shared" si="55"/>
        <v>0</v>
      </c>
      <c r="G112" s="386">
        <f t="shared" si="55"/>
        <v>9.0000000000002134E-2</v>
      </c>
      <c r="H112" s="386">
        <f t="shared" si="55"/>
        <v>2.8</v>
      </c>
      <c r="I112" s="386">
        <f t="shared" si="55"/>
        <v>10.264659882583173</v>
      </c>
      <c r="J112" s="386">
        <f t="shared" si="55"/>
        <v>3.567535087585084</v>
      </c>
      <c r="K112" s="386"/>
    </row>
    <row r="113" spans="2:11">
      <c r="B113" s="385" t="str">
        <f t="shared" si="54"/>
        <v>Options at $0.010 Strike Price</v>
      </c>
      <c r="D113" s="386">
        <f t="shared" si="55"/>
        <v>0</v>
      </c>
      <c r="E113" s="386">
        <f t="shared" si="55"/>
        <v>0</v>
      </c>
      <c r="F113" s="386">
        <f t="shared" si="55"/>
        <v>0</v>
      </c>
      <c r="G113" s="386">
        <f t="shared" si="55"/>
        <v>0</v>
      </c>
      <c r="H113" s="386">
        <f t="shared" si="55"/>
        <v>57.932000000000002</v>
      </c>
      <c r="I113" s="386">
        <f t="shared" si="55"/>
        <v>212.37581297064588</v>
      </c>
      <c r="J113" s="386">
        <f t="shared" si="55"/>
        <v>73.812300962135382</v>
      </c>
      <c r="K113" s="386"/>
    </row>
    <row r="114" spans="2:11">
      <c r="B114" s="385" t="str">
        <f t="shared" si="54"/>
        <v>Expected Options Grant</v>
      </c>
      <c r="D114" s="386">
        <f t="shared" si="55"/>
        <v>0</v>
      </c>
      <c r="E114" s="386">
        <f t="shared" si="55"/>
        <v>0</v>
      </c>
      <c r="F114" s="386">
        <f t="shared" si="55"/>
        <v>0</v>
      </c>
      <c r="G114" s="386">
        <f t="shared" si="55"/>
        <v>0</v>
      </c>
      <c r="H114" s="386">
        <f t="shared" si="55"/>
        <v>0</v>
      </c>
      <c r="I114" s="386">
        <f t="shared" si="55"/>
        <v>8046.3827117459123</v>
      </c>
      <c r="J114" s="386">
        <f t="shared" si="55"/>
        <v>2796.5615013702286</v>
      </c>
      <c r="K114" s="386"/>
    </row>
    <row r="115" spans="2:11">
      <c r="B115" s="385" t="str">
        <f t="shared" si="54"/>
        <v>Phantom Stock</v>
      </c>
      <c r="D115" s="386">
        <f t="shared" si="55"/>
        <v>0</v>
      </c>
      <c r="E115" s="386">
        <f t="shared" si="55"/>
        <v>0</v>
      </c>
      <c r="F115" s="386">
        <f t="shared" si="55"/>
        <v>0</v>
      </c>
      <c r="G115" s="386">
        <f t="shared" si="55"/>
        <v>0</v>
      </c>
      <c r="H115" s="386">
        <f t="shared" si="55"/>
        <v>0</v>
      </c>
      <c r="I115" s="386">
        <f t="shared" si="55"/>
        <v>1179.5213053015268</v>
      </c>
      <c r="J115" s="386">
        <f t="shared" si="55"/>
        <v>409.94866769598076</v>
      </c>
      <c r="K115" s="386"/>
    </row>
    <row r="116" spans="2:11">
      <c r="B116" s="385" t="str">
        <f t="shared" si="54"/>
        <v>Common Stock</v>
      </c>
      <c r="D116" s="386">
        <f t="shared" si="55"/>
        <v>0</v>
      </c>
      <c r="E116" s="386">
        <f t="shared" si="55"/>
        <v>0</v>
      </c>
      <c r="F116" s="386">
        <f t="shared" si="55"/>
        <v>15.422682000003988</v>
      </c>
      <c r="G116" s="386">
        <f t="shared" si="55"/>
        <v>138.80413800000329</v>
      </c>
      <c r="H116" s="386">
        <f t="shared" si="55"/>
        <v>4318.3509599999998</v>
      </c>
      <c r="I116" s="386">
        <f t="shared" si="55"/>
        <v>15830.858520723765</v>
      </c>
      <c r="J116" s="386">
        <f t="shared" si="55"/>
        <v>5502.0959179666888</v>
      </c>
      <c r="K116" s="386"/>
    </row>
    <row r="117" spans="2:11">
      <c r="D117" s="392"/>
      <c r="E117" s="392"/>
      <c r="F117" s="392"/>
      <c r="G117" s="392"/>
      <c r="H117" s="392"/>
      <c r="I117" s="392"/>
      <c r="J117" s="392"/>
      <c r="K117" s="392"/>
    </row>
    <row r="118" spans="2:11">
      <c r="B118" s="1015" t="s">
        <v>1481</v>
      </c>
      <c r="C118" s="6"/>
      <c r="D118" s="1016">
        <f t="shared" ref="D118:J118" si="56">D107</f>
        <v>1</v>
      </c>
      <c r="E118" s="1017">
        <f t="shared" si="56"/>
        <v>2</v>
      </c>
      <c r="F118" s="1017">
        <f t="shared" si="56"/>
        <v>3</v>
      </c>
      <c r="G118" s="1017">
        <f t="shared" si="56"/>
        <v>4</v>
      </c>
      <c r="H118" s="1017">
        <f t="shared" si="56"/>
        <v>5</v>
      </c>
      <c r="I118" s="1017">
        <f t="shared" si="56"/>
        <v>6</v>
      </c>
      <c r="J118" s="1017">
        <f t="shared" si="56"/>
        <v>7</v>
      </c>
      <c r="K118" s="1017"/>
    </row>
    <row r="119" spans="2:11">
      <c r="D119" s="392"/>
      <c r="E119" s="392"/>
      <c r="F119" s="392"/>
      <c r="G119" s="392"/>
      <c r="H119" s="392"/>
      <c r="I119" s="392"/>
      <c r="J119" s="392"/>
      <c r="K119" s="392"/>
    </row>
    <row r="120" spans="2:11">
      <c r="B120" s="385" t="str">
        <f>B109</f>
        <v>Series A</v>
      </c>
      <c r="D120" s="1884">
        <f>SUM($D109:D109)/$O26</f>
        <v>0</v>
      </c>
      <c r="E120" s="1884">
        <f>SUM($D109:E109)/$O26</f>
        <v>1.3164659882583165</v>
      </c>
      <c r="F120" s="1884">
        <f>SUM($D109:F109)/$O26</f>
        <v>1.3164659882583165</v>
      </c>
      <c r="G120" s="1884">
        <f>SUM($D109:G109)/$O26</f>
        <v>1.3164659882583165</v>
      </c>
      <c r="H120" s="1884">
        <f>SUM($D109:H109)/$O26</f>
        <v>1.3164659882583165</v>
      </c>
      <c r="I120" s="1884">
        <f>SUM($D109:I109)/$O26</f>
        <v>1.3164659882583165</v>
      </c>
      <c r="J120" s="1884">
        <f>SUM($D109:J109)/$O26</f>
        <v>1.6732194970168248</v>
      </c>
      <c r="K120" s="1884"/>
    </row>
    <row r="121" spans="2:11">
      <c r="B121" s="385" t="str">
        <f>B110</f>
        <v>Series B - Tranche I</v>
      </c>
      <c r="D121" s="1884">
        <f>SUM($D110:D110)/$O27</f>
        <v>1.6763332859178084</v>
      </c>
      <c r="E121" s="1884">
        <f>SUM($D110:E110)/$O27</f>
        <v>1.6763332859178084</v>
      </c>
      <c r="F121" s="1884">
        <f>SUM($D110:F110)/$O27</f>
        <v>1.6763332859178084</v>
      </c>
      <c r="G121" s="1884">
        <f>SUM($D110:G110)/$O27</f>
        <v>1.6763332859178084</v>
      </c>
      <c r="H121" s="1884">
        <f>SUM($D110:H110)/$O27</f>
        <v>1.6763332859178084</v>
      </c>
      <c r="I121" s="1884">
        <f>SUM($D110:I110)/$O27</f>
        <v>1.6763332859178084</v>
      </c>
      <c r="J121" s="1884">
        <f>SUM($D110:J110)/$O27</f>
        <v>1.6763332859178084</v>
      </c>
      <c r="K121" s="1884"/>
    </row>
    <row r="122" spans="2:11" outlineLevel="1">
      <c r="B122" s="385" t="str">
        <f>B111</f>
        <v>Series B - Tranche II</v>
      </c>
      <c r="D122" s="1884">
        <f>SUM($D111:D111)/$O28</f>
        <v>1.6485729790684933</v>
      </c>
      <c r="E122" s="1884">
        <f>SUM($D111:E111)/$O28</f>
        <v>1.6485729790684933</v>
      </c>
      <c r="F122" s="1884">
        <f>SUM($D111:F111)/$O28</f>
        <v>1.6485729790684933</v>
      </c>
      <c r="G122" s="1884">
        <f>SUM($D111:G111)/$O28</f>
        <v>1.6485729790684933</v>
      </c>
      <c r="H122" s="1884">
        <f>SUM($D111:H111)/$O28</f>
        <v>1.6485729790684933</v>
      </c>
      <c r="I122" s="1884">
        <f>SUM($D111:I111)/$O28</f>
        <v>1.6485729790684933</v>
      </c>
      <c r="J122" s="1884">
        <f>SUM($D111:J111)/$O28</f>
        <v>1.6485729790684933</v>
      </c>
      <c r="K122" s="1884"/>
    </row>
    <row r="123" spans="2:11">
      <c r="B123" s="385" t="str">
        <f>B112</f>
        <v>Options at $0.001 Strike Price</v>
      </c>
      <c r="D123" s="1884">
        <f>SUM($D112:D112)/$O29</f>
        <v>0</v>
      </c>
      <c r="E123" s="1884">
        <f>SUM($D112:E112)/$O29</f>
        <v>0</v>
      </c>
      <c r="F123" s="1884">
        <f>SUM($D112:F112)/$O29</f>
        <v>0</v>
      </c>
      <c r="G123" s="1884">
        <f>SUM($D112:G112)/$O29</f>
        <v>9.0000000000002127E-3</v>
      </c>
      <c r="H123" s="1884">
        <f>SUM($D112:H112)/$O29</f>
        <v>0.2890000000000002</v>
      </c>
      <c r="I123" s="1884">
        <f>SUM($D112:I112)/$O29</f>
        <v>1.3154659882583175</v>
      </c>
      <c r="J123" s="1884">
        <f>SUM($D112:J112)/$O29</f>
        <v>1.672219497016826</v>
      </c>
      <c r="K123" s="1884"/>
    </row>
    <row r="124" spans="2:11">
      <c r="B124" s="385" t="str">
        <f>B113</f>
        <v>Options at $0.010 Strike Price</v>
      </c>
      <c r="D124" s="1884">
        <f>SUM($D113:D113)/$O30</f>
        <v>0</v>
      </c>
      <c r="E124" s="1884">
        <f>SUM($D113:E113)/$O30</f>
        <v>0</v>
      </c>
      <c r="F124" s="1884">
        <f>SUM($D113:F113)/$O30</f>
        <v>0</v>
      </c>
      <c r="G124" s="1884">
        <f>SUM($D113:G113)/$O30</f>
        <v>0</v>
      </c>
      <c r="H124" s="1884">
        <f>SUM($D113:H113)/$O30</f>
        <v>0.28000000000000003</v>
      </c>
      <c r="I124" s="1884">
        <f>SUM($D113:I113)/$O30</f>
        <v>1.3064659882583174</v>
      </c>
      <c r="J124" s="1884">
        <f>SUM($D113:J113)/$O30</f>
        <v>1.6632194970168259</v>
      </c>
      <c r="K124" s="1884"/>
    </row>
    <row r="125" spans="2:11">
      <c r="B125" s="385" t="str">
        <f t="shared" ref="B125:B126" si="57">B114</f>
        <v>Expected Options Grant</v>
      </c>
      <c r="D125" s="1884">
        <f>SUM($D114:D114)/$O31</f>
        <v>0</v>
      </c>
      <c r="E125" s="1884">
        <f>SUM($D114:E114)/$O31</f>
        <v>0</v>
      </c>
      <c r="F125" s="1884">
        <f>SUM($D114:F114)/$O31</f>
        <v>0</v>
      </c>
      <c r="G125" s="1884">
        <f>SUM($D114:G114)/$O31</f>
        <v>0</v>
      </c>
      <c r="H125" s="1884">
        <f>SUM($D114:H114)/$O31</f>
        <v>0</v>
      </c>
      <c r="I125" s="1884">
        <f>SUM($D114:I114)/$O31</f>
        <v>1.0264659882583174</v>
      </c>
      <c r="J125" s="1884">
        <f>SUM($D114:J114)/$O31</f>
        <v>1.3832194970168257</v>
      </c>
      <c r="K125" s="1884"/>
    </row>
    <row r="126" spans="2:11" ht="13.5" thickBot="1">
      <c r="B126" s="385" t="str">
        <f t="shared" si="57"/>
        <v>Phantom Stock</v>
      </c>
      <c r="D126" s="1884">
        <f>SUM($D115:D115)/$O32</f>
        <v>0</v>
      </c>
      <c r="E126" s="1884">
        <f>SUM($D115:E115)/$O32</f>
        <v>0</v>
      </c>
      <c r="F126" s="1884">
        <f>SUM($D115:F115)/$O32</f>
        <v>0</v>
      </c>
      <c r="G126" s="1884">
        <f>SUM($D115:G115)/$O32</f>
        <v>0</v>
      </c>
      <c r="H126" s="1884">
        <f>SUM($D115:H115)/$O32</f>
        <v>0</v>
      </c>
      <c r="I126" s="1884">
        <f>SUM($D115:I115)/$O32</f>
        <v>1.0264659882583174</v>
      </c>
      <c r="J126" s="1884">
        <f>SUM($D115:J115)/$O32</f>
        <v>1.3832194970168257</v>
      </c>
      <c r="K126" s="1884"/>
    </row>
    <row r="127" spans="2:11" ht="13.5" thickBot="1">
      <c r="B127" s="1882" t="str">
        <f t="shared" ref="B127" si="58">B116</f>
        <v>Common Stock</v>
      </c>
      <c r="C127" s="1883"/>
      <c r="D127" s="1894">
        <f>SUM($D116:D116)/$O33</f>
        <v>0</v>
      </c>
      <c r="E127" s="1894">
        <f>SUM($D116:E116)/$O33</f>
        <v>0</v>
      </c>
      <c r="F127" s="1894">
        <f>SUM($D116:F116)/$O33</f>
        <v>1.0000000000002585E-3</v>
      </c>
      <c r="G127" s="1894">
        <f>SUM($D116:G116)/$O33</f>
        <v>1.0000000000000472E-2</v>
      </c>
      <c r="H127" s="1894">
        <f>SUM($D116:H116)/$O33</f>
        <v>0.29000000000000042</v>
      </c>
      <c r="I127" s="1894">
        <f>SUM($D116:I116)/$O33</f>
        <v>1.3164659882583178</v>
      </c>
      <c r="J127" s="1894">
        <f>SUM($D116:J116)/$O33</f>
        <v>1.6732194970168262</v>
      </c>
      <c r="K127" s="1895"/>
    </row>
    <row r="128" spans="2:11">
      <c r="D128" s="392"/>
      <c r="E128" s="392"/>
      <c r="F128" s="392"/>
      <c r="G128" s="392"/>
      <c r="H128" s="392"/>
      <c r="I128" s="392"/>
      <c r="J128" s="392"/>
      <c r="K128" s="392"/>
    </row>
    <row r="129" spans="2:11">
      <c r="D129" s="392"/>
      <c r="E129" s="392"/>
      <c r="F129" s="1884">
        <f>G37</f>
        <v>1E-3</v>
      </c>
      <c r="G129" s="1884">
        <f t="shared" ref="G129:J129" si="59">H37</f>
        <v>0.01</v>
      </c>
      <c r="H129" s="1884">
        <f t="shared" si="59"/>
        <v>0.28999999999999998</v>
      </c>
      <c r="I129" s="1884">
        <f t="shared" si="59"/>
        <v>1.316465988258317</v>
      </c>
      <c r="J129" s="1884">
        <f t="shared" si="59"/>
        <v>1.6732194970168255</v>
      </c>
      <c r="K129" s="1884"/>
    </row>
    <row r="130" spans="2:11">
      <c r="D130" s="392"/>
      <c r="E130" s="392"/>
      <c r="F130" s="392"/>
      <c r="G130" s="392"/>
      <c r="H130" s="392"/>
      <c r="I130" s="392"/>
      <c r="J130" s="392"/>
      <c r="K130" s="392"/>
    </row>
    <row r="131" spans="2:11">
      <c r="D131" s="392">
        <f t="shared" ref="D131:J131" si="60">NORMSDIST(D51)</f>
        <v>1</v>
      </c>
      <c r="E131" s="392">
        <f t="shared" si="60"/>
        <v>0.84593387868045045</v>
      </c>
      <c r="F131" s="392">
        <f t="shared" si="60"/>
        <v>0.69228910790282416</v>
      </c>
      <c r="G131" s="392">
        <f t="shared" si="60"/>
        <v>0.69226082714198933</v>
      </c>
      <c r="H131" s="392">
        <f t="shared" si="60"/>
        <v>0.69200620752372655</v>
      </c>
      <c r="I131" s="392">
        <f t="shared" si="60"/>
        <v>0.68404494435567076</v>
      </c>
      <c r="J131" s="392">
        <f t="shared" si="60"/>
        <v>0.64052950050382629</v>
      </c>
      <c r="K131" s="392"/>
    </row>
    <row r="132" spans="2:11">
      <c r="B132" s="385" t="s">
        <v>1150</v>
      </c>
      <c r="D132" s="872">
        <f>D131-F131</f>
        <v>0.30771089209717584</v>
      </c>
      <c r="E132" s="392"/>
      <c r="F132" s="392"/>
      <c r="G132" s="392"/>
      <c r="H132" s="392"/>
      <c r="I132" s="392"/>
      <c r="J132" s="392"/>
      <c r="K132" s="392"/>
    </row>
  </sheetData>
  <conditionalFormatting sqref="B4:I4">
    <cfRule type="cellIs" dxfId="59" priority="13" stopIfTrue="1" operator="equal">
      <formula>"input"</formula>
    </cfRule>
  </conditionalFormatting>
  <conditionalFormatting sqref="J4">
    <cfRule type="cellIs" dxfId="58" priority="11" stopIfTrue="1" operator="equal">
      <formula>"input"</formula>
    </cfRule>
  </conditionalFormatting>
  <conditionalFormatting sqref="J4">
    <cfRule type="cellIs" dxfId="57" priority="12" stopIfTrue="1" operator="equal">
      <formula>"input"</formula>
    </cfRule>
  </conditionalFormatting>
  <conditionalFormatting sqref="K4">
    <cfRule type="cellIs" dxfId="56" priority="1" stopIfTrue="1" operator="equal">
      <formula>"input"</formula>
    </cfRule>
  </conditionalFormatting>
  <conditionalFormatting sqref="K4">
    <cfRule type="cellIs" dxfId="55" priority="2" stopIfTrue="1" operator="equal">
      <formula>"input"</formula>
    </cfRule>
  </conditionalFormatting>
  <pageMargins left="0.5" right="0.5" top="0.5" bottom="0.5" header="0.5" footer="0.5"/>
  <pageSetup scale="70" fitToWidth="0" fitToHeight="0" pageOrder="overThenDown" orientation="landscape" r:id="rId1"/>
  <rowBreaks count="3" manualBreakCount="3">
    <brk id="44" max="16383" man="1"/>
    <brk id="75" max="16383" man="1"/>
    <brk id="102" max="11" man="1"/>
  </rowBreaks>
  <legacyDrawing r:id="rId2"/>
  <legacyDrawingHF r:id="rId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41"/>
  <sheetViews>
    <sheetView showGridLines="0" view="pageBreakPreview" zoomScaleNormal="100" zoomScaleSheetLayoutView="100" workbookViewId="0">
      <selection activeCell="Q6" sqref="Q6"/>
    </sheetView>
  </sheetViews>
  <sheetFormatPr defaultRowHeight="12.75"/>
  <cols>
    <col min="1" max="1" width="4.5" style="385" customWidth="1"/>
    <col min="2" max="2" width="31.33203125" style="385" customWidth="1"/>
    <col min="3" max="3" width="2.83203125" style="385" customWidth="1"/>
    <col min="4" max="4" width="19.5" style="385" customWidth="1"/>
    <col min="5" max="5" width="2.83203125" style="385" customWidth="1"/>
    <col min="6" max="6" width="19.5" style="385" customWidth="1"/>
    <col min="7" max="7" width="2.83203125" style="385" customWidth="1"/>
    <col min="8" max="8" width="19.5" style="385" customWidth="1"/>
    <col min="9" max="9" width="2.83203125" style="385" customWidth="1"/>
    <col min="10" max="10" width="19.5" style="385" customWidth="1"/>
    <col min="11" max="11" width="2.83203125" style="385" customWidth="1"/>
    <col min="12" max="12" width="19.5" style="385" customWidth="1"/>
    <col min="13" max="13" width="4.5" style="385" customWidth="1"/>
    <col min="14" max="14" width="9.33203125" style="385"/>
    <col min="15" max="15" width="15.33203125" style="385" bestFit="1" customWidth="1"/>
    <col min="16" max="16" width="11.5" style="385" bestFit="1" customWidth="1"/>
    <col min="17" max="17" width="9.33203125" style="385"/>
    <col min="18" max="18" width="10.6640625" style="385" customWidth="1"/>
    <col min="19" max="16384" width="9.33203125" style="385"/>
  </cols>
  <sheetData>
    <row r="1" spans="2:17" ht="10.7" customHeight="1" thickBot="1"/>
    <row r="2" spans="2:17" ht="16.5" customHeight="1" thickTop="1">
      <c r="B2" s="10" t="str">
        <f>'MASTER PubCo Inputs'!$C$5</f>
        <v>Pliant Therapeutics, Inc.</v>
      </c>
      <c r="C2" s="10"/>
      <c r="D2" s="10"/>
      <c r="E2" s="10"/>
      <c r="F2" s="10"/>
      <c r="G2" s="10"/>
      <c r="H2" s="10"/>
      <c r="I2" s="10"/>
      <c r="J2" s="10"/>
      <c r="K2" s="10"/>
      <c r="L2" s="10"/>
      <c r="O2" s="795" t="s">
        <v>474</v>
      </c>
      <c r="P2" s="796"/>
    </row>
    <row r="3" spans="2:17" ht="15.75" customHeight="1">
      <c r="B3" s="11" t="e">
        <f>VLOOKUP(B4,Outline!$E$8:$G$69,COLUMNS(Outline!$E$8:$G$8),FALSE)</f>
        <v>#N/A</v>
      </c>
      <c r="C3" s="11"/>
      <c r="D3" s="11"/>
      <c r="E3" s="11"/>
      <c r="F3" s="11"/>
      <c r="G3" s="11"/>
      <c r="H3" s="11"/>
      <c r="I3" s="11"/>
      <c r="J3" s="11"/>
      <c r="K3" s="11"/>
      <c r="L3" s="11"/>
      <c r="O3" s="791" t="str">
        <f>'Econ Rights'!F6</f>
        <v>Series B Tranche II</v>
      </c>
      <c r="P3" s="792"/>
    </row>
    <row r="4" spans="2:17" ht="16.5" customHeight="1" thickBot="1">
      <c r="B4" s="12" t="s">
        <v>243</v>
      </c>
      <c r="C4" s="12"/>
      <c r="D4" s="12"/>
      <c r="E4" s="12"/>
      <c r="F4" s="12"/>
      <c r="G4" s="12"/>
      <c r="H4" s="12"/>
      <c r="I4" s="12"/>
      <c r="J4" s="13"/>
      <c r="K4" s="13"/>
      <c r="L4" s="13" t="str">
        <f>+'MASTER PubCo Inputs'!$C$20</f>
        <v>(in thousands of USD and shares, except price per share)</v>
      </c>
      <c r="O4" s="335" t="s">
        <v>1055</v>
      </c>
      <c r="P4" s="793">
        <f>'Econ Rights'!F11</f>
        <v>1.3767</v>
      </c>
    </row>
    <row r="5" spans="2:17" s="16" customFormat="1" ht="12.75" customHeight="1" thickTop="1">
      <c r="B5" s="385"/>
      <c r="C5" s="385"/>
      <c r="D5" s="385"/>
      <c r="E5" s="385"/>
      <c r="F5" s="385"/>
      <c r="G5" s="385"/>
      <c r="H5" s="385"/>
      <c r="I5" s="385"/>
      <c r="J5" s="385"/>
      <c r="K5" s="385"/>
      <c r="L5" s="385"/>
      <c r="M5" s="385"/>
      <c r="O5" s="335" t="s">
        <v>1056</v>
      </c>
      <c r="P5" s="200">
        <f>H11</f>
        <v>1.3767000007401002</v>
      </c>
    </row>
    <row r="6" spans="2:17" ht="12.75" customHeight="1">
      <c r="O6" s="771" t="s">
        <v>1057</v>
      </c>
      <c r="P6" s="797">
        <f>P5-P4</f>
        <v>7.4010020334469573E-10</v>
      </c>
      <c r="Q6" s="496" t="str">
        <f>IF(OR(P6&lt;-0.01,P6&gt;0.01),"Check","")</f>
        <v/>
      </c>
    </row>
    <row r="7" spans="2:17" ht="12.75" customHeight="1">
      <c r="B7" s="558" t="s">
        <v>240</v>
      </c>
      <c r="C7" s="162"/>
      <c r="D7" s="556" t="s">
        <v>166</v>
      </c>
      <c r="E7" s="556"/>
      <c r="F7" s="556" t="s">
        <v>164</v>
      </c>
      <c r="G7" s="556"/>
      <c r="H7" s="556" t="s">
        <v>241</v>
      </c>
      <c r="I7" s="556"/>
      <c r="J7" s="556" t="s">
        <v>627</v>
      </c>
      <c r="K7" s="556"/>
      <c r="L7" s="557" t="s">
        <v>242</v>
      </c>
      <c r="O7" s="78" t="s">
        <v>216</v>
      </c>
      <c r="P7" s="794">
        <v>130627.93102519032</v>
      </c>
    </row>
    <row r="8" spans="2:17" ht="6" customHeight="1"/>
    <row r="9" spans="2:17" ht="12.75" customHeight="1">
      <c r="B9" s="385" t="str">
        <f>'OPM 1'!B92</f>
        <v>Series A</v>
      </c>
      <c r="D9" s="431">
        <f>'OPM 1'!$M92</f>
        <v>44049.624395543025</v>
      </c>
      <c r="E9" s="802"/>
      <c r="F9" s="431">
        <f>'OPM 1'!O26</f>
        <v>56000</v>
      </c>
      <c r="G9" s="4"/>
      <c r="H9" s="163">
        <f t="shared" ref="H9:H11" si="0">D9/F9</f>
        <v>0.78660043563469684</v>
      </c>
      <c r="I9" s="163"/>
      <c r="J9" s="164"/>
      <c r="K9" s="165"/>
      <c r="L9" s="164"/>
    </row>
    <row r="10" spans="2:17" ht="12.75" customHeight="1">
      <c r="B10" s="385" t="str">
        <f>'OPM 1'!B93</f>
        <v>Series B - Tranche I</v>
      </c>
      <c r="D10" s="431">
        <f>'OPM 1'!$M93</f>
        <v>62940.284233358616</v>
      </c>
      <c r="E10" s="802"/>
      <c r="F10" s="431">
        <f>'OPM 1'!O27</f>
        <v>45142.960008861766</v>
      </c>
      <c r="G10" s="4"/>
      <c r="H10" s="163">
        <f t="shared" si="0"/>
        <v>1.3942436256063659</v>
      </c>
      <c r="I10" s="163"/>
      <c r="J10" s="164"/>
      <c r="K10" s="165"/>
      <c r="L10" s="164"/>
    </row>
    <row r="11" spans="2:17" ht="12.75" customHeight="1">
      <c r="B11" s="385" t="str">
        <f>'OPM 1'!B94</f>
        <v>Series B - Tranche II</v>
      </c>
      <c r="D11" s="431">
        <f>'OPM 1'!$M94</f>
        <v>7851.6863064209883</v>
      </c>
      <c r="E11" s="802"/>
      <c r="F11" s="431">
        <f>'OPM 1'!O28</f>
        <v>5703.2659999999996</v>
      </c>
      <c r="G11" s="4"/>
      <c r="H11" s="163">
        <f t="shared" si="0"/>
        <v>1.3767000007401002</v>
      </c>
      <c r="I11" s="163"/>
      <c r="J11" s="164"/>
      <c r="K11" s="165"/>
      <c r="L11" s="164"/>
    </row>
    <row r="12" spans="2:17" ht="12.75" customHeight="1">
      <c r="B12" s="385" t="s">
        <v>1910</v>
      </c>
      <c r="D12" s="431">
        <f>SUM('OPM 1'!M95:M97)</f>
        <v>4850.7988617381507</v>
      </c>
      <c r="E12" s="802"/>
      <c r="F12" s="431">
        <f>SUM('OPM 1'!O29:O32)</f>
        <v>9204.9269999999997</v>
      </c>
      <c r="G12" s="4"/>
      <c r="H12" s="163">
        <f t="shared" ref="H12:H14" si="1">D12/F12</f>
        <v>0.52697852592835892</v>
      </c>
      <c r="I12" s="163"/>
      <c r="J12" s="164"/>
      <c r="K12" s="165"/>
      <c r="L12" s="164"/>
    </row>
    <row r="13" spans="2:17" ht="12.75" customHeight="1">
      <c r="B13" s="385" t="str">
        <f>'OPM 1'!B98</f>
        <v>Phantom Stock</v>
      </c>
      <c r="C13" s="441"/>
      <c r="D13" s="431">
        <f>'OPM 1'!M98</f>
        <v>690.02575235487484</v>
      </c>
      <c r="E13" s="802"/>
      <c r="F13" s="431">
        <f>'OPM 1'!O32</f>
        <v>1149.1089999999999</v>
      </c>
      <c r="G13" s="4"/>
      <c r="H13" s="1363">
        <f t="shared" ref="H13" si="2">D13/F13</f>
        <v>0.60048764073284155</v>
      </c>
      <c r="I13" s="163"/>
      <c r="J13" s="164"/>
      <c r="K13" s="165"/>
      <c r="L13" s="164"/>
    </row>
    <row r="14" spans="2:17" ht="12.75" customHeight="1">
      <c r="B14" s="385" t="str">
        <f>'OPM 1'!B99</f>
        <v>Common Stock</v>
      </c>
      <c r="C14" s="441"/>
      <c r="D14" s="431">
        <f>'OPM 1'!M99</f>
        <v>10245.511475774587</v>
      </c>
      <c r="E14" s="802"/>
      <c r="F14" s="431">
        <f>'OPM 1'!O33</f>
        <v>15422.682000000001</v>
      </c>
      <c r="G14" s="4"/>
      <c r="H14" s="1363">
        <f t="shared" si="1"/>
        <v>0.66431451259739305</v>
      </c>
      <c r="I14" s="163"/>
      <c r="J14" s="1404">
        <f ca="1">'Hybrid OPM'!D13</f>
        <v>0.4</v>
      </c>
      <c r="K14" s="165"/>
      <c r="L14" s="163">
        <f ca="1">H14*(1-J14)</f>
        <v>0.39858870755843584</v>
      </c>
    </row>
    <row r="15" spans="2:17" ht="12.75" customHeight="1">
      <c r="B15" s="5"/>
      <c r="C15" s="5"/>
      <c r="D15" s="166"/>
      <c r="E15" s="166"/>
      <c r="F15" s="166"/>
      <c r="G15" s="5"/>
      <c r="H15" s="167"/>
      <c r="I15" s="5"/>
      <c r="J15" s="167"/>
      <c r="K15" s="167"/>
      <c r="L15" s="167"/>
    </row>
    <row r="16" spans="2:17" ht="12.75" customHeight="1">
      <c r="B16" s="1" t="str">
        <f>'OPM 1'!B101</f>
        <v>Total Tranche Value</v>
      </c>
      <c r="D16" s="168">
        <f>SUM(D9:D14)</f>
        <v>130627.93102519025</v>
      </c>
      <c r="E16" s="91"/>
      <c r="F16" s="168">
        <f>SUM(F9:F14)</f>
        <v>132622.94400886176</v>
      </c>
      <c r="H16" s="169"/>
      <c r="J16" s="169"/>
      <c r="K16" s="169"/>
      <c r="L16" s="169"/>
    </row>
    <row r="17" spans="1:23" ht="12.75" customHeight="1"/>
    <row r="18" spans="1:23" ht="12.75" customHeight="1">
      <c r="B18" s="385" t="s">
        <v>2072</v>
      </c>
      <c r="D18" s="91">
        <f>-D11</f>
        <v>-7851.6863064209883</v>
      </c>
      <c r="F18" s="91">
        <f>-F11</f>
        <v>-5703.2659999999996</v>
      </c>
    </row>
    <row r="19" spans="1:23" ht="12.75" customHeight="1"/>
    <row r="20" spans="1:23" ht="12.75" customHeight="1">
      <c r="B20" s="1380" t="s">
        <v>2073</v>
      </c>
      <c r="C20" s="1541"/>
      <c r="D20" s="1381">
        <f>SUM(D16:D18)</f>
        <v>122776.24471876926</v>
      </c>
      <c r="E20" s="1380"/>
      <c r="F20" s="1381">
        <f>SUM(F16:F18)</f>
        <v>126919.67800886175</v>
      </c>
    </row>
    <row r="21" spans="1:23" ht="12.75" customHeight="1"/>
    <row r="22" spans="1:23" ht="12.75" customHeight="1">
      <c r="B22" s="8" t="s">
        <v>21</v>
      </c>
    </row>
    <row r="23" spans="1:23" ht="12.75" customHeight="1">
      <c r="A23" s="714" t="s">
        <v>133</v>
      </c>
      <c r="B23" s="745" t="str">
        <f>"Refer to "&amp;'PWERM DLOM'!B3&amp;" for DLOM calculations."</f>
        <v>Refer to Exhibit H.1 for DLOM calculations.</v>
      </c>
      <c r="O23" s="16"/>
      <c r="P23" s="16"/>
      <c r="Q23" s="16"/>
      <c r="R23" s="16"/>
      <c r="S23" s="16"/>
      <c r="T23" s="16"/>
      <c r="U23" s="16"/>
      <c r="V23" s="16"/>
      <c r="W23" s="16"/>
    </row>
    <row r="24" spans="1:23" ht="12.75" customHeight="1">
      <c r="O24" s="942"/>
      <c r="P24" s="16"/>
      <c r="Q24" s="16"/>
      <c r="R24" s="16"/>
      <c r="S24" s="16"/>
      <c r="T24" s="16"/>
      <c r="U24" s="16"/>
      <c r="V24" s="16"/>
      <c r="W24" s="16"/>
    </row>
    <row r="25" spans="1:23">
      <c r="D25" s="959"/>
      <c r="O25" s="16"/>
      <c r="P25" s="16"/>
      <c r="Q25" s="16"/>
      <c r="R25" s="16"/>
      <c r="S25" s="16"/>
      <c r="T25" s="16"/>
      <c r="U25" s="16"/>
      <c r="V25" s="16"/>
      <c r="W25" s="16"/>
    </row>
    <row r="26" spans="1:23">
      <c r="B26" s="385" t="s">
        <v>1238</v>
      </c>
      <c r="D26" s="960" t="str">
        <f>IF((D16&lt;&gt;'OPM 1'!M101),"Check","")</f>
        <v/>
      </c>
      <c r="O26" s="16"/>
      <c r="P26" s="16"/>
      <c r="Q26" s="16"/>
      <c r="R26" s="925"/>
      <c r="S26" s="16"/>
      <c r="T26" s="16"/>
      <c r="U26" s="16"/>
      <c r="V26" s="16"/>
      <c r="W26" s="16"/>
    </row>
    <row r="27" spans="1:23">
      <c r="O27" s="898"/>
      <c r="P27" s="16"/>
      <c r="Q27" s="16"/>
      <c r="R27" s="16"/>
      <c r="S27" s="16"/>
      <c r="T27" s="16"/>
      <c r="U27" s="16"/>
      <c r="V27" s="16"/>
      <c r="W27" s="16"/>
    </row>
    <row r="28" spans="1:23">
      <c r="O28" s="898"/>
      <c r="P28" s="16"/>
      <c r="Q28" s="16"/>
      <c r="R28" s="16"/>
      <c r="S28" s="16"/>
      <c r="T28" s="16"/>
      <c r="U28" s="16"/>
      <c r="V28" s="16"/>
      <c r="W28" s="16"/>
    </row>
    <row r="29" spans="1:23">
      <c r="O29" s="1018"/>
      <c r="P29" s="16"/>
      <c r="Q29" s="16"/>
      <c r="R29" s="871"/>
      <c r="S29" s="16"/>
      <c r="T29" s="16"/>
      <c r="U29" s="16"/>
      <c r="V29" s="16"/>
      <c r="W29" s="16"/>
    </row>
    <row r="30" spans="1:23">
      <c r="O30" s="898"/>
      <c r="P30" s="16"/>
      <c r="Q30" s="16"/>
      <c r="R30" s="16"/>
      <c r="S30" s="16"/>
      <c r="T30" s="16"/>
      <c r="U30" s="16"/>
      <c r="V30" s="16"/>
      <c r="W30" s="16"/>
    </row>
    <row r="31" spans="1:23">
      <c r="O31" s="898"/>
      <c r="P31" s="16"/>
      <c r="Q31" s="16"/>
      <c r="R31" s="16"/>
      <c r="S31" s="16"/>
      <c r="T31" s="16"/>
      <c r="U31" s="16"/>
      <c r="V31" s="16"/>
      <c r="W31" s="16"/>
    </row>
    <row r="32" spans="1:23">
      <c r="O32" s="16"/>
      <c r="P32" s="16"/>
      <c r="Q32" s="16"/>
      <c r="R32" s="16"/>
      <c r="S32" s="16"/>
      <c r="T32" s="16"/>
      <c r="U32" s="16"/>
      <c r="V32" s="16"/>
      <c r="W32" s="16"/>
    </row>
    <row r="33" spans="15:23">
      <c r="O33" s="16"/>
      <c r="P33" s="16"/>
      <c r="Q33" s="16"/>
      <c r="R33" s="16"/>
      <c r="S33" s="16"/>
      <c r="T33" s="16"/>
      <c r="U33" s="16"/>
      <c r="V33" s="16"/>
      <c r="W33" s="16"/>
    </row>
    <row r="34" spans="15:23">
      <c r="O34" s="16"/>
      <c r="P34" s="16"/>
      <c r="Q34" s="16"/>
      <c r="R34" s="925"/>
      <c r="S34" s="16"/>
      <c r="T34" s="16"/>
      <c r="U34" s="16"/>
      <c r="V34" s="16"/>
      <c r="W34" s="16"/>
    </row>
    <row r="35" spans="15:23">
      <c r="O35" s="947"/>
      <c r="P35" s="16"/>
      <c r="Q35" s="16"/>
      <c r="R35" s="16"/>
      <c r="S35" s="16"/>
      <c r="T35" s="16"/>
      <c r="U35" s="16"/>
      <c r="V35" s="16"/>
      <c r="W35" s="16"/>
    </row>
    <row r="36" spans="15:23">
      <c r="O36" s="947"/>
      <c r="P36" s="16"/>
      <c r="Q36" s="16"/>
      <c r="R36" s="16"/>
      <c r="S36" s="16"/>
      <c r="T36" s="16"/>
      <c r="U36" s="16"/>
      <c r="V36" s="16"/>
      <c r="W36" s="16"/>
    </row>
    <row r="37" spans="15:23">
      <c r="O37" s="1019"/>
      <c r="P37" s="16"/>
      <c r="Q37" s="16"/>
      <c r="R37" s="871"/>
      <c r="S37" s="16"/>
      <c r="T37" s="16"/>
      <c r="U37" s="16"/>
      <c r="V37" s="16"/>
      <c r="W37" s="16"/>
    </row>
    <row r="38" spans="15:23">
      <c r="O38" s="947"/>
      <c r="P38" s="16"/>
      <c r="Q38" s="16"/>
      <c r="R38" s="16"/>
      <c r="S38" s="16"/>
      <c r="T38" s="16"/>
      <c r="U38" s="16"/>
      <c r="V38" s="16"/>
      <c r="W38" s="16"/>
    </row>
    <row r="39" spans="15:23">
      <c r="O39" s="947"/>
      <c r="P39" s="16"/>
      <c r="Q39" s="16"/>
      <c r="R39" s="16"/>
      <c r="S39" s="16"/>
      <c r="T39" s="16"/>
      <c r="U39" s="16"/>
      <c r="V39" s="16"/>
      <c r="W39" s="16"/>
    </row>
    <row r="40" spans="15:23">
      <c r="O40" s="16"/>
      <c r="P40" s="16"/>
      <c r="Q40" s="16"/>
      <c r="R40" s="16"/>
      <c r="S40" s="16"/>
      <c r="T40" s="16"/>
      <c r="U40" s="16"/>
      <c r="V40" s="16"/>
      <c r="W40" s="16"/>
    </row>
    <row r="41" spans="15:23">
      <c r="O41" s="16"/>
      <c r="P41" s="16"/>
      <c r="Q41" s="16"/>
      <c r="R41" s="16"/>
      <c r="S41" s="16"/>
      <c r="T41" s="16"/>
      <c r="U41" s="16"/>
      <c r="V41" s="16"/>
      <c r="W41" s="16"/>
    </row>
  </sheetData>
  <dataConsolidate/>
  <conditionalFormatting sqref="B4:I4">
    <cfRule type="cellIs" dxfId="54" priority="9" stopIfTrue="1" operator="equal">
      <formula>"input"</formula>
    </cfRule>
  </conditionalFormatting>
  <conditionalFormatting sqref="J4">
    <cfRule type="cellIs" dxfId="53" priority="7" stopIfTrue="1" operator="equal">
      <formula>"input"</formula>
    </cfRule>
  </conditionalFormatting>
  <conditionalFormatting sqref="J4">
    <cfRule type="cellIs" dxfId="52" priority="8" stopIfTrue="1" operator="equal">
      <formula>"input"</formula>
    </cfRule>
  </conditionalFormatting>
  <conditionalFormatting sqref="K4">
    <cfRule type="cellIs" dxfId="51" priority="5" stopIfTrue="1" operator="equal">
      <formula>"input"</formula>
    </cfRule>
  </conditionalFormatting>
  <conditionalFormatting sqref="K4">
    <cfRule type="cellIs" dxfId="50" priority="6" stopIfTrue="1" operator="equal">
      <formula>"input"</formula>
    </cfRule>
  </conditionalFormatting>
  <conditionalFormatting sqref="L4">
    <cfRule type="cellIs" dxfId="49" priority="1" stopIfTrue="1" operator="equal">
      <formula>"input"</formula>
    </cfRule>
  </conditionalFormatting>
  <conditionalFormatting sqref="L4">
    <cfRule type="cellIs" dxfId="48" priority="2" stopIfTrue="1" operator="equal">
      <formula>"input"</formula>
    </cfRule>
  </conditionalFormatting>
  <pageMargins left="0.5" right="0.5" top="0.5" bottom="0.5" header="0.5" footer="0.5"/>
  <pageSetup fitToWidth="0" fitToHeight="0" orientation="landscape" r:id="rId1"/>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AI58"/>
  <sheetViews>
    <sheetView showGridLines="0" view="pageBreakPreview" zoomScale="85" zoomScaleNormal="100" zoomScaleSheetLayoutView="85" workbookViewId="0"/>
  </sheetViews>
  <sheetFormatPr defaultRowHeight="12.75" outlineLevelRow="1" outlineLevelCol="1"/>
  <cols>
    <col min="1" max="1" width="4.5" style="385" customWidth="1"/>
    <col min="2" max="2" width="42.1640625" style="385" customWidth="1"/>
    <col min="3" max="3" width="2.83203125" style="385" customWidth="1"/>
    <col min="4" max="4" width="12" style="385" bestFit="1" customWidth="1"/>
    <col min="5" max="5" width="10.83203125" style="385" hidden="1" customWidth="1" outlineLevel="1"/>
    <col min="6" max="7" width="9.83203125" style="385" hidden="1" customWidth="1" outlineLevel="1"/>
    <col min="8" max="8" width="12.83203125" style="385" customWidth="1" collapsed="1"/>
    <col min="9" max="9" width="11.6640625" style="385" bestFit="1" customWidth="1"/>
    <col min="10" max="10" width="9.83203125" style="385" customWidth="1"/>
    <col min="11" max="11" width="11.6640625" style="385" bestFit="1" customWidth="1"/>
    <col min="12" max="12" width="2.83203125" style="385" customWidth="1"/>
    <col min="13" max="13" width="10" style="385" bestFit="1" customWidth="1"/>
    <col min="14" max="14" width="8.6640625" style="385" customWidth="1"/>
    <col min="15" max="15" width="10.83203125" style="385" bestFit="1" customWidth="1"/>
    <col min="16" max="16" width="2.83203125" style="20" customWidth="1"/>
    <col min="17" max="17" width="9.83203125" style="385" customWidth="1"/>
    <col min="18" max="18" width="2.83203125" style="385" customWidth="1"/>
    <col min="19" max="19" width="11.6640625" style="385" hidden="1" customWidth="1" outlineLevel="1"/>
    <col min="20" max="23" width="8.83203125" style="385" hidden="1" customWidth="1" outlineLevel="1"/>
    <col min="24" max="24" width="11" style="385" customWidth="1" collapsed="1"/>
    <col min="25" max="25" width="10.1640625" style="385" customWidth="1"/>
    <col min="26" max="26" width="4.5" style="385" customWidth="1"/>
    <col min="27" max="27" width="17.5" style="385" bestFit="1" customWidth="1"/>
    <col min="28" max="28" width="12.33203125" style="385" bestFit="1" customWidth="1"/>
    <col min="29" max="29" width="9.5" style="385" bestFit="1" customWidth="1"/>
    <col min="30" max="30" width="10.1640625" style="385" bestFit="1" customWidth="1"/>
    <col min="31" max="16384" width="9.33203125" style="385"/>
  </cols>
  <sheetData>
    <row r="1" spans="2:35" ht="10.7" customHeight="1" thickBot="1">
      <c r="P1" s="385"/>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0" t="s">
        <v>22</v>
      </c>
      <c r="AB2" s="271">
        <f>+'Comp.1'!$AM$2</f>
        <v>43312</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X3" s="11"/>
      <c r="Y3" s="11"/>
      <c r="AA3" s="194" t="s">
        <v>299</v>
      </c>
      <c r="AB3" s="275" t="str">
        <f>+'Comp.1'!$AM$3</f>
        <v>F</v>
      </c>
    </row>
    <row r="4" spans="2:35" ht="16.5" customHeight="1" thickBot="1">
      <c r="B4" s="12" t="s">
        <v>2372</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4" t="s">
        <v>300</v>
      </c>
      <c r="AB4" s="275" t="str">
        <f>+'Comp.1'!$AM$4</f>
        <v>USD</v>
      </c>
    </row>
    <row r="5" spans="2:35" ht="12.75" customHeight="1" thickTop="1">
      <c r="B5" s="20"/>
      <c r="AA5" s="78" t="s">
        <v>24</v>
      </c>
      <c r="AB5" s="274" t="str">
        <f>+'Comp.1'!$AM$5</f>
        <v>H</v>
      </c>
    </row>
    <row r="6" spans="2:35" ht="12.75" hidden="1" customHeight="1" outlineLevel="1">
      <c r="N6" s="202">
        <f>'OPM 1'!D10</f>
        <v>2.6630410958904109</v>
      </c>
      <c r="O6" s="203">
        <f>'OPM 1'!D12</f>
        <v>2.7329345205479451E-2</v>
      </c>
      <c r="Q6" s="204">
        <f>HLOOKUP(ROUND(N6,0),'Equity Vol'!$D$8:$I$8,1,TRUE)</f>
        <v>3</v>
      </c>
    </row>
    <row r="7" spans="2:35" ht="25.5" collapsed="1">
      <c r="D7" s="190" t="s">
        <v>26</v>
      </c>
      <c r="E7" s="191"/>
      <c r="F7" s="191"/>
      <c r="G7" s="191"/>
      <c r="H7" s="191"/>
      <c r="I7" s="191"/>
      <c r="J7" s="191"/>
      <c r="K7" s="192"/>
      <c r="M7" s="190" t="s">
        <v>27</v>
      </c>
      <c r="N7" s="191"/>
      <c r="O7" s="191"/>
      <c r="P7" s="205"/>
      <c r="Q7" s="192"/>
      <c r="S7" s="190" t="s">
        <v>28</v>
      </c>
      <c r="T7" s="191"/>
      <c r="U7" s="191"/>
      <c r="V7" s="191"/>
      <c r="W7" s="191"/>
      <c r="X7" s="995" t="s">
        <v>28</v>
      </c>
      <c r="Y7" s="996"/>
    </row>
    <row r="8" spans="2:35" s="6" customFormat="1" ht="29.25" customHeight="1">
      <c r="B8" s="460" t="s">
        <v>519</v>
      </c>
      <c r="D8" s="595" t="s">
        <v>29</v>
      </c>
      <c r="E8" s="596" t="s">
        <v>30</v>
      </c>
      <c r="F8" s="596" t="s">
        <v>31</v>
      </c>
      <c r="G8" s="596" t="s">
        <v>32</v>
      </c>
      <c r="H8" s="596" t="s">
        <v>33</v>
      </c>
      <c r="I8" s="596" t="s">
        <v>34</v>
      </c>
      <c r="J8" s="596" t="s">
        <v>35</v>
      </c>
      <c r="K8" s="597" t="s">
        <v>36</v>
      </c>
      <c r="L8" s="298"/>
      <c r="M8" s="595" t="s">
        <v>8</v>
      </c>
      <c r="N8" s="596" t="s">
        <v>37</v>
      </c>
      <c r="O8" s="597" t="s">
        <v>7</v>
      </c>
      <c r="P8" s="580"/>
      <c r="Q8" s="598" t="s">
        <v>38</v>
      </c>
      <c r="R8" s="580"/>
      <c r="S8" s="595" t="s">
        <v>39</v>
      </c>
      <c r="T8" s="596" t="s">
        <v>19</v>
      </c>
      <c r="U8" s="596" t="s">
        <v>20</v>
      </c>
      <c r="V8" s="596" t="s">
        <v>40</v>
      </c>
      <c r="W8" s="596" t="s">
        <v>41</v>
      </c>
      <c r="X8" s="599" t="s">
        <v>42</v>
      </c>
      <c r="Y8" s="597" t="s">
        <v>530</v>
      </c>
      <c r="AA8" s="86" t="s">
        <v>43</v>
      </c>
      <c r="AB8" s="87" t="s">
        <v>44</v>
      </c>
      <c r="AC8" s="87" t="s">
        <v>45</v>
      </c>
      <c r="AD8" s="88"/>
    </row>
    <row r="9" spans="2:35" ht="12.75" customHeight="1"/>
    <row r="10" spans="2:35" ht="12.75" customHeight="1">
      <c r="B10" s="385" t="str">
        <f>'Comp.1'!B10</f>
        <v>Vertex Pharmaceuticals Incorporated</v>
      </c>
      <c r="D10" s="386">
        <f>'Beta Calc'!K10</f>
        <v>44574.8</v>
      </c>
      <c r="E10" s="386">
        <f>'Beta Calc'!L10</f>
        <v>592.70000000000005</v>
      </c>
      <c r="F10" s="386" t="str">
        <f>'Beta Calc'!M10</f>
        <v xml:space="preserve"> n/a </v>
      </c>
      <c r="G10" s="386">
        <f>'Beta Calc'!N10</f>
        <v>28.7</v>
      </c>
      <c r="H10" s="386">
        <f>SUM(E10:G10)</f>
        <v>621.40000000000009</v>
      </c>
      <c r="I10" s="386">
        <f>SUM(D10:G10)</f>
        <v>45196.2</v>
      </c>
      <c r="J10" s="386">
        <f>'Beta Calc'!Q10</f>
        <v>2767.8</v>
      </c>
      <c r="K10" s="386">
        <f>I10-J10</f>
        <v>42428.399999999994</v>
      </c>
      <c r="M10" s="54">
        <f>IFERROR('Capital IQ Sheet-GPC'!AT13,"n/a")</f>
        <v>0</v>
      </c>
      <c r="N10" s="386">
        <f t="shared" ref="N10:O31" si="0">N$6</f>
        <v>2.6630410958904109</v>
      </c>
      <c r="O10" s="206">
        <f t="shared" si="0"/>
        <v>2.7329345205479451E-2</v>
      </c>
      <c r="P10" s="207"/>
      <c r="Q10" s="208">
        <f>IFERROR(HLOOKUP($Q$6,'Equity Vol'!$B$8:$I10,ROWS('Equity Vol'!$C$8:$C10),FALSE),"n/a")</f>
        <v>0.40100000000000002</v>
      </c>
      <c r="R10" s="44"/>
      <c r="S10" s="209">
        <f>IFERROR(IF(Q10="n/a","n/a",Q10^2),"n/a")</f>
        <v>0.16080100000000003</v>
      </c>
      <c r="T10" s="209">
        <f t="shared" ref="T10:T31" si="1">IF(OR(K10="n/a",S10="n/a"),"n/a",IF(H10=0,0,IF(M10=0,(LN(K10/H10)+((O10+(S10/2))*N10))/((S10*N10)^0.5),(LN(K10/H10)+((O10-M10+(S10/2))*N10))/((S10*N10)^0.5))))</f>
        <v>6.8927122968932437</v>
      </c>
      <c r="U10" s="210">
        <f t="shared" ref="U10:U31" si="2">IF(T10="n/a","n/a",IF(H10=0,0,T10-(S10*N10)^0.5))</f>
        <v>6.2383273404186363</v>
      </c>
      <c r="V10" s="210">
        <f t="shared" ref="V10:V31" si="3">IF(OR(T10="n/a",S10="n/a"),"n/a",IF(H10=0,0,NORMSDIST(T10)))</f>
        <v>0.99999999999726308</v>
      </c>
      <c r="W10" s="210">
        <f t="shared" ref="W10:W31" si="4">IF(OR(U10="n/a",S10="n/a"),"n/a",IF(H10=0,0,NORMSDIST(U10)))</f>
        <v>0.99999999977886278</v>
      </c>
      <c r="X10" s="91">
        <f t="shared" ref="X10:X31" si="5">IF(OR(K10="n/a",S10="n/a"),"n/a",IF(M10=0,(K10*V10)-((H10*EXP(1)^(-O10*N10))*W10),(K10*(2.718^(-M10*N10))*V10)-(H10*(2.718^(-O10*N10))*W10)))</f>
        <v>41850.618466481392</v>
      </c>
      <c r="Y10" s="208">
        <f>IFERROR(IF(LEN(B10)&gt;0,IF(H10=0,Q10,IF(ISERROR(Q10/((K10/X10)*V10)),"n/a",Q10/((K10/X10)*V10)))),"n/a")</f>
        <v>0.39553926155841307</v>
      </c>
      <c r="AA10" s="92" t="str">
        <f>IF('MASTER PubCo Inputs'!B28=0,"",'MASTER PubCo Inputs'!B28)</f>
        <v>NasdaqGS:VRTX</v>
      </c>
      <c r="AB10" s="386">
        <f>'Beta Calc'!Z10</f>
        <v>42428.4</v>
      </c>
      <c r="AC10" s="93">
        <f t="shared" ref="AC10:AC39" si="6">K10-AB10</f>
        <v>0</v>
      </c>
      <c r="AI10" s="94"/>
    </row>
    <row r="11" spans="2:35" ht="12.75" customHeight="1">
      <c r="B11" s="385" t="str">
        <f>'Comp.1'!B11</f>
        <v>FibroGen, Inc.</v>
      </c>
      <c r="D11" s="386">
        <f>'Beta Calc'!K11</f>
        <v>5153.3</v>
      </c>
      <c r="E11" s="386">
        <f>'Beta Calc'!L11</f>
        <v>115.4</v>
      </c>
      <c r="F11" s="386" t="str">
        <f>'Beta Calc'!M11</f>
        <v xml:space="preserve"> n/a </v>
      </c>
      <c r="G11" s="386">
        <f>'Beta Calc'!N11</f>
        <v>19.3</v>
      </c>
      <c r="H11" s="386">
        <f t="shared" ref="H11:H31" si="7">SUM(E11:G11)</f>
        <v>134.70000000000002</v>
      </c>
      <c r="I11" s="386">
        <f t="shared" ref="I11:I31" si="8">SUM(D11:G11)</f>
        <v>5288</v>
      </c>
      <c r="J11" s="386">
        <f>'Beta Calc'!Q11</f>
        <v>703.8</v>
      </c>
      <c r="K11" s="386">
        <f t="shared" ref="K11:K31" si="9">I11-J11</f>
        <v>4584.2</v>
      </c>
      <c r="M11" s="54">
        <f>IFERROR('Capital IQ Sheet-GPC'!AT14,"n/a")</f>
        <v>0</v>
      </c>
      <c r="N11" s="386">
        <f t="shared" si="0"/>
        <v>2.6630410958904109</v>
      </c>
      <c r="O11" s="206">
        <f t="shared" si="0"/>
        <v>2.7329345205479451E-2</v>
      </c>
      <c r="P11" s="207"/>
      <c r="Q11" s="208">
        <f>IFERROR(HLOOKUP($Q$6,'Equity Vol'!$B$8:$I11,ROWS('Equity Vol'!$C$8:$C11),FALSE),"n/a")</f>
        <v>0.60099999999999998</v>
      </c>
      <c r="R11" s="44"/>
      <c r="S11" s="209">
        <f t="shared" ref="S11:S31" si="10">IFERROR(IF(Q11="n/a","n/a",Q11^2),"n/a")</f>
        <v>0.36120099999999999</v>
      </c>
      <c r="T11" s="209">
        <f t="shared" si="1"/>
        <v>4.1610998744115886</v>
      </c>
      <c r="U11" s="210">
        <f t="shared" si="2"/>
        <v>3.1803383810419152</v>
      </c>
      <c r="V11" s="210">
        <f t="shared" si="3"/>
        <v>0.99998416407364676</v>
      </c>
      <c r="W11" s="210">
        <f t="shared" si="4"/>
        <v>0.99926448415295388</v>
      </c>
      <c r="X11" s="91">
        <f t="shared" si="5"/>
        <v>4458.9746378917434</v>
      </c>
      <c r="Y11" s="208">
        <f t="shared" ref="Y11:Y31" si="11">IFERROR(IF(LEN(B11)&gt;0,IF(H11=0,Q11,IF(ISERROR(Q11/((K11/X11)*V11)),"n/a",Q11/((K11/X11)*V11)))),"n/a")</f>
        <v>0.58459190171750142</v>
      </c>
      <c r="AA11" s="92" t="str">
        <f>IF('MASTER PubCo Inputs'!B29=0,"",'MASTER PubCo Inputs'!B29)</f>
        <v>NasdaqGS:FGEN</v>
      </c>
      <c r="AB11" s="386">
        <f>'Beta Calc'!Z11</f>
        <v>4584.3</v>
      </c>
      <c r="AC11" s="93">
        <f t="shared" si="6"/>
        <v>-0.1000000000003638</v>
      </c>
      <c r="AI11" s="94"/>
    </row>
    <row r="12" spans="2:35" ht="12.75" customHeight="1">
      <c r="B12" s="385" t="str">
        <f>'Comp.1'!B12</f>
        <v>Galapagos NV</v>
      </c>
      <c r="D12" s="386">
        <f>'Beta Calc'!K12</f>
        <v>5773</v>
      </c>
      <c r="E12" s="386" t="str">
        <f>'Beta Calc'!L12</f>
        <v xml:space="preserve"> -   </v>
      </c>
      <c r="F12" s="386" t="str">
        <f>'Beta Calc'!M12</f>
        <v xml:space="preserve"> n/a </v>
      </c>
      <c r="G12" s="386" t="str">
        <f>'Beta Calc'!N12</f>
        <v xml:space="preserve"> n/a </v>
      </c>
      <c r="H12" s="386">
        <f t="shared" si="7"/>
        <v>0</v>
      </c>
      <c r="I12" s="386">
        <f t="shared" si="8"/>
        <v>5773</v>
      </c>
      <c r="J12" s="386">
        <f>'Beta Calc'!Q12</f>
        <v>1365.3</v>
      </c>
      <c r="K12" s="386">
        <f t="shared" si="9"/>
        <v>4407.7</v>
      </c>
      <c r="M12" s="54">
        <f>IFERROR('Capital IQ Sheet-GPC'!AT15,"n/a")</f>
        <v>0</v>
      </c>
      <c r="N12" s="386">
        <f t="shared" si="0"/>
        <v>2.6630410958904109</v>
      </c>
      <c r="O12" s="206">
        <f t="shared" si="0"/>
        <v>2.7329345205479451E-2</v>
      </c>
      <c r="P12" s="207"/>
      <c r="Q12" s="208">
        <f>IFERROR(HLOOKUP($Q$6,'Equity Vol'!$B$8:$I12,ROWS('Equity Vol'!$C$8:$C12),FALSE),"n/a")</f>
        <v>0.40200000000000002</v>
      </c>
      <c r="R12" s="44"/>
      <c r="S12" s="209">
        <f t="shared" si="10"/>
        <v>0.16160400000000003</v>
      </c>
      <c r="T12" s="209">
        <f t="shared" si="1"/>
        <v>0</v>
      </c>
      <c r="U12" s="210">
        <f t="shared" si="2"/>
        <v>0</v>
      </c>
      <c r="V12" s="210">
        <f t="shared" si="3"/>
        <v>0</v>
      </c>
      <c r="W12" s="210">
        <f t="shared" si="4"/>
        <v>0</v>
      </c>
      <c r="X12" s="91">
        <f t="shared" si="5"/>
        <v>0</v>
      </c>
      <c r="Y12" s="208">
        <f t="shared" si="11"/>
        <v>0.40200000000000002</v>
      </c>
      <c r="AA12" s="92" t="str">
        <f>IF('MASTER PubCo Inputs'!B30=0,"",'MASTER PubCo Inputs'!B30)</f>
        <v>ENXTAM:GLPG</v>
      </c>
      <c r="AB12" s="386">
        <f>'Beta Calc'!Z12</f>
        <v>4474.8999999999996</v>
      </c>
      <c r="AC12" s="93">
        <f t="shared" si="6"/>
        <v>-67.199999999999818</v>
      </c>
      <c r="AI12" s="94"/>
    </row>
    <row r="13" spans="2:35" ht="12.75" customHeight="1">
      <c r="B13" s="385" t="str">
        <f>'Comp.1'!B13</f>
        <v>Madrigal Pharmaceuticals, Inc.</v>
      </c>
      <c r="D13" s="386">
        <f>'Beta Calc'!K13</f>
        <v>3964.4</v>
      </c>
      <c r="E13" s="386" t="str">
        <f>'Beta Calc'!L13</f>
        <v xml:space="preserve"> -   </v>
      </c>
      <c r="F13" s="386" t="str">
        <f>'Beta Calc'!M13</f>
        <v xml:space="preserve"> n/a </v>
      </c>
      <c r="G13" s="386" t="str">
        <f>'Beta Calc'!N13</f>
        <v xml:space="preserve"> n/a </v>
      </c>
      <c r="H13" s="386">
        <f t="shared" si="7"/>
        <v>0</v>
      </c>
      <c r="I13" s="386">
        <f t="shared" si="8"/>
        <v>3964.4</v>
      </c>
      <c r="J13" s="386">
        <f>'Beta Calc'!Q13</f>
        <v>182.8</v>
      </c>
      <c r="K13" s="386">
        <f t="shared" si="9"/>
        <v>3781.6</v>
      </c>
      <c r="M13" s="54">
        <f>IFERROR('Capital IQ Sheet-GPC'!AT16,"n/a")</f>
        <v>0</v>
      </c>
      <c r="N13" s="386">
        <f t="shared" si="0"/>
        <v>2.6630410958904109</v>
      </c>
      <c r="O13" s="206">
        <f t="shared" si="0"/>
        <v>2.7329345205479451E-2</v>
      </c>
      <c r="P13" s="207"/>
      <c r="Q13" s="208">
        <f>IFERROR(HLOOKUP($Q$6,'Equity Vol'!$B$8:$I13,ROWS('Equity Vol'!$C$8:$C13),FALSE),"n/a")</f>
        <v>1.016</v>
      </c>
      <c r="R13" s="44"/>
      <c r="S13" s="209">
        <f t="shared" si="10"/>
        <v>1.0322560000000001</v>
      </c>
      <c r="T13" s="209">
        <f t="shared" si="1"/>
        <v>0</v>
      </c>
      <c r="U13" s="210">
        <f t="shared" si="2"/>
        <v>0</v>
      </c>
      <c r="V13" s="210">
        <f t="shared" si="3"/>
        <v>0</v>
      </c>
      <c r="W13" s="210">
        <f t="shared" si="4"/>
        <v>0</v>
      </c>
      <c r="X13" s="91">
        <f t="shared" si="5"/>
        <v>0</v>
      </c>
      <c r="Y13" s="208">
        <f t="shared" si="11"/>
        <v>1.016</v>
      </c>
      <c r="AA13" s="92" t="str">
        <f>IF('MASTER PubCo Inputs'!B31=0,"",'MASTER PubCo Inputs'!B31)</f>
        <v>NasdaqCM:MDGL</v>
      </c>
      <c r="AB13" s="386">
        <f>'Beta Calc'!Z13</f>
        <v>3781.5</v>
      </c>
      <c r="AC13" s="93">
        <f t="shared" si="6"/>
        <v>9.9999999999909051E-2</v>
      </c>
      <c r="AI13" s="94"/>
    </row>
    <row r="14" spans="2:35" ht="12.75" customHeight="1">
      <c r="B14" s="385" t="str">
        <f>'Comp.1'!B14</f>
        <v>Intercept Pharmaceuticals, Inc.</v>
      </c>
      <c r="D14" s="386">
        <f>'Beta Calc'!K14</f>
        <v>2630.5</v>
      </c>
      <c r="E14" s="386">
        <f>'Beta Calc'!L14</f>
        <v>359.4</v>
      </c>
      <c r="F14" s="386" t="str">
        <f>'Beta Calc'!M14</f>
        <v xml:space="preserve"> n/a </v>
      </c>
      <c r="G14" s="386" t="str">
        <f>'Beta Calc'!N14</f>
        <v xml:space="preserve"> n/a </v>
      </c>
      <c r="H14" s="386">
        <f t="shared" si="7"/>
        <v>359.4</v>
      </c>
      <c r="I14" s="386">
        <f t="shared" si="8"/>
        <v>2989.9</v>
      </c>
      <c r="J14" s="386">
        <f>'Beta Calc'!Q14</f>
        <v>326.10000000000002</v>
      </c>
      <c r="K14" s="386">
        <f t="shared" si="9"/>
        <v>2663.8</v>
      </c>
      <c r="M14" s="54">
        <f>IFERROR('Capital IQ Sheet-GPC'!AT17,"n/a")</f>
        <v>0</v>
      </c>
      <c r="N14" s="386">
        <f t="shared" si="0"/>
        <v>2.6630410958904109</v>
      </c>
      <c r="O14" s="206">
        <f t="shared" si="0"/>
        <v>2.7329345205479451E-2</v>
      </c>
      <c r="P14" s="207"/>
      <c r="Q14" s="208">
        <f>IFERROR(HLOOKUP($Q$6,'Equity Vol'!$B$8:$I14,ROWS('Equity Vol'!$C$8:$C14),FALSE),"n/a")</f>
        <v>0.6</v>
      </c>
      <c r="R14" s="44"/>
      <c r="S14" s="209">
        <f t="shared" si="10"/>
        <v>0.36</v>
      </c>
      <c r="T14" s="209">
        <f t="shared" si="1"/>
        <v>2.6096642550679019</v>
      </c>
      <c r="U14" s="210">
        <f t="shared" si="2"/>
        <v>1.6305346443827036</v>
      </c>
      <c r="V14" s="210">
        <f t="shared" si="3"/>
        <v>0.99546844377146781</v>
      </c>
      <c r="W14" s="210">
        <f t="shared" si="4"/>
        <v>0.9485057253507132</v>
      </c>
      <c r="X14" s="91">
        <f t="shared" si="5"/>
        <v>2334.7644763980734</v>
      </c>
      <c r="Y14" s="208">
        <f t="shared" si="11"/>
        <v>0.52828127236605538</v>
      </c>
      <c r="AA14" s="92" t="str">
        <f>IF('MASTER PubCo Inputs'!B32=0,"",'MASTER PubCo Inputs'!B32)</f>
        <v>NasdaqGS:ICPT</v>
      </c>
      <c r="AB14" s="386">
        <f>'Beta Calc'!Z14</f>
        <v>2663.9</v>
      </c>
      <c r="AC14" s="93">
        <f t="shared" si="6"/>
        <v>-9.9999999999909051E-2</v>
      </c>
      <c r="AI14" s="94"/>
    </row>
    <row r="15" spans="2:35" ht="12.75" customHeight="1">
      <c r="B15" s="385" t="str">
        <f>'Comp.1'!B15</f>
        <v>Insmed Incorporated</v>
      </c>
      <c r="D15" s="386">
        <f>'Beta Calc'!K15</f>
        <v>1863.5</v>
      </c>
      <c r="E15" s="386">
        <f>'Beta Calc'!L15</f>
        <v>302.7</v>
      </c>
      <c r="F15" s="386" t="str">
        <f>'Beta Calc'!M15</f>
        <v xml:space="preserve"> n/a </v>
      </c>
      <c r="G15" s="386" t="str">
        <f>'Beta Calc'!N15</f>
        <v xml:space="preserve"> n/a </v>
      </c>
      <c r="H15" s="386">
        <f t="shared" si="7"/>
        <v>302.7</v>
      </c>
      <c r="I15" s="386">
        <f t="shared" si="8"/>
        <v>2166.1999999999998</v>
      </c>
      <c r="J15" s="386">
        <f>'Beta Calc'!Q15</f>
        <v>686.6</v>
      </c>
      <c r="K15" s="386">
        <f t="shared" si="9"/>
        <v>1479.6</v>
      </c>
      <c r="M15" s="54">
        <f>IFERROR('Capital IQ Sheet-GPC'!AT18,"n/a")</f>
        <v>0</v>
      </c>
      <c r="N15" s="386">
        <f t="shared" si="0"/>
        <v>2.6630410958904109</v>
      </c>
      <c r="O15" s="206">
        <f t="shared" si="0"/>
        <v>2.7329345205479451E-2</v>
      </c>
      <c r="P15" s="207"/>
      <c r="Q15" s="208">
        <f>IFERROR(HLOOKUP($Q$6,'Equity Vol'!$B$8:$I15,ROWS('Equity Vol'!$C$8:$C15),FALSE),"n/a")</f>
        <v>0.69899999999999995</v>
      </c>
      <c r="R15" s="44"/>
      <c r="S15" s="209">
        <f t="shared" si="10"/>
        <v>0.48860099999999995</v>
      </c>
      <c r="T15" s="209">
        <f t="shared" si="1"/>
        <v>2.0252254273097514</v>
      </c>
      <c r="U15" s="210">
        <f t="shared" si="2"/>
        <v>0.88453943086149556</v>
      </c>
      <c r="V15" s="210">
        <f t="shared" si="3"/>
        <v>0.97857788907688004</v>
      </c>
      <c r="W15" s="210">
        <f t="shared" si="4"/>
        <v>0.81179745667517389</v>
      </c>
      <c r="X15" s="91">
        <f t="shared" si="5"/>
        <v>1219.421569019009</v>
      </c>
      <c r="Y15" s="208">
        <f t="shared" si="11"/>
        <v>0.58869632805882788</v>
      </c>
      <c r="AA15" s="92" t="str">
        <f>IF('MASTER PubCo Inputs'!B33=0,"",'MASTER PubCo Inputs'!B33)</f>
        <v>NasdaqGS:INSM</v>
      </c>
      <c r="AB15" s="386">
        <f>'Beta Calc'!Z15</f>
        <v>1479.6</v>
      </c>
      <c r="AC15" s="93">
        <f t="shared" si="6"/>
        <v>0</v>
      </c>
      <c r="AI15" s="94"/>
    </row>
    <row r="16" spans="2:35" ht="12.75" customHeight="1">
      <c r="B16" s="385" t="str">
        <f>'Comp.1'!B16</f>
        <v>Genfit SA</v>
      </c>
      <c r="D16" s="386">
        <f>'Beta Calc'!K16</f>
        <v>882.5</v>
      </c>
      <c r="E16" s="386">
        <f>'Beta Calc'!L16</f>
        <v>196.6</v>
      </c>
      <c r="F16" s="386" t="str">
        <f>'Beta Calc'!M16</f>
        <v xml:space="preserve"> n/a </v>
      </c>
      <c r="G16" s="386" t="str">
        <f>'Beta Calc'!N16</f>
        <v xml:space="preserve"> n/a </v>
      </c>
      <c r="H16" s="386">
        <f t="shared" si="7"/>
        <v>196.6</v>
      </c>
      <c r="I16" s="386">
        <f t="shared" si="8"/>
        <v>1079.0999999999999</v>
      </c>
      <c r="J16" s="386">
        <f>'Beta Calc'!Q16</f>
        <v>328.8</v>
      </c>
      <c r="K16" s="386">
        <f t="shared" si="9"/>
        <v>750.3</v>
      </c>
      <c r="M16" s="54">
        <f>IFERROR('Capital IQ Sheet-GPC'!AT19,"n/a")</f>
        <v>0</v>
      </c>
      <c r="N16" s="386">
        <f t="shared" si="0"/>
        <v>2.6630410958904109</v>
      </c>
      <c r="O16" s="206">
        <f t="shared" si="0"/>
        <v>2.7329345205479451E-2</v>
      </c>
      <c r="P16" s="207"/>
      <c r="Q16" s="208">
        <f>IFERROR(HLOOKUP($Q$6,'Equity Vol'!$B$8:$I16,ROWS('Equity Vol'!$C$8:$C16),FALSE),"n/a")</f>
        <v>0.48599999999999999</v>
      </c>
      <c r="R16" s="44"/>
      <c r="S16" s="209">
        <f t="shared" si="10"/>
        <v>0.23619599999999999</v>
      </c>
      <c r="T16" s="209">
        <f t="shared" si="1"/>
        <v>2.1770165604288843</v>
      </c>
      <c r="U16" s="210">
        <f t="shared" si="2"/>
        <v>1.3839215757738736</v>
      </c>
      <c r="V16" s="210">
        <f t="shared" si="3"/>
        <v>0.98526033407083702</v>
      </c>
      <c r="W16" s="210">
        <f t="shared" si="4"/>
        <v>0.91680876526062505</v>
      </c>
      <c r="X16" s="91">
        <f t="shared" si="5"/>
        <v>571.64829039059805</v>
      </c>
      <c r="Y16" s="208">
        <f t="shared" si="11"/>
        <v>0.37581943307423682</v>
      </c>
      <c r="AA16" s="92" t="str">
        <f>IF('MASTER PubCo Inputs'!B34=0,"",'MASTER PubCo Inputs'!B34)</f>
        <v>ENXTPA:GNFT</v>
      </c>
      <c r="AB16" s="386">
        <f>'Beta Calc'!Z16</f>
        <v>753.6</v>
      </c>
      <c r="AC16" s="93">
        <f t="shared" si="6"/>
        <v>-3.3000000000000682</v>
      </c>
      <c r="AI16" s="94"/>
    </row>
    <row r="17" spans="2:35" ht="12.75" customHeight="1">
      <c r="B17" s="385" t="str">
        <f>'Comp.1'!B17</f>
        <v>Kadmon Holdings, Inc.</v>
      </c>
      <c r="D17" s="386">
        <f>'Beta Calc'!K17</f>
        <v>365.5</v>
      </c>
      <c r="E17" s="386">
        <f>'Beta Calc'!L17</f>
        <v>33.1</v>
      </c>
      <c r="F17" s="386">
        <f>'Beta Calc'!M17</f>
        <v>40.700000000000003</v>
      </c>
      <c r="G17" s="386" t="str">
        <f>'Beta Calc'!N17</f>
        <v xml:space="preserve"> n/a </v>
      </c>
      <c r="H17" s="386">
        <f t="shared" si="7"/>
        <v>73.800000000000011</v>
      </c>
      <c r="I17" s="386">
        <f t="shared" si="8"/>
        <v>439.3</v>
      </c>
      <c r="J17" s="386">
        <f>'Beta Calc'!Q17</f>
        <v>49.2</v>
      </c>
      <c r="K17" s="386">
        <f t="shared" si="9"/>
        <v>390.1</v>
      </c>
      <c r="M17" s="54">
        <f>IFERROR('Capital IQ Sheet-GPC'!AT20,"n/a")</f>
        <v>0</v>
      </c>
      <c r="N17" s="386">
        <f t="shared" si="0"/>
        <v>2.6630410958904109</v>
      </c>
      <c r="O17" s="206">
        <f t="shared" si="0"/>
        <v>2.7329345205479451E-2</v>
      </c>
      <c r="P17" s="207"/>
      <c r="Q17" s="208">
        <f>IFERROR(HLOOKUP($Q$6,'Equity Vol'!$B$8:$I17,ROWS('Equity Vol'!$C$8:$C17),FALSE),"n/a")</f>
        <v>0.67200000000000004</v>
      </c>
      <c r="R17" s="44"/>
      <c r="S17" s="209">
        <f t="shared" si="10"/>
        <v>0.45158400000000004</v>
      </c>
      <c r="T17" s="209">
        <f t="shared" si="1"/>
        <v>2.133014092958502</v>
      </c>
      <c r="U17" s="210">
        <f t="shared" si="2"/>
        <v>1.0363889289910799</v>
      </c>
      <c r="V17" s="210">
        <f t="shared" si="3"/>
        <v>0.98353821493381044</v>
      </c>
      <c r="W17" s="210">
        <f t="shared" si="4"/>
        <v>0.84998963340479816</v>
      </c>
      <c r="X17" s="91">
        <f t="shared" si="5"/>
        <v>325.3522300244058</v>
      </c>
      <c r="Y17" s="208">
        <f t="shared" si="11"/>
        <v>0.56984385802311499</v>
      </c>
      <c r="AA17" s="92" t="str">
        <f>IF('MASTER PubCo Inputs'!B35=0,"",'MASTER PubCo Inputs'!B35)</f>
        <v>NYSE:KDMN</v>
      </c>
      <c r="AB17" s="386">
        <f>'Beta Calc'!Z17</f>
        <v>390.1</v>
      </c>
      <c r="AC17" s="93">
        <f t="shared" si="6"/>
        <v>0</v>
      </c>
      <c r="AI17" s="94"/>
    </row>
    <row r="18" spans="2:35" ht="12.75" customHeight="1">
      <c r="B18" s="385" t="str">
        <f>'Comp.1'!B18</f>
        <v>MediciNova, Inc.</v>
      </c>
      <c r="D18" s="386">
        <f>'Beta Calc'!K18</f>
        <v>398.7</v>
      </c>
      <c r="E18" s="386" t="str">
        <f>'Beta Calc'!L18</f>
        <v xml:space="preserve"> -   </v>
      </c>
      <c r="F18" s="386" t="str">
        <f>'Beta Calc'!M18</f>
        <v xml:space="preserve"> n/a </v>
      </c>
      <c r="G18" s="386" t="str">
        <f>'Beta Calc'!N18</f>
        <v xml:space="preserve"> n/a </v>
      </c>
      <c r="H18" s="386">
        <f t="shared" si="7"/>
        <v>0</v>
      </c>
      <c r="I18" s="386">
        <f t="shared" si="8"/>
        <v>398.7</v>
      </c>
      <c r="J18" s="386">
        <f>'Beta Calc'!Q18</f>
        <v>64.2</v>
      </c>
      <c r="K18" s="386">
        <f t="shared" si="9"/>
        <v>334.5</v>
      </c>
      <c r="M18" s="54">
        <f>IFERROR('Capital IQ Sheet-GPC'!AT21,"n/a")</f>
        <v>0</v>
      </c>
      <c r="N18" s="386">
        <f t="shared" si="0"/>
        <v>2.6630410958904109</v>
      </c>
      <c r="O18" s="206">
        <f t="shared" si="0"/>
        <v>2.7329345205479451E-2</v>
      </c>
      <c r="P18" s="207"/>
      <c r="Q18" s="208">
        <f>IFERROR(HLOOKUP($Q$6,'Equity Vol'!$B$8:$I18,ROWS('Equity Vol'!$C$8:$C18),FALSE),"n/a")</f>
        <v>0.54200000000000004</v>
      </c>
      <c r="R18" s="44"/>
      <c r="S18" s="209">
        <f t="shared" si="10"/>
        <v>0.29376400000000003</v>
      </c>
      <c r="T18" s="209">
        <f t="shared" si="1"/>
        <v>0</v>
      </c>
      <c r="U18" s="210">
        <f t="shared" si="2"/>
        <v>0</v>
      </c>
      <c r="V18" s="210">
        <f t="shared" si="3"/>
        <v>0</v>
      </c>
      <c r="W18" s="210">
        <f t="shared" si="4"/>
        <v>0</v>
      </c>
      <c r="X18" s="91">
        <f t="shared" si="5"/>
        <v>0</v>
      </c>
      <c r="Y18" s="208">
        <f t="shared" si="11"/>
        <v>0.54200000000000004</v>
      </c>
      <c r="AA18" s="92" t="str">
        <f>IF('MASTER PubCo Inputs'!B36=0,"",'MASTER PubCo Inputs'!B36)</f>
        <v>NasdaqGM:MNOV</v>
      </c>
      <c r="AB18" s="386">
        <f>'Beta Calc'!Z18</f>
        <v>334.5</v>
      </c>
      <c r="AC18" s="93">
        <f t="shared" si="6"/>
        <v>0</v>
      </c>
      <c r="AI18" s="94"/>
    </row>
    <row r="19" spans="2:35" ht="12.75" customHeight="1">
      <c r="B19" s="385" t="str">
        <f>'Comp.1'!B19</f>
        <v>Savara Inc.</v>
      </c>
      <c r="D19" s="386">
        <f>'Beta Calc'!K19</f>
        <v>393.3</v>
      </c>
      <c r="E19" s="386">
        <f>'Beta Calc'!L19</f>
        <v>15.2</v>
      </c>
      <c r="F19" s="386" t="str">
        <f>'Beta Calc'!M19</f>
        <v xml:space="preserve"> n/a </v>
      </c>
      <c r="G19" s="386" t="str">
        <f>'Beta Calc'!N19</f>
        <v xml:space="preserve"> n/a </v>
      </c>
      <c r="H19" s="386">
        <f t="shared" si="7"/>
        <v>15.2</v>
      </c>
      <c r="I19" s="386">
        <f t="shared" si="8"/>
        <v>408.5</v>
      </c>
      <c r="J19" s="386">
        <f>'Beta Calc'!Q19</f>
        <v>85.2</v>
      </c>
      <c r="K19" s="386">
        <f t="shared" si="9"/>
        <v>323.3</v>
      </c>
      <c r="M19" s="54">
        <f>IFERROR('Capital IQ Sheet-GPC'!AT22,"n/a")</f>
        <v>0</v>
      </c>
      <c r="N19" s="386">
        <f t="shared" si="0"/>
        <v>2.6630410958904109</v>
      </c>
      <c r="O19" s="206">
        <f t="shared" si="0"/>
        <v>2.7329345205479451E-2</v>
      </c>
      <c r="P19" s="207"/>
      <c r="Q19" s="208">
        <f>IFERROR(HLOOKUP($Q$6,'Equity Vol'!$B$8:$I19,ROWS('Equity Vol'!$C$8:$C19),FALSE),"n/a")</f>
        <v>0.628</v>
      </c>
      <c r="R19" s="44"/>
      <c r="S19" s="209">
        <f t="shared" si="10"/>
        <v>0.39438400000000001</v>
      </c>
      <c r="T19" s="209">
        <f t="shared" si="1"/>
        <v>3.5666619801949309</v>
      </c>
      <c r="U19" s="210">
        <f t="shared" si="2"/>
        <v>2.5418396543444235</v>
      </c>
      <c r="V19" s="210">
        <f t="shared" si="3"/>
        <v>0.99981922132008438</v>
      </c>
      <c r="W19" s="210">
        <f t="shared" si="4"/>
        <v>0.99448646259967544</v>
      </c>
      <c r="X19" s="91">
        <f t="shared" si="5"/>
        <v>309.18642408827446</v>
      </c>
      <c r="Y19" s="208">
        <f t="shared" si="11"/>
        <v>0.60069341881579708</v>
      </c>
      <c r="AA19" s="92" t="str">
        <f>IF('MASTER PubCo Inputs'!B37=0,"",'MASTER PubCo Inputs'!B37)</f>
        <v>NasdaqGS:SVRA</v>
      </c>
      <c r="AB19" s="386">
        <f>'Beta Calc'!Z19</f>
        <v>323.39999999999998</v>
      </c>
      <c r="AC19" s="93">
        <f t="shared" si="6"/>
        <v>-9.9999999999965894E-2</v>
      </c>
      <c r="AI19" s="94"/>
    </row>
    <row r="20" spans="2:35" ht="12.75" customHeight="1">
      <c r="B20" s="385" t="str">
        <f>'Comp.1'!B20</f>
        <v>Galmed Pharmaceuticals Ltd.</v>
      </c>
      <c r="D20" s="386">
        <f>'Beta Calc'!K20</f>
        <v>289.7</v>
      </c>
      <c r="E20" s="386" t="str">
        <f>'Beta Calc'!L20</f>
        <v xml:space="preserve"> -   </v>
      </c>
      <c r="F20" s="386" t="str">
        <f>'Beta Calc'!M20</f>
        <v xml:space="preserve"> n/a </v>
      </c>
      <c r="G20" s="386" t="str">
        <f>'Beta Calc'!N20</f>
        <v xml:space="preserve"> n/a </v>
      </c>
      <c r="H20" s="386">
        <f t="shared" si="7"/>
        <v>0</v>
      </c>
      <c r="I20" s="386">
        <f t="shared" si="8"/>
        <v>289.7</v>
      </c>
      <c r="J20" s="386">
        <f>'Beta Calc'!Q20</f>
        <v>15.5</v>
      </c>
      <c r="K20" s="386">
        <f t="shared" si="9"/>
        <v>274.2</v>
      </c>
      <c r="M20" s="54">
        <f>IFERROR('Capital IQ Sheet-GPC'!AT23,"n/a")</f>
        <v>0</v>
      </c>
      <c r="N20" s="386">
        <f t="shared" si="0"/>
        <v>2.6630410958904109</v>
      </c>
      <c r="O20" s="206">
        <f t="shared" si="0"/>
        <v>2.7329345205479451E-2</v>
      </c>
      <c r="P20" s="207"/>
      <c r="Q20" s="208">
        <f>IFERROR(HLOOKUP($Q$6,'Equity Vol'!$B$8:$I20,ROWS('Equity Vol'!$C$8:$C20),FALSE),"n/a")</f>
        <v>0.97699999999999998</v>
      </c>
      <c r="R20" s="44"/>
      <c r="S20" s="209">
        <f t="shared" si="10"/>
        <v>0.95452899999999996</v>
      </c>
      <c r="T20" s="209">
        <f t="shared" si="1"/>
        <v>0</v>
      </c>
      <c r="U20" s="210">
        <f t="shared" si="2"/>
        <v>0</v>
      </c>
      <c r="V20" s="210">
        <f t="shared" si="3"/>
        <v>0</v>
      </c>
      <c r="W20" s="210">
        <f t="shared" si="4"/>
        <v>0</v>
      </c>
      <c r="X20" s="91">
        <f t="shared" si="5"/>
        <v>0</v>
      </c>
      <c r="Y20" s="208">
        <f t="shared" si="11"/>
        <v>0.97699999999999998</v>
      </c>
      <c r="AA20" s="92" t="str">
        <f>IF('MASTER PubCo Inputs'!B38=0,"",'MASTER PubCo Inputs'!B38)</f>
        <v>NasdaqCM:GLMD</v>
      </c>
      <c r="AB20" s="386">
        <f>'Beta Calc'!Z20</f>
        <v>274.2</v>
      </c>
      <c r="AC20" s="93">
        <f t="shared" si="6"/>
        <v>0</v>
      </c>
      <c r="AI20" s="94"/>
    </row>
    <row r="21" spans="2:35" ht="12.75" customHeight="1">
      <c r="B21" s="385" t="str">
        <f>'Comp.1'!B21</f>
        <v>Galectin Therapeutics, Inc.</v>
      </c>
      <c r="D21" s="386">
        <f>'Beta Calc'!K21</f>
        <v>202.3</v>
      </c>
      <c r="E21" s="386" t="str">
        <f>'Beta Calc'!L21</f>
        <v xml:space="preserve"> -   </v>
      </c>
      <c r="F21" s="386">
        <f>'Beta Calc'!M21</f>
        <v>9</v>
      </c>
      <c r="G21" s="386" t="str">
        <f>'Beta Calc'!N21</f>
        <v xml:space="preserve"> n/a </v>
      </c>
      <c r="H21" s="386">
        <f t="shared" si="7"/>
        <v>9</v>
      </c>
      <c r="I21" s="386">
        <f t="shared" si="8"/>
        <v>211.3</v>
      </c>
      <c r="J21" s="386">
        <f>'Beta Calc'!Q21</f>
        <v>4</v>
      </c>
      <c r="K21" s="386">
        <f t="shared" si="9"/>
        <v>207.3</v>
      </c>
      <c r="M21" s="54">
        <f>IFERROR('Capital IQ Sheet-GPC'!AT24,"n/a")</f>
        <v>0</v>
      </c>
      <c r="N21" s="386">
        <f t="shared" si="0"/>
        <v>2.6630410958904109</v>
      </c>
      <c r="O21" s="206">
        <f t="shared" si="0"/>
        <v>2.7329345205479451E-2</v>
      </c>
      <c r="P21" s="207"/>
      <c r="Q21" s="208">
        <f>IFERROR(HLOOKUP($Q$6,'Equity Vol'!$B$8:$I21,ROWS('Equity Vol'!$C$8:$C21),FALSE),"n/a")</f>
        <v>1.0489999999999999</v>
      </c>
      <c r="R21" s="44"/>
      <c r="S21" s="209">
        <f t="shared" si="10"/>
        <v>1.100401</v>
      </c>
      <c r="T21" s="209">
        <f t="shared" si="1"/>
        <v>2.7309296862335684</v>
      </c>
      <c r="U21" s="210">
        <f t="shared" si="2"/>
        <v>1.0190847502189466</v>
      </c>
      <c r="V21" s="210">
        <f t="shared" si="3"/>
        <v>0.99684220277511115</v>
      </c>
      <c r="W21" s="210">
        <f t="shared" si="4"/>
        <v>0.84591863335187323</v>
      </c>
      <c r="X21" s="91">
        <f t="shared" si="5"/>
        <v>199.56652560506058</v>
      </c>
      <c r="Y21" s="208">
        <f t="shared" si="11"/>
        <v>1.0130653615948486</v>
      </c>
      <c r="AA21" s="92" t="str">
        <f>IF('MASTER PubCo Inputs'!B39=0,"",'MASTER PubCo Inputs'!B39)</f>
        <v>NasdaqCM:GALT</v>
      </c>
      <c r="AB21" s="386">
        <f>'Beta Calc'!Z21</f>
        <v>207.3</v>
      </c>
      <c r="AC21" s="93">
        <f t="shared" si="6"/>
        <v>0</v>
      </c>
      <c r="AI21" s="94"/>
    </row>
    <row r="22" spans="2:35" ht="12.75" customHeight="1">
      <c r="B22" s="385" t="str">
        <f>'Comp.1'!B22</f>
        <v>Corbus Pharmaceuticals Holdings, Inc.</v>
      </c>
      <c r="D22" s="386">
        <f>'Beta Calc'!K22</f>
        <v>274.3</v>
      </c>
      <c r="E22" s="386">
        <f>'Beta Calc'!L22</f>
        <v>0.2</v>
      </c>
      <c r="F22" s="386" t="str">
        <f>'Beta Calc'!M22</f>
        <v xml:space="preserve"> n/a </v>
      </c>
      <c r="G22" s="386" t="str">
        <f>'Beta Calc'!N22</f>
        <v xml:space="preserve"> n/a </v>
      </c>
      <c r="H22" s="386">
        <f t="shared" si="7"/>
        <v>0.2</v>
      </c>
      <c r="I22" s="386">
        <f t="shared" si="8"/>
        <v>274.5</v>
      </c>
      <c r="J22" s="386">
        <f>'Beta Calc'!Q22</f>
        <v>71</v>
      </c>
      <c r="K22" s="386">
        <f t="shared" si="9"/>
        <v>203.5</v>
      </c>
      <c r="M22" s="54">
        <f>IFERROR('Capital IQ Sheet-GPC'!AT25,"n/a")</f>
        <v>0</v>
      </c>
      <c r="N22" s="386">
        <f t="shared" si="0"/>
        <v>2.6630410958904109</v>
      </c>
      <c r="O22" s="206">
        <f t="shared" si="0"/>
        <v>2.7329345205479451E-2</v>
      </c>
      <c r="P22" s="207"/>
      <c r="Q22" s="208">
        <f>IFERROR(HLOOKUP($Q$6,'Equity Vol'!$B$8:$I22,ROWS('Equity Vol'!$C$8:$C22),FALSE),"n/a")</f>
        <v>0.79900000000000004</v>
      </c>
      <c r="R22" s="44"/>
      <c r="S22" s="209">
        <f t="shared" si="10"/>
        <v>0.63840100000000011</v>
      </c>
      <c r="T22" s="209">
        <f t="shared" si="1"/>
        <v>6.0189293916915547</v>
      </c>
      <c r="U22" s="210">
        <f t="shared" si="2"/>
        <v>4.7150551267957654</v>
      </c>
      <c r="V22" s="210">
        <f t="shared" si="3"/>
        <v>0.99999999912212789</v>
      </c>
      <c r="W22" s="210">
        <f t="shared" si="4"/>
        <v>0.99999879177341877</v>
      </c>
      <c r="X22" s="91">
        <f t="shared" si="5"/>
        <v>203.31403881863682</v>
      </c>
      <c r="Y22" s="208">
        <f t="shared" si="11"/>
        <v>0.79826986318771165</v>
      </c>
      <c r="AA22" s="92" t="str">
        <f>IF('MASTER PubCo Inputs'!B40=0,"",'MASTER PubCo Inputs'!B40)</f>
        <v>NasdaqGM:CRBP</v>
      </c>
      <c r="AB22" s="386">
        <f>'Beta Calc'!Z22</f>
        <v>203.5</v>
      </c>
      <c r="AC22" s="93">
        <f t="shared" si="6"/>
        <v>0</v>
      </c>
      <c r="AI22" s="94"/>
    </row>
    <row r="23" spans="2:35" ht="12.75" customHeight="1">
      <c r="B23" s="385" t="str">
        <f>'Comp.1'!B23</f>
        <v>ProQR Therapeutics N.V.</v>
      </c>
      <c r="D23" s="386">
        <f>'Beta Calc'!K23</f>
        <v>212.3</v>
      </c>
      <c r="E23" s="386">
        <f>'Beta Calc'!L23</f>
        <v>8.6999999999999993</v>
      </c>
      <c r="F23" s="386" t="str">
        <f>'Beta Calc'!M23</f>
        <v xml:space="preserve"> n/a </v>
      </c>
      <c r="G23" s="386">
        <f>'Beta Calc'!N23</f>
        <v>0</v>
      </c>
      <c r="H23" s="386">
        <f t="shared" si="7"/>
        <v>8.6999999999999993</v>
      </c>
      <c r="I23" s="386">
        <f t="shared" si="8"/>
        <v>221</v>
      </c>
      <c r="J23" s="386">
        <f>'Beta Calc'!Q23</f>
        <v>57.8</v>
      </c>
      <c r="K23" s="386">
        <f t="shared" si="9"/>
        <v>163.19999999999999</v>
      </c>
      <c r="M23" s="54">
        <f>IFERROR('Capital IQ Sheet-GPC'!AT26,"n/a")</f>
        <v>0</v>
      </c>
      <c r="N23" s="386">
        <f t="shared" si="0"/>
        <v>2.6630410958904109</v>
      </c>
      <c r="O23" s="206">
        <f t="shared" si="0"/>
        <v>2.7329345205479451E-2</v>
      </c>
      <c r="P23" s="207"/>
      <c r="Q23" s="208">
        <f>IFERROR(HLOOKUP($Q$6,'Equity Vol'!$B$8:$I23,ROWS('Equity Vol'!$C$8:$C23),FALSE),"n/a")</f>
        <v>0.73199999999999998</v>
      </c>
      <c r="R23" s="44"/>
      <c r="S23" s="209">
        <f t="shared" si="10"/>
        <v>0.53582399999999997</v>
      </c>
      <c r="T23" s="209">
        <f t="shared" si="1"/>
        <v>3.1124107087379582</v>
      </c>
      <c r="U23" s="210">
        <f t="shared" si="2"/>
        <v>1.9178725837020163</v>
      </c>
      <c r="V23" s="210">
        <f t="shared" si="3"/>
        <v>0.99907216930213172</v>
      </c>
      <c r="W23" s="210">
        <f t="shared" si="4"/>
        <v>0.97243641531902669</v>
      </c>
      <c r="X23" s="91">
        <f t="shared" si="5"/>
        <v>155.18223511291762</v>
      </c>
      <c r="Y23" s="208">
        <f t="shared" si="11"/>
        <v>0.6966843714618598</v>
      </c>
      <c r="AA23" s="92" t="str">
        <f>IF('MASTER PubCo Inputs'!B41=0,"",'MASTER PubCo Inputs'!B41)</f>
        <v>NasdaqGM:PRQR</v>
      </c>
      <c r="AB23" s="386">
        <f>'Beta Calc'!Z23</f>
        <v>174.9</v>
      </c>
      <c r="AC23" s="93">
        <f t="shared" si="6"/>
        <v>-11.700000000000017</v>
      </c>
      <c r="AI23" s="94"/>
    </row>
    <row r="24" spans="2:35" ht="12.75" customHeight="1">
      <c r="B24" s="385" t="str">
        <f>'Comp.1'!B24</f>
        <v>Miragen Therapeutics, Inc.</v>
      </c>
      <c r="D24" s="386">
        <f>'Beta Calc'!K24</f>
        <v>194.7</v>
      </c>
      <c r="E24" s="386">
        <f>'Beta Calc'!L24</f>
        <v>10</v>
      </c>
      <c r="F24" s="386" t="str">
        <f>'Beta Calc'!M24</f>
        <v xml:space="preserve"> n/a </v>
      </c>
      <c r="G24" s="386" t="str">
        <f>'Beta Calc'!N24</f>
        <v xml:space="preserve"> n/a </v>
      </c>
      <c r="H24" s="386">
        <f t="shared" si="7"/>
        <v>10</v>
      </c>
      <c r="I24" s="386">
        <f t="shared" si="8"/>
        <v>204.7</v>
      </c>
      <c r="J24" s="386">
        <f>'Beta Calc'!Q24</f>
        <v>78.099999999999994</v>
      </c>
      <c r="K24" s="386">
        <f t="shared" si="9"/>
        <v>126.6</v>
      </c>
      <c r="M24" s="54">
        <f>IFERROR('Capital IQ Sheet-GPC'!AT27,"n/a")</f>
        <v>0</v>
      </c>
      <c r="N24" s="386">
        <f t="shared" si="0"/>
        <v>2.6630410958904109</v>
      </c>
      <c r="O24" s="206">
        <f t="shared" si="0"/>
        <v>2.7329345205479451E-2</v>
      </c>
      <c r="P24" s="207"/>
      <c r="Q24" s="208">
        <f>IFERROR(HLOOKUP($Q$6,'Equity Vol'!$B$8:$I24,ROWS('Equity Vol'!$C$8:$C24),FALSE),"n/a")</f>
        <v>0.69599999999999995</v>
      </c>
      <c r="R24" s="44"/>
      <c r="S24" s="209">
        <f t="shared" si="10"/>
        <v>0.48441599999999996</v>
      </c>
      <c r="T24" s="209">
        <f t="shared" si="1"/>
        <v>2.8669344201395437</v>
      </c>
      <c r="U24" s="210">
        <f t="shared" si="2"/>
        <v>1.7311440717447137</v>
      </c>
      <c r="V24" s="210">
        <f t="shared" si="3"/>
        <v>0.99792765556027763</v>
      </c>
      <c r="W24" s="210">
        <f t="shared" si="4"/>
        <v>0.95828696421897686</v>
      </c>
      <c r="X24" s="91">
        <f t="shared" si="5"/>
        <v>117.4274301905761</v>
      </c>
      <c r="Y24" s="208">
        <f t="shared" si="11"/>
        <v>0.64691322902874471</v>
      </c>
      <c r="AA24" s="92" t="str">
        <f>IF('MASTER PubCo Inputs'!B42=0,"",'MASTER PubCo Inputs'!B42)</f>
        <v>NasdaqCM:MGEN</v>
      </c>
      <c r="AB24" s="386">
        <f>'Beta Calc'!Z24</f>
        <v>126.7</v>
      </c>
      <c r="AC24" s="93">
        <f t="shared" si="6"/>
        <v>-0.10000000000000853</v>
      </c>
      <c r="AI24" s="94"/>
    </row>
    <row r="25" spans="2:35" ht="12.75" customHeight="1">
      <c r="B25" s="385" t="str">
        <f>'Comp.1'!B25</f>
        <v>Conatus Pharmaceuticals Inc.</v>
      </c>
      <c r="D25" s="386">
        <f>'Beta Calc'!K25</f>
        <v>115.7</v>
      </c>
      <c r="E25" s="386">
        <f>'Beta Calc'!L25</f>
        <v>13.3</v>
      </c>
      <c r="F25" s="386" t="str">
        <f>'Beta Calc'!M25</f>
        <v xml:space="preserve"> n/a </v>
      </c>
      <c r="G25" s="386" t="str">
        <f>'Beta Calc'!N25</f>
        <v xml:space="preserve"> n/a </v>
      </c>
      <c r="H25" s="386">
        <f t="shared" si="7"/>
        <v>13.3</v>
      </c>
      <c r="I25" s="386">
        <f t="shared" si="8"/>
        <v>129</v>
      </c>
      <c r="J25" s="386">
        <f>'Beta Calc'!Q25</f>
        <v>66.8</v>
      </c>
      <c r="K25" s="386">
        <f t="shared" si="9"/>
        <v>62.2</v>
      </c>
      <c r="M25" s="54">
        <f>IFERROR('Capital IQ Sheet-GPC'!AT28,"n/a")</f>
        <v>0</v>
      </c>
      <c r="N25" s="386">
        <f t="shared" si="0"/>
        <v>2.6630410958904109</v>
      </c>
      <c r="O25" s="206">
        <f t="shared" si="0"/>
        <v>2.7329345205479451E-2</v>
      </c>
      <c r="P25" s="207"/>
      <c r="Q25" s="208">
        <f>IFERROR(HLOOKUP($Q$6,'Equity Vol'!$B$8:$I25,ROWS('Equity Vol'!$C$8:$C25),FALSE),"n/a")</f>
        <v>0.93</v>
      </c>
      <c r="R25" s="44"/>
      <c r="S25" s="209">
        <f t="shared" si="10"/>
        <v>0.86490000000000011</v>
      </c>
      <c r="T25" s="209">
        <f t="shared" si="1"/>
        <v>1.8232139302321146</v>
      </c>
      <c r="U25" s="210">
        <f t="shared" si="2"/>
        <v>0.30556303367005722</v>
      </c>
      <c r="V25" s="210">
        <f t="shared" si="3"/>
        <v>0.96586450197302443</v>
      </c>
      <c r="W25" s="210">
        <f t="shared" si="4"/>
        <v>0.62003131506161491</v>
      </c>
      <c r="X25" s="91">
        <f t="shared" si="5"/>
        <v>52.409203361785714</v>
      </c>
      <c r="Y25" s="208">
        <f t="shared" si="11"/>
        <v>0.81130456057169908</v>
      </c>
      <c r="AA25" s="92" t="str">
        <f>IF('MASTER PubCo Inputs'!B43=0,"",'MASTER PubCo Inputs'!B43)</f>
        <v>NasdaqGM:CNAT</v>
      </c>
      <c r="AB25" s="386">
        <f>'Beta Calc'!Z25</f>
        <v>62.3</v>
      </c>
      <c r="AC25" s="93">
        <f t="shared" si="6"/>
        <v>-9.9999999999994316E-2</v>
      </c>
      <c r="AI25" s="94"/>
    </row>
    <row r="26" spans="2:35" ht="12.75" customHeight="1">
      <c r="B26" s="385" t="str">
        <f>'Comp.1'!B26</f>
        <v>Immuron Limited</v>
      </c>
      <c r="D26" s="386">
        <f>'Beta Calc'!K26</f>
        <v>39.700000000000003</v>
      </c>
      <c r="E26" s="386">
        <f>'Beta Calc'!L26</f>
        <v>0</v>
      </c>
      <c r="F26" s="386" t="str">
        <f>'Beta Calc'!M26</f>
        <v xml:space="preserve"> n/a </v>
      </c>
      <c r="G26" s="386" t="str">
        <f>'Beta Calc'!N26</f>
        <v xml:space="preserve"> n/a </v>
      </c>
      <c r="H26" s="386">
        <f t="shared" si="7"/>
        <v>0</v>
      </c>
      <c r="I26" s="386">
        <f t="shared" si="8"/>
        <v>39.700000000000003</v>
      </c>
      <c r="J26" s="386">
        <f>'Beta Calc'!Q26</f>
        <v>0.5</v>
      </c>
      <c r="K26" s="386">
        <f t="shared" si="9"/>
        <v>39.200000000000003</v>
      </c>
      <c r="M26" s="54">
        <f>IFERROR('Capital IQ Sheet-GPC'!AT29,"n/a")</f>
        <v>0</v>
      </c>
      <c r="N26" s="386">
        <f t="shared" si="0"/>
        <v>2.6630410958904109</v>
      </c>
      <c r="O26" s="206">
        <f t="shared" si="0"/>
        <v>2.7329345205479451E-2</v>
      </c>
      <c r="P26" s="207"/>
      <c r="Q26" s="208">
        <f>IFERROR(HLOOKUP($Q$6,'Equity Vol'!$B$8:$I26,ROWS('Equity Vol'!$C$8:$C26),FALSE),"n/a")</f>
        <v>0.96199999999999997</v>
      </c>
      <c r="R26" s="44"/>
      <c r="S26" s="209">
        <f t="shared" si="10"/>
        <v>0.92544399999999993</v>
      </c>
      <c r="T26" s="209">
        <f t="shared" si="1"/>
        <v>0</v>
      </c>
      <c r="U26" s="210">
        <f t="shared" si="2"/>
        <v>0</v>
      </c>
      <c r="V26" s="210">
        <f t="shared" si="3"/>
        <v>0</v>
      </c>
      <c r="W26" s="210">
        <f t="shared" si="4"/>
        <v>0</v>
      </c>
      <c r="X26" s="91">
        <f t="shared" si="5"/>
        <v>0</v>
      </c>
      <c r="Y26" s="208">
        <f t="shared" si="11"/>
        <v>0.96199999999999997</v>
      </c>
      <c r="AA26" s="92" t="str">
        <f>IF('MASTER PubCo Inputs'!B44=0,"",'MASTER PubCo Inputs'!B44)</f>
        <v>ASX:IMC</v>
      </c>
      <c r="AB26" s="386">
        <f>'Beta Calc'!Z26</f>
        <v>39.299999999999997</v>
      </c>
      <c r="AC26" s="93">
        <f t="shared" si="6"/>
        <v>-9.9999999999994316E-2</v>
      </c>
      <c r="AI26" s="94"/>
    </row>
    <row r="27" spans="2:35" ht="12.75" customHeight="1">
      <c r="B27" s="385" t="str">
        <f>'Comp.1'!B27</f>
        <v>AdAlta Limited</v>
      </c>
      <c r="D27" s="386">
        <f>'Beta Calc'!K27</f>
        <v>25.2</v>
      </c>
      <c r="E27" s="386" t="str">
        <f>'Beta Calc'!L27</f>
        <v xml:space="preserve"> -   </v>
      </c>
      <c r="F27" s="386" t="str">
        <f>'Beta Calc'!M27</f>
        <v xml:space="preserve"> n/a </v>
      </c>
      <c r="G27" s="386" t="str">
        <f>'Beta Calc'!N27</f>
        <v xml:space="preserve"> n/a </v>
      </c>
      <c r="H27" s="386">
        <f t="shared" si="7"/>
        <v>0</v>
      </c>
      <c r="I27" s="386">
        <f t="shared" si="8"/>
        <v>25.2</v>
      </c>
      <c r="J27" s="386">
        <f>'Beta Calc'!Q27</f>
        <v>4.0999999999999996</v>
      </c>
      <c r="K27" s="386">
        <f t="shared" si="9"/>
        <v>21.1</v>
      </c>
      <c r="M27" s="54">
        <f>IFERROR('Capital IQ Sheet-GPC'!AT30,"n/a")</f>
        <v>0</v>
      </c>
      <c r="N27" s="386">
        <f t="shared" si="0"/>
        <v>2.6630410958904109</v>
      </c>
      <c r="O27" s="206">
        <f t="shared" si="0"/>
        <v>2.7329345205479451E-2</v>
      </c>
      <c r="P27" s="207"/>
      <c r="Q27" s="208">
        <f>IFERROR(HLOOKUP($Q$6,'Equity Vol'!$B$8:$I27,ROWS('Equity Vol'!$C$8:$C27),FALSE),"n/a")</f>
        <v>0.89800000000000002</v>
      </c>
      <c r="R27" s="44"/>
      <c r="S27" s="209">
        <f t="shared" si="10"/>
        <v>0.80640400000000001</v>
      </c>
      <c r="T27" s="209">
        <f t="shared" si="1"/>
        <v>0</v>
      </c>
      <c r="U27" s="210">
        <f t="shared" si="2"/>
        <v>0</v>
      </c>
      <c r="V27" s="210">
        <f t="shared" si="3"/>
        <v>0</v>
      </c>
      <c r="W27" s="210">
        <f t="shared" si="4"/>
        <v>0</v>
      </c>
      <c r="X27" s="91">
        <f t="shared" si="5"/>
        <v>0</v>
      </c>
      <c r="Y27" s="208">
        <f t="shared" si="11"/>
        <v>0.89800000000000002</v>
      </c>
      <c r="AA27" s="92" t="str">
        <f>IF('MASTER PubCo Inputs'!B45=0,"",'MASTER PubCo Inputs'!B45)</f>
        <v>ASX:1AD</v>
      </c>
      <c r="AB27" s="386">
        <f>'Beta Calc'!Z27</f>
        <v>21.3</v>
      </c>
      <c r="AC27" s="93">
        <f t="shared" si="6"/>
        <v>-0.19999999999999929</v>
      </c>
      <c r="AI27" s="94"/>
    </row>
    <row r="28" spans="2:35" ht="12.75" customHeight="1">
      <c r="B28" s="385" t="str">
        <f>'Comp.1'!B28</f>
        <v>Pulmatrix, Inc.</v>
      </c>
      <c r="D28" s="386">
        <f>'Beta Calc'!K28</f>
        <v>19.3</v>
      </c>
      <c r="E28" s="386">
        <f>'Beta Calc'!L28</f>
        <v>2.5</v>
      </c>
      <c r="F28" s="386" t="str">
        <f>'Beta Calc'!M28</f>
        <v xml:space="preserve"> n/a </v>
      </c>
      <c r="G28" s="386" t="str">
        <f>'Beta Calc'!N28</f>
        <v xml:space="preserve"> n/a </v>
      </c>
      <c r="H28" s="386">
        <f t="shared" si="7"/>
        <v>2.5</v>
      </c>
      <c r="I28" s="386">
        <f t="shared" si="8"/>
        <v>21.8</v>
      </c>
      <c r="J28" s="386">
        <f>'Beta Calc'!Q28</f>
        <v>1.6</v>
      </c>
      <c r="K28" s="386">
        <f t="shared" si="9"/>
        <v>20.2</v>
      </c>
      <c r="M28" s="54">
        <f>IFERROR('Capital IQ Sheet-GPC'!AT31,"n/a")</f>
        <v>0</v>
      </c>
      <c r="N28" s="386">
        <f t="shared" si="0"/>
        <v>2.6630410958904109</v>
      </c>
      <c r="O28" s="206">
        <f t="shared" si="0"/>
        <v>2.7329345205479451E-2</v>
      </c>
      <c r="P28" s="207"/>
      <c r="Q28" s="208">
        <f>IFERROR(HLOOKUP($Q$6,'Equity Vol'!$B$8:$I28,ROWS('Equity Vol'!$C$8:$C28),FALSE),"n/a")</f>
        <v>1.226</v>
      </c>
      <c r="R28" s="44"/>
      <c r="S28" s="209">
        <f t="shared" si="10"/>
        <v>1.5030759999999999</v>
      </c>
      <c r="T28" s="209">
        <f t="shared" si="1"/>
        <v>2.081057748561673</v>
      </c>
      <c r="U28" s="210">
        <f t="shared" si="2"/>
        <v>8.0369577394917791E-2</v>
      </c>
      <c r="V28" s="210">
        <f t="shared" si="3"/>
        <v>0.98128568971933339</v>
      </c>
      <c r="W28" s="210">
        <f t="shared" si="4"/>
        <v>0.53202833883265233</v>
      </c>
      <c r="X28" s="91">
        <f t="shared" si="5"/>
        <v>18.585262896072575</v>
      </c>
      <c r="Y28" s="208">
        <f t="shared" si="11"/>
        <v>1.1495089155549483</v>
      </c>
      <c r="AA28" s="92" t="str">
        <f>IF('MASTER PubCo Inputs'!B46=0,"",'MASTER PubCo Inputs'!B46)</f>
        <v>NasdaqGM:PULM</v>
      </c>
      <c r="AB28" s="386">
        <f>'Beta Calc'!Z28</f>
        <v>20.3</v>
      </c>
      <c r="AC28" s="93">
        <f t="shared" si="6"/>
        <v>-0.10000000000000142</v>
      </c>
      <c r="AI28" s="94"/>
    </row>
    <row r="29" spans="2:35" ht="12.75" customHeight="1">
      <c r="B29" s="385" t="str">
        <f>'Comp.1'!B29</f>
        <v>AmpliPhi Biosciences Corporation</v>
      </c>
      <c r="D29" s="386">
        <f>'Beta Calc'!K29</f>
        <v>16.5</v>
      </c>
      <c r="E29" s="386" t="str">
        <f>'Beta Calc'!L29</f>
        <v xml:space="preserve"> -   </v>
      </c>
      <c r="F29" s="386" t="str">
        <f>'Beta Calc'!M29</f>
        <v xml:space="preserve"> n/a </v>
      </c>
      <c r="G29" s="386" t="str">
        <f>'Beta Calc'!N29</f>
        <v xml:space="preserve"> n/a </v>
      </c>
      <c r="H29" s="386">
        <f t="shared" si="7"/>
        <v>0</v>
      </c>
      <c r="I29" s="386">
        <f t="shared" si="8"/>
        <v>16.5</v>
      </c>
      <c r="J29" s="386">
        <f>'Beta Calc'!Q29</f>
        <v>8.1999999999999993</v>
      </c>
      <c r="K29" s="386">
        <f t="shared" si="9"/>
        <v>8.3000000000000007</v>
      </c>
      <c r="M29" s="54">
        <f>IFERROR('Capital IQ Sheet-GPC'!AT32,"n/a")</f>
        <v>0</v>
      </c>
      <c r="N29" s="386">
        <f t="shared" si="0"/>
        <v>2.6630410958904109</v>
      </c>
      <c r="O29" s="206">
        <f t="shared" si="0"/>
        <v>2.7329345205479451E-2</v>
      </c>
      <c r="P29" s="207"/>
      <c r="Q29" s="208">
        <f>IFERROR(HLOOKUP($Q$6,'Equity Vol'!$B$8:$I29,ROWS('Equity Vol'!$C$8:$C29),FALSE),"n/a")</f>
        <v>1.2470000000000001</v>
      </c>
      <c r="R29" s="44"/>
      <c r="S29" s="209">
        <f t="shared" si="10"/>
        <v>1.5550090000000003</v>
      </c>
      <c r="T29" s="209">
        <f t="shared" si="1"/>
        <v>0</v>
      </c>
      <c r="U29" s="210">
        <f t="shared" si="2"/>
        <v>0</v>
      </c>
      <c r="V29" s="210">
        <f t="shared" si="3"/>
        <v>0</v>
      </c>
      <c r="W29" s="210">
        <f t="shared" si="4"/>
        <v>0</v>
      </c>
      <c r="X29" s="91">
        <f t="shared" si="5"/>
        <v>0</v>
      </c>
      <c r="Y29" s="208">
        <f t="shared" si="11"/>
        <v>1.2470000000000001</v>
      </c>
      <c r="AA29" s="92" t="str">
        <f>IF('MASTER PubCo Inputs'!B47=0,"",'MASTER PubCo Inputs'!B47)</f>
        <v>AMEX:APHB</v>
      </c>
      <c r="AB29" s="386">
        <f>'Beta Calc'!Z29</f>
        <v>8.3000000000000007</v>
      </c>
      <c r="AC29" s="93">
        <f t="shared" si="6"/>
        <v>0</v>
      </c>
      <c r="AI29" s="94"/>
    </row>
    <row r="30" spans="2:35" ht="12.75" customHeight="1">
      <c r="B30" s="385">
        <f>'Comp.1'!B30</f>
        <v>0</v>
      </c>
      <c r="D30" s="386" t="str">
        <f>'Beta Calc'!K30</f>
        <v xml:space="preserve"> (Invalid Identifier) </v>
      </c>
      <c r="E30" s="386" t="str">
        <f>'Beta Calc'!L30</f>
        <v xml:space="preserve"> (Invalid Identifier) </v>
      </c>
      <c r="F30" s="386" t="str">
        <f>'Beta Calc'!M30</f>
        <v xml:space="preserve"> (Invalid Identifier) </v>
      </c>
      <c r="G30" s="386" t="str">
        <f>'Beta Calc'!N30</f>
        <v xml:space="preserve"> (Invalid Identifier) </v>
      </c>
      <c r="H30" s="386">
        <f t="shared" si="7"/>
        <v>0</v>
      </c>
      <c r="I30" s="386">
        <f t="shared" si="8"/>
        <v>0</v>
      </c>
      <c r="J30" s="386" t="str">
        <f>'Beta Calc'!Q30</f>
        <v xml:space="preserve"> (Invalid Identifier) </v>
      </c>
      <c r="K30" s="386" t="e">
        <f t="shared" si="9"/>
        <v>#VALUE!</v>
      </c>
      <c r="M30" s="54" t="str">
        <f>IFERROR('Capital IQ Sheet-GPC'!AT33,"n/a")</f>
        <v>n/a</v>
      </c>
      <c r="N30" s="386">
        <f t="shared" si="0"/>
        <v>2.6630410958904109</v>
      </c>
      <c r="O30" s="206">
        <f t="shared" si="0"/>
        <v>2.7329345205479451E-2</v>
      </c>
      <c r="P30" s="207"/>
      <c r="Q30" s="208">
        <f>IFERROR(HLOOKUP($Q$6,'Equity Vol'!$B$8:$I30,ROWS('Equity Vol'!$C$8:$C30),FALSE),"n/a")</f>
        <v>0</v>
      </c>
      <c r="R30" s="44"/>
      <c r="S30" s="209">
        <f t="shared" si="10"/>
        <v>0</v>
      </c>
      <c r="T30" s="209" t="e">
        <f t="shared" si="1"/>
        <v>#VALUE!</v>
      </c>
      <c r="U30" s="210" t="e">
        <f t="shared" si="2"/>
        <v>#VALUE!</v>
      </c>
      <c r="V30" s="210" t="e">
        <f t="shared" si="3"/>
        <v>#VALUE!</v>
      </c>
      <c r="W30" s="210" t="e">
        <f t="shared" si="4"/>
        <v>#VALUE!</v>
      </c>
      <c r="X30" s="91" t="e">
        <f t="shared" si="5"/>
        <v>#VALUE!</v>
      </c>
      <c r="Y30" s="208">
        <f t="shared" si="11"/>
        <v>0</v>
      </c>
      <c r="AA30" s="92" t="str">
        <f>IF('MASTER PubCo Inputs'!B48=0,"",'MASTER PubCo Inputs'!B48)</f>
        <v>(Invalid Identifier)</v>
      </c>
      <c r="AB30" s="386" t="str">
        <f>'Beta Calc'!Z30</f>
        <v xml:space="preserve"> (Invalid Identifier) </v>
      </c>
      <c r="AC30" s="93" t="e">
        <f t="shared" si="6"/>
        <v>#VALUE!</v>
      </c>
      <c r="AI30" s="94"/>
    </row>
    <row r="31" spans="2:35" ht="12.75" customHeight="1">
      <c r="B31" s="385">
        <f>'Comp.1'!B31</f>
        <v>0</v>
      </c>
      <c r="D31" s="386" t="str">
        <f>'Beta Calc'!K31</f>
        <v xml:space="preserve"> (Invalid Identifier) </v>
      </c>
      <c r="E31" s="386" t="str">
        <f>'Beta Calc'!L31</f>
        <v xml:space="preserve"> (Invalid Identifier) </v>
      </c>
      <c r="F31" s="386" t="str">
        <f>'Beta Calc'!M31</f>
        <v xml:space="preserve"> (Invalid Identifier) </v>
      </c>
      <c r="G31" s="386" t="str">
        <f>'Beta Calc'!N31</f>
        <v xml:space="preserve"> (Invalid Identifier) </v>
      </c>
      <c r="H31" s="386">
        <f t="shared" si="7"/>
        <v>0</v>
      </c>
      <c r="I31" s="386">
        <f t="shared" si="8"/>
        <v>0</v>
      </c>
      <c r="J31" s="386" t="str">
        <f>'Beta Calc'!Q31</f>
        <v xml:space="preserve"> (Invalid Identifier) </v>
      </c>
      <c r="K31" s="386" t="e">
        <f t="shared" si="9"/>
        <v>#VALUE!</v>
      </c>
      <c r="M31" s="54" t="str">
        <f>IFERROR('Capital IQ Sheet-GPC'!AT34,"n/a")</f>
        <v>n/a</v>
      </c>
      <c r="N31" s="386">
        <f t="shared" si="0"/>
        <v>2.6630410958904109</v>
      </c>
      <c r="O31" s="206">
        <f t="shared" si="0"/>
        <v>2.7329345205479451E-2</v>
      </c>
      <c r="P31" s="207"/>
      <c r="Q31" s="208">
        <f>IFERROR(HLOOKUP($Q$6,'Equity Vol'!$B$8:$I31,ROWS('Equity Vol'!$C$8:$C31),FALSE),"n/a")</f>
        <v>0</v>
      </c>
      <c r="R31" s="44"/>
      <c r="S31" s="209">
        <f t="shared" si="10"/>
        <v>0</v>
      </c>
      <c r="T31" s="209" t="e">
        <f t="shared" si="1"/>
        <v>#VALUE!</v>
      </c>
      <c r="U31" s="210" t="e">
        <f t="shared" si="2"/>
        <v>#VALUE!</v>
      </c>
      <c r="V31" s="210" t="e">
        <f t="shared" si="3"/>
        <v>#VALUE!</v>
      </c>
      <c r="W31" s="210" t="e">
        <f t="shared" si="4"/>
        <v>#VALUE!</v>
      </c>
      <c r="X31" s="91" t="e">
        <f t="shared" si="5"/>
        <v>#VALUE!</v>
      </c>
      <c r="Y31" s="208">
        <f t="shared" si="11"/>
        <v>0</v>
      </c>
      <c r="AA31" s="92" t="str">
        <f>IF('MASTER PubCo Inputs'!B49=0,"",'MASTER PubCo Inputs'!B49)</f>
        <v>(Invalid Identifier)</v>
      </c>
      <c r="AB31" s="386" t="str">
        <f>'Beta Calc'!Z31</f>
        <v xml:space="preserve"> (Invalid Identifier) </v>
      </c>
      <c r="AC31" s="93" t="e">
        <f t="shared" si="6"/>
        <v>#VALUE!</v>
      </c>
      <c r="AI31" s="94"/>
    </row>
    <row r="32" spans="2:35" ht="12.75" hidden="1" customHeight="1" outlineLevel="1">
      <c r="D32" s="386"/>
      <c r="E32" s="386"/>
      <c r="F32" s="386"/>
      <c r="G32" s="386"/>
      <c r="H32" s="386"/>
      <c r="I32" s="386"/>
      <c r="J32" s="386"/>
      <c r="K32" s="386"/>
      <c r="M32" s="54"/>
      <c r="N32" s="386"/>
      <c r="O32" s="206"/>
      <c r="P32" s="207"/>
      <c r="Q32" s="208"/>
      <c r="R32" s="44"/>
      <c r="S32" s="209"/>
      <c r="T32" s="209"/>
      <c r="U32" s="210"/>
      <c r="V32" s="210"/>
      <c r="W32" s="210"/>
      <c r="X32" s="386"/>
      <c r="Y32" s="208"/>
      <c r="AA32" s="92"/>
      <c r="AB32" s="386"/>
      <c r="AC32" s="93"/>
      <c r="AI32" s="94"/>
    </row>
    <row r="33" spans="2:35" ht="12.75" hidden="1" customHeight="1" outlineLevel="1">
      <c r="D33" s="386"/>
      <c r="E33" s="386"/>
      <c r="F33" s="386"/>
      <c r="G33" s="386"/>
      <c r="H33" s="386"/>
      <c r="I33" s="386"/>
      <c r="J33" s="386"/>
      <c r="K33" s="386"/>
      <c r="M33" s="54"/>
      <c r="N33" s="386"/>
      <c r="O33" s="206"/>
      <c r="P33" s="207"/>
      <c r="Q33" s="208"/>
      <c r="R33" s="44"/>
      <c r="S33" s="209"/>
      <c r="T33" s="209"/>
      <c r="U33" s="210"/>
      <c r="V33" s="210"/>
      <c r="W33" s="210"/>
      <c r="X33" s="386"/>
      <c r="Y33" s="208"/>
      <c r="AA33" s="92"/>
      <c r="AB33" s="386"/>
      <c r="AC33" s="93"/>
      <c r="AI33" s="94"/>
    </row>
    <row r="34" spans="2:35" ht="12.75" hidden="1" customHeight="1" outlineLevel="1">
      <c r="D34" s="386"/>
      <c r="E34" s="386"/>
      <c r="F34" s="386"/>
      <c r="G34" s="386"/>
      <c r="H34" s="386"/>
      <c r="I34" s="386"/>
      <c r="J34" s="386"/>
      <c r="K34" s="386"/>
      <c r="M34" s="54"/>
      <c r="N34" s="386"/>
      <c r="O34" s="206"/>
      <c r="P34" s="207"/>
      <c r="Q34" s="208"/>
      <c r="R34" s="44"/>
      <c r="S34" s="209"/>
      <c r="T34" s="209"/>
      <c r="U34" s="210"/>
      <c r="V34" s="210"/>
      <c r="W34" s="210"/>
      <c r="X34" s="386"/>
      <c r="Y34" s="208"/>
      <c r="AA34" s="92"/>
      <c r="AB34" s="386"/>
      <c r="AC34" s="93"/>
      <c r="AI34" s="94"/>
    </row>
    <row r="35" spans="2:35" ht="12.75" hidden="1" customHeight="1" outlineLevel="1">
      <c r="D35" s="386"/>
      <c r="E35" s="386"/>
      <c r="F35" s="386"/>
      <c r="G35" s="386"/>
      <c r="H35" s="386"/>
      <c r="I35" s="386"/>
      <c r="J35" s="386"/>
      <c r="K35" s="386"/>
      <c r="M35" s="54"/>
      <c r="N35" s="386"/>
      <c r="O35" s="206"/>
      <c r="P35" s="207"/>
      <c r="Q35" s="208"/>
      <c r="R35" s="44"/>
      <c r="S35" s="209"/>
      <c r="T35" s="209"/>
      <c r="U35" s="210"/>
      <c r="V35" s="210"/>
      <c r="W35" s="210"/>
      <c r="X35" s="386"/>
      <c r="Y35" s="208"/>
      <c r="AA35" s="92"/>
      <c r="AB35" s="386"/>
      <c r="AC35" s="93"/>
      <c r="AI35" s="94"/>
    </row>
    <row r="36" spans="2:35" ht="12.75" hidden="1" customHeight="1" outlineLevel="1">
      <c r="D36" s="386"/>
      <c r="E36" s="386"/>
      <c r="F36" s="386"/>
      <c r="G36" s="386"/>
      <c r="H36" s="386"/>
      <c r="I36" s="386"/>
      <c r="J36" s="386"/>
      <c r="K36" s="386"/>
      <c r="M36" s="54"/>
      <c r="N36" s="386"/>
      <c r="O36" s="206"/>
      <c r="P36" s="207"/>
      <c r="Q36" s="208"/>
      <c r="R36" s="44"/>
      <c r="S36" s="209"/>
      <c r="T36" s="209"/>
      <c r="U36" s="210"/>
      <c r="V36" s="210"/>
      <c r="W36" s="210"/>
      <c r="X36" s="386"/>
      <c r="Y36" s="208"/>
      <c r="AA36" s="92" t="str">
        <f>IF('MASTER PubCo Inputs'!B54=0,"",'MASTER PubCo Inputs'!B54)</f>
        <v/>
      </c>
      <c r="AB36" s="386">
        <f>'Beta Calc'!Z36</f>
        <v>0</v>
      </c>
      <c r="AC36" s="93">
        <f t="shared" si="6"/>
        <v>0</v>
      </c>
      <c r="AI36" s="94"/>
    </row>
    <row r="37" spans="2:35" ht="12.75" hidden="1" customHeight="1" outlineLevel="1">
      <c r="D37" s="386"/>
      <c r="E37" s="386"/>
      <c r="F37" s="386"/>
      <c r="G37" s="386"/>
      <c r="H37" s="386"/>
      <c r="I37" s="386"/>
      <c r="J37" s="386"/>
      <c r="K37" s="386"/>
      <c r="M37" s="54"/>
      <c r="N37" s="386"/>
      <c r="O37" s="206"/>
      <c r="P37" s="207"/>
      <c r="Q37" s="208"/>
      <c r="R37" s="44"/>
      <c r="S37" s="209"/>
      <c r="T37" s="209"/>
      <c r="U37" s="210"/>
      <c r="V37" s="210"/>
      <c r="W37" s="210"/>
      <c r="X37" s="386"/>
      <c r="Y37" s="208"/>
      <c r="AA37" s="92" t="str">
        <f>IF('MASTER PubCo Inputs'!B55=0,"",'MASTER PubCo Inputs'!B55)</f>
        <v/>
      </c>
      <c r="AB37" s="386">
        <f>'Beta Calc'!Z37</f>
        <v>0</v>
      </c>
      <c r="AC37" s="93">
        <f t="shared" si="6"/>
        <v>0</v>
      </c>
      <c r="AI37" s="94"/>
    </row>
    <row r="38" spans="2:35" ht="12.75" hidden="1" customHeight="1" outlineLevel="1">
      <c r="D38" s="386"/>
      <c r="E38" s="386"/>
      <c r="F38" s="386"/>
      <c r="G38" s="386"/>
      <c r="H38" s="386"/>
      <c r="I38" s="386"/>
      <c r="J38" s="386"/>
      <c r="K38" s="386"/>
      <c r="M38" s="54"/>
      <c r="N38" s="386"/>
      <c r="O38" s="206"/>
      <c r="P38" s="207"/>
      <c r="Q38" s="208"/>
      <c r="R38" s="44"/>
      <c r="S38" s="209"/>
      <c r="T38" s="209"/>
      <c r="U38" s="210"/>
      <c r="V38" s="210"/>
      <c r="W38" s="210"/>
      <c r="X38" s="386"/>
      <c r="Y38" s="208"/>
      <c r="AA38" s="92" t="str">
        <f>IF('MASTER PubCo Inputs'!B56=0,"",'MASTER PubCo Inputs'!B56)</f>
        <v/>
      </c>
      <c r="AB38" s="386">
        <f>'Beta Calc'!Z38</f>
        <v>0</v>
      </c>
      <c r="AC38" s="93">
        <f t="shared" si="6"/>
        <v>0</v>
      </c>
      <c r="AI38" s="94"/>
    </row>
    <row r="39" spans="2:35" ht="12.75" hidden="1" customHeight="1" outlineLevel="1">
      <c r="D39" s="386"/>
      <c r="E39" s="386"/>
      <c r="F39" s="386"/>
      <c r="G39" s="386"/>
      <c r="H39" s="386"/>
      <c r="I39" s="386"/>
      <c r="J39" s="386"/>
      <c r="K39" s="386"/>
      <c r="M39" s="54"/>
      <c r="N39" s="386"/>
      <c r="O39" s="206"/>
      <c r="P39" s="207"/>
      <c r="Q39" s="208"/>
      <c r="R39" s="44"/>
      <c r="S39" s="209"/>
      <c r="T39" s="209"/>
      <c r="U39" s="210"/>
      <c r="V39" s="210"/>
      <c r="W39" s="210"/>
      <c r="X39" s="386"/>
      <c r="Y39" s="208"/>
      <c r="AA39" s="92" t="str">
        <f>IF('MASTER PubCo Inputs'!B57=0,"",'MASTER PubCo Inputs'!B57)</f>
        <v/>
      </c>
      <c r="AB39" s="386">
        <f>'Beta Calc'!Z39</f>
        <v>0</v>
      </c>
      <c r="AC39" s="93">
        <f t="shared" si="6"/>
        <v>0</v>
      </c>
      <c r="AI39" s="94"/>
    </row>
    <row r="40" spans="2:35" ht="12.75" customHeight="1" collapsed="1">
      <c r="D40" s="386"/>
      <c r="E40" s="386"/>
      <c r="F40" s="386"/>
      <c r="G40" s="386"/>
      <c r="H40" s="386"/>
      <c r="I40" s="386"/>
      <c r="J40" s="386"/>
      <c r="K40" s="386"/>
      <c r="R40" s="20"/>
    </row>
    <row r="41" spans="2:35" ht="12.75" customHeight="1">
      <c r="B41" s="753" t="s">
        <v>46</v>
      </c>
      <c r="C41" s="769"/>
      <c r="D41" s="768">
        <f>MAX(D10:D39)</f>
        <v>44574.8</v>
      </c>
      <c r="E41" s="768">
        <f t="shared" ref="E41:K41" si="12">MAX(E10:E39)</f>
        <v>592.70000000000005</v>
      </c>
      <c r="F41" s="768">
        <f t="shared" si="12"/>
        <v>40.700000000000003</v>
      </c>
      <c r="G41" s="768">
        <f t="shared" si="12"/>
        <v>28.7</v>
      </c>
      <c r="H41" s="768">
        <f t="shared" si="12"/>
        <v>621.40000000000009</v>
      </c>
      <c r="I41" s="768">
        <f t="shared" si="12"/>
        <v>45196.2</v>
      </c>
      <c r="J41" s="768">
        <f t="shared" si="12"/>
        <v>2767.8</v>
      </c>
      <c r="K41" s="768" t="e">
        <f t="shared" si="12"/>
        <v>#VALUE!</v>
      </c>
      <c r="L41" s="769"/>
      <c r="M41" s="773">
        <f t="shared" ref="M41:O41" si="13">MAX(M10:M39)</f>
        <v>0</v>
      </c>
      <c r="N41" s="768">
        <f t="shared" si="13"/>
        <v>2.6630410958904109</v>
      </c>
      <c r="O41" s="775">
        <f t="shared" si="13"/>
        <v>2.7329345205479451E-2</v>
      </c>
      <c r="P41" s="776"/>
      <c r="Q41" s="777">
        <f>MAX(Q10:Q39)</f>
        <v>1.2470000000000001</v>
      </c>
      <c r="R41" s="778"/>
      <c r="S41" s="779">
        <f t="shared" ref="S41:W41" si="14">MAX(S10:S40)</f>
        <v>1.5550090000000003</v>
      </c>
      <c r="T41" s="779" t="e">
        <f t="shared" si="14"/>
        <v>#VALUE!</v>
      </c>
      <c r="U41" s="780" t="e">
        <f t="shared" si="14"/>
        <v>#VALUE!</v>
      </c>
      <c r="V41" s="780" t="e">
        <f t="shared" si="14"/>
        <v>#VALUE!</v>
      </c>
      <c r="W41" s="780" t="e">
        <f t="shared" si="14"/>
        <v>#VALUE!</v>
      </c>
      <c r="X41" s="768" t="e">
        <f t="shared" ref="X41:Y41" si="15">MAX(X10:X39)</f>
        <v>#VALUE!</v>
      </c>
      <c r="Y41" s="781">
        <f t="shared" si="15"/>
        <v>1.2470000000000001</v>
      </c>
      <c r="AB41" s="817">
        <f>+'Asset Vol_OPM'!Y48</f>
        <v>0.74</v>
      </c>
      <c r="AC41" s="818" t="s">
        <v>1112</v>
      </c>
      <c r="AD41" s="818"/>
      <c r="AE41" s="818"/>
      <c r="AF41" s="792"/>
    </row>
    <row r="42" spans="2:35" ht="12.75" customHeight="1">
      <c r="B42" s="339" t="s">
        <v>50</v>
      </c>
      <c r="C42" s="75"/>
      <c r="D42" s="99">
        <f t="shared" ref="D42:K42" si="16">QUARTILE(D10:D39,3)</f>
        <v>2055.25</v>
      </c>
      <c r="E42" s="99">
        <f t="shared" si="16"/>
        <v>196.6</v>
      </c>
      <c r="F42" s="99">
        <f t="shared" si="16"/>
        <v>32.775000000000006</v>
      </c>
      <c r="G42" s="99">
        <f t="shared" si="16"/>
        <v>24</v>
      </c>
      <c r="H42" s="99">
        <f t="shared" si="16"/>
        <v>59.150000000000006</v>
      </c>
      <c r="I42" s="99">
        <f t="shared" si="16"/>
        <v>1894.4249999999997</v>
      </c>
      <c r="J42" s="99">
        <f t="shared" si="16"/>
        <v>326.77500000000003</v>
      </c>
      <c r="K42" s="99" t="e">
        <f t="shared" si="16"/>
        <v>#VALUE!</v>
      </c>
      <c r="L42" s="75"/>
      <c r="M42" s="139">
        <f>QUARTILE(M10:M39,3)</f>
        <v>0</v>
      </c>
      <c r="N42" s="99">
        <f>QUARTILE(N10:N39,3)</f>
        <v>2.6630410958904109</v>
      </c>
      <c r="O42" s="211">
        <f>QUARTILE(O10:O39,3)</f>
        <v>2.7329345205479451E-2</v>
      </c>
      <c r="P42" s="212"/>
      <c r="Q42" s="213">
        <f>QUARTILE(Q10:Q39,3)</f>
        <v>0.95399999999999996</v>
      </c>
      <c r="R42" s="214"/>
      <c r="S42" s="215">
        <f>QUARTILE(S10:S40,3)</f>
        <v>0.91030800000000001</v>
      </c>
      <c r="T42" s="215" t="e">
        <f>QUARTILE(T10:T40,3)</f>
        <v>#VALUE!</v>
      </c>
      <c r="U42" s="216" t="e">
        <f>QUARTILE(U10:U40,3)</f>
        <v>#VALUE!</v>
      </c>
      <c r="V42" s="216" t="e">
        <f>QUARTILE(V10:V40,3)</f>
        <v>#VALUE!</v>
      </c>
      <c r="W42" s="216" t="e">
        <f>QUARTILE(W10:W40,3)</f>
        <v>#VALUE!</v>
      </c>
      <c r="X42" s="99" t="e">
        <f>QUARTILE(X10:X39,3)</f>
        <v>#VALUE!</v>
      </c>
      <c r="Y42" s="217">
        <f>QUARTILE(Y10:Y39,3)</f>
        <v>0.94599999999999995</v>
      </c>
      <c r="AB42" s="819">
        <f>+'Asset Vol_OPM'!Y50</f>
        <v>0.78075247182002605</v>
      </c>
      <c r="AC42" s="16" t="s">
        <v>1113</v>
      </c>
      <c r="AD42" s="16"/>
      <c r="AE42" s="16"/>
      <c r="AF42" s="197"/>
    </row>
    <row r="43" spans="2:35" ht="12.75" customHeight="1">
      <c r="B43" s="339" t="s">
        <v>48</v>
      </c>
      <c r="C43" s="75"/>
      <c r="D43" s="99">
        <f>AVERAGE(D10:D39)</f>
        <v>3369.4600000000005</v>
      </c>
      <c r="E43" s="99">
        <f t="shared" ref="E43:K43" si="17">AVERAGE(E10:E39)</f>
        <v>126.9076923076923</v>
      </c>
      <c r="F43" s="99">
        <f t="shared" si="17"/>
        <v>24.85</v>
      </c>
      <c r="G43" s="99">
        <f t="shared" si="17"/>
        <v>16</v>
      </c>
      <c r="H43" s="99">
        <f t="shared" si="17"/>
        <v>79.431818181818187</v>
      </c>
      <c r="I43" s="99">
        <f t="shared" si="17"/>
        <v>3142.5772727272724</v>
      </c>
      <c r="J43" s="99">
        <f t="shared" si="17"/>
        <v>343.37000000000012</v>
      </c>
      <c r="K43" s="99" t="e">
        <f t="shared" si="17"/>
        <v>#VALUE!</v>
      </c>
      <c r="L43" s="75"/>
      <c r="M43" s="139">
        <f t="shared" ref="M43:O43" si="18">AVERAGE(M10:M39)</f>
        <v>0</v>
      </c>
      <c r="N43" s="99">
        <f t="shared" si="18"/>
        <v>2.6630410958904118</v>
      </c>
      <c r="O43" s="211">
        <f t="shared" si="18"/>
        <v>2.7329345205479461E-2</v>
      </c>
      <c r="P43" s="212"/>
      <c r="Q43" s="213">
        <f>AVERAGE(Q10:Q39)</f>
        <v>0.70740909090909088</v>
      </c>
      <c r="R43" s="214"/>
      <c r="S43" s="215">
        <f t="shared" ref="S43:W43" si="19">AVERAGE(S10:S40)</f>
        <v>0.60494522727272737</v>
      </c>
      <c r="T43" s="215" t="e">
        <f t="shared" si="19"/>
        <v>#VALUE!</v>
      </c>
      <c r="U43" s="216" t="e">
        <f t="shared" si="19"/>
        <v>#VALUE!</v>
      </c>
      <c r="V43" s="216" t="e">
        <f t="shared" si="19"/>
        <v>#VALUE!</v>
      </c>
      <c r="W43" s="216" t="e">
        <f t="shared" si="19"/>
        <v>#VALUE!</v>
      </c>
      <c r="X43" s="99" t="e">
        <f t="shared" ref="X43:Y43" si="20">AVERAGE(X10:X39)</f>
        <v>#VALUE!</v>
      </c>
      <c r="Y43" s="217">
        <f t="shared" si="20"/>
        <v>0.67287326250062529</v>
      </c>
      <c r="AB43" s="819">
        <f>+'Asset Vol_OPM'!Y43</f>
        <v>0.67287326250062529</v>
      </c>
      <c r="AC43" s="16" t="s">
        <v>1111</v>
      </c>
      <c r="AD43" s="16"/>
      <c r="AE43" s="16"/>
      <c r="AF43" s="820" t="s">
        <v>1242</v>
      </c>
    </row>
    <row r="44" spans="2:35" ht="12.75" customHeight="1">
      <c r="B44" s="339" t="s">
        <v>3</v>
      </c>
      <c r="C44" s="75"/>
      <c r="D44" s="99">
        <f>MEDIAN(D10:D39)</f>
        <v>327.60000000000002</v>
      </c>
      <c r="E44" s="99">
        <f t="shared" ref="E44:K44" si="21">MEDIAN(E10:E39)</f>
        <v>15.2</v>
      </c>
      <c r="F44" s="99">
        <f t="shared" si="21"/>
        <v>24.85</v>
      </c>
      <c r="G44" s="99">
        <f t="shared" si="21"/>
        <v>19.3</v>
      </c>
      <c r="H44" s="99">
        <f t="shared" si="21"/>
        <v>5.6</v>
      </c>
      <c r="I44" s="99">
        <f t="shared" si="21"/>
        <v>282.10000000000002</v>
      </c>
      <c r="J44" s="99">
        <f t="shared" si="21"/>
        <v>68.900000000000006</v>
      </c>
      <c r="K44" s="99" t="e">
        <f t="shared" si="21"/>
        <v>#VALUE!</v>
      </c>
      <c r="L44" s="75"/>
      <c r="M44" s="139">
        <f t="shared" ref="M44:O44" si="22">MEDIAN(M10:M39)</f>
        <v>0</v>
      </c>
      <c r="N44" s="99">
        <f t="shared" si="22"/>
        <v>2.6630410958904109</v>
      </c>
      <c r="O44" s="211">
        <f t="shared" si="22"/>
        <v>2.7329345205479451E-2</v>
      </c>
      <c r="P44" s="212"/>
      <c r="Q44" s="213">
        <f>MEDIAN(Q10:Q39)</f>
        <v>0.69750000000000001</v>
      </c>
      <c r="R44" s="214"/>
      <c r="S44" s="215">
        <f t="shared" ref="S44:W44" si="23">MEDIAN(S10:S40)</f>
        <v>0.48650849999999995</v>
      </c>
      <c r="T44" s="215" t="e">
        <f t="shared" si="23"/>
        <v>#VALUE!</v>
      </c>
      <c r="U44" s="216" t="e">
        <f t="shared" si="23"/>
        <v>#VALUE!</v>
      </c>
      <c r="V44" s="216" t="e">
        <f t="shared" si="23"/>
        <v>#VALUE!</v>
      </c>
      <c r="W44" s="216" t="e">
        <f t="shared" si="23"/>
        <v>#VALUE!</v>
      </c>
      <c r="X44" s="99" t="e">
        <f t="shared" ref="X44:Y44" si="24">MEDIAN(X10:X39)</f>
        <v>#VALUE!</v>
      </c>
      <c r="Y44" s="217">
        <f t="shared" si="24"/>
        <v>0.62380332392227089</v>
      </c>
      <c r="AB44" s="821" t="str">
        <f>IF(ROUND(AB41,3)=ROUND(AB43,3),"","Update Volatility - OPM")</f>
        <v>Update Volatility - OPM</v>
      </c>
      <c r="AC44" s="16"/>
      <c r="AD44" s="16"/>
      <c r="AE44" s="16"/>
      <c r="AF44" s="197"/>
    </row>
    <row r="45" spans="2:35" ht="12.75" customHeight="1">
      <c r="B45" s="339" t="s">
        <v>49</v>
      </c>
      <c r="C45" s="75"/>
      <c r="D45" s="99">
        <f>QUARTILE(D10:D39,1)</f>
        <v>174.95</v>
      </c>
      <c r="E45" s="99">
        <f t="shared" ref="E45:K45" si="25">QUARTILE(E10:E39,1)</f>
        <v>8.6999999999999993</v>
      </c>
      <c r="F45" s="99">
        <f t="shared" si="25"/>
        <v>16.925000000000001</v>
      </c>
      <c r="G45" s="99">
        <f t="shared" si="25"/>
        <v>9.65</v>
      </c>
      <c r="H45" s="99">
        <f t="shared" si="25"/>
        <v>0</v>
      </c>
      <c r="I45" s="99">
        <f t="shared" si="25"/>
        <v>62.025000000000006</v>
      </c>
      <c r="J45" s="99">
        <f t="shared" si="25"/>
        <v>13.675000000000001</v>
      </c>
      <c r="K45" s="99" t="e">
        <f t="shared" si="25"/>
        <v>#VALUE!</v>
      </c>
      <c r="L45" s="75"/>
      <c r="M45" s="139">
        <f t="shared" ref="M45:O45" si="26">QUARTILE(M10:M39,1)</f>
        <v>0</v>
      </c>
      <c r="N45" s="99">
        <f t="shared" si="26"/>
        <v>2.6630410958904109</v>
      </c>
      <c r="O45" s="211">
        <f t="shared" si="26"/>
        <v>2.7329345205479451E-2</v>
      </c>
      <c r="P45" s="212"/>
      <c r="Q45" s="213">
        <f>QUARTILE(Q10:Q39,1)</f>
        <v>0.55649999999999999</v>
      </c>
      <c r="R45" s="214"/>
      <c r="S45" s="215">
        <f t="shared" ref="S45:W45" si="27">QUARTILE(S10:S40,1)</f>
        <v>0.31032300000000002</v>
      </c>
      <c r="T45" s="215" t="e">
        <f t="shared" si="27"/>
        <v>#VALUE!</v>
      </c>
      <c r="U45" s="216" t="e">
        <f t="shared" si="27"/>
        <v>#VALUE!</v>
      </c>
      <c r="V45" s="216" t="e">
        <f t="shared" si="27"/>
        <v>#VALUE!</v>
      </c>
      <c r="W45" s="216" t="e">
        <f t="shared" si="27"/>
        <v>#VALUE!</v>
      </c>
      <c r="X45" s="99" t="e">
        <f t="shared" ref="X45:Y45" si="28">QUARTILE(X10:X39,1)</f>
        <v>#VALUE!</v>
      </c>
      <c r="Y45" s="217">
        <f t="shared" si="28"/>
        <v>0.53171095427454151</v>
      </c>
      <c r="AB45" s="822" t="str">
        <f>IF(ROUND(AB42,3)=ROUND(AB43,3),"","Update Volatility - DLOM")</f>
        <v>Update Volatility - DLOM</v>
      </c>
      <c r="AC45" s="5"/>
      <c r="AD45" s="5"/>
      <c r="AE45" s="5"/>
      <c r="AF45" s="427"/>
    </row>
    <row r="46" spans="2:35" ht="12.75" customHeight="1">
      <c r="B46" s="101" t="s">
        <v>47</v>
      </c>
      <c r="C46" s="68"/>
      <c r="D46" s="71">
        <f t="shared" ref="D46:K46" si="29">MIN(D10:D39)</f>
        <v>16.5</v>
      </c>
      <c r="E46" s="71">
        <f t="shared" si="29"/>
        <v>0</v>
      </c>
      <c r="F46" s="71">
        <f t="shared" si="29"/>
        <v>9</v>
      </c>
      <c r="G46" s="71">
        <f t="shared" si="29"/>
        <v>0</v>
      </c>
      <c r="H46" s="71">
        <f t="shared" si="29"/>
        <v>0</v>
      </c>
      <c r="I46" s="71">
        <f t="shared" si="29"/>
        <v>0</v>
      </c>
      <c r="J46" s="71">
        <f t="shared" si="29"/>
        <v>0.5</v>
      </c>
      <c r="K46" s="71" t="e">
        <f t="shared" si="29"/>
        <v>#VALUE!</v>
      </c>
      <c r="L46" s="68"/>
      <c r="M46" s="141">
        <f>MIN(M10:M39)</f>
        <v>0</v>
      </c>
      <c r="N46" s="71">
        <f>MIN(N10:N39)</f>
        <v>2.6630410958904109</v>
      </c>
      <c r="O46" s="782">
        <f>MIN(O10:O39)</f>
        <v>2.7329345205479451E-2</v>
      </c>
      <c r="P46" s="783"/>
      <c r="Q46" s="784">
        <f>MIN(Q10:Q39)</f>
        <v>0</v>
      </c>
      <c r="R46" s="785"/>
      <c r="S46" s="786">
        <f>MIN(S10:S40)</f>
        <v>0</v>
      </c>
      <c r="T46" s="786" t="e">
        <f>MIN(T10:T40)</f>
        <v>#VALUE!</v>
      </c>
      <c r="U46" s="787" t="e">
        <f>MIN(U10:U40)</f>
        <v>#VALUE!</v>
      </c>
      <c r="V46" s="787" t="e">
        <f>MIN(V10:V40)</f>
        <v>#VALUE!</v>
      </c>
      <c r="W46" s="787" t="e">
        <f>MIN(W10:W40)</f>
        <v>#VALUE!</v>
      </c>
      <c r="X46" s="71" t="e">
        <f>MIN(X10:X39)</f>
        <v>#VALUE!</v>
      </c>
      <c r="Y46" s="788">
        <f>MIN(Y10:Y39)</f>
        <v>0</v>
      </c>
      <c r="AB46" s="496" t="str">
        <f>IF(K48&lt;&gt;K50,"Check","")</f>
        <v/>
      </c>
    </row>
    <row r="47" spans="2:35" ht="12.75" customHeight="1">
      <c r="AB47" s="962" t="str">
        <f>IF(AND(AB44=$AF$45,AB46=$AF$45,AB45=$AF$45),"","Check")</f>
        <v>Check</v>
      </c>
    </row>
    <row r="48" spans="2:35" ht="12.75" customHeight="1" outlineLevel="1">
      <c r="B48" s="218" t="str">
        <f>B2</f>
        <v>Pliant Therapeutics, Inc.</v>
      </c>
      <c r="C48" s="459" t="s">
        <v>132</v>
      </c>
      <c r="D48" s="1733">
        <f>'OPM 1'!D9/1000</f>
        <v>130.62793102519032</v>
      </c>
      <c r="E48" s="1398">
        <f>'Hist BS'!H52/1000</f>
        <v>0</v>
      </c>
      <c r="F48" s="219"/>
      <c r="G48" s="219"/>
      <c r="H48" s="220">
        <f>SUM(E48:G48)</f>
        <v>0</v>
      </c>
      <c r="I48" s="222">
        <f>SUM(D48:G48)</f>
        <v>130.62793102519032</v>
      </c>
      <c r="J48" s="220">
        <f>'Hist BS'!H50/1000</f>
        <v>0</v>
      </c>
      <c r="K48" s="1733">
        <f>I48-J48</f>
        <v>130.62793102519032</v>
      </c>
      <c r="L48" s="219"/>
      <c r="M48" s="221">
        <f>'PWERM DLOM'!D17</f>
        <v>0</v>
      </c>
      <c r="N48" s="222">
        <f>N$6</f>
        <v>2.6630410958904109</v>
      </c>
      <c r="O48" s="223">
        <f>O$6</f>
        <v>2.7329345205479451E-2</v>
      </c>
      <c r="P48" s="224"/>
      <c r="Q48" s="225">
        <v>0.74</v>
      </c>
      <c r="R48" s="219"/>
      <c r="S48" s="226">
        <f>IF(Q48="n/a","n/a",Q48^2)</f>
        <v>0.54759999999999998</v>
      </c>
      <c r="T48" s="226">
        <f>IF(OR(K48="n/a",S48="n/a"),"n/a",IF(H48=0,0,IF(M48=0,(LN(K48/H48)+((O48+(S48/2))*N48))/((S48*N48)^0.5),(LN(K48/H48)+((O48-M48+(S48/2))*N48))/((S48*N48)^0.5))))</f>
        <v>0</v>
      </c>
      <c r="U48" s="227">
        <f>IF(T48="n/a","n/a",IF(H48=0,0,T48-(S48*N48)^0.5))</f>
        <v>0</v>
      </c>
      <c r="V48" s="227">
        <f>IF(OR(T48="n/a",S48="n/a"),"n/a",IF(H48=0,0,NORMSDIST(T48)))</f>
        <v>0</v>
      </c>
      <c r="W48" s="227">
        <f>IF(OR(U48="n/a",S48="n/a"),"n/a",IF(H48=0,0,NORMSDIST(U48)))</f>
        <v>0</v>
      </c>
      <c r="X48" s="227">
        <f>IF(OR(K48="n/a",S48="n/a"),"n/a",IF(M48=0,(K48*V48)-((H48*EXP(1)^(-O48*N48))*W48),(K48*(2.718^(-M48*N48))*V48)-(H48*(2.718^(-O48*N48))*W48)))</f>
        <v>0</v>
      </c>
      <c r="Y48" s="228">
        <f>IF(LEN(B48)&gt;0,IF(H48=0,Q48,IF(ISERROR(Q48/((K48/X48)*V48)),"n/a",Q48/((K48/X48)*V48))))</f>
        <v>0.74</v>
      </c>
    </row>
    <row r="49" spans="1:25" ht="12.75" customHeight="1" outlineLevel="1">
      <c r="C49" s="74"/>
      <c r="D49" s="74"/>
      <c r="E49" s="74"/>
      <c r="F49" s="74"/>
      <c r="G49" s="74"/>
      <c r="H49" s="74"/>
      <c r="I49" s="74"/>
      <c r="J49" s="74"/>
    </row>
    <row r="50" spans="1:25" ht="12.75" customHeight="1">
      <c r="B50" s="218" t="str">
        <f>B48</f>
        <v>Pliant Therapeutics, Inc.</v>
      </c>
      <c r="C50" s="459" t="s">
        <v>132</v>
      </c>
      <c r="D50" s="222">
        <f>D48</f>
        <v>130.62793102519032</v>
      </c>
      <c r="E50" s="1528">
        <f>'OPM 1'!D60/1000+E48</f>
        <v>53.765874013156001</v>
      </c>
      <c r="F50" s="219"/>
      <c r="G50" s="219"/>
      <c r="H50" s="229">
        <f>SUM(E50:G50)</f>
        <v>53.765874013156001</v>
      </c>
      <c r="I50" s="222">
        <f>I48</f>
        <v>130.62793102519032</v>
      </c>
      <c r="J50" s="222">
        <f>J48</f>
        <v>0</v>
      </c>
      <c r="K50" s="229">
        <f>K48</f>
        <v>130.62793102519032</v>
      </c>
      <c r="L50" s="219"/>
      <c r="M50" s="230">
        <f>M48</f>
        <v>0</v>
      </c>
      <c r="N50" s="222">
        <f>N$6</f>
        <v>2.6630410958904109</v>
      </c>
      <c r="O50" s="223">
        <f>O$6</f>
        <v>2.7329345205479451E-2</v>
      </c>
      <c r="P50" s="224"/>
      <c r="Q50" s="225">
        <v>0.95399999999999996</v>
      </c>
      <c r="R50" s="219"/>
      <c r="S50" s="226">
        <f>IF(Q50="n/a","n/a",Q50^2)</f>
        <v>0.91011599999999993</v>
      </c>
      <c r="T50" s="226">
        <f>IF(OR(K50="n/a",S50="n/a"),"n/a",IF(H50=0,0,IF(M50=0,(LN(K50/H50)+((O50+(S50/2))*N50))/((S50*N50)^0.5),(LN(K50/H50)+((O50-M50+(S50/2))*N50))/((S50*N50)^0.5))))</f>
        <v>1.3953680579231036</v>
      </c>
      <c r="U50" s="227">
        <f>IF(T50="n/a","n/a",IF(H50=0,0,T50-(S50*N50)^0.5))</f>
        <v>-0.16144802306636152</v>
      </c>
      <c r="V50" s="227">
        <f>IF(OR(T50="n/a",S50="n/a"),"n/a",IF(H50=0,0,NORMSDIST(T50)))</f>
        <v>0.91854756077140287</v>
      </c>
      <c r="W50" s="227">
        <f>IF(OR(U50="n/a",S50="n/a"),"n/a",IF(H50=0,0,NORMSDIST(U50)))</f>
        <v>0.43587027289821229</v>
      </c>
      <c r="X50" s="227">
        <f>IF(OR(K50="n/a",S50="n/a"),"n/a",IF(M50=0,(K50*V50)-((H50*EXP(1)^(-O50*N50))*W50),(K50*(2.718^(-M50*N50))*V50)-(H50*(2.718^(-O50*N50))*W50)))</f>
        <v>98.198010634618896</v>
      </c>
      <c r="Y50" s="228">
        <f>IF(LEN(B50)&gt;0,IF(H50=0,Q50,IF(ISERROR(Q50/((K50/X50)*V50)),"n/a",Q50/((K50/X50)*V50))))</f>
        <v>0.78075247182002605</v>
      </c>
    </row>
    <row r="51" spans="1:25" ht="12.75" customHeight="1"/>
    <row r="52" spans="1:25" ht="12.75" customHeight="1">
      <c r="B52" s="8" t="s">
        <v>21</v>
      </c>
    </row>
    <row r="53" spans="1:25" ht="12.75" customHeight="1">
      <c r="A53" s="714" t="s">
        <v>133</v>
      </c>
      <c r="B53" s="17" t="s">
        <v>708</v>
      </c>
    </row>
    <row r="54" spans="1:25" s="74" customFormat="1" ht="12.75" customHeight="1">
      <c r="A54" s="715" t="str">
        <f>C50</f>
        <v>(2)</v>
      </c>
      <c r="B54" s="320" t="s">
        <v>710</v>
      </c>
      <c r="P54" s="20"/>
    </row>
    <row r="55" spans="1:25" ht="12.75" customHeight="1"/>
    <row r="56" spans="1:25" ht="12.75" customHeight="1">
      <c r="B56" s="8" t="s">
        <v>51</v>
      </c>
    </row>
    <row r="57" spans="1:25" ht="12.75" customHeight="1"/>
    <row r="58" spans="1:25" ht="12.75" customHeight="1"/>
  </sheetData>
  <conditionalFormatting sqref="B10:B39">
    <cfRule type="cellIs" dxfId="47" priority="8" operator="equal">
      <formula>"(Invalid Identifier)"</formula>
    </cfRule>
  </conditionalFormatting>
  <conditionalFormatting sqref="B4:I4">
    <cfRule type="cellIs" dxfId="46" priority="7" stopIfTrue="1" operator="equal">
      <formula>"input"</formula>
    </cfRule>
  </conditionalFormatting>
  <conditionalFormatting sqref="J4">
    <cfRule type="cellIs" dxfId="45" priority="5" stopIfTrue="1" operator="equal">
      <formula>"input"</formula>
    </cfRule>
  </conditionalFormatting>
  <conditionalFormatting sqref="J4">
    <cfRule type="cellIs" dxfId="44" priority="6" stopIfTrue="1" operator="equal">
      <formula>"input"</formula>
    </cfRule>
  </conditionalFormatting>
  <conditionalFormatting sqref="K4:X4">
    <cfRule type="cellIs" dxfId="43" priority="3" stopIfTrue="1" operator="equal">
      <formula>"input"</formula>
    </cfRule>
  </conditionalFormatting>
  <conditionalFormatting sqref="K4:X4">
    <cfRule type="cellIs" dxfId="42" priority="4" stopIfTrue="1" operator="equal">
      <formula>"input"</formula>
    </cfRule>
  </conditionalFormatting>
  <conditionalFormatting sqref="Y4">
    <cfRule type="cellIs" dxfId="41" priority="1" stopIfTrue="1" operator="equal">
      <formula>"input"</formula>
    </cfRule>
  </conditionalFormatting>
  <conditionalFormatting sqref="Y4">
    <cfRule type="cellIs" dxfId="40" priority="2" stopIfTrue="1" operator="equal">
      <formula>"input"</formula>
    </cfRule>
  </conditionalFormatting>
  <pageMargins left="0.5" right="0.5" top="0.5" bottom="0.5" header="0.5" footer="0.5"/>
  <pageSetup scale="84" fitToWidth="0" fitToHeight="0" orientation="landscape" r:id="rId1"/>
  <legacyDrawingHF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G60"/>
  <sheetViews>
    <sheetView showGridLines="0" view="pageBreakPreview" zoomScaleNormal="100" zoomScaleSheetLayoutView="100" workbookViewId="0"/>
  </sheetViews>
  <sheetFormatPr defaultRowHeight="12.75"/>
  <cols>
    <col min="1" max="1" width="4.5" style="385" customWidth="1"/>
    <col min="2" max="2" width="31.33203125" style="385" bestFit="1" customWidth="1"/>
    <col min="3" max="3" width="2.83203125" style="385" customWidth="1"/>
    <col min="4" max="4" width="11.83203125" style="385" customWidth="1"/>
    <col min="5" max="6" width="0" style="385" hidden="1" customWidth="1"/>
    <col min="7" max="7" width="2.83203125" style="385" customWidth="1"/>
    <col min="8" max="9" width="11.83203125" style="385" customWidth="1"/>
    <col min="10" max="10" width="2.83203125" style="385" customWidth="1"/>
    <col min="11" max="18" width="11.83203125" style="385" customWidth="1"/>
    <col min="19" max="19" width="4.5" style="385" customWidth="1"/>
    <col min="20" max="20" width="0" style="385" hidden="1" customWidth="1"/>
    <col min="21" max="23" width="10.83203125" style="385" customWidth="1"/>
    <col min="24" max="24" width="1.83203125" style="385" customWidth="1"/>
    <col min="25" max="25" width="17.6640625" style="385" bestFit="1" customWidth="1"/>
    <col min="26" max="26" width="12.5" style="385" bestFit="1" customWidth="1"/>
    <col min="27" max="27" width="9.83203125" style="385" bestFit="1" customWidth="1"/>
    <col min="28" max="28" width="10.1640625" style="385" bestFit="1" customWidth="1"/>
    <col min="29" max="16384" width="9.33203125" style="385"/>
  </cols>
  <sheetData>
    <row r="1" spans="1:33" ht="10.7" customHeight="1" thickBot="1"/>
    <row r="2" spans="1:33" ht="16.5" customHeight="1" thickTop="1">
      <c r="B2" s="10" t="str">
        <f>'MASTER PubCo Inputs'!$C$5</f>
        <v>Pliant Therapeutics, Inc.</v>
      </c>
      <c r="C2" s="10"/>
      <c r="D2" s="10"/>
      <c r="E2" s="10"/>
      <c r="F2" s="10"/>
      <c r="G2" s="10"/>
      <c r="H2" s="10"/>
      <c r="I2" s="10"/>
      <c r="J2" s="10"/>
      <c r="K2" s="10"/>
      <c r="L2" s="10"/>
      <c r="M2" s="10"/>
      <c r="N2" s="10"/>
      <c r="O2" s="10"/>
      <c r="P2" s="10"/>
      <c r="Q2" s="10"/>
      <c r="R2" s="10"/>
      <c r="Y2" s="270" t="s">
        <v>22</v>
      </c>
      <c r="Z2" s="271">
        <f>+'Comp.1'!$AM$2</f>
        <v>43312</v>
      </c>
    </row>
    <row r="3" spans="1:33" ht="15.75" customHeight="1">
      <c r="B3" s="11" t="e">
        <f>VLOOKUP(B4,Outline!$E$8:$G$69,COLUMNS(Outline!$E$8:$G$8),FALSE)</f>
        <v>#N/A</v>
      </c>
      <c r="C3" s="11"/>
      <c r="D3" s="11"/>
      <c r="E3" s="11"/>
      <c r="F3" s="11"/>
      <c r="G3" s="11"/>
      <c r="H3" s="11"/>
      <c r="I3" s="11"/>
      <c r="J3" s="11"/>
      <c r="K3" s="11"/>
      <c r="L3" s="11"/>
      <c r="M3" s="11"/>
      <c r="N3" s="11"/>
      <c r="O3" s="11"/>
      <c r="P3" s="11"/>
      <c r="Q3" s="11"/>
      <c r="R3" s="11"/>
      <c r="Y3" s="194" t="s">
        <v>299</v>
      </c>
      <c r="Z3" s="275" t="str">
        <f>+'Comp.1'!$AM$3</f>
        <v>F</v>
      </c>
    </row>
    <row r="4" spans="1:33" ht="16.5" customHeight="1" thickBot="1">
      <c r="B4" s="12" t="s">
        <v>163</v>
      </c>
      <c r="C4" s="12"/>
      <c r="D4" s="12"/>
      <c r="E4" s="12"/>
      <c r="F4" s="12"/>
      <c r="G4" s="12"/>
      <c r="H4" s="12"/>
      <c r="I4" s="12"/>
      <c r="J4" s="13"/>
      <c r="K4" s="13"/>
      <c r="L4" s="13"/>
      <c r="M4" s="13"/>
      <c r="N4" s="13"/>
      <c r="O4" s="13"/>
      <c r="P4" s="13"/>
      <c r="Q4" s="13"/>
      <c r="R4" s="13" t="str">
        <f>+'MASTER PubCo Inputs'!$C$24</f>
        <v>(in millions of USD)</v>
      </c>
      <c r="Y4" s="194" t="s">
        <v>300</v>
      </c>
      <c r="Z4" s="275" t="str">
        <f>+'Comp.1'!$AM$4</f>
        <v>USD</v>
      </c>
    </row>
    <row r="5" spans="1:33" s="16" customFormat="1" ht="12.75" customHeight="1" thickTop="1">
      <c r="A5" s="385"/>
      <c r="B5" s="385"/>
      <c r="C5" s="385"/>
      <c r="D5" s="385"/>
      <c r="E5" s="385"/>
      <c r="F5" s="385"/>
      <c r="G5" s="385"/>
      <c r="H5" s="385"/>
      <c r="I5" s="385"/>
      <c r="J5" s="385"/>
      <c r="K5" s="385"/>
      <c r="L5" s="385"/>
      <c r="M5" s="385"/>
      <c r="N5" s="385"/>
      <c r="O5" s="385"/>
      <c r="P5" s="385"/>
      <c r="Q5" s="385"/>
      <c r="R5" s="385"/>
      <c r="S5" s="385"/>
      <c r="Y5" s="78" t="s">
        <v>24</v>
      </c>
      <c r="Z5" s="274" t="str">
        <f>+'Comp.1'!$AM$5</f>
        <v>H</v>
      </c>
    </row>
    <row r="6" spans="1:33" s="16" customFormat="1" ht="12.75" customHeight="1">
      <c r="A6" s="385"/>
      <c r="B6" s="385"/>
      <c r="C6" s="385"/>
      <c r="D6" s="385"/>
      <c r="E6" s="385"/>
      <c r="F6" s="385"/>
      <c r="G6" s="385"/>
      <c r="H6" s="385"/>
      <c r="I6" s="385"/>
      <c r="J6" s="385"/>
      <c r="K6" s="385"/>
      <c r="L6" s="385"/>
      <c r="M6" s="385"/>
      <c r="N6" s="385"/>
      <c r="O6" s="385"/>
      <c r="P6" s="385"/>
      <c r="Q6" s="385"/>
      <c r="R6" s="385"/>
      <c r="S6" s="385"/>
    </row>
    <row r="7" spans="1:33" ht="12.75" customHeight="1">
      <c r="D7" s="117" t="s">
        <v>4</v>
      </c>
      <c r="E7" s="118"/>
      <c r="F7" s="118"/>
      <c r="G7" s="118"/>
      <c r="H7" s="118"/>
      <c r="I7" s="119"/>
      <c r="K7" s="117" t="s">
        <v>26</v>
      </c>
      <c r="L7" s="120"/>
      <c r="M7" s="120"/>
      <c r="N7" s="120"/>
      <c r="O7" s="120"/>
      <c r="P7" s="120"/>
      <c r="Q7" s="120"/>
      <c r="R7" s="121"/>
      <c r="W7" s="79">
        <f>'MASTER PubCo Inputs'!C9</f>
        <v>0.26500000000000001</v>
      </c>
    </row>
    <row r="8" spans="1:33" s="6" customFormat="1" ht="38.25">
      <c r="B8" s="115" t="s">
        <v>519</v>
      </c>
      <c r="D8" s="572" t="s">
        <v>158</v>
      </c>
      <c r="E8" s="573" t="s">
        <v>151</v>
      </c>
      <c r="F8" s="573" t="s">
        <v>152</v>
      </c>
      <c r="G8" s="574"/>
      <c r="H8" s="573" t="s">
        <v>159</v>
      </c>
      <c r="I8" s="575" t="s">
        <v>146</v>
      </c>
      <c r="J8" s="298"/>
      <c r="K8" s="572" t="s">
        <v>29</v>
      </c>
      <c r="L8" s="573" t="s">
        <v>30</v>
      </c>
      <c r="M8" s="573" t="s">
        <v>31</v>
      </c>
      <c r="N8" s="573" t="s">
        <v>32</v>
      </c>
      <c r="O8" s="573" t="s">
        <v>33</v>
      </c>
      <c r="P8" s="573" t="s">
        <v>34</v>
      </c>
      <c r="Q8" s="573" t="s">
        <v>35</v>
      </c>
      <c r="R8" s="575" t="s">
        <v>36</v>
      </c>
      <c r="T8" s="83" t="s">
        <v>160</v>
      </c>
      <c r="U8" s="84" t="s">
        <v>161</v>
      </c>
      <c r="V8" s="84" t="s">
        <v>162</v>
      </c>
      <c r="W8" s="85" t="s">
        <v>145</v>
      </c>
      <c r="Y8" s="86" t="s">
        <v>43</v>
      </c>
      <c r="Z8" s="87" t="s">
        <v>44</v>
      </c>
      <c r="AA8" s="963" t="e">
        <f t="array" ref="AA8">IF(SUM(ABS($AA$10:$AA$39))&lt;0.01,"","Check")</f>
        <v>#VALUE!</v>
      </c>
      <c r="AC8" s="6">
        <v>0</v>
      </c>
    </row>
    <row r="9" spans="1:33" ht="12.75" customHeight="1"/>
    <row r="10" spans="1:33" ht="12.75" customHeight="1">
      <c r="B10" s="385" t="str">
        <f>'Comp.1'!B10</f>
        <v>Vertex Pharmaceuticals Incorporated</v>
      </c>
      <c r="D10" s="416">
        <v>2</v>
      </c>
      <c r="E10" s="53" t="s">
        <v>155</v>
      </c>
      <c r="F10" s="53" t="s">
        <v>154</v>
      </c>
      <c r="H10" s="89">
        <f>HLOOKUP(D10,'Capital IQ Sheet-GPC'!$AQ$10:$AS$75,ROWS('Capital IQ Sheet-GPC'!AQ$10:AQ13),FALSE)</f>
        <v>1.45</v>
      </c>
      <c r="I10" s="90">
        <f>IF(ISERROR(H10/(1+(1-$W10)*(($U10)/$V10))), "n/a", H10/(1+(1-$W10)*(($U10)/$V10)))</f>
        <v>1.4359750851784241</v>
      </c>
      <c r="K10" s="91">
        <f>'Capital IQ Sheet-GPC'!J13</f>
        <v>44574.8</v>
      </c>
      <c r="L10" s="91">
        <f>'Capital IQ Sheet-GPC'!K13</f>
        <v>592.70000000000005</v>
      </c>
      <c r="M10" s="91" t="str">
        <f>'Capital IQ Sheet-GPC'!L13</f>
        <v xml:space="preserve"> n/a </v>
      </c>
      <c r="N10" s="91">
        <f>'Capital IQ Sheet-GPC'!M13</f>
        <v>28.7</v>
      </c>
      <c r="O10" s="91">
        <f t="shared" ref="O10" si="0">SUM(L10:N10)</f>
        <v>621.40000000000009</v>
      </c>
      <c r="P10" s="91">
        <f>SUM(K10:N10)</f>
        <v>45196.2</v>
      </c>
      <c r="Q10" s="91">
        <f>'Capital IQ Sheet-GPC'!N13</f>
        <v>2767.8</v>
      </c>
      <c r="R10" s="91">
        <f t="shared" ref="R10" si="1">IF(ISERROR(P10-Q10), "n/a", P10-Q10)</f>
        <v>42428.399999999994</v>
      </c>
      <c r="T10" s="52">
        <f t="shared" ref="T10" si="2">$Z$2-365*D10</f>
        <v>42582</v>
      </c>
      <c r="U10" s="54">
        <f>IFERROR(SUM(L10:M10)/P10,"n/a")</f>
        <v>1.3113934357313227E-2</v>
      </c>
      <c r="V10" s="54">
        <f>IFERROR(1-U10,"n/a")</f>
        <v>0.98688606564268677</v>
      </c>
      <c r="W10" s="54">
        <f>W$7</f>
        <v>0.26500000000000001</v>
      </c>
      <c r="Y10" s="92" t="str">
        <f>'MASTER PubCo Inputs'!B28</f>
        <v>NasdaqGS:VRTX</v>
      </c>
      <c r="Z10" s="386">
        <f>'Capital IQ Sheet-GPC'!H13</f>
        <v>42428.4</v>
      </c>
      <c r="AA10" s="93">
        <f t="shared" ref="AA10" si="3">R10-Z10</f>
        <v>0</v>
      </c>
      <c r="AC10" s="43"/>
      <c r="AG10" s="94"/>
    </row>
    <row r="11" spans="1:33" ht="12.75" customHeight="1">
      <c r="B11" s="385" t="str">
        <f>'Comp.1'!B11</f>
        <v>FibroGen, Inc.</v>
      </c>
      <c r="D11" s="416">
        <v>2</v>
      </c>
      <c r="E11" s="53" t="s">
        <v>155</v>
      </c>
      <c r="F11" s="53" t="s">
        <v>154</v>
      </c>
      <c r="H11" s="89">
        <f>HLOOKUP(D11,'Capital IQ Sheet-GPC'!$AQ$10:$AS$75,ROWS('Capital IQ Sheet-GPC'!AQ$10:AQ14),FALSE)</f>
        <v>2.13</v>
      </c>
      <c r="I11" s="90">
        <f t="shared" ref="I11:I31" si="4">IF(ISERROR(H11/(1+(1-$W11)*(($U11)/$V11))), "n/a", H11/(1+(1-$W11)*(($U11)/$V11)))</f>
        <v>2.0956362808442699</v>
      </c>
      <c r="K11" s="91">
        <f>'Capital IQ Sheet-GPC'!J14</f>
        <v>5153.3</v>
      </c>
      <c r="L11" s="91">
        <f>'Capital IQ Sheet-GPC'!K14</f>
        <v>115.4</v>
      </c>
      <c r="M11" s="91" t="str">
        <f>'Capital IQ Sheet-GPC'!L14</f>
        <v xml:space="preserve"> n/a </v>
      </c>
      <c r="N11" s="91">
        <f>'Capital IQ Sheet-GPC'!M14</f>
        <v>19.3</v>
      </c>
      <c r="O11" s="91">
        <f t="shared" ref="O11:O31" si="5">SUM(L11:N11)</f>
        <v>134.70000000000002</v>
      </c>
      <c r="P11" s="91">
        <f t="shared" ref="P11:P31" si="6">SUM(K11:N11)</f>
        <v>5288</v>
      </c>
      <c r="Q11" s="91">
        <f>'Capital IQ Sheet-GPC'!N14</f>
        <v>703.8</v>
      </c>
      <c r="R11" s="91">
        <f t="shared" ref="R11:R31" si="7">IF(ISERROR(P11-Q11), "n/a", P11-Q11)</f>
        <v>4584.2</v>
      </c>
      <c r="T11" s="52">
        <f t="shared" ref="T11:T31" si="8">$Z$2-365*D11</f>
        <v>42582</v>
      </c>
      <c r="U11" s="54">
        <f t="shared" ref="U11:U31" si="9">IFERROR(SUM(L11:M11)/P11,"n/a")</f>
        <v>2.1822995461422089E-2</v>
      </c>
      <c r="V11" s="54">
        <f t="shared" ref="V11:V31" si="10">IFERROR(1-U11,"n/a")</f>
        <v>0.97817700453857792</v>
      </c>
      <c r="W11" s="54">
        <f t="shared" ref="W11:W31" si="11">W$7</f>
        <v>0.26500000000000001</v>
      </c>
      <c r="Y11" s="92" t="str">
        <f>'MASTER PubCo Inputs'!B29</f>
        <v>NasdaqGS:FGEN</v>
      </c>
      <c r="Z11" s="386">
        <f>'Capital IQ Sheet-GPC'!H14</f>
        <v>4584.3</v>
      </c>
      <c r="AA11" s="93">
        <f t="shared" ref="AA11:AA31" si="12">R11-Z11</f>
        <v>-0.1000000000003638</v>
      </c>
      <c r="AC11" s="43"/>
      <c r="AG11" s="94"/>
    </row>
    <row r="12" spans="1:33" ht="12.75" customHeight="1">
      <c r="B12" s="385" t="str">
        <f>'Comp.1'!B12</f>
        <v>Galapagos NV</v>
      </c>
      <c r="D12" s="416">
        <v>2</v>
      </c>
      <c r="E12" s="53" t="s">
        <v>155</v>
      </c>
      <c r="F12" s="53" t="s">
        <v>154</v>
      </c>
      <c r="H12" s="89">
        <f>HLOOKUP(D12,'Capital IQ Sheet-GPC'!$AQ$10:$AS$75,ROWS('Capital IQ Sheet-GPC'!AQ$10:AQ15),FALSE)</f>
        <v>1.03</v>
      </c>
      <c r="I12" s="90">
        <f t="shared" si="4"/>
        <v>1.03</v>
      </c>
      <c r="K12" s="91">
        <f>'Capital IQ Sheet-GPC'!J15</f>
        <v>5773</v>
      </c>
      <c r="L12" s="91" t="str">
        <f>'Capital IQ Sheet-GPC'!K15</f>
        <v xml:space="preserve"> -   </v>
      </c>
      <c r="M12" s="91" t="str">
        <f>'Capital IQ Sheet-GPC'!L15</f>
        <v xml:space="preserve"> n/a </v>
      </c>
      <c r="N12" s="91" t="str">
        <f>'Capital IQ Sheet-GPC'!M15</f>
        <v xml:space="preserve"> n/a </v>
      </c>
      <c r="O12" s="91">
        <f t="shared" si="5"/>
        <v>0</v>
      </c>
      <c r="P12" s="91">
        <f t="shared" si="6"/>
        <v>5773</v>
      </c>
      <c r="Q12" s="91">
        <f>'Capital IQ Sheet-GPC'!N15</f>
        <v>1365.3</v>
      </c>
      <c r="R12" s="91">
        <f t="shared" si="7"/>
        <v>4407.7</v>
      </c>
      <c r="T12" s="52">
        <f t="shared" si="8"/>
        <v>42582</v>
      </c>
      <c r="U12" s="54">
        <f t="shared" si="9"/>
        <v>0</v>
      </c>
      <c r="V12" s="54">
        <f t="shared" si="10"/>
        <v>1</v>
      </c>
      <c r="W12" s="54">
        <f t="shared" si="11"/>
        <v>0.26500000000000001</v>
      </c>
      <c r="Y12" s="92" t="str">
        <f>'MASTER PubCo Inputs'!B30</f>
        <v>ENXTAM:GLPG</v>
      </c>
      <c r="Z12" s="386">
        <f>'Capital IQ Sheet-GPC'!H15</f>
        <v>4474.8999999999996</v>
      </c>
      <c r="AA12" s="93">
        <f t="shared" si="12"/>
        <v>-67.199999999999818</v>
      </c>
      <c r="AC12" s="43"/>
      <c r="AG12" s="94"/>
    </row>
    <row r="13" spans="1:33" ht="12.75" customHeight="1">
      <c r="B13" s="385" t="str">
        <f>'Comp.1'!B13</f>
        <v>Madrigal Pharmaceuticals, Inc.</v>
      </c>
      <c r="D13" s="416">
        <v>2</v>
      </c>
      <c r="E13" s="53" t="s">
        <v>155</v>
      </c>
      <c r="F13" s="53" t="s">
        <v>154</v>
      </c>
      <c r="H13" s="89">
        <f>HLOOKUP(D13,'Capital IQ Sheet-GPC'!$AQ$10:$AS$75,ROWS('Capital IQ Sheet-GPC'!AQ$10:AQ16),FALSE)</f>
        <v>1.19</v>
      </c>
      <c r="I13" s="90">
        <f t="shared" si="4"/>
        <v>1.19</v>
      </c>
      <c r="K13" s="91">
        <f>'Capital IQ Sheet-GPC'!J16</f>
        <v>3964.4</v>
      </c>
      <c r="L13" s="91" t="str">
        <f>'Capital IQ Sheet-GPC'!K16</f>
        <v xml:space="preserve"> -   </v>
      </c>
      <c r="M13" s="91" t="str">
        <f>'Capital IQ Sheet-GPC'!L16</f>
        <v xml:space="preserve"> n/a </v>
      </c>
      <c r="N13" s="91" t="str">
        <f>'Capital IQ Sheet-GPC'!M16</f>
        <v xml:space="preserve"> n/a </v>
      </c>
      <c r="O13" s="91">
        <f t="shared" si="5"/>
        <v>0</v>
      </c>
      <c r="P13" s="91">
        <f t="shared" si="6"/>
        <v>3964.4</v>
      </c>
      <c r="Q13" s="91">
        <f>'Capital IQ Sheet-GPC'!N16</f>
        <v>182.8</v>
      </c>
      <c r="R13" s="91">
        <f t="shared" si="7"/>
        <v>3781.6</v>
      </c>
      <c r="T13" s="52">
        <f t="shared" si="8"/>
        <v>42582</v>
      </c>
      <c r="U13" s="54">
        <f t="shared" si="9"/>
        <v>0</v>
      </c>
      <c r="V13" s="54">
        <f t="shared" si="10"/>
        <v>1</v>
      </c>
      <c r="W13" s="54">
        <f t="shared" si="11"/>
        <v>0.26500000000000001</v>
      </c>
      <c r="Y13" s="92" t="str">
        <f>'MASTER PubCo Inputs'!B31</f>
        <v>NasdaqCM:MDGL</v>
      </c>
      <c r="Z13" s="386">
        <f>'Capital IQ Sheet-GPC'!H16</f>
        <v>3781.5</v>
      </c>
      <c r="AA13" s="93">
        <f t="shared" si="12"/>
        <v>9.9999999999909051E-2</v>
      </c>
      <c r="AC13" s="43"/>
      <c r="AG13" s="94"/>
    </row>
    <row r="14" spans="1:33" ht="12.75" customHeight="1">
      <c r="B14" s="385" t="str">
        <f>'Comp.1'!B14</f>
        <v>Intercept Pharmaceuticals, Inc.</v>
      </c>
      <c r="D14" s="416">
        <v>2</v>
      </c>
      <c r="E14" s="53" t="s">
        <v>155</v>
      </c>
      <c r="F14" s="53" t="s">
        <v>154</v>
      </c>
      <c r="H14" s="89">
        <f>HLOOKUP(D14,'Capital IQ Sheet-GPC'!$AQ$10:$AS$75,ROWS('Capital IQ Sheet-GPC'!AQ$10:AQ17),FALSE)</f>
        <v>1.94</v>
      </c>
      <c r="I14" s="90">
        <f t="shared" si="4"/>
        <v>1.7629606803426587</v>
      </c>
      <c r="K14" s="91">
        <f>'Capital IQ Sheet-GPC'!J17</f>
        <v>2630.5</v>
      </c>
      <c r="L14" s="91">
        <f>'Capital IQ Sheet-GPC'!K17</f>
        <v>359.4</v>
      </c>
      <c r="M14" s="91" t="str">
        <f>'Capital IQ Sheet-GPC'!L17</f>
        <v xml:space="preserve"> n/a </v>
      </c>
      <c r="N14" s="91" t="str">
        <f>'Capital IQ Sheet-GPC'!M17</f>
        <v xml:space="preserve"> n/a </v>
      </c>
      <c r="O14" s="91">
        <f t="shared" si="5"/>
        <v>359.4</v>
      </c>
      <c r="P14" s="91">
        <f t="shared" si="6"/>
        <v>2989.9</v>
      </c>
      <c r="Q14" s="91">
        <f>'Capital IQ Sheet-GPC'!N17</f>
        <v>326.10000000000002</v>
      </c>
      <c r="R14" s="91">
        <f t="shared" si="7"/>
        <v>2663.8</v>
      </c>
      <c r="T14" s="52">
        <f t="shared" si="8"/>
        <v>42582</v>
      </c>
      <c r="U14" s="54">
        <f t="shared" si="9"/>
        <v>0.12020468912003744</v>
      </c>
      <c r="V14" s="54">
        <f t="shared" si="10"/>
        <v>0.87979531087996254</v>
      </c>
      <c r="W14" s="54">
        <f t="shared" si="11"/>
        <v>0.26500000000000001</v>
      </c>
      <c r="Y14" s="92" t="str">
        <f>'MASTER PubCo Inputs'!B32</f>
        <v>NasdaqGS:ICPT</v>
      </c>
      <c r="Z14" s="386">
        <f>'Capital IQ Sheet-GPC'!H17</f>
        <v>2663.9</v>
      </c>
      <c r="AA14" s="93">
        <f t="shared" si="12"/>
        <v>-9.9999999999909051E-2</v>
      </c>
      <c r="AC14" s="43"/>
      <c r="AG14" s="94"/>
    </row>
    <row r="15" spans="1:33" ht="12.75" customHeight="1">
      <c r="B15" s="385" t="str">
        <f>'Comp.1'!B15</f>
        <v>Insmed Incorporated</v>
      </c>
      <c r="D15" s="416">
        <v>2</v>
      </c>
      <c r="E15" s="53" t="s">
        <v>155</v>
      </c>
      <c r="F15" s="53" t="s">
        <v>154</v>
      </c>
      <c r="H15" s="89">
        <f>HLOOKUP(D15,'Capital IQ Sheet-GPC'!$AQ$10:$AS$75,ROWS('Capital IQ Sheet-GPC'!AQ$10:AQ18),FALSE)</f>
        <v>1.66</v>
      </c>
      <c r="I15" s="90">
        <f t="shared" si="4"/>
        <v>1.4829496575837451</v>
      </c>
      <c r="K15" s="91">
        <f>'Capital IQ Sheet-GPC'!J18</f>
        <v>1863.5</v>
      </c>
      <c r="L15" s="91">
        <f>'Capital IQ Sheet-GPC'!K18</f>
        <v>302.7</v>
      </c>
      <c r="M15" s="91" t="str">
        <f>'Capital IQ Sheet-GPC'!L18</f>
        <v xml:space="preserve"> n/a </v>
      </c>
      <c r="N15" s="91" t="str">
        <f>'Capital IQ Sheet-GPC'!M18</f>
        <v xml:space="preserve"> n/a </v>
      </c>
      <c r="O15" s="91">
        <f t="shared" si="5"/>
        <v>302.7</v>
      </c>
      <c r="P15" s="91">
        <f t="shared" si="6"/>
        <v>2166.1999999999998</v>
      </c>
      <c r="Q15" s="91">
        <f>'Capital IQ Sheet-GPC'!N18</f>
        <v>686.6</v>
      </c>
      <c r="R15" s="91">
        <f t="shared" si="7"/>
        <v>1479.6</v>
      </c>
      <c r="T15" s="52">
        <f t="shared" si="8"/>
        <v>42582</v>
      </c>
      <c r="U15" s="54">
        <f t="shared" si="9"/>
        <v>0.13973778967777675</v>
      </c>
      <c r="V15" s="54">
        <f t="shared" si="10"/>
        <v>0.86026221032222328</v>
      </c>
      <c r="W15" s="54">
        <f t="shared" si="11"/>
        <v>0.26500000000000001</v>
      </c>
      <c r="Y15" s="92" t="str">
        <f>'MASTER PubCo Inputs'!B33</f>
        <v>NasdaqGS:INSM</v>
      </c>
      <c r="Z15" s="386">
        <f>'Capital IQ Sheet-GPC'!H18</f>
        <v>1479.6</v>
      </c>
      <c r="AA15" s="93">
        <f t="shared" si="12"/>
        <v>0</v>
      </c>
      <c r="AC15" s="43"/>
      <c r="AG15" s="94"/>
    </row>
    <row r="16" spans="1:33" ht="12.75" customHeight="1">
      <c r="B16" s="385" t="str">
        <f>'Comp.1'!B16</f>
        <v>Genfit SA</v>
      </c>
      <c r="D16" s="416">
        <v>2</v>
      </c>
      <c r="E16" s="53" t="s">
        <v>155</v>
      </c>
      <c r="F16" s="53" t="s">
        <v>154</v>
      </c>
      <c r="H16" s="89">
        <f>HLOOKUP(D16,'Capital IQ Sheet-GPC'!$AQ$10:$AS$75,ROWS('Capital IQ Sheet-GPC'!AQ$10:AQ19),FALSE)</f>
        <v>1.88</v>
      </c>
      <c r="I16" s="90">
        <f t="shared" si="4"/>
        <v>1.6154804133588963</v>
      </c>
      <c r="K16" s="91">
        <f>'Capital IQ Sheet-GPC'!J19</f>
        <v>882.5</v>
      </c>
      <c r="L16" s="91">
        <f>'Capital IQ Sheet-GPC'!K19</f>
        <v>196.6</v>
      </c>
      <c r="M16" s="91" t="str">
        <f>'Capital IQ Sheet-GPC'!L19</f>
        <v xml:space="preserve"> n/a </v>
      </c>
      <c r="N16" s="91" t="str">
        <f>'Capital IQ Sheet-GPC'!M19</f>
        <v xml:space="preserve"> n/a </v>
      </c>
      <c r="O16" s="91">
        <f t="shared" si="5"/>
        <v>196.6</v>
      </c>
      <c r="P16" s="91">
        <f t="shared" si="6"/>
        <v>1079.0999999999999</v>
      </c>
      <c r="Q16" s="91">
        <f>'Capital IQ Sheet-GPC'!N19</f>
        <v>328.8</v>
      </c>
      <c r="R16" s="91">
        <f t="shared" si="7"/>
        <v>750.3</v>
      </c>
      <c r="T16" s="52">
        <f t="shared" si="8"/>
        <v>42582</v>
      </c>
      <c r="U16" s="54">
        <f t="shared" si="9"/>
        <v>0.18218886108794366</v>
      </c>
      <c r="V16" s="54">
        <f t="shared" si="10"/>
        <v>0.81781113891205637</v>
      </c>
      <c r="W16" s="54">
        <f t="shared" si="11"/>
        <v>0.26500000000000001</v>
      </c>
      <c r="Y16" s="92" t="str">
        <f>'MASTER PubCo Inputs'!B34</f>
        <v>ENXTPA:GNFT</v>
      </c>
      <c r="Z16" s="386">
        <f>'Capital IQ Sheet-GPC'!H19</f>
        <v>753.6</v>
      </c>
      <c r="AA16" s="93">
        <f t="shared" si="12"/>
        <v>-3.3000000000000682</v>
      </c>
      <c r="AC16" s="43"/>
      <c r="AG16" s="94"/>
    </row>
    <row r="17" spans="2:33" ht="12.75" customHeight="1">
      <c r="B17" s="385" t="str">
        <f>'Comp.1'!B17</f>
        <v>Kadmon Holdings, Inc.</v>
      </c>
      <c r="D17" s="416">
        <v>2</v>
      </c>
      <c r="E17" s="53" t="s">
        <v>155</v>
      </c>
      <c r="F17" s="53" t="s">
        <v>154</v>
      </c>
      <c r="H17" s="89">
        <f>HLOOKUP(D17,'Capital IQ Sheet-GPC'!$AQ$10:$AS$75,ROWS('Capital IQ Sheet-GPC'!AQ$10:AQ20),FALSE)</f>
        <v>0.95</v>
      </c>
      <c r="I17" s="90">
        <f t="shared" si="4"/>
        <v>0.82723237790743376</v>
      </c>
      <c r="K17" s="91">
        <f>'Capital IQ Sheet-GPC'!J20</f>
        <v>365.5</v>
      </c>
      <c r="L17" s="91">
        <f>'Capital IQ Sheet-GPC'!K20</f>
        <v>33.1</v>
      </c>
      <c r="M17" s="91">
        <f>'Capital IQ Sheet-GPC'!L20</f>
        <v>40.700000000000003</v>
      </c>
      <c r="N17" s="91" t="str">
        <f>'Capital IQ Sheet-GPC'!M20</f>
        <v xml:space="preserve"> n/a </v>
      </c>
      <c r="O17" s="91">
        <f t="shared" si="5"/>
        <v>73.800000000000011</v>
      </c>
      <c r="P17" s="91">
        <f t="shared" si="6"/>
        <v>439.3</v>
      </c>
      <c r="Q17" s="91">
        <f>'Capital IQ Sheet-GPC'!N20</f>
        <v>49.2</v>
      </c>
      <c r="R17" s="91">
        <f t="shared" si="7"/>
        <v>390.1</v>
      </c>
      <c r="T17" s="52">
        <f t="shared" si="8"/>
        <v>42582</v>
      </c>
      <c r="U17" s="54">
        <f t="shared" si="9"/>
        <v>0.16799453676303211</v>
      </c>
      <c r="V17" s="54">
        <f t="shared" si="10"/>
        <v>0.83200546323696789</v>
      </c>
      <c r="W17" s="54">
        <f t="shared" si="11"/>
        <v>0.26500000000000001</v>
      </c>
      <c r="Y17" s="92" t="str">
        <f>'MASTER PubCo Inputs'!B35</f>
        <v>NYSE:KDMN</v>
      </c>
      <c r="Z17" s="386">
        <f>'Capital IQ Sheet-GPC'!H20</f>
        <v>390.1</v>
      </c>
      <c r="AA17" s="93">
        <f t="shared" si="12"/>
        <v>0</v>
      </c>
      <c r="AC17" s="43"/>
      <c r="AG17" s="94"/>
    </row>
    <row r="18" spans="2:33" ht="12.75" customHeight="1">
      <c r="B18" s="385" t="str">
        <f>'Comp.1'!B18</f>
        <v>MediciNova, Inc.</v>
      </c>
      <c r="D18" s="416">
        <v>2</v>
      </c>
      <c r="E18" s="53" t="s">
        <v>155</v>
      </c>
      <c r="F18" s="53" t="s">
        <v>154</v>
      </c>
      <c r="H18" s="89">
        <f>HLOOKUP(D18,'Capital IQ Sheet-GPC'!$AQ$10:$AS$75,ROWS('Capital IQ Sheet-GPC'!AQ$10:AQ21),FALSE)</f>
        <v>1.49</v>
      </c>
      <c r="I18" s="90">
        <f t="shared" si="4"/>
        <v>1.49</v>
      </c>
      <c r="K18" s="91">
        <f>'Capital IQ Sheet-GPC'!J21</f>
        <v>398.7</v>
      </c>
      <c r="L18" s="91" t="str">
        <f>'Capital IQ Sheet-GPC'!K21</f>
        <v xml:space="preserve"> -   </v>
      </c>
      <c r="M18" s="91" t="str">
        <f>'Capital IQ Sheet-GPC'!L21</f>
        <v xml:space="preserve"> n/a </v>
      </c>
      <c r="N18" s="91" t="str">
        <f>'Capital IQ Sheet-GPC'!M21</f>
        <v xml:space="preserve"> n/a </v>
      </c>
      <c r="O18" s="91">
        <f t="shared" si="5"/>
        <v>0</v>
      </c>
      <c r="P18" s="91">
        <f t="shared" si="6"/>
        <v>398.7</v>
      </c>
      <c r="Q18" s="91">
        <f>'Capital IQ Sheet-GPC'!N21</f>
        <v>64.2</v>
      </c>
      <c r="R18" s="91">
        <f t="shared" si="7"/>
        <v>334.5</v>
      </c>
      <c r="T18" s="52">
        <f t="shared" si="8"/>
        <v>42582</v>
      </c>
      <c r="U18" s="54">
        <f t="shared" si="9"/>
        <v>0</v>
      </c>
      <c r="V18" s="54">
        <f t="shared" si="10"/>
        <v>1</v>
      </c>
      <c r="W18" s="54">
        <f t="shared" si="11"/>
        <v>0.26500000000000001</v>
      </c>
      <c r="Y18" s="92" t="str">
        <f>'MASTER PubCo Inputs'!B36</f>
        <v>NasdaqGM:MNOV</v>
      </c>
      <c r="Z18" s="386">
        <f>'Capital IQ Sheet-GPC'!H21</f>
        <v>334.5</v>
      </c>
      <c r="AA18" s="93">
        <f t="shared" si="12"/>
        <v>0</v>
      </c>
      <c r="AC18" s="43"/>
      <c r="AG18" s="94"/>
    </row>
    <row r="19" spans="2:33" ht="12.75" customHeight="1">
      <c r="B19" s="385" t="str">
        <f>'Comp.1'!B19</f>
        <v>Savara Inc.</v>
      </c>
      <c r="D19" s="416">
        <v>2</v>
      </c>
      <c r="E19" s="53" t="s">
        <v>155</v>
      </c>
      <c r="F19" s="53" t="s">
        <v>154</v>
      </c>
      <c r="H19" s="89">
        <f>HLOOKUP(D19,'Capital IQ Sheet-GPC'!$AQ$10:$AS$75,ROWS('Capital IQ Sheet-GPC'!AQ$10:AQ22),FALSE)</f>
        <v>0.52</v>
      </c>
      <c r="I19" s="90">
        <f t="shared" si="4"/>
        <v>0.50563697857948142</v>
      </c>
      <c r="K19" s="91">
        <f>'Capital IQ Sheet-GPC'!J22</f>
        <v>393.3</v>
      </c>
      <c r="L19" s="91">
        <f>'Capital IQ Sheet-GPC'!K22</f>
        <v>15.2</v>
      </c>
      <c r="M19" s="91" t="str">
        <f>'Capital IQ Sheet-GPC'!L22</f>
        <v xml:space="preserve"> n/a </v>
      </c>
      <c r="N19" s="91" t="str">
        <f>'Capital IQ Sheet-GPC'!M22</f>
        <v xml:space="preserve"> n/a </v>
      </c>
      <c r="O19" s="91">
        <f t="shared" si="5"/>
        <v>15.2</v>
      </c>
      <c r="P19" s="91">
        <f t="shared" si="6"/>
        <v>408.5</v>
      </c>
      <c r="Q19" s="91">
        <f>'Capital IQ Sheet-GPC'!N22</f>
        <v>85.2</v>
      </c>
      <c r="R19" s="91">
        <f t="shared" si="7"/>
        <v>323.3</v>
      </c>
      <c r="T19" s="52">
        <f t="shared" si="8"/>
        <v>42582</v>
      </c>
      <c r="U19" s="54">
        <f t="shared" si="9"/>
        <v>3.7209302325581395E-2</v>
      </c>
      <c r="V19" s="54">
        <f t="shared" si="10"/>
        <v>0.96279069767441861</v>
      </c>
      <c r="W19" s="54">
        <f t="shared" si="11"/>
        <v>0.26500000000000001</v>
      </c>
      <c r="Y19" s="92" t="str">
        <f>'MASTER PubCo Inputs'!B37</f>
        <v>NasdaqGS:SVRA</v>
      </c>
      <c r="Z19" s="386">
        <f>'Capital IQ Sheet-GPC'!H22</f>
        <v>323.39999999999998</v>
      </c>
      <c r="AA19" s="93">
        <f t="shared" si="12"/>
        <v>-9.9999999999965894E-2</v>
      </c>
      <c r="AC19" s="43"/>
      <c r="AG19" s="94"/>
    </row>
    <row r="20" spans="2:33" ht="12.75" customHeight="1">
      <c r="B20" s="385" t="str">
        <f>'Comp.1'!B20</f>
        <v>Galmed Pharmaceuticals Ltd.</v>
      </c>
      <c r="D20" s="416">
        <v>2</v>
      </c>
      <c r="E20" s="53" t="s">
        <v>155</v>
      </c>
      <c r="F20" s="53" t="s">
        <v>154</v>
      </c>
      <c r="H20" s="89">
        <f>HLOOKUP(D20,'Capital IQ Sheet-GPC'!$AQ$10:$AS$75,ROWS('Capital IQ Sheet-GPC'!AQ$10:AQ23),FALSE)</f>
        <v>1.07</v>
      </c>
      <c r="I20" s="90">
        <f t="shared" si="4"/>
        <v>1.07</v>
      </c>
      <c r="K20" s="91">
        <f>'Capital IQ Sheet-GPC'!J23</f>
        <v>289.7</v>
      </c>
      <c r="L20" s="91" t="str">
        <f>'Capital IQ Sheet-GPC'!K23</f>
        <v xml:space="preserve"> -   </v>
      </c>
      <c r="M20" s="91" t="str">
        <f>'Capital IQ Sheet-GPC'!L23</f>
        <v xml:space="preserve"> n/a </v>
      </c>
      <c r="N20" s="91" t="str">
        <f>'Capital IQ Sheet-GPC'!M23</f>
        <v xml:space="preserve"> n/a </v>
      </c>
      <c r="O20" s="91">
        <f t="shared" si="5"/>
        <v>0</v>
      </c>
      <c r="P20" s="91">
        <f t="shared" si="6"/>
        <v>289.7</v>
      </c>
      <c r="Q20" s="91">
        <f>'Capital IQ Sheet-GPC'!N23</f>
        <v>15.5</v>
      </c>
      <c r="R20" s="91">
        <f t="shared" si="7"/>
        <v>274.2</v>
      </c>
      <c r="T20" s="52">
        <f t="shared" si="8"/>
        <v>42582</v>
      </c>
      <c r="U20" s="54">
        <f t="shared" si="9"/>
        <v>0</v>
      </c>
      <c r="V20" s="54">
        <f t="shared" si="10"/>
        <v>1</v>
      </c>
      <c r="W20" s="54">
        <f t="shared" si="11"/>
        <v>0.26500000000000001</v>
      </c>
      <c r="Y20" s="92" t="str">
        <f>'MASTER PubCo Inputs'!B38</f>
        <v>NasdaqCM:GLMD</v>
      </c>
      <c r="Z20" s="386">
        <f>'Capital IQ Sheet-GPC'!H23</f>
        <v>274.2</v>
      </c>
      <c r="AA20" s="93">
        <f t="shared" si="12"/>
        <v>0</v>
      </c>
      <c r="AC20" s="43"/>
      <c r="AG20" s="94"/>
    </row>
    <row r="21" spans="2:33" ht="12.75" customHeight="1">
      <c r="B21" s="385" t="str">
        <f>'Comp.1'!B21</f>
        <v>Galectin Therapeutics, Inc.</v>
      </c>
      <c r="D21" s="416">
        <v>2</v>
      </c>
      <c r="E21" s="53" t="s">
        <v>155</v>
      </c>
      <c r="F21" s="53" t="s">
        <v>154</v>
      </c>
      <c r="H21" s="89">
        <f>HLOOKUP(D21,'Capital IQ Sheet-GPC'!$AQ$10:$AS$75,ROWS('Capital IQ Sheet-GPC'!AQ$10:AQ24),FALSE)</f>
        <v>3.08</v>
      </c>
      <c r="I21" s="90">
        <f t="shared" si="4"/>
        <v>2.9824761266543809</v>
      </c>
      <c r="K21" s="91">
        <f>'Capital IQ Sheet-GPC'!J24</f>
        <v>202.3</v>
      </c>
      <c r="L21" s="91" t="str">
        <f>'Capital IQ Sheet-GPC'!K24</f>
        <v xml:space="preserve"> -   </v>
      </c>
      <c r="M21" s="91">
        <f>'Capital IQ Sheet-GPC'!L24</f>
        <v>9</v>
      </c>
      <c r="N21" s="91" t="str">
        <f>'Capital IQ Sheet-GPC'!M24</f>
        <v xml:space="preserve"> n/a </v>
      </c>
      <c r="O21" s="91">
        <f t="shared" si="5"/>
        <v>9</v>
      </c>
      <c r="P21" s="91">
        <f t="shared" si="6"/>
        <v>211.3</v>
      </c>
      <c r="Q21" s="91">
        <f>'Capital IQ Sheet-GPC'!N24</f>
        <v>4</v>
      </c>
      <c r="R21" s="91">
        <f t="shared" si="7"/>
        <v>207.3</v>
      </c>
      <c r="T21" s="52">
        <f t="shared" si="8"/>
        <v>42582</v>
      </c>
      <c r="U21" s="54">
        <f t="shared" si="9"/>
        <v>4.2593469001419783E-2</v>
      </c>
      <c r="V21" s="54">
        <f t="shared" si="10"/>
        <v>0.9574065309985802</v>
      </c>
      <c r="W21" s="54">
        <f t="shared" si="11"/>
        <v>0.26500000000000001</v>
      </c>
      <c r="Y21" s="92" t="str">
        <f>'MASTER PubCo Inputs'!B39</f>
        <v>NasdaqCM:GALT</v>
      </c>
      <c r="Z21" s="386">
        <f>'Capital IQ Sheet-GPC'!H24</f>
        <v>207.3</v>
      </c>
      <c r="AA21" s="93">
        <f t="shared" si="12"/>
        <v>0</v>
      </c>
      <c r="AC21" s="43"/>
      <c r="AG21" s="94"/>
    </row>
    <row r="22" spans="2:33" ht="12.75" customHeight="1">
      <c r="B22" s="385" t="str">
        <f>'Comp.1'!B22</f>
        <v>Corbus Pharmaceuticals Holdings, Inc.</v>
      </c>
      <c r="D22" s="416">
        <v>2</v>
      </c>
      <c r="E22" s="53" t="s">
        <v>155</v>
      </c>
      <c r="F22" s="53" t="s">
        <v>154</v>
      </c>
      <c r="H22" s="89">
        <f>HLOOKUP(D22,'Capital IQ Sheet-GPC'!$AQ$10:$AS$75,ROWS('Capital IQ Sheet-GPC'!AQ$10:AQ25),FALSE)</f>
        <v>2.25</v>
      </c>
      <c r="I22" s="90">
        <f t="shared" si="4"/>
        <v>2.2487948492787311</v>
      </c>
      <c r="K22" s="91">
        <f>'Capital IQ Sheet-GPC'!J25</f>
        <v>274.3</v>
      </c>
      <c r="L22" s="91">
        <f>'Capital IQ Sheet-GPC'!K25</f>
        <v>0.2</v>
      </c>
      <c r="M22" s="91" t="str">
        <f>'Capital IQ Sheet-GPC'!L25</f>
        <v xml:space="preserve"> n/a </v>
      </c>
      <c r="N22" s="91" t="str">
        <f>'Capital IQ Sheet-GPC'!M25</f>
        <v xml:space="preserve"> n/a </v>
      </c>
      <c r="O22" s="91">
        <f t="shared" si="5"/>
        <v>0.2</v>
      </c>
      <c r="P22" s="91">
        <f t="shared" si="6"/>
        <v>274.5</v>
      </c>
      <c r="Q22" s="91">
        <f>'Capital IQ Sheet-GPC'!N25</f>
        <v>71</v>
      </c>
      <c r="R22" s="91">
        <f t="shared" si="7"/>
        <v>203.5</v>
      </c>
      <c r="T22" s="52">
        <f t="shared" si="8"/>
        <v>42582</v>
      </c>
      <c r="U22" s="54">
        <f t="shared" si="9"/>
        <v>7.2859744990892532E-4</v>
      </c>
      <c r="V22" s="54">
        <f t="shared" si="10"/>
        <v>0.99927140255009106</v>
      </c>
      <c r="W22" s="54">
        <f t="shared" si="11"/>
        <v>0.26500000000000001</v>
      </c>
      <c r="Y22" s="92" t="str">
        <f>'MASTER PubCo Inputs'!B40</f>
        <v>NasdaqGM:CRBP</v>
      </c>
      <c r="Z22" s="386">
        <f>'Capital IQ Sheet-GPC'!H25</f>
        <v>203.5</v>
      </c>
      <c r="AA22" s="93">
        <f t="shared" si="12"/>
        <v>0</v>
      </c>
      <c r="AC22" s="43"/>
      <c r="AG22" s="94"/>
    </row>
    <row r="23" spans="2:33" ht="12.75" customHeight="1">
      <c r="B23" s="385" t="str">
        <f>'Comp.1'!B23</f>
        <v>ProQR Therapeutics N.V.</v>
      </c>
      <c r="D23" s="416">
        <v>2</v>
      </c>
      <c r="E23" s="53" t="s">
        <v>155</v>
      </c>
      <c r="F23" s="53" t="s">
        <v>154</v>
      </c>
      <c r="H23" s="89">
        <f>HLOOKUP(D23,'Capital IQ Sheet-GPC'!$AQ$10:$AS$75,ROWS('Capital IQ Sheet-GPC'!AQ$10:AQ26),FALSE)</f>
        <v>1.89</v>
      </c>
      <c r="I23" s="90">
        <f t="shared" si="4"/>
        <v>1.834737499114061</v>
      </c>
      <c r="K23" s="91">
        <f>'Capital IQ Sheet-GPC'!J26</f>
        <v>212.3</v>
      </c>
      <c r="L23" s="91">
        <f>'Capital IQ Sheet-GPC'!K26</f>
        <v>8.6999999999999993</v>
      </c>
      <c r="M23" s="91" t="str">
        <f>'Capital IQ Sheet-GPC'!L26</f>
        <v xml:space="preserve"> n/a </v>
      </c>
      <c r="N23" s="91">
        <f>'Capital IQ Sheet-GPC'!M26</f>
        <v>0</v>
      </c>
      <c r="O23" s="91">
        <f t="shared" si="5"/>
        <v>8.6999999999999993</v>
      </c>
      <c r="P23" s="91">
        <f t="shared" si="6"/>
        <v>221</v>
      </c>
      <c r="Q23" s="91">
        <f>'Capital IQ Sheet-GPC'!N26</f>
        <v>57.8</v>
      </c>
      <c r="R23" s="91">
        <f t="shared" si="7"/>
        <v>163.19999999999999</v>
      </c>
      <c r="T23" s="52">
        <f t="shared" si="8"/>
        <v>42582</v>
      </c>
      <c r="U23" s="54">
        <f t="shared" si="9"/>
        <v>3.9366515837104071E-2</v>
      </c>
      <c r="V23" s="54">
        <f t="shared" si="10"/>
        <v>0.96063348416289596</v>
      </c>
      <c r="W23" s="54">
        <f t="shared" si="11"/>
        <v>0.26500000000000001</v>
      </c>
      <c r="Y23" s="92" t="str">
        <f>'MASTER PubCo Inputs'!B41</f>
        <v>NasdaqGM:PRQR</v>
      </c>
      <c r="Z23" s="386">
        <f>'Capital IQ Sheet-GPC'!H26</f>
        <v>174.9</v>
      </c>
      <c r="AA23" s="93">
        <f t="shared" si="12"/>
        <v>-11.700000000000017</v>
      </c>
      <c r="AC23" s="43"/>
      <c r="AG23" s="94"/>
    </row>
    <row r="24" spans="2:33" ht="12.75" customHeight="1">
      <c r="B24" s="385" t="str">
        <f>'Comp.1'!B24</f>
        <v>Miragen Therapeutics, Inc.</v>
      </c>
      <c r="D24" s="416">
        <v>2</v>
      </c>
      <c r="E24" s="53" t="s">
        <v>155</v>
      </c>
      <c r="F24" s="53" t="s">
        <v>154</v>
      </c>
      <c r="H24" s="89">
        <f>HLOOKUP(D24,'Capital IQ Sheet-GPC'!$AQ$10:$AS$75,ROWS('Capital IQ Sheet-GPC'!AQ$10:AQ27),FALSE)</f>
        <v>2</v>
      </c>
      <c r="I24" s="90">
        <f t="shared" si="4"/>
        <v>1.92724573125464</v>
      </c>
      <c r="K24" s="91">
        <f>'Capital IQ Sheet-GPC'!J27</f>
        <v>194.7</v>
      </c>
      <c r="L24" s="91">
        <f>'Capital IQ Sheet-GPC'!K27</f>
        <v>10</v>
      </c>
      <c r="M24" s="91" t="str">
        <f>'Capital IQ Sheet-GPC'!L27</f>
        <v xml:space="preserve"> n/a </v>
      </c>
      <c r="N24" s="91" t="str">
        <f>'Capital IQ Sheet-GPC'!M27</f>
        <v xml:space="preserve"> n/a </v>
      </c>
      <c r="O24" s="91">
        <f t="shared" si="5"/>
        <v>10</v>
      </c>
      <c r="P24" s="91">
        <f t="shared" si="6"/>
        <v>204.7</v>
      </c>
      <c r="Q24" s="91">
        <f>'Capital IQ Sheet-GPC'!N27</f>
        <v>78.099999999999994</v>
      </c>
      <c r="R24" s="91">
        <f t="shared" si="7"/>
        <v>126.6</v>
      </c>
      <c r="T24" s="52">
        <f t="shared" si="8"/>
        <v>42582</v>
      </c>
      <c r="U24" s="54">
        <f t="shared" si="9"/>
        <v>4.8851978505129463E-2</v>
      </c>
      <c r="V24" s="54">
        <f t="shared" si="10"/>
        <v>0.95114802149487054</v>
      </c>
      <c r="W24" s="54">
        <f t="shared" si="11"/>
        <v>0.26500000000000001</v>
      </c>
      <c r="Y24" s="92" t="str">
        <f>'MASTER PubCo Inputs'!B42</f>
        <v>NasdaqCM:MGEN</v>
      </c>
      <c r="Z24" s="386">
        <f>'Capital IQ Sheet-GPC'!H27</f>
        <v>126.7</v>
      </c>
      <c r="AA24" s="93">
        <f t="shared" si="12"/>
        <v>-0.10000000000000853</v>
      </c>
      <c r="AC24" s="43"/>
      <c r="AG24" s="94"/>
    </row>
    <row r="25" spans="2:33" ht="12.75" customHeight="1">
      <c r="B25" s="385" t="str">
        <f>'Comp.1'!B25</f>
        <v>Conatus Pharmaceuticals Inc.</v>
      </c>
      <c r="D25" s="416">
        <v>2</v>
      </c>
      <c r="E25" s="53" t="s">
        <v>155</v>
      </c>
      <c r="F25" s="53" t="s">
        <v>154</v>
      </c>
      <c r="H25" s="89">
        <f>HLOOKUP(D25,'Capital IQ Sheet-GPC'!$AQ$10:$AS$75,ROWS('Capital IQ Sheet-GPC'!AQ$10:AQ28),FALSE)</f>
        <v>2</v>
      </c>
      <c r="I25" s="90">
        <f t="shared" si="4"/>
        <v>1.8441847213200986</v>
      </c>
      <c r="K25" s="91">
        <f>'Capital IQ Sheet-GPC'!J28</f>
        <v>115.7</v>
      </c>
      <c r="L25" s="91">
        <f>'Capital IQ Sheet-GPC'!K28</f>
        <v>13.3</v>
      </c>
      <c r="M25" s="91" t="str">
        <f>'Capital IQ Sheet-GPC'!L28</f>
        <v xml:space="preserve"> n/a </v>
      </c>
      <c r="N25" s="91" t="str">
        <f>'Capital IQ Sheet-GPC'!M28</f>
        <v xml:space="preserve"> n/a </v>
      </c>
      <c r="O25" s="91">
        <f t="shared" si="5"/>
        <v>13.3</v>
      </c>
      <c r="P25" s="91">
        <f t="shared" si="6"/>
        <v>129</v>
      </c>
      <c r="Q25" s="91">
        <f>'Capital IQ Sheet-GPC'!N28</f>
        <v>66.8</v>
      </c>
      <c r="R25" s="91">
        <f t="shared" si="7"/>
        <v>62.2</v>
      </c>
      <c r="T25" s="52">
        <f t="shared" si="8"/>
        <v>42582</v>
      </c>
      <c r="U25" s="54">
        <f t="shared" si="9"/>
        <v>0.10310077519379846</v>
      </c>
      <c r="V25" s="54">
        <f t="shared" si="10"/>
        <v>0.89689922480620154</v>
      </c>
      <c r="W25" s="54">
        <f t="shared" si="11"/>
        <v>0.26500000000000001</v>
      </c>
      <c r="Y25" s="92" t="str">
        <f>'MASTER PubCo Inputs'!B43</f>
        <v>NasdaqGM:CNAT</v>
      </c>
      <c r="Z25" s="386">
        <f>'Capital IQ Sheet-GPC'!H28</f>
        <v>62.3</v>
      </c>
      <c r="AA25" s="93">
        <f t="shared" si="12"/>
        <v>-9.9999999999994316E-2</v>
      </c>
      <c r="AC25" s="43"/>
      <c r="AG25" s="94"/>
    </row>
    <row r="26" spans="2:33" ht="12.75" customHeight="1">
      <c r="B26" s="385" t="str">
        <f>'Comp.1'!B26</f>
        <v>Immuron Limited</v>
      </c>
      <c r="D26" s="416">
        <v>2</v>
      </c>
      <c r="E26" s="53" t="s">
        <v>155</v>
      </c>
      <c r="F26" s="53" t="s">
        <v>154</v>
      </c>
      <c r="H26" s="89">
        <f>HLOOKUP(D26,'Capital IQ Sheet-GPC'!$AQ$10:$AS$75,ROWS('Capital IQ Sheet-GPC'!AQ$10:AQ29),FALSE)</f>
        <v>0.51</v>
      </c>
      <c r="I26" s="90">
        <f t="shared" si="4"/>
        <v>0.51</v>
      </c>
      <c r="K26" s="91">
        <f>'Capital IQ Sheet-GPC'!J29</f>
        <v>39.700000000000003</v>
      </c>
      <c r="L26" s="91">
        <f>'Capital IQ Sheet-GPC'!K29</f>
        <v>0</v>
      </c>
      <c r="M26" s="91" t="str">
        <f>'Capital IQ Sheet-GPC'!L29</f>
        <v xml:space="preserve"> n/a </v>
      </c>
      <c r="N26" s="91" t="str">
        <f>'Capital IQ Sheet-GPC'!M29</f>
        <v xml:space="preserve"> n/a </v>
      </c>
      <c r="O26" s="91">
        <f t="shared" si="5"/>
        <v>0</v>
      </c>
      <c r="P26" s="91">
        <f t="shared" si="6"/>
        <v>39.700000000000003</v>
      </c>
      <c r="Q26" s="91">
        <f>'Capital IQ Sheet-GPC'!N29</f>
        <v>0.5</v>
      </c>
      <c r="R26" s="91">
        <f t="shared" si="7"/>
        <v>39.200000000000003</v>
      </c>
      <c r="T26" s="52">
        <f t="shared" si="8"/>
        <v>42582</v>
      </c>
      <c r="U26" s="54">
        <f t="shared" si="9"/>
        <v>0</v>
      </c>
      <c r="V26" s="54">
        <f t="shared" si="10"/>
        <v>1</v>
      </c>
      <c r="W26" s="54">
        <f t="shared" si="11"/>
        <v>0.26500000000000001</v>
      </c>
      <c r="Y26" s="92" t="str">
        <f>'MASTER PubCo Inputs'!B44</f>
        <v>ASX:IMC</v>
      </c>
      <c r="Z26" s="386">
        <f>'Capital IQ Sheet-GPC'!H29</f>
        <v>39.299999999999997</v>
      </c>
      <c r="AA26" s="93">
        <f t="shared" si="12"/>
        <v>-9.9999999999994316E-2</v>
      </c>
      <c r="AC26" s="43"/>
      <c r="AG26" s="94"/>
    </row>
    <row r="27" spans="2:33" ht="12.75" customHeight="1">
      <c r="B27" s="385" t="str">
        <f>'Comp.1'!B27</f>
        <v>AdAlta Limited</v>
      </c>
      <c r="D27" s="416">
        <v>2</v>
      </c>
      <c r="E27" s="53" t="s">
        <v>155</v>
      </c>
      <c r="F27" s="53" t="s">
        <v>154</v>
      </c>
      <c r="H27" s="89">
        <f>HLOOKUP(D27,'Capital IQ Sheet-GPC'!$AQ$10:$AS$75,ROWS('Capital IQ Sheet-GPC'!AQ$10:AQ30),FALSE)</f>
        <v>-1.26</v>
      </c>
      <c r="I27" s="90">
        <f t="shared" si="4"/>
        <v>-1.26</v>
      </c>
      <c r="K27" s="91">
        <f>'Capital IQ Sheet-GPC'!J30</f>
        <v>25.2</v>
      </c>
      <c r="L27" s="91" t="str">
        <f>'Capital IQ Sheet-GPC'!K30</f>
        <v xml:space="preserve"> -   </v>
      </c>
      <c r="M27" s="91" t="str">
        <f>'Capital IQ Sheet-GPC'!L30</f>
        <v xml:space="preserve"> n/a </v>
      </c>
      <c r="N27" s="91" t="str">
        <f>'Capital IQ Sheet-GPC'!M30</f>
        <v xml:space="preserve"> n/a </v>
      </c>
      <c r="O27" s="91">
        <f t="shared" si="5"/>
        <v>0</v>
      </c>
      <c r="P27" s="91">
        <f t="shared" si="6"/>
        <v>25.2</v>
      </c>
      <c r="Q27" s="91">
        <f>'Capital IQ Sheet-GPC'!N30</f>
        <v>4.0999999999999996</v>
      </c>
      <c r="R27" s="91">
        <f t="shared" si="7"/>
        <v>21.1</v>
      </c>
      <c r="T27" s="52">
        <f t="shared" si="8"/>
        <v>42582</v>
      </c>
      <c r="U27" s="54">
        <f t="shared" si="9"/>
        <v>0</v>
      </c>
      <c r="V27" s="54">
        <f t="shared" si="10"/>
        <v>1</v>
      </c>
      <c r="W27" s="54">
        <f t="shared" si="11"/>
        <v>0.26500000000000001</v>
      </c>
      <c r="Y27" s="92" t="str">
        <f>'MASTER PubCo Inputs'!B45</f>
        <v>ASX:1AD</v>
      </c>
      <c r="Z27" s="386">
        <f>'Capital IQ Sheet-GPC'!H30</f>
        <v>21.3</v>
      </c>
      <c r="AA27" s="93">
        <f t="shared" si="12"/>
        <v>-0.19999999999999929</v>
      </c>
      <c r="AC27" s="43"/>
      <c r="AG27" s="94"/>
    </row>
    <row r="28" spans="2:33" ht="12.75" customHeight="1">
      <c r="B28" s="385" t="str">
        <f>'Comp.1'!B28</f>
        <v>Pulmatrix, Inc.</v>
      </c>
      <c r="D28" s="416">
        <v>2</v>
      </c>
      <c r="E28" s="53" t="s">
        <v>155</v>
      </c>
      <c r="F28" s="53" t="s">
        <v>154</v>
      </c>
      <c r="H28" s="89">
        <f>HLOOKUP(D28,'Capital IQ Sheet-GPC'!$AQ$10:$AS$75,ROWS('Capital IQ Sheet-GPC'!AQ$10:AQ31),FALSE)</f>
        <v>2.31</v>
      </c>
      <c r="I28" s="90">
        <f t="shared" si="4"/>
        <v>2.109189828503844</v>
      </c>
      <c r="K28" s="91">
        <f>'Capital IQ Sheet-GPC'!J31</f>
        <v>19.3</v>
      </c>
      <c r="L28" s="91">
        <f>'Capital IQ Sheet-GPC'!K31</f>
        <v>2.5</v>
      </c>
      <c r="M28" s="91" t="str">
        <f>'Capital IQ Sheet-GPC'!L31</f>
        <v xml:space="preserve"> n/a </v>
      </c>
      <c r="N28" s="91" t="str">
        <f>'Capital IQ Sheet-GPC'!M31</f>
        <v xml:space="preserve"> n/a </v>
      </c>
      <c r="O28" s="91">
        <f t="shared" si="5"/>
        <v>2.5</v>
      </c>
      <c r="P28" s="91">
        <f t="shared" si="6"/>
        <v>21.8</v>
      </c>
      <c r="Q28" s="91">
        <f>'Capital IQ Sheet-GPC'!N31</f>
        <v>1.6</v>
      </c>
      <c r="R28" s="91">
        <f t="shared" si="7"/>
        <v>20.2</v>
      </c>
      <c r="T28" s="52">
        <f t="shared" si="8"/>
        <v>42582</v>
      </c>
      <c r="U28" s="54">
        <f t="shared" si="9"/>
        <v>0.1146788990825688</v>
      </c>
      <c r="V28" s="54">
        <f t="shared" si="10"/>
        <v>0.88532110091743121</v>
      </c>
      <c r="W28" s="54">
        <f t="shared" si="11"/>
        <v>0.26500000000000001</v>
      </c>
      <c r="Y28" s="92" t="str">
        <f>'MASTER PubCo Inputs'!B46</f>
        <v>NasdaqGM:PULM</v>
      </c>
      <c r="Z28" s="386">
        <f>'Capital IQ Sheet-GPC'!H31</f>
        <v>20.3</v>
      </c>
      <c r="AA28" s="93">
        <f t="shared" si="12"/>
        <v>-0.10000000000000142</v>
      </c>
      <c r="AC28" s="43"/>
      <c r="AG28" s="94"/>
    </row>
    <row r="29" spans="2:33" ht="12.75" customHeight="1">
      <c r="B29" s="385" t="str">
        <f>'Comp.1'!B29</f>
        <v>AmpliPhi Biosciences Corporation</v>
      </c>
      <c r="D29" s="416">
        <v>2</v>
      </c>
      <c r="E29" s="53" t="s">
        <v>155</v>
      </c>
      <c r="F29" s="53" t="s">
        <v>154</v>
      </c>
      <c r="H29" s="89">
        <f>HLOOKUP(D29,'Capital IQ Sheet-GPC'!$AQ$10:$AS$75,ROWS('Capital IQ Sheet-GPC'!AQ$10:AQ32),FALSE)</f>
        <v>1.51</v>
      </c>
      <c r="I29" s="90">
        <f t="shared" si="4"/>
        <v>1.51</v>
      </c>
      <c r="K29" s="91">
        <f>'Capital IQ Sheet-GPC'!J32</f>
        <v>16.5</v>
      </c>
      <c r="L29" s="91" t="str">
        <f>'Capital IQ Sheet-GPC'!K32</f>
        <v xml:space="preserve"> -   </v>
      </c>
      <c r="M29" s="91" t="str">
        <f>'Capital IQ Sheet-GPC'!L32</f>
        <v xml:space="preserve"> n/a </v>
      </c>
      <c r="N29" s="91" t="str">
        <f>'Capital IQ Sheet-GPC'!M32</f>
        <v xml:space="preserve"> n/a </v>
      </c>
      <c r="O29" s="91">
        <f t="shared" si="5"/>
        <v>0</v>
      </c>
      <c r="P29" s="91">
        <f t="shared" si="6"/>
        <v>16.5</v>
      </c>
      <c r="Q29" s="91">
        <f>'Capital IQ Sheet-GPC'!N32</f>
        <v>8.1999999999999993</v>
      </c>
      <c r="R29" s="91">
        <f t="shared" si="7"/>
        <v>8.3000000000000007</v>
      </c>
      <c r="T29" s="52">
        <f t="shared" si="8"/>
        <v>42582</v>
      </c>
      <c r="U29" s="54">
        <f t="shared" si="9"/>
        <v>0</v>
      </c>
      <c r="V29" s="54">
        <f t="shared" si="10"/>
        <v>1</v>
      </c>
      <c r="W29" s="54">
        <f t="shared" si="11"/>
        <v>0.26500000000000001</v>
      </c>
      <c r="Y29" s="92" t="str">
        <f>'MASTER PubCo Inputs'!B47</f>
        <v>AMEX:APHB</v>
      </c>
      <c r="Z29" s="386">
        <f>'Capital IQ Sheet-GPC'!H32</f>
        <v>8.3000000000000007</v>
      </c>
      <c r="AA29" s="93">
        <f t="shared" si="12"/>
        <v>0</v>
      </c>
      <c r="AC29" s="43"/>
      <c r="AG29" s="94"/>
    </row>
    <row r="30" spans="2:33" ht="12.75" customHeight="1">
      <c r="B30" s="385">
        <f>'Comp.1'!B30</f>
        <v>0</v>
      </c>
      <c r="D30" s="416">
        <v>2</v>
      </c>
      <c r="E30" s="53" t="s">
        <v>155</v>
      </c>
      <c r="F30" s="53" t="s">
        <v>154</v>
      </c>
      <c r="H30" s="89" t="str">
        <f>HLOOKUP(D30,'Capital IQ Sheet-GPC'!$AQ$10:$AS$75,ROWS('Capital IQ Sheet-GPC'!AQ$10:AQ33),FALSE)</f>
        <v>(Invalid Identifier)</v>
      </c>
      <c r="I30" s="90" t="str">
        <f t="shared" si="4"/>
        <v>n/a</v>
      </c>
      <c r="K30" s="91" t="str">
        <f>'Capital IQ Sheet-GPC'!J33</f>
        <v xml:space="preserve"> (Invalid Identifier) </v>
      </c>
      <c r="L30" s="91" t="str">
        <f>'Capital IQ Sheet-GPC'!K33</f>
        <v xml:space="preserve"> (Invalid Identifier) </v>
      </c>
      <c r="M30" s="91" t="str">
        <f>'Capital IQ Sheet-GPC'!L33</f>
        <v xml:space="preserve"> (Invalid Identifier) </v>
      </c>
      <c r="N30" s="91" t="str">
        <f>'Capital IQ Sheet-GPC'!M33</f>
        <v xml:space="preserve"> (Invalid Identifier) </v>
      </c>
      <c r="O30" s="91">
        <f t="shared" si="5"/>
        <v>0</v>
      </c>
      <c r="P30" s="91">
        <f t="shared" si="6"/>
        <v>0</v>
      </c>
      <c r="Q30" s="91" t="str">
        <f>'Capital IQ Sheet-GPC'!N33</f>
        <v xml:space="preserve"> (Invalid Identifier) </v>
      </c>
      <c r="R30" s="91" t="str">
        <f t="shared" si="7"/>
        <v>n/a</v>
      </c>
      <c r="T30" s="52">
        <f t="shared" si="8"/>
        <v>42582</v>
      </c>
      <c r="U30" s="54" t="str">
        <f t="shared" si="9"/>
        <v>n/a</v>
      </c>
      <c r="V30" s="54" t="str">
        <f t="shared" si="10"/>
        <v>n/a</v>
      </c>
      <c r="W30" s="54">
        <f t="shared" si="11"/>
        <v>0.26500000000000001</v>
      </c>
      <c r="Y30" s="92" t="str">
        <f>'MASTER PubCo Inputs'!B48</f>
        <v>(Invalid Identifier)</v>
      </c>
      <c r="Z30" s="386" t="str">
        <f>'Capital IQ Sheet-GPC'!H33</f>
        <v xml:space="preserve"> (Invalid Identifier) </v>
      </c>
      <c r="AA30" s="93" t="e">
        <f t="shared" si="12"/>
        <v>#VALUE!</v>
      </c>
      <c r="AC30" s="43"/>
      <c r="AG30" s="94"/>
    </row>
    <row r="31" spans="2:33" ht="12.75" customHeight="1">
      <c r="B31" s="385">
        <f>'Comp.1'!B31</f>
        <v>0</v>
      </c>
      <c r="D31" s="416">
        <v>2</v>
      </c>
      <c r="E31" s="53" t="s">
        <v>155</v>
      </c>
      <c r="F31" s="53" t="s">
        <v>154</v>
      </c>
      <c r="H31" s="89" t="str">
        <f>HLOOKUP(D31,'Capital IQ Sheet-GPC'!$AQ$10:$AS$75,ROWS('Capital IQ Sheet-GPC'!AQ$10:AQ34),FALSE)</f>
        <v>(Invalid Identifier)</v>
      </c>
      <c r="I31" s="90" t="str">
        <f t="shared" si="4"/>
        <v>n/a</v>
      </c>
      <c r="K31" s="91" t="str">
        <f>'Capital IQ Sheet-GPC'!J34</f>
        <v xml:space="preserve"> (Invalid Identifier) </v>
      </c>
      <c r="L31" s="91" t="str">
        <f>'Capital IQ Sheet-GPC'!K34</f>
        <v xml:space="preserve"> (Invalid Identifier) </v>
      </c>
      <c r="M31" s="91" t="str">
        <f>'Capital IQ Sheet-GPC'!L34</f>
        <v xml:space="preserve"> (Invalid Identifier) </v>
      </c>
      <c r="N31" s="91" t="str">
        <f>'Capital IQ Sheet-GPC'!M34</f>
        <v xml:space="preserve"> (Invalid Identifier) </v>
      </c>
      <c r="O31" s="91">
        <f t="shared" si="5"/>
        <v>0</v>
      </c>
      <c r="P31" s="91">
        <f t="shared" si="6"/>
        <v>0</v>
      </c>
      <c r="Q31" s="91" t="str">
        <f>'Capital IQ Sheet-GPC'!N34</f>
        <v xml:space="preserve"> (Invalid Identifier) </v>
      </c>
      <c r="R31" s="91" t="str">
        <f t="shared" si="7"/>
        <v>n/a</v>
      </c>
      <c r="T31" s="52">
        <f t="shared" si="8"/>
        <v>42582</v>
      </c>
      <c r="U31" s="54" t="str">
        <f t="shared" si="9"/>
        <v>n/a</v>
      </c>
      <c r="V31" s="54" t="str">
        <f t="shared" si="10"/>
        <v>n/a</v>
      </c>
      <c r="W31" s="54">
        <f t="shared" si="11"/>
        <v>0.26500000000000001</v>
      </c>
      <c r="Y31" s="92" t="str">
        <f>'MASTER PubCo Inputs'!B49</f>
        <v>(Invalid Identifier)</v>
      </c>
      <c r="Z31" s="386" t="str">
        <f>'Capital IQ Sheet-GPC'!H34</f>
        <v xml:space="preserve"> (Invalid Identifier) </v>
      </c>
      <c r="AA31" s="93" t="e">
        <f t="shared" si="12"/>
        <v>#VALUE!</v>
      </c>
      <c r="AC31" s="43"/>
      <c r="AG31" s="94"/>
    </row>
    <row r="32" spans="2:33" ht="12.75" customHeight="1">
      <c r="D32" s="416"/>
      <c r="E32" s="53"/>
      <c r="F32" s="53"/>
      <c r="H32" s="89"/>
      <c r="I32" s="90"/>
      <c r="K32" s="91"/>
      <c r="L32" s="91"/>
      <c r="M32" s="91"/>
      <c r="N32" s="91"/>
      <c r="O32" s="91"/>
      <c r="P32" s="91"/>
      <c r="Q32" s="91"/>
      <c r="R32" s="91"/>
      <c r="T32" s="52"/>
      <c r="U32" s="54"/>
      <c r="V32" s="54"/>
      <c r="W32" s="54"/>
      <c r="Y32" s="92"/>
      <c r="Z32" s="386"/>
      <c r="AA32" s="93"/>
      <c r="AC32" s="43"/>
      <c r="AG32" s="94"/>
    </row>
    <row r="33" spans="2:33" ht="12.75" customHeight="1">
      <c r="D33" s="416"/>
      <c r="E33" s="53"/>
      <c r="F33" s="53"/>
      <c r="H33" s="89"/>
      <c r="I33" s="90"/>
      <c r="K33" s="91"/>
      <c r="L33" s="91"/>
      <c r="M33" s="91"/>
      <c r="N33" s="91"/>
      <c r="O33" s="91"/>
      <c r="P33" s="91"/>
      <c r="Q33" s="91"/>
      <c r="R33" s="91"/>
      <c r="T33" s="52"/>
      <c r="U33" s="54"/>
      <c r="V33" s="54"/>
      <c r="W33" s="54"/>
      <c r="Y33" s="92"/>
      <c r="Z33" s="386"/>
      <c r="AA33" s="93"/>
      <c r="AC33" s="43"/>
      <c r="AG33" s="94"/>
    </row>
    <row r="34" spans="2:33" ht="12.75" customHeight="1">
      <c r="D34" s="416"/>
      <c r="E34" s="53"/>
      <c r="F34" s="53"/>
      <c r="H34" s="89"/>
      <c r="I34" s="90"/>
      <c r="K34" s="91"/>
      <c r="L34" s="91"/>
      <c r="M34" s="91"/>
      <c r="N34" s="91"/>
      <c r="O34" s="91"/>
      <c r="P34" s="91"/>
      <c r="Q34" s="91"/>
      <c r="R34" s="91"/>
      <c r="T34" s="52"/>
      <c r="U34" s="54"/>
      <c r="V34" s="54"/>
      <c r="W34" s="54"/>
      <c r="Y34" s="92"/>
      <c r="Z34" s="386"/>
      <c r="AA34" s="93"/>
      <c r="AC34" s="43"/>
      <c r="AG34" s="94"/>
    </row>
    <row r="35" spans="2:33" ht="12.75" customHeight="1">
      <c r="D35" s="416"/>
      <c r="E35" s="53"/>
      <c r="F35" s="53"/>
      <c r="H35" s="89"/>
      <c r="I35" s="90"/>
      <c r="K35" s="91"/>
      <c r="L35" s="91"/>
      <c r="M35" s="91"/>
      <c r="N35" s="91"/>
      <c r="O35" s="91"/>
      <c r="P35" s="91"/>
      <c r="Q35" s="91"/>
      <c r="R35" s="91"/>
      <c r="T35" s="52"/>
      <c r="U35" s="54"/>
      <c r="V35" s="54"/>
      <c r="W35" s="54"/>
      <c r="Y35" s="92"/>
      <c r="Z35" s="386"/>
      <c r="AA35" s="93"/>
      <c r="AC35" s="43"/>
      <c r="AG35" s="94"/>
    </row>
    <row r="36" spans="2:33" ht="12.75" customHeight="1">
      <c r="D36" s="416"/>
      <c r="E36" s="53"/>
      <c r="F36" s="53"/>
      <c r="H36" s="89"/>
      <c r="I36" s="90"/>
      <c r="K36" s="91"/>
      <c r="L36" s="91"/>
      <c r="M36" s="91"/>
      <c r="N36" s="91"/>
      <c r="O36" s="91"/>
      <c r="P36" s="91"/>
      <c r="Q36" s="91"/>
      <c r="R36" s="91"/>
      <c r="T36" s="52"/>
      <c r="U36" s="54"/>
      <c r="V36" s="54"/>
      <c r="W36" s="54"/>
      <c r="Y36" s="92"/>
      <c r="Z36" s="386"/>
      <c r="AA36" s="93"/>
      <c r="AC36" s="43"/>
      <c r="AG36" s="94"/>
    </row>
    <row r="37" spans="2:33" ht="12.75" customHeight="1">
      <c r="D37" s="416"/>
      <c r="E37" s="53"/>
      <c r="F37" s="53"/>
      <c r="H37" s="89"/>
      <c r="I37" s="90"/>
      <c r="K37" s="91"/>
      <c r="L37" s="91"/>
      <c r="M37" s="91"/>
      <c r="N37" s="91"/>
      <c r="O37" s="91"/>
      <c r="P37" s="91"/>
      <c r="Q37" s="91"/>
      <c r="R37" s="91"/>
      <c r="T37" s="52"/>
      <c r="U37" s="54"/>
      <c r="V37" s="54"/>
      <c r="W37" s="54"/>
      <c r="Y37" s="92"/>
      <c r="Z37" s="386"/>
      <c r="AA37" s="93"/>
      <c r="AC37" s="43"/>
      <c r="AG37" s="94"/>
    </row>
    <row r="38" spans="2:33" ht="12.75" customHeight="1">
      <c r="D38" s="416"/>
      <c r="E38" s="53"/>
      <c r="F38" s="53"/>
      <c r="H38" s="89"/>
      <c r="I38" s="90"/>
      <c r="K38" s="91"/>
      <c r="L38" s="91"/>
      <c r="M38" s="91"/>
      <c r="N38" s="91"/>
      <c r="O38" s="91"/>
      <c r="P38" s="91"/>
      <c r="Q38" s="91"/>
      <c r="R38" s="91"/>
      <c r="T38" s="52"/>
      <c r="U38" s="54"/>
      <c r="V38" s="54"/>
      <c r="W38" s="54"/>
      <c r="Y38" s="92"/>
      <c r="Z38" s="386"/>
      <c r="AA38" s="93"/>
      <c r="AC38" s="43"/>
      <c r="AG38" s="94"/>
    </row>
    <row r="39" spans="2:33" ht="12.75" customHeight="1">
      <c r="D39" s="416"/>
      <c r="E39" s="53"/>
      <c r="F39" s="53"/>
      <c r="H39" s="89"/>
      <c r="I39" s="90"/>
      <c r="K39" s="91"/>
      <c r="L39" s="91"/>
      <c r="M39" s="91"/>
      <c r="N39" s="91"/>
      <c r="O39" s="91"/>
      <c r="P39" s="91"/>
      <c r="Q39" s="91"/>
      <c r="R39" s="91"/>
      <c r="T39" s="52"/>
      <c r="U39" s="54"/>
      <c r="V39" s="54"/>
      <c r="W39" s="54"/>
      <c r="Y39" s="92"/>
      <c r="Z39" s="386"/>
      <c r="AA39" s="93"/>
      <c r="AC39" s="43"/>
      <c r="AG39" s="94"/>
    </row>
    <row r="40" spans="2:33" ht="12.75" customHeight="1">
      <c r="K40" s="386"/>
      <c r="L40" s="386"/>
      <c r="M40" s="386"/>
      <c r="N40" s="386"/>
      <c r="O40" s="386"/>
      <c r="P40" s="386"/>
      <c r="Q40" s="386"/>
      <c r="R40" s="386"/>
      <c r="S40" s="56"/>
      <c r="T40" s="20"/>
      <c r="U40" s="20"/>
      <c r="V40" s="20"/>
      <c r="W40" s="20"/>
    </row>
    <row r="41" spans="2:33" ht="12.75" customHeight="1">
      <c r="B41" s="753" t="s">
        <v>46</v>
      </c>
      <c r="C41" s="769"/>
      <c r="D41" s="769"/>
      <c r="E41" s="769"/>
      <c r="F41" s="769"/>
      <c r="G41" s="769"/>
      <c r="H41" s="774">
        <f>MAX(H10:H39)</f>
        <v>3.08</v>
      </c>
      <c r="I41" s="774">
        <f>MAX(I10:I39)</f>
        <v>2.9824761266543809</v>
      </c>
      <c r="J41" s="769"/>
      <c r="K41" s="768">
        <f t="shared" ref="K41:R41" si="13">MAX(K10:K39)</f>
        <v>44574.8</v>
      </c>
      <c r="L41" s="768">
        <f t="shared" si="13"/>
        <v>592.70000000000005</v>
      </c>
      <c r="M41" s="768">
        <f t="shared" si="13"/>
        <v>40.700000000000003</v>
      </c>
      <c r="N41" s="768">
        <f t="shared" si="13"/>
        <v>28.7</v>
      </c>
      <c r="O41" s="768">
        <f t="shared" si="13"/>
        <v>621.40000000000009</v>
      </c>
      <c r="P41" s="768">
        <f t="shared" si="13"/>
        <v>45196.2</v>
      </c>
      <c r="Q41" s="768">
        <f t="shared" si="13"/>
        <v>2767.8</v>
      </c>
      <c r="R41" s="770">
        <f t="shared" si="13"/>
        <v>42428.399999999994</v>
      </c>
      <c r="S41" s="48"/>
      <c r="T41" s="48"/>
      <c r="U41" s="412">
        <f t="shared" ref="U41:V41" si="14">MAX(U10:U39)</f>
        <v>0.18218886108794366</v>
      </c>
      <c r="V41" s="412">
        <f t="shared" si="14"/>
        <v>1</v>
      </c>
      <c r="W41" s="48"/>
    </row>
    <row r="42" spans="2:33" ht="12.75" customHeight="1">
      <c r="B42" s="339" t="s">
        <v>50</v>
      </c>
      <c r="C42" s="75"/>
      <c r="D42" s="75"/>
      <c r="E42" s="75"/>
      <c r="F42" s="75"/>
      <c r="G42" s="75"/>
      <c r="H42" s="98">
        <f>QUARTILE(H10:H39,3)</f>
        <v>2</v>
      </c>
      <c r="I42" s="98">
        <f>QUARTILE(I10:I39,3)</f>
        <v>1.8649499738037338</v>
      </c>
      <c r="J42" s="75"/>
      <c r="K42" s="99">
        <f t="shared" ref="K42:R42" si="15">QUARTILE(K10:K39,3)</f>
        <v>2055.25</v>
      </c>
      <c r="L42" s="99">
        <f t="shared" si="15"/>
        <v>196.6</v>
      </c>
      <c r="M42" s="99">
        <f t="shared" si="15"/>
        <v>32.775000000000006</v>
      </c>
      <c r="N42" s="99">
        <f t="shared" si="15"/>
        <v>24</v>
      </c>
      <c r="O42" s="99">
        <f t="shared" si="15"/>
        <v>59.150000000000006</v>
      </c>
      <c r="P42" s="99">
        <f t="shared" si="15"/>
        <v>1894.4249999999997</v>
      </c>
      <c r="Q42" s="99">
        <f t="shared" si="15"/>
        <v>326.77500000000003</v>
      </c>
      <c r="R42" s="100">
        <f t="shared" si="15"/>
        <v>1775.65</v>
      </c>
      <c r="S42" s="48"/>
      <c r="T42" s="48"/>
      <c r="U42" s="412">
        <f>QUARTILE(U10:U39,3)</f>
        <v>0.10599530616599104</v>
      </c>
      <c r="V42" s="412">
        <f>QUARTILE(V10:V39,3)</f>
        <v>1</v>
      </c>
      <c r="W42" s="48"/>
    </row>
    <row r="43" spans="2:33" ht="12.75" customHeight="1">
      <c r="B43" s="339" t="s">
        <v>48</v>
      </c>
      <c r="C43" s="75"/>
      <c r="D43" s="75"/>
      <c r="E43" s="75"/>
      <c r="F43" s="75"/>
      <c r="G43" s="75"/>
      <c r="H43" s="98">
        <f>AVERAGE(H10:H39)</f>
        <v>1.48</v>
      </c>
      <c r="I43" s="98">
        <f>AVERAGE(I10:I39)</f>
        <v>1.4106250114960333</v>
      </c>
      <c r="J43" s="75"/>
      <c r="K43" s="99">
        <f t="shared" ref="K43:R43" si="16">AVERAGE(K10:K39)</f>
        <v>3369.4600000000005</v>
      </c>
      <c r="L43" s="99">
        <f t="shared" si="16"/>
        <v>126.9076923076923</v>
      </c>
      <c r="M43" s="99">
        <f t="shared" si="16"/>
        <v>24.85</v>
      </c>
      <c r="N43" s="99">
        <f t="shared" si="16"/>
        <v>16</v>
      </c>
      <c r="O43" s="99">
        <f t="shared" si="16"/>
        <v>79.431818181818187</v>
      </c>
      <c r="P43" s="99">
        <f t="shared" si="16"/>
        <v>3142.5772727272724</v>
      </c>
      <c r="Q43" s="99">
        <f t="shared" si="16"/>
        <v>343.37000000000012</v>
      </c>
      <c r="R43" s="100">
        <f t="shared" si="16"/>
        <v>3113.4649999999992</v>
      </c>
      <c r="S43" s="48"/>
      <c r="T43" s="48"/>
      <c r="U43" s="412">
        <f t="shared" ref="U43:V43" si="17">AVERAGE(U10:U39)</f>
        <v>5.1579617193151808E-2</v>
      </c>
      <c r="V43" s="412">
        <f t="shared" si="17"/>
        <v>0.94842038280684804</v>
      </c>
      <c r="W43" s="48"/>
    </row>
    <row r="44" spans="2:33" ht="12.75" customHeight="1">
      <c r="B44" s="339" t="s">
        <v>3</v>
      </c>
      <c r="C44" s="75"/>
      <c r="D44" s="75"/>
      <c r="E44" s="75"/>
      <c r="F44" s="75"/>
      <c r="G44" s="75"/>
      <c r="H44" s="98">
        <f>MEDIAN(H10:H39)</f>
        <v>1.585</v>
      </c>
      <c r="I44" s="98">
        <f>MEDIAN(I10:I39)</f>
        <v>1.5</v>
      </c>
      <c r="J44" s="75"/>
      <c r="K44" s="99">
        <f t="shared" ref="K44:R44" si="18">MEDIAN(K10:K39)</f>
        <v>327.60000000000002</v>
      </c>
      <c r="L44" s="99">
        <f t="shared" si="18"/>
        <v>15.2</v>
      </c>
      <c r="M44" s="99">
        <f t="shared" si="18"/>
        <v>24.85</v>
      </c>
      <c r="N44" s="99">
        <f t="shared" si="18"/>
        <v>19.3</v>
      </c>
      <c r="O44" s="99">
        <f t="shared" si="18"/>
        <v>5.6</v>
      </c>
      <c r="P44" s="99">
        <f t="shared" si="18"/>
        <v>282.10000000000002</v>
      </c>
      <c r="Q44" s="99">
        <f t="shared" si="18"/>
        <v>68.900000000000006</v>
      </c>
      <c r="R44" s="100">
        <f t="shared" si="18"/>
        <v>298.75</v>
      </c>
      <c r="S44" s="48"/>
      <c r="T44" s="48"/>
      <c r="U44" s="412">
        <f t="shared" ref="U44:V44" si="19">MEDIAN(U10:U39)</f>
        <v>2.9516148893501744E-2</v>
      </c>
      <c r="V44" s="412">
        <f t="shared" si="19"/>
        <v>0.97048385110649826</v>
      </c>
      <c r="W44" s="48"/>
    </row>
    <row r="45" spans="2:33" ht="12.75" customHeight="1">
      <c r="B45" s="339" t="s">
        <v>49</v>
      </c>
      <c r="C45" s="75"/>
      <c r="D45" s="75"/>
      <c r="E45" s="75"/>
      <c r="F45" s="75"/>
      <c r="G45" s="75"/>
      <c r="H45" s="98">
        <f>QUARTILE(H10:H39,1)</f>
        <v>1.06</v>
      </c>
      <c r="I45" s="98">
        <f>QUARTILE(I10:I39,1)</f>
        <v>1.06</v>
      </c>
      <c r="J45" s="75"/>
      <c r="K45" s="99">
        <f t="shared" ref="K45:R45" si="20">QUARTILE(K10:K39,1)</f>
        <v>174.95</v>
      </c>
      <c r="L45" s="99">
        <f t="shared" si="20"/>
        <v>8.6999999999999993</v>
      </c>
      <c r="M45" s="99">
        <f t="shared" si="20"/>
        <v>16.925000000000001</v>
      </c>
      <c r="N45" s="99">
        <f t="shared" si="20"/>
        <v>9.65</v>
      </c>
      <c r="O45" s="99">
        <f t="shared" si="20"/>
        <v>0</v>
      </c>
      <c r="P45" s="99">
        <f t="shared" si="20"/>
        <v>62.025000000000006</v>
      </c>
      <c r="Q45" s="99">
        <f t="shared" si="20"/>
        <v>13.675000000000001</v>
      </c>
      <c r="R45" s="100">
        <f t="shared" si="20"/>
        <v>110.5</v>
      </c>
      <c r="S45" s="48"/>
      <c r="T45" s="48"/>
      <c r="U45" s="412">
        <f t="shared" ref="U45:V45" si="21">QUARTILE(U10:U39,1)</f>
        <v>0</v>
      </c>
      <c r="V45" s="412">
        <f t="shared" si="21"/>
        <v>0.89400469383400893</v>
      </c>
      <c r="W45" s="48"/>
    </row>
    <row r="46" spans="2:33" ht="12.75" customHeight="1">
      <c r="B46" s="101" t="s">
        <v>47</v>
      </c>
      <c r="C46" s="68"/>
      <c r="D46" s="68"/>
      <c r="E46" s="68"/>
      <c r="F46" s="68"/>
      <c r="G46" s="68"/>
      <c r="H46" s="103">
        <f>MIN(H10:H39)</f>
        <v>-1.26</v>
      </c>
      <c r="I46" s="103">
        <f>MIN(I10:I39)</f>
        <v>-1.26</v>
      </c>
      <c r="J46" s="68"/>
      <c r="K46" s="71">
        <f t="shared" ref="K46:R46" si="22">MIN(K10:K39)</f>
        <v>16.5</v>
      </c>
      <c r="L46" s="71">
        <f t="shared" si="22"/>
        <v>0</v>
      </c>
      <c r="M46" s="71">
        <f t="shared" si="22"/>
        <v>9</v>
      </c>
      <c r="N46" s="71">
        <f t="shared" si="22"/>
        <v>0</v>
      </c>
      <c r="O46" s="71">
        <f t="shared" si="22"/>
        <v>0</v>
      </c>
      <c r="P46" s="71">
        <f t="shared" si="22"/>
        <v>0</v>
      </c>
      <c r="Q46" s="71">
        <f t="shared" si="22"/>
        <v>0.5</v>
      </c>
      <c r="R46" s="396">
        <f t="shared" si="22"/>
        <v>8.3000000000000007</v>
      </c>
      <c r="S46" s="48"/>
      <c r="T46" s="48"/>
      <c r="U46" s="412">
        <f>MIN(U10:U39)</f>
        <v>0</v>
      </c>
      <c r="V46" s="412">
        <f>MIN(V10:V39)</f>
        <v>0.81781113891205637</v>
      </c>
      <c r="W46" s="48"/>
    </row>
    <row r="47" spans="2:33" ht="12.75" customHeight="1">
      <c r="S47" s="56"/>
      <c r="T47" s="20"/>
      <c r="U47" s="20"/>
      <c r="V47" s="20"/>
      <c r="W47" s="20"/>
    </row>
    <row r="48" spans="2:33" ht="12.75" customHeight="1">
      <c r="B48" s="8" t="s">
        <v>51</v>
      </c>
      <c r="S48" s="56"/>
    </row>
    <row r="49" spans="5:19" ht="12.75" customHeight="1">
      <c r="S49" s="56"/>
    </row>
    <row r="50" spans="5:19" ht="12.75" customHeight="1"/>
    <row r="55" spans="5:19">
      <c r="E55" s="94" t="s">
        <v>155</v>
      </c>
      <c r="F55" s="53" t="s">
        <v>153</v>
      </c>
    </row>
    <row r="56" spans="5:19">
      <c r="E56" s="94" t="s">
        <v>156</v>
      </c>
      <c r="F56" s="53" t="s">
        <v>154</v>
      </c>
    </row>
    <row r="57" spans="5:19">
      <c r="E57" s="94" t="s">
        <v>157</v>
      </c>
    </row>
    <row r="58" spans="5:19">
      <c r="E58" s="94" t="str">
        <f>"IQ20246097"</f>
        <v>IQ20246097</v>
      </c>
    </row>
    <row r="60" spans="5:19" ht="3" customHeight="1"/>
  </sheetData>
  <conditionalFormatting sqref="B10:B39">
    <cfRule type="cellIs" dxfId="39" priority="12" operator="equal">
      <formula>"(Invalid Identifier)"</formula>
    </cfRule>
  </conditionalFormatting>
  <conditionalFormatting sqref="B4:I4">
    <cfRule type="cellIs" dxfId="38" priority="10" stopIfTrue="1" operator="equal">
      <formula>"input"</formula>
    </cfRule>
  </conditionalFormatting>
  <conditionalFormatting sqref="J4">
    <cfRule type="cellIs" dxfId="37" priority="8" stopIfTrue="1" operator="equal">
      <formula>"input"</formula>
    </cfRule>
  </conditionalFormatting>
  <conditionalFormatting sqref="J4">
    <cfRule type="cellIs" dxfId="36" priority="9" stopIfTrue="1" operator="equal">
      <formula>"input"</formula>
    </cfRule>
  </conditionalFormatting>
  <conditionalFormatting sqref="K4:Q4">
    <cfRule type="cellIs" dxfId="35" priority="6" stopIfTrue="1" operator="equal">
      <formula>"input"</formula>
    </cfRule>
  </conditionalFormatting>
  <conditionalFormatting sqref="K4:Q4">
    <cfRule type="cellIs" dxfId="34" priority="7" stopIfTrue="1" operator="equal">
      <formula>"input"</formula>
    </cfRule>
  </conditionalFormatting>
  <conditionalFormatting sqref="R4">
    <cfRule type="cellIs" dxfId="33" priority="2" stopIfTrue="1" operator="equal">
      <formula>"input"</formula>
    </cfRule>
  </conditionalFormatting>
  <conditionalFormatting sqref="R4">
    <cfRule type="cellIs" dxfId="32" priority="3" stopIfTrue="1" operator="equal">
      <formula>"input"</formula>
    </cfRule>
  </conditionalFormatting>
  <conditionalFormatting sqref="H10:H39">
    <cfRule type="cellIs" dxfId="31" priority="1" operator="equal">
      <formula>"n/a"</formula>
    </cfRule>
  </conditionalFormatting>
  <dataValidations count="2">
    <dataValidation type="list" allowBlank="1" showInputMessage="1" showErrorMessage="1" sqref="E10:E39">
      <formula1>$E$55:$E$59</formula1>
    </dataValidation>
    <dataValidation type="list" allowBlank="1" showInputMessage="1" showErrorMessage="1" sqref="F10:F39">
      <formula1>$F$55:$F$56</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'Capital IQ Sheet-GPC'!$AQ$10:$AS$10</xm:f>
          </x14:formula1>
          <xm:sqref>D10:D39</xm:sqref>
        </x14:dataValidation>
      </x14:dataValidation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B1:AI53"/>
  <sheetViews>
    <sheetView showGridLines="0" view="pageBreakPreview" zoomScaleNormal="100" zoomScaleSheetLayoutView="100" workbookViewId="0"/>
  </sheetViews>
  <sheetFormatPr defaultRowHeight="12.75" outlineLevelCol="1"/>
  <cols>
    <col min="1" max="1" width="4.5" style="385" customWidth="1"/>
    <col min="2" max="2" width="51.33203125" style="385" customWidth="1"/>
    <col min="3" max="3" width="11.83203125" style="385" customWidth="1"/>
    <col min="4" max="4" width="2.83203125" style="385" customWidth="1"/>
    <col min="5" max="6" width="15.1640625" style="385" hidden="1" customWidth="1" outlineLevel="1"/>
    <col min="7" max="7" width="11.83203125" style="385" customWidth="1" collapsed="1"/>
    <col min="8" max="8" width="2.83203125" style="385" customWidth="1"/>
    <col min="9" max="10" width="15.1640625" style="385" hidden="1" customWidth="1" outlineLevel="1"/>
    <col min="11" max="11" width="15.1640625" style="385" customWidth="1" collapsed="1"/>
    <col min="12" max="13" width="15.1640625" style="385" customWidth="1"/>
    <col min="14" max="14" width="2.83203125" style="385" customWidth="1"/>
    <col min="15" max="16" width="14.83203125" style="385" hidden="1" customWidth="1" outlineLevel="1"/>
    <col min="17" max="17" width="11.83203125" style="385" customWidth="1" collapsed="1"/>
    <col min="18" max="18" width="2.83203125" style="385" customWidth="1"/>
    <col min="19" max="20" width="14.83203125" style="385" hidden="1" customWidth="1" outlineLevel="1"/>
    <col min="21" max="21" width="9.83203125" style="385" customWidth="1" collapsed="1"/>
    <col min="22" max="23" width="9.83203125" style="385" customWidth="1"/>
    <col min="24" max="24" width="4.5" style="385" customWidth="1"/>
    <col min="25" max="32" width="12.83203125" style="385" customWidth="1"/>
    <col min="33" max="33" width="1.83203125" style="385" customWidth="1"/>
    <col min="34" max="34" width="15.33203125" style="385" bestFit="1" customWidth="1"/>
    <col min="35" max="35" width="10.5" style="385" bestFit="1" customWidth="1"/>
    <col min="36" max="36" width="1.83203125" style="385" customWidth="1"/>
    <col min="37" max="16384" width="9.33203125" style="385"/>
  </cols>
  <sheetData>
    <row r="1" spans="2:35" ht="10.7" customHeight="1" thickBot="1">
      <c r="Y1" s="555"/>
      <c r="Z1" s="634" t="s">
        <v>635</v>
      </c>
      <c r="AA1" s="634" t="s">
        <v>636</v>
      </c>
      <c r="AB1" s="635" t="s">
        <v>45</v>
      </c>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Y2" s="636" t="str">
        <f>+C8</f>
        <v>Enterprise Value</v>
      </c>
      <c r="Z2" s="637" t="e">
        <f ca="1">SUM('GPC Linked'!H13:H42)</f>
        <v>#NAME?</v>
      </c>
      <c r="AA2" s="637">
        <f>+SUM('Capital IQ Sheet-GPC'!H13:H42)</f>
        <v>62352.300000000017</v>
      </c>
      <c r="AB2" s="197" t="e">
        <f ca="1">Z2=AA2</f>
        <v>#NAME?</v>
      </c>
      <c r="AH2" s="270" t="s">
        <v>22</v>
      </c>
      <c r="AI2" s="271">
        <f>'MASTER PubCo Inputs'!$C$6</f>
        <v>43312</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Y3" s="636" t="str">
        <f>+G8</f>
        <v>LTM</v>
      </c>
      <c r="Z3" s="637" t="e">
        <f ca="1">+SUM('GPC Linked'!Z13:Z42)</f>
        <v>#NAME?</v>
      </c>
      <c r="AA3" s="637">
        <f>+SUM('Capital IQ Sheet-GPC'!Z13:Z42)</f>
        <v>-614.79999999999984</v>
      </c>
      <c r="AB3" s="197" t="e">
        <f t="shared" ref="AB3:AB4" ca="1" si="0">Z3=AA3</f>
        <v>#NAME?</v>
      </c>
      <c r="AH3" s="194" t="s">
        <v>299</v>
      </c>
      <c r="AI3" s="272" t="s">
        <v>301</v>
      </c>
    </row>
    <row r="4" spans="2:35" ht="16.5" customHeight="1" thickBot="1">
      <c r="B4" s="12" t="s">
        <v>523</v>
      </c>
      <c r="C4" s="12"/>
      <c r="D4" s="381"/>
      <c r="E4" s="12"/>
      <c r="F4" s="12"/>
      <c r="G4" s="12"/>
      <c r="H4" s="12"/>
      <c r="I4" s="12"/>
      <c r="J4" s="13"/>
      <c r="K4" s="13"/>
      <c r="L4" s="13"/>
      <c r="M4" s="13"/>
      <c r="N4" s="13"/>
      <c r="O4" s="13"/>
      <c r="P4" s="13"/>
      <c r="Q4" s="13"/>
      <c r="R4" s="13"/>
      <c r="S4" s="13"/>
      <c r="T4" s="13"/>
      <c r="U4" s="13"/>
      <c r="V4" s="13"/>
      <c r="W4" s="13" t="str">
        <f>+'MASTER PubCo Inputs'!$C$24</f>
        <v>(in millions of USD)</v>
      </c>
      <c r="Y4" s="638">
        <f>+K8</f>
        <v>2018</v>
      </c>
      <c r="Z4" s="639" t="e">
        <f ca="1">+SUM('GPC Linked'!AC13:AC42)</f>
        <v>#NAME?</v>
      </c>
      <c r="AA4" s="639">
        <f>+SUM('Capital IQ Sheet-GPC'!AC13:AC42)</f>
        <v>68.400000000000219</v>
      </c>
      <c r="AB4" s="427" t="e">
        <f t="shared" ca="1" si="0"/>
        <v>#NAME?</v>
      </c>
      <c r="AH4" s="194" t="s">
        <v>300</v>
      </c>
      <c r="AI4" s="272" t="s">
        <v>302</v>
      </c>
    </row>
    <row r="5" spans="2:35" ht="13.5" thickTop="1">
      <c r="B5" s="15"/>
      <c r="C5" s="15"/>
      <c r="AH5" s="78" t="s">
        <v>24</v>
      </c>
      <c r="AI5" s="273" t="s">
        <v>25</v>
      </c>
    </row>
    <row r="6" spans="2:35">
      <c r="H6" s="16"/>
      <c r="I6" s="444" t="s">
        <v>176</v>
      </c>
      <c r="J6" s="447"/>
      <c r="K6" s="444" t="s">
        <v>176</v>
      </c>
      <c r="L6" s="446"/>
      <c r="M6" s="447"/>
      <c r="N6" s="16"/>
      <c r="O6" s="16"/>
      <c r="P6" s="16"/>
      <c r="Q6" s="16"/>
      <c r="R6" s="450"/>
      <c r="S6" s="444" t="s">
        <v>176</v>
      </c>
      <c r="T6" s="447"/>
      <c r="U6" s="444" t="s">
        <v>176</v>
      </c>
      <c r="V6" s="446"/>
      <c r="W6" s="447"/>
      <c r="Y6" s="738" t="s">
        <v>706</v>
      </c>
      <c r="Z6" s="739">
        <v>50</v>
      </c>
      <c r="AA6" s="738" t="s">
        <v>707</v>
      </c>
      <c r="AB6" s="739">
        <v>0</v>
      </c>
    </row>
    <row r="7" spans="2:35">
      <c r="E7" s="393" t="s">
        <v>517</v>
      </c>
      <c r="F7" s="394"/>
      <c r="G7" s="388" t="s">
        <v>516</v>
      </c>
      <c r="H7" s="425"/>
      <c r="I7" s="393" t="s">
        <v>515</v>
      </c>
      <c r="J7" s="394"/>
      <c r="K7" s="393" t="s">
        <v>515</v>
      </c>
      <c r="L7" s="389"/>
      <c r="M7" s="394"/>
      <c r="O7" s="426" t="s">
        <v>177</v>
      </c>
      <c r="P7" s="426"/>
      <c r="Q7" s="388" t="s">
        <v>177</v>
      </c>
      <c r="R7" s="425"/>
      <c r="S7" s="448"/>
      <c r="T7" s="449"/>
      <c r="U7" s="393" t="s">
        <v>177</v>
      </c>
      <c r="V7" s="389"/>
      <c r="W7" s="394"/>
      <c r="Y7" s="330" t="s">
        <v>26</v>
      </c>
      <c r="Z7" s="337"/>
      <c r="AA7" s="337"/>
      <c r="AB7" s="337"/>
      <c r="AC7" s="337"/>
      <c r="AD7" s="337"/>
      <c r="AE7" s="337"/>
      <c r="AF7" s="338"/>
    </row>
    <row r="8" spans="2:35" s="6" customFormat="1" ht="25.5">
      <c r="B8" s="454" t="s">
        <v>519</v>
      </c>
      <c r="C8" s="575" t="s">
        <v>75</v>
      </c>
      <c r="D8" s="298"/>
      <c r="E8" s="577" t="s">
        <v>188</v>
      </c>
      <c r="F8" s="586" t="s">
        <v>174</v>
      </c>
      <c r="G8" s="576" t="s">
        <v>175</v>
      </c>
      <c r="H8" s="580"/>
      <c r="I8" s="583">
        <f>J8-1</f>
        <v>2016</v>
      </c>
      <c r="J8" s="585">
        <f>K8-1</f>
        <v>2017</v>
      </c>
      <c r="K8" s="583">
        <f>YEAR($AI$2)</f>
        <v>2018</v>
      </c>
      <c r="L8" s="584">
        <f>K8+1</f>
        <v>2019</v>
      </c>
      <c r="M8" s="585">
        <f>L8+1</f>
        <v>2020</v>
      </c>
      <c r="N8" s="298"/>
      <c r="O8" s="580" t="str">
        <f>E8</f>
        <v>LTM-2</v>
      </c>
      <c r="P8" s="580" t="str">
        <f>F8</f>
        <v>LTM-1</v>
      </c>
      <c r="Q8" s="576" t="str">
        <f>G8</f>
        <v>LTM</v>
      </c>
      <c r="R8" s="580"/>
      <c r="S8" s="581">
        <f>I8</f>
        <v>2016</v>
      </c>
      <c r="T8" s="587">
        <f>J8</f>
        <v>2017</v>
      </c>
      <c r="U8" s="583">
        <f>K8</f>
        <v>2018</v>
      </c>
      <c r="V8" s="584">
        <f>L8</f>
        <v>2019</v>
      </c>
      <c r="W8" s="585">
        <f>M8</f>
        <v>2020</v>
      </c>
      <c r="Y8" s="349" t="s">
        <v>29</v>
      </c>
      <c r="Z8" s="350" t="s">
        <v>30</v>
      </c>
      <c r="AA8" s="350" t="s">
        <v>31</v>
      </c>
      <c r="AB8" s="350" t="s">
        <v>32</v>
      </c>
      <c r="AC8" s="350" t="s">
        <v>33</v>
      </c>
      <c r="AD8" s="350" t="s">
        <v>34</v>
      </c>
      <c r="AE8" s="350" t="s">
        <v>35</v>
      </c>
      <c r="AF8" s="351" t="s">
        <v>36</v>
      </c>
      <c r="AH8" s="86" t="s">
        <v>43</v>
      </c>
    </row>
    <row r="9" spans="2:35" ht="12.75" customHeight="1">
      <c r="H9" s="450"/>
      <c r="R9" s="450"/>
    </row>
    <row r="10" spans="2:35" ht="12.75" customHeight="1">
      <c r="B10" s="277" t="s">
        <v>303</v>
      </c>
      <c r="C10" s="278"/>
      <c r="D10" s="279"/>
      <c r="E10" s="278"/>
      <c r="F10" s="278"/>
      <c r="G10" s="278"/>
      <c r="H10" s="278"/>
      <c r="I10" s="278"/>
      <c r="J10" s="278"/>
      <c r="K10" s="278"/>
      <c r="L10" s="278"/>
      <c r="M10" s="278"/>
      <c r="N10" s="196"/>
      <c r="O10" s="279"/>
      <c r="P10" s="279"/>
      <c r="Q10" s="279"/>
      <c r="R10" s="279"/>
      <c r="S10" s="279"/>
      <c r="T10" s="279"/>
      <c r="U10" s="279"/>
      <c r="V10" s="279"/>
      <c r="W10" s="279"/>
      <c r="AH10" s="94"/>
    </row>
    <row r="11" spans="2:35" s="56" customFormat="1" ht="12.75" customHeight="1">
      <c r="B11" s="48"/>
      <c r="C11" s="132"/>
      <c r="D11" s="48"/>
      <c r="E11" s="132"/>
      <c r="F11" s="132"/>
      <c r="G11" s="132"/>
      <c r="H11" s="132"/>
      <c r="I11" s="132"/>
      <c r="J11" s="132"/>
      <c r="K11" s="132"/>
      <c r="L11" s="132"/>
      <c r="M11" s="132"/>
      <c r="O11" s="48"/>
      <c r="P11" s="48"/>
      <c r="Q11" s="48"/>
      <c r="R11" s="48"/>
      <c r="S11" s="48"/>
      <c r="T11" s="48"/>
      <c r="U11" s="48"/>
      <c r="V11" s="48"/>
      <c r="W11" s="48"/>
      <c r="Y11" s="385"/>
      <c r="Z11" s="385"/>
      <c r="AA11" s="385"/>
      <c r="AB11" s="385"/>
      <c r="AC11" s="385"/>
      <c r="AD11" s="385"/>
      <c r="AE11" s="385"/>
      <c r="AF11" s="385"/>
    </row>
    <row r="12" spans="2:35" ht="12.75" customHeight="1">
      <c r="B12" s="385" t="str">
        <f>'Comp.1'!B10</f>
        <v>Vertex Pharmaceuticals Incorporated</v>
      </c>
      <c r="C12" s="91">
        <f>'Comp.1'!C10</f>
        <v>42428.399999999994</v>
      </c>
      <c r="E12" s="91">
        <f>'Capital IQ Sheet-GPC'!X13</f>
        <v>-67</v>
      </c>
      <c r="F12" s="91">
        <f>'Capital IQ Sheet-GPC'!Y13</f>
        <v>418</v>
      </c>
      <c r="G12" s="91">
        <f>'Capital IQ Sheet-GPC'!Z13</f>
        <v>583.6</v>
      </c>
      <c r="H12" s="386"/>
      <c r="I12" s="91">
        <f>'Capital IQ Sheet-GPC'!AA13</f>
        <v>72.599999999999994</v>
      </c>
      <c r="J12" s="91">
        <f>'Capital IQ Sheet-GPC'!AB13</f>
        <v>614.20000000000005</v>
      </c>
      <c r="K12" s="91">
        <f>'Capital IQ Sheet-GPC'!AC13</f>
        <v>1125.4000000000001</v>
      </c>
      <c r="L12" s="91">
        <f>'Capital IQ Sheet-GPC'!AD13</f>
        <v>1320.7</v>
      </c>
      <c r="M12" s="91">
        <f>'Capital IQ Sheet-GPC'!AE13</f>
        <v>2020.8</v>
      </c>
      <c r="O12" s="89">
        <f>IF(ISERROR($C12/E12), "n/a", $C12/E12)</f>
        <v>-633.25970149253726</v>
      </c>
      <c r="P12" s="89">
        <f>IF(ISERROR($C12/F12), "n/a", $C12/F12)</f>
        <v>101.50334928229664</v>
      </c>
      <c r="Q12" s="89" t="str">
        <f>IFERROR(IF(($C12/G12)&gt;$Z$6, "NM", IF(($C12/G12)&lt;$AB$6, "NM", $C12/G12)),"n/a")</f>
        <v>NM</v>
      </c>
      <c r="S12" s="89">
        <f>IF(ISERROR($C12/I12), "n/a", $C12/I12)</f>
        <v>584.4132231404958</v>
      </c>
      <c r="T12" s="89">
        <f>IF(ISERROR($C12/J12), "n/a", $C12/J12)</f>
        <v>69.07912732009116</v>
      </c>
      <c r="U12" s="89">
        <f>IFERROR(IF(($C12/K12)&gt;$Z$6, "NM", IF(($C12/K12)&lt;$AB$6, "NM", $C12/K12)),"n/a")</f>
        <v>37.700728629820503</v>
      </c>
      <c r="V12" s="89">
        <f>IFERROR(IF(($C12/L12)&gt;$Z$6, "NM", IF(($C12/L12)&lt;$AB$6, "NM", $C12/L12)),"n/a")</f>
        <v>32.125690921481031</v>
      </c>
      <c r="W12" s="89">
        <f>IFERROR(IF(($C12/M12)&gt;$Z$6, "NM", IF(($C12/M12)&lt;$AB$6, "NM", $C12/M12)),"n/a")</f>
        <v>20.995843230403796</v>
      </c>
      <c r="Y12" s="386">
        <f>'Comp.1'!AC10</f>
        <v>44574.8</v>
      </c>
      <c r="Z12" s="386">
        <f>'Comp.1'!AD10</f>
        <v>592.70000000000005</v>
      </c>
      <c r="AA12" s="386" t="str">
        <f>'Comp.1'!AE10</f>
        <v xml:space="preserve"> n/a </v>
      </c>
      <c r="AB12" s="386">
        <f>'Comp.1'!AF10</f>
        <v>28.7</v>
      </c>
      <c r="AC12" s="386">
        <f>SUM(Z12:AB12)</f>
        <v>621.40000000000009</v>
      </c>
      <c r="AD12" s="386">
        <f>SUM(Y12:AB12)</f>
        <v>45196.2</v>
      </c>
      <c r="AE12" s="386">
        <f>'Comp.1'!AI10</f>
        <v>2767.8</v>
      </c>
      <c r="AF12" s="91">
        <f>IF(ISERROR(AD12-AE12), "n/a", AD12-AE12)</f>
        <v>42428.399999999994</v>
      </c>
      <c r="AH12" s="92" t="str">
        <f>IF('MASTER PubCo Inputs'!C28="","",'MASTER PubCo Inputs'!C28)</f>
        <v>IQ36235</v>
      </c>
      <c r="AI12" s="385" t="str">
        <f>'Comp.1'!AM10</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3" spans="2:35" ht="12.75" customHeight="1">
      <c r="B13" s="385" t="str">
        <f>'Comp.1'!B11</f>
        <v>FibroGen, Inc.</v>
      </c>
      <c r="C13" s="91">
        <f>'Comp.1'!C11</f>
        <v>4584.2</v>
      </c>
      <c r="E13" s="91">
        <f>'Capital IQ Sheet-GPC'!X14</f>
        <v>-53.9</v>
      </c>
      <c r="F13" s="91">
        <f>'Capital IQ Sheet-GPC'!Y14</f>
        <v>-49.6</v>
      </c>
      <c r="G13" s="91">
        <f>'Capital IQ Sheet-GPC'!Z14</f>
        <v>-128.30000000000001</v>
      </c>
      <c r="H13" s="386"/>
      <c r="I13" s="91">
        <f>'Capital IQ Sheet-GPC'!AA14</f>
        <v>-47.6</v>
      </c>
      <c r="J13" s="91">
        <f>'Capital IQ Sheet-GPC'!AB14</f>
        <v>-116.5</v>
      </c>
      <c r="K13" s="91">
        <f>'Capital IQ Sheet-GPC'!AC14</f>
        <v>-80.599999999999994</v>
      </c>
      <c r="L13" s="91">
        <f>'Capital IQ Sheet-GPC'!AD14</f>
        <v>-58.7</v>
      </c>
      <c r="M13" s="91">
        <f>'Capital IQ Sheet-GPC'!AE14</f>
        <v>156.4</v>
      </c>
      <c r="O13" s="89">
        <f t="shared" ref="O13:O41" si="1">IF(ISERROR($C13/E13), "n/a", $C13/E13)</f>
        <v>-85.050092764378476</v>
      </c>
      <c r="P13" s="89">
        <f t="shared" ref="P13:P41" si="2">IF(ISERROR($C13/F13), "n/a", $C13/F13)</f>
        <v>-92.423387096774192</v>
      </c>
      <c r="Q13" s="89" t="str">
        <f t="shared" ref="Q13:Q41" si="3">IFERROR(IF(($C13/G13)&gt;$Z$6, "NM", IF(($C13/G13)&lt;$AB$6, "NM", $C13/G13)),"n/a")</f>
        <v>NM</v>
      </c>
      <c r="S13" s="89">
        <f t="shared" ref="S13:S41" si="4">IF(ISERROR($C13/I13), "n/a", $C13/I13)</f>
        <v>-96.306722689075627</v>
      </c>
      <c r="T13" s="89">
        <f t="shared" ref="T13:T41" si="5">IF(ISERROR($C13/J13), "n/a", $C13/J13)</f>
        <v>-39.349356223175967</v>
      </c>
      <c r="U13" s="89" t="str">
        <f t="shared" ref="U13:U41" si="6">IFERROR(IF(($C13/K13)&gt;$Z$6, "NM", IF(($C13/K13)&lt;$AB$6, "NM", $C13/K13)),"n/a")</f>
        <v>NM</v>
      </c>
      <c r="V13" s="89" t="str">
        <f t="shared" ref="V13:V41" si="7">IFERROR(IF(($C13/L13)&gt;$Z$6, "NM", IF(($C13/L13)&lt;$AB$6, "NM", $C13/L13)),"n/a")</f>
        <v>NM</v>
      </c>
      <c r="W13" s="89">
        <f t="shared" ref="W13:W41" si="8">IFERROR(IF(($C13/M13)&gt;$Z$6, "NM", IF(($C13/M13)&lt;$AB$6, "NM", $C13/M13)),"n/a")</f>
        <v>29.310741687979537</v>
      </c>
      <c r="Y13" s="386">
        <f>'Comp.1'!AC11</f>
        <v>5153.3</v>
      </c>
      <c r="Z13" s="386">
        <f>'Comp.1'!AD11</f>
        <v>115.4</v>
      </c>
      <c r="AA13" s="386" t="str">
        <f>'Comp.1'!AE11</f>
        <v xml:space="preserve"> n/a </v>
      </c>
      <c r="AB13" s="386">
        <f>'Comp.1'!AF11</f>
        <v>19.3</v>
      </c>
      <c r="AC13" s="386">
        <f t="shared" ref="AC13:AC41" si="9">SUM(Z13:AB13)</f>
        <v>134.70000000000002</v>
      </c>
      <c r="AD13" s="386">
        <f t="shared" ref="AD13:AD41" si="10">SUM(Y13:AB13)</f>
        <v>5288</v>
      </c>
      <c r="AE13" s="386">
        <f>'Comp.1'!AI11</f>
        <v>703.8</v>
      </c>
      <c r="AF13" s="91">
        <f t="shared" ref="AF13:AF41" si="11">IF(ISERROR(AD13-AE13), "n/a", AD13-AE13)</f>
        <v>4584.2</v>
      </c>
      <c r="AH13" s="92" t="str">
        <f>IF('MASTER PubCo Inputs'!C29="","",'MASTER PubCo Inputs'!C29)</f>
        <v>IQ28484</v>
      </c>
      <c r="AI13" s="385" t="str">
        <f>'Comp.1'!AM11</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4" spans="2:35" ht="12.75" customHeight="1">
      <c r="B14" s="385" t="str">
        <f>'Comp.1'!B12</f>
        <v>Galapagos NV</v>
      </c>
      <c r="C14" s="91">
        <f>'Comp.1'!C12</f>
        <v>4407.7</v>
      </c>
      <c r="E14" s="91">
        <f>'Capital IQ Sheet-GPC'!X15</f>
        <v>-101.2</v>
      </c>
      <c r="F14" s="91">
        <f>'Capital IQ Sheet-GPC'!Y15</f>
        <v>-2</v>
      </c>
      <c r="G14" s="91">
        <f>'Capital IQ Sheet-GPC'!Z15</f>
        <v>-131.6</v>
      </c>
      <c r="H14" s="386"/>
      <c r="I14" s="91">
        <f>'Capital IQ Sheet-GPC'!AA15</f>
        <v>-8.6</v>
      </c>
      <c r="J14" s="91">
        <f>'Capital IQ Sheet-GPC'!AB15</f>
        <v>-103.5</v>
      </c>
      <c r="K14" s="91">
        <f>'Capital IQ Sheet-GPC'!AC15</f>
        <v>-182.6</v>
      </c>
      <c r="L14" s="91">
        <f>'Capital IQ Sheet-GPC'!AD15</f>
        <v>-182.8</v>
      </c>
      <c r="M14" s="91">
        <f>'Capital IQ Sheet-GPC'!AE15</f>
        <v>-175.6</v>
      </c>
      <c r="O14" s="89">
        <f t="shared" si="1"/>
        <v>-43.554347826086953</v>
      </c>
      <c r="P14" s="89">
        <f t="shared" si="2"/>
        <v>-2203.85</v>
      </c>
      <c r="Q14" s="89" t="str">
        <f t="shared" si="3"/>
        <v>NM</v>
      </c>
      <c r="S14" s="89">
        <f t="shared" si="4"/>
        <v>-512.52325581395348</v>
      </c>
      <c r="T14" s="89">
        <f t="shared" si="5"/>
        <v>-42.586473429951688</v>
      </c>
      <c r="U14" s="89" t="str">
        <f t="shared" si="6"/>
        <v>NM</v>
      </c>
      <c r="V14" s="89" t="str">
        <f t="shared" si="7"/>
        <v>NM</v>
      </c>
      <c r="W14" s="89" t="str">
        <f t="shared" si="8"/>
        <v>NM</v>
      </c>
      <c r="Y14" s="386">
        <f>'Comp.1'!AC12</f>
        <v>5773</v>
      </c>
      <c r="Z14" s="386" t="str">
        <f>'Comp.1'!AD12</f>
        <v xml:space="preserve"> -   </v>
      </c>
      <c r="AA14" s="386" t="str">
        <f>'Comp.1'!AE12</f>
        <v xml:space="preserve"> n/a </v>
      </c>
      <c r="AB14" s="386" t="str">
        <f>'Comp.1'!AF12</f>
        <v xml:space="preserve"> n/a </v>
      </c>
      <c r="AC14" s="386">
        <f t="shared" si="9"/>
        <v>0</v>
      </c>
      <c r="AD14" s="386">
        <f t="shared" si="10"/>
        <v>5773</v>
      </c>
      <c r="AE14" s="386">
        <f>'Comp.1'!AI12</f>
        <v>1365.3</v>
      </c>
      <c r="AF14" s="91">
        <f t="shared" si="11"/>
        <v>4407.7</v>
      </c>
      <c r="AH14" s="92" t="str">
        <f>IF('MASTER PubCo Inputs'!C30="","",'MASTER PubCo Inputs'!C30)</f>
        <v>IQ1716658</v>
      </c>
      <c r="AI14" s="385" t="str">
        <f>'Comp.1'!AM12</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5" spans="2:35" ht="12.75" customHeight="1">
      <c r="B15" s="385" t="str">
        <f>'Comp.1'!B13</f>
        <v>Madrigal Pharmaceuticals, Inc.</v>
      </c>
      <c r="C15" s="91">
        <f>'Comp.1'!C13</f>
        <v>3781.6</v>
      </c>
      <c r="E15" s="91" t="str">
        <f>'Capital IQ Sheet-GPC'!X16</f>
        <v xml:space="preserve"> n/a </v>
      </c>
      <c r="F15" s="91" t="str">
        <f>'Capital IQ Sheet-GPC'!Y16</f>
        <v xml:space="preserve"> n/a </v>
      </c>
      <c r="G15" s="91">
        <f>'Capital IQ Sheet-GPC'!Z16</f>
        <v>-33</v>
      </c>
      <c r="H15" s="386"/>
      <c r="I15" s="91">
        <f>'Capital IQ Sheet-GPC'!AA16</f>
        <v>-23.1</v>
      </c>
      <c r="J15" s="91">
        <f>'Capital IQ Sheet-GPC'!AB16</f>
        <v>-32</v>
      </c>
      <c r="K15" s="91">
        <f>'Capital IQ Sheet-GPC'!AC16</f>
        <v>-46.4</v>
      </c>
      <c r="L15" s="91">
        <f>'Capital IQ Sheet-GPC'!AD16</f>
        <v>-90</v>
      </c>
      <c r="M15" s="91">
        <f>'Capital IQ Sheet-GPC'!AE16</f>
        <v>-121.2</v>
      </c>
      <c r="O15" s="89" t="str">
        <f t="shared" si="1"/>
        <v>n/a</v>
      </c>
      <c r="P15" s="89" t="str">
        <f t="shared" si="2"/>
        <v>n/a</v>
      </c>
      <c r="Q15" s="89" t="str">
        <f t="shared" si="3"/>
        <v>NM</v>
      </c>
      <c r="S15" s="89">
        <f t="shared" si="4"/>
        <v>-163.70562770562771</v>
      </c>
      <c r="T15" s="89">
        <f t="shared" si="5"/>
        <v>-118.175</v>
      </c>
      <c r="U15" s="89" t="str">
        <f t="shared" si="6"/>
        <v>NM</v>
      </c>
      <c r="V15" s="89" t="str">
        <f t="shared" si="7"/>
        <v>NM</v>
      </c>
      <c r="W15" s="89" t="str">
        <f t="shared" si="8"/>
        <v>NM</v>
      </c>
      <c r="Y15" s="386">
        <f>'Comp.1'!AC13</f>
        <v>3964.4</v>
      </c>
      <c r="Z15" s="386" t="str">
        <f>'Comp.1'!AD13</f>
        <v xml:space="preserve"> -   </v>
      </c>
      <c r="AA15" s="386" t="str">
        <f>'Comp.1'!AE13</f>
        <v xml:space="preserve"> n/a </v>
      </c>
      <c r="AB15" s="386" t="str">
        <f>'Comp.1'!AF13</f>
        <v xml:space="preserve"> n/a </v>
      </c>
      <c r="AC15" s="386">
        <f t="shared" si="9"/>
        <v>0</v>
      </c>
      <c r="AD15" s="386">
        <f t="shared" si="10"/>
        <v>3964.4</v>
      </c>
      <c r="AE15" s="386">
        <f>'Comp.1'!AI13</f>
        <v>182.8</v>
      </c>
      <c r="AF15" s="91">
        <f t="shared" si="11"/>
        <v>3781.6</v>
      </c>
      <c r="AH15" s="92" t="str">
        <f>IF('MASTER PubCo Inputs'!C31="","",'MASTER PubCo Inputs'!C31)</f>
        <v>IQ144939852</v>
      </c>
      <c r="AI15" s="385" t="str">
        <f>'Comp.1'!AM13</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6" spans="2:35" ht="12.75" customHeight="1">
      <c r="B16" s="385" t="str">
        <f>'Comp.1'!B14</f>
        <v>Intercept Pharmaceuticals, Inc.</v>
      </c>
      <c r="C16" s="91">
        <f>'Comp.1'!C14</f>
        <v>2663.8</v>
      </c>
      <c r="E16" s="91">
        <f>'Capital IQ Sheet-GPC'!X17</f>
        <v>-269.8</v>
      </c>
      <c r="F16" s="91">
        <f>'Capital IQ Sheet-GPC'!Y17</f>
        <v>-355.2</v>
      </c>
      <c r="G16" s="91">
        <f>'Capital IQ Sheet-GPC'!Z17</f>
        <v>-316.8</v>
      </c>
      <c r="H16" s="386"/>
      <c r="I16" s="91">
        <f>'Capital IQ Sheet-GPC'!AA17</f>
        <v>-353.7</v>
      </c>
      <c r="J16" s="91">
        <f>'Capital IQ Sheet-GPC'!AB17</f>
        <v>-325.8</v>
      </c>
      <c r="K16" s="91">
        <f>'Capital IQ Sheet-GPC'!AC17</f>
        <v>-278.8</v>
      </c>
      <c r="L16" s="91">
        <f>'Capital IQ Sheet-GPC'!AD17</f>
        <v>-245.3</v>
      </c>
      <c r="M16" s="91">
        <f>'Capital IQ Sheet-GPC'!AE17</f>
        <v>-492</v>
      </c>
      <c r="O16" s="89">
        <f t="shared" si="1"/>
        <v>-9.873239436619718</v>
      </c>
      <c r="P16" s="89">
        <f t="shared" si="2"/>
        <v>-7.499436936936938</v>
      </c>
      <c r="Q16" s="89" t="str">
        <f t="shared" si="3"/>
        <v>NM</v>
      </c>
      <c r="S16" s="89">
        <f t="shared" si="4"/>
        <v>-7.5312411648289519</v>
      </c>
      <c r="T16" s="89">
        <f t="shared" si="5"/>
        <v>-8.1761817065684479</v>
      </c>
      <c r="U16" s="89" t="str">
        <f t="shared" si="6"/>
        <v>NM</v>
      </c>
      <c r="V16" s="89" t="str">
        <f t="shared" si="7"/>
        <v>NM</v>
      </c>
      <c r="W16" s="89" t="str">
        <f t="shared" si="8"/>
        <v>NM</v>
      </c>
      <c r="Y16" s="386">
        <f>'Comp.1'!AC14</f>
        <v>2630.5</v>
      </c>
      <c r="Z16" s="386">
        <f>'Comp.1'!AD14</f>
        <v>359.4</v>
      </c>
      <c r="AA16" s="386" t="str">
        <f>'Comp.1'!AE14</f>
        <v xml:space="preserve"> n/a </v>
      </c>
      <c r="AB16" s="386" t="str">
        <f>'Comp.1'!AF14</f>
        <v xml:space="preserve"> n/a </v>
      </c>
      <c r="AC16" s="386">
        <f t="shared" si="9"/>
        <v>359.4</v>
      </c>
      <c r="AD16" s="386">
        <f t="shared" si="10"/>
        <v>2989.9</v>
      </c>
      <c r="AE16" s="386">
        <f>'Comp.1'!AI14</f>
        <v>326.10000000000002</v>
      </c>
      <c r="AF16" s="91">
        <f t="shared" si="11"/>
        <v>2663.8</v>
      </c>
      <c r="AH16" s="92" t="str">
        <f>IF('MASTER PubCo Inputs'!C32="","",'MASTER PubCo Inputs'!C32)</f>
        <v>IQ11382658</v>
      </c>
      <c r="AI16" s="385" t="str">
        <f>'Comp.1'!AM14</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7" spans="2:35" ht="12.75" customHeight="1">
      <c r="B17" s="385" t="str">
        <f>'Comp.1'!B15</f>
        <v>Insmed Incorporated</v>
      </c>
      <c r="C17" s="91">
        <f>'Comp.1'!C15</f>
        <v>1479.6</v>
      </c>
      <c r="E17" s="91">
        <f>'Capital IQ Sheet-GPC'!X18</f>
        <v>-121.8</v>
      </c>
      <c r="F17" s="91">
        <f>'Capital IQ Sheet-GPC'!Y18</f>
        <v>-173.7</v>
      </c>
      <c r="G17" s="91">
        <f>'Capital IQ Sheet-GPC'!Z18</f>
        <v>-212.7</v>
      </c>
      <c r="H17" s="386"/>
      <c r="I17" s="91">
        <f>'Capital IQ Sheet-GPC'!AA18</f>
        <v>-171</v>
      </c>
      <c r="J17" s="91">
        <f>'Capital IQ Sheet-GPC'!AB18</f>
        <v>-186</v>
      </c>
      <c r="K17" s="91">
        <f>'Capital IQ Sheet-GPC'!AC18</f>
        <v>-297.3</v>
      </c>
      <c r="L17" s="91">
        <f>'Capital IQ Sheet-GPC'!AD18</f>
        <v>-256.5</v>
      </c>
      <c r="M17" s="91">
        <f>'Capital IQ Sheet-GPC'!AE18</f>
        <v>-196.3</v>
      </c>
      <c r="O17" s="89">
        <f t="shared" si="1"/>
        <v>-12.147783251231527</v>
      </c>
      <c r="P17" s="89">
        <f t="shared" si="2"/>
        <v>-8.5181347150259068</v>
      </c>
      <c r="Q17" s="89" t="str">
        <f t="shared" si="3"/>
        <v>NM</v>
      </c>
      <c r="S17" s="89">
        <f t="shared" si="4"/>
        <v>-8.6526315789473678</v>
      </c>
      <c r="T17" s="89">
        <f t="shared" si="5"/>
        <v>-7.9548387096774187</v>
      </c>
      <c r="U17" s="89" t="str">
        <f t="shared" si="6"/>
        <v>NM</v>
      </c>
      <c r="V17" s="89" t="str">
        <f t="shared" si="7"/>
        <v>NM</v>
      </c>
      <c r="W17" s="89" t="str">
        <f t="shared" si="8"/>
        <v>NM</v>
      </c>
      <c r="Y17" s="386">
        <f>'Comp.1'!AC15</f>
        <v>1863.5</v>
      </c>
      <c r="Z17" s="386">
        <f>'Comp.1'!AD15</f>
        <v>302.7</v>
      </c>
      <c r="AA17" s="386" t="str">
        <f>'Comp.1'!AE15</f>
        <v xml:space="preserve"> n/a </v>
      </c>
      <c r="AB17" s="386" t="str">
        <f>'Comp.1'!AF15</f>
        <v xml:space="preserve"> n/a </v>
      </c>
      <c r="AC17" s="386">
        <f t="shared" si="9"/>
        <v>302.7</v>
      </c>
      <c r="AD17" s="386">
        <f t="shared" si="10"/>
        <v>2166.1999999999998</v>
      </c>
      <c r="AE17" s="386">
        <f>'Comp.1'!AI15</f>
        <v>686.6</v>
      </c>
      <c r="AF17" s="91">
        <f t="shared" si="11"/>
        <v>1479.6</v>
      </c>
      <c r="AH17" s="92" t="str">
        <f>IF('MASTER PubCo Inputs'!C33="","",'MASTER PubCo Inputs'!C33)</f>
        <v>IQ29978</v>
      </c>
      <c r="AI17" s="385" t="str">
        <f>'Comp.1'!AM15</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8" spans="2:35" ht="12.75" customHeight="1">
      <c r="B18" s="385" t="str">
        <f>'Comp.1'!B16</f>
        <v>Genfit SA</v>
      </c>
      <c r="C18" s="91">
        <f>'Comp.1'!C16</f>
        <v>750.3</v>
      </c>
      <c r="E18" s="91">
        <f>'Capital IQ Sheet-GPC'!X19</f>
        <v>-18.8</v>
      </c>
      <c r="F18" s="91">
        <f>'Capital IQ Sheet-GPC'!Y19</f>
        <v>-35.4</v>
      </c>
      <c r="G18" s="91">
        <f>'Capital IQ Sheet-GPC'!Z19</f>
        <v>-67</v>
      </c>
      <c r="H18" s="386"/>
      <c r="I18" s="91">
        <f>'Capital IQ Sheet-GPC'!AA19</f>
        <v>-35.4</v>
      </c>
      <c r="J18" s="91">
        <f>'Capital IQ Sheet-GPC'!AB19</f>
        <v>-67</v>
      </c>
      <c r="K18" s="91">
        <f>'Capital IQ Sheet-GPC'!AC19</f>
        <v>-54.4</v>
      </c>
      <c r="L18" s="91">
        <f>'Capital IQ Sheet-GPC'!AD19</f>
        <v>31.7</v>
      </c>
      <c r="M18" s="91">
        <f>'Capital IQ Sheet-GPC'!AE19</f>
        <v>-74.3</v>
      </c>
      <c r="O18" s="89">
        <f t="shared" si="1"/>
        <v>-39.909574468085104</v>
      </c>
      <c r="P18" s="89">
        <f t="shared" si="2"/>
        <v>-21.194915254237287</v>
      </c>
      <c r="Q18" s="89" t="str">
        <f t="shared" si="3"/>
        <v>NM</v>
      </c>
      <c r="S18" s="89">
        <f t="shared" si="4"/>
        <v>-21.194915254237287</v>
      </c>
      <c r="T18" s="89">
        <f t="shared" si="5"/>
        <v>-11.198507462686566</v>
      </c>
      <c r="U18" s="89" t="str">
        <f t="shared" si="6"/>
        <v>NM</v>
      </c>
      <c r="V18" s="89">
        <f t="shared" si="7"/>
        <v>23.668769716088327</v>
      </c>
      <c r="W18" s="89" t="str">
        <f t="shared" si="8"/>
        <v>NM</v>
      </c>
      <c r="Y18" s="386">
        <f>'Comp.1'!AC16</f>
        <v>882.5</v>
      </c>
      <c r="Z18" s="386">
        <f>'Comp.1'!AD16</f>
        <v>196.6</v>
      </c>
      <c r="AA18" s="386" t="str">
        <f>'Comp.1'!AE16</f>
        <v xml:space="preserve"> n/a </v>
      </c>
      <c r="AB18" s="386" t="str">
        <f>'Comp.1'!AF16</f>
        <v xml:space="preserve"> n/a </v>
      </c>
      <c r="AC18" s="386">
        <f t="shared" si="9"/>
        <v>196.6</v>
      </c>
      <c r="AD18" s="386">
        <f t="shared" si="10"/>
        <v>1079.0999999999999</v>
      </c>
      <c r="AE18" s="386">
        <f>'Comp.1'!AI16</f>
        <v>328.8</v>
      </c>
      <c r="AF18" s="91">
        <f t="shared" si="11"/>
        <v>750.3</v>
      </c>
      <c r="AH18" s="92" t="str">
        <f>IF('MASTER PubCo Inputs'!C34="","",'MASTER PubCo Inputs'!C34)</f>
        <v>IQ9683234</v>
      </c>
      <c r="AI18" s="385" t="str">
        <f>'Comp.1'!AM16</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9" spans="2:35" ht="12.75" customHeight="1">
      <c r="B19" s="385" t="str">
        <f>'Comp.1'!B17</f>
        <v>Kadmon Holdings, Inc.</v>
      </c>
      <c r="C19" s="91">
        <f>'Comp.1'!C17</f>
        <v>390.1</v>
      </c>
      <c r="E19" s="91">
        <f>'Capital IQ Sheet-GPC'!X20</f>
        <v>-69.599999999999994</v>
      </c>
      <c r="F19" s="91">
        <f>'Capital IQ Sheet-GPC'!Y20</f>
        <v>-98.8</v>
      </c>
      <c r="G19" s="91">
        <f>'Capital IQ Sheet-GPC'!Z20</f>
        <v>-71.400000000000006</v>
      </c>
      <c r="H19" s="386"/>
      <c r="I19" s="91">
        <f>'Capital IQ Sheet-GPC'!AA20</f>
        <v>-100.1</v>
      </c>
      <c r="J19" s="91">
        <f>'Capital IQ Sheet-GPC'!AB20</f>
        <v>-67.3</v>
      </c>
      <c r="K19" s="91" t="str">
        <f>'Capital IQ Sheet-GPC'!AC20</f>
        <v xml:space="preserve"> n/a </v>
      </c>
      <c r="L19" s="91" t="str">
        <f>'Capital IQ Sheet-GPC'!AD20</f>
        <v xml:space="preserve"> n/a </v>
      </c>
      <c r="M19" s="91" t="str">
        <f>'Capital IQ Sheet-GPC'!AE20</f>
        <v xml:space="preserve"> n/a </v>
      </c>
      <c r="O19" s="89">
        <f t="shared" si="1"/>
        <v>-5.6048850574712654</v>
      </c>
      <c r="P19" s="89">
        <f t="shared" si="2"/>
        <v>-3.9483805668016196</v>
      </c>
      <c r="Q19" s="89" t="str">
        <f t="shared" si="3"/>
        <v>NM</v>
      </c>
      <c r="S19" s="89">
        <f t="shared" si="4"/>
        <v>-3.8971028971028976</v>
      </c>
      <c r="T19" s="89">
        <f t="shared" si="5"/>
        <v>-5.7964338781575044</v>
      </c>
      <c r="U19" s="89" t="str">
        <f t="shared" si="6"/>
        <v>n/a</v>
      </c>
      <c r="V19" s="89" t="str">
        <f t="shared" si="7"/>
        <v>n/a</v>
      </c>
      <c r="W19" s="89" t="str">
        <f t="shared" si="8"/>
        <v>n/a</v>
      </c>
      <c r="Y19" s="386">
        <f>'Comp.1'!AC17</f>
        <v>365.5</v>
      </c>
      <c r="Z19" s="386">
        <f>'Comp.1'!AD17</f>
        <v>33.1</v>
      </c>
      <c r="AA19" s="386">
        <f>'Comp.1'!AE17</f>
        <v>40.700000000000003</v>
      </c>
      <c r="AB19" s="386" t="str">
        <f>'Comp.1'!AF17</f>
        <v xml:space="preserve"> n/a </v>
      </c>
      <c r="AC19" s="386">
        <f t="shared" si="9"/>
        <v>73.800000000000011</v>
      </c>
      <c r="AD19" s="386">
        <f t="shared" si="10"/>
        <v>439.3</v>
      </c>
      <c r="AE19" s="386">
        <f>'Comp.1'!AI17</f>
        <v>49.2</v>
      </c>
      <c r="AF19" s="91">
        <f t="shared" si="11"/>
        <v>390.1</v>
      </c>
      <c r="AH19" s="92" t="str">
        <f>IF('MASTER PubCo Inputs'!C35="","",'MASTER PubCo Inputs'!C35)</f>
        <v>IQ114935891</v>
      </c>
      <c r="AI19" s="385" t="str">
        <f>'Comp.1'!AM17</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20" spans="2:35" ht="12.75" customHeight="1">
      <c r="B20" s="385" t="str">
        <f>'Comp.1'!B18</f>
        <v>MediciNova, Inc.</v>
      </c>
      <c r="C20" s="91">
        <f>'Comp.1'!C18</f>
        <v>334.5</v>
      </c>
      <c r="E20" s="91">
        <f>'Capital IQ Sheet-GPC'!X21</f>
        <v>-10.9</v>
      </c>
      <c r="F20" s="91">
        <f>'Capital IQ Sheet-GPC'!Y21</f>
        <v>-10.1</v>
      </c>
      <c r="G20" s="91">
        <f>'Capital IQ Sheet-GPC'!Z21</f>
        <v>-15.2</v>
      </c>
      <c r="H20" s="386"/>
      <c r="I20" s="91">
        <f>'Capital IQ Sheet-GPC'!AA21</f>
        <v>-10.9</v>
      </c>
      <c r="J20" s="91">
        <f>'Capital IQ Sheet-GPC'!AB21</f>
        <v>-13</v>
      </c>
      <c r="K20" s="91">
        <f>'Capital IQ Sheet-GPC'!AC21</f>
        <v>-20</v>
      </c>
      <c r="L20" s="91">
        <f>'Capital IQ Sheet-GPC'!AD21</f>
        <v>-29.5</v>
      </c>
      <c r="M20" s="91">
        <f>'Capital IQ Sheet-GPC'!AE21</f>
        <v>-17.8</v>
      </c>
      <c r="O20" s="89">
        <f t="shared" si="1"/>
        <v>-30.688073394495412</v>
      </c>
      <c r="P20" s="89">
        <f t="shared" si="2"/>
        <v>-33.118811881188122</v>
      </c>
      <c r="Q20" s="89" t="str">
        <f t="shared" si="3"/>
        <v>NM</v>
      </c>
      <c r="S20" s="89">
        <f t="shared" si="4"/>
        <v>-30.688073394495412</v>
      </c>
      <c r="T20" s="89">
        <f t="shared" si="5"/>
        <v>-25.73076923076923</v>
      </c>
      <c r="U20" s="89" t="str">
        <f t="shared" si="6"/>
        <v>NM</v>
      </c>
      <c r="V20" s="89" t="str">
        <f t="shared" si="7"/>
        <v>NM</v>
      </c>
      <c r="W20" s="89" t="str">
        <f t="shared" si="8"/>
        <v>NM</v>
      </c>
      <c r="Y20" s="386">
        <f>'Comp.1'!AC18</f>
        <v>398.7</v>
      </c>
      <c r="Z20" s="386" t="str">
        <f>'Comp.1'!AD18</f>
        <v xml:space="preserve"> -   </v>
      </c>
      <c r="AA20" s="386" t="str">
        <f>'Comp.1'!AE18</f>
        <v xml:space="preserve"> n/a </v>
      </c>
      <c r="AB20" s="386" t="str">
        <f>'Comp.1'!AF18</f>
        <v xml:space="preserve"> n/a </v>
      </c>
      <c r="AC20" s="386">
        <f t="shared" si="9"/>
        <v>0</v>
      </c>
      <c r="AD20" s="386">
        <f t="shared" si="10"/>
        <v>398.7</v>
      </c>
      <c r="AE20" s="386">
        <f>'Comp.1'!AI18</f>
        <v>64.2</v>
      </c>
      <c r="AF20" s="91">
        <f t="shared" si="11"/>
        <v>334.5</v>
      </c>
      <c r="AH20" s="92" t="str">
        <f>IF('MASTER PubCo Inputs'!C36="","",'MASTER PubCo Inputs'!C36)</f>
        <v>IQ9262264</v>
      </c>
      <c r="AI20" s="385" t="str">
        <f>'Comp.1'!AM18</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21" spans="2:35" ht="12.75" customHeight="1">
      <c r="B21" s="385" t="str">
        <f>'Comp.1'!B19</f>
        <v>Savara Inc.</v>
      </c>
      <c r="C21" s="91">
        <f>'Comp.1'!C19</f>
        <v>323.3</v>
      </c>
      <c r="E21" s="91" t="str">
        <f>'Capital IQ Sheet-GPC'!X22</f>
        <v xml:space="preserve"> n/a </v>
      </c>
      <c r="F21" s="91">
        <f>'Capital IQ Sheet-GPC'!Y22</f>
        <v>-13.6</v>
      </c>
      <c r="G21" s="91">
        <f>'Capital IQ Sheet-GPC'!Z22</f>
        <v>-31</v>
      </c>
      <c r="H21" s="386"/>
      <c r="I21" s="91">
        <f>'Capital IQ Sheet-GPC'!AA22</f>
        <v>-10.6</v>
      </c>
      <c r="J21" s="91">
        <f>'Capital IQ Sheet-GPC'!AB22</f>
        <v>-25.2</v>
      </c>
      <c r="K21" s="91">
        <f>'Capital IQ Sheet-GPC'!AC22</f>
        <v>-37.1</v>
      </c>
      <c r="L21" s="91">
        <f>'Capital IQ Sheet-GPC'!AD22</f>
        <v>-54.6</v>
      </c>
      <c r="M21" s="91">
        <f>'Capital IQ Sheet-GPC'!AE22</f>
        <v>-34.299999999999997</v>
      </c>
      <c r="O21" s="89" t="str">
        <f t="shared" si="1"/>
        <v>n/a</v>
      </c>
      <c r="P21" s="89">
        <f t="shared" si="2"/>
        <v>-23.772058823529413</v>
      </c>
      <c r="Q21" s="89" t="str">
        <f t="shared" si="3"/>
        <v>NM</v>
      </c>
      <c r="S21" s="89">
        <f t="shared" si="4"/>
        <v>-30.500000000000004</v>
      </c>
      <c r="T21" s="89">
        <f t="shared" si="5"/>
        <v>-12.829365079365081</v>
      </c>
      <c r="U21" s="89" t="str">
        <f t="shared" si="6"/>
        <v>NM</v>
      </c>
      <c r="V21" s="89" t="str">
        <f t="shared" si="7"/>
        <v>NM</v>
      </c>
      <c r="W21" s="89" t="str">
        <f t="shared" si="8"/>
        <v>NM</v>
      </c>
      <c r="Y21" s="386">
        <f>'Comp.1'!AC19</f>
        <v>393.3</v>
      </c>
      <c r="Z21" s="386">
        <f>'Comp.1'!AD19</f>
        <v>15.2</v>
      </c>
      <c r="AA21" s="386" t="str">
        <f>'Comp.1'!AE19</f>
        <v xml:space="preserve"> n/a </v>
      </c>
      <c r="AB21" s="386" t="str">
        <f>'Comp.1'!AF19</f>
        <v xml:space="preserve"> n/a </v>
      </c>
      <c r="AC21" s="386">
        <f t="shared" si="9"/>
        <v>15.2</v>
      </c>
      <c r="AD21" s="386">
        <f t="shared" si="10"/>
        <v>408.5</v>
      </c>
      <c r="AE21" s="386">
        <f>'Comp.1'!AI19</f>
        <v>85.2</v>
      </c>
      <c r="AF21" s="91">
        <f t="shared" si="11"/>
        <v>323.3</v>
      </c>
      <c r="AH21" s="92" t="str">
        <f>IF('MASTER PubCo Inputs'!C37="","",'MASTER PubCo Inputs'!C37)</f>
        <v>IQ59211637</v>
      </c>
      <c r="AI21" s="385" t="str">
        <f>'Comp.1'!AM19</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2" spans="2:35" ht="12.75" customHeight="1">
      <c r="B22" s="385" t="str">
        <f>'Comp.1'!B20</f>
        <v>Galmed Pharmaceuticals Ltd.</v>
      </c>
      <c r="C22" s="91">
        <f>'Comp.1'!C20</f>
        <v>274.2</v>
      </c>
      <c r="E22" s="91">
        <f>'Capital IQ Sheet-GPC'!X23</f>
        <v>-12.4</v>
      </c>
      <c r="F22" s="91">
        <f>'Capital IQ Sheet-GPC'!Y23</f>
        <v>-15.8</v>
      </c>
      <c r="G22" s="91">
        <f>'Capital IQ Sheet-GPC'!Z23</f>
        <v>-11.4</v>
      </c>
      <c r="H22" s="386"/>
      <c r="I22" s="91">
        <f>'Capital IQ Sheet-GPC'!AA23</f>
        <v>-16.7</v>
      </c>
      <c r="J22" s="91">
        <f>'Capital IQ Sheet-GPC'!AB23</f>
        <v>-12.1</v>
      </c>
      <c r="K22" s="91" t="str">
        <f>'Capital IQ Sheet-GPC'!AC23</f>
        <v xml:space="preserve"> n/a </v>
      </c>
      <c r="L22" s="91" t="str">
        <f>'Capital IQ Sheet-GPC'!AD23</f>
        <v xml:space="preserve"> n/a </v>
      </c>
      <c r="M22" s="91" t="str">
        <f>'Capital IQ Sheet-GPC'!AE23</f>
        <v xml:space="preserve"> n/a </v>
      </c>
      <c r="O22" s="89">
        <f t="shared" si="1"/>
        <v>-22.112903225806448</v>
      </c>
      <c r="P22" s="89">
        <f t="shared" si="2"/>
        <v>-17.354430379746834</v>
      </c>
      <c r="Q22" s="89" t="str">
        <f t="shared" si="3"/>
        <v>NM</v>
      </c>
      <c r="S22" s="89">
        <f t="shared" si="4"/>
        <v>-16.419161676646706</v>
      </c>
      <c r="T22" s="89">
        <f t="shared" si="5"/>
        <v>-22.66115702479339</v>
      </c>
      <c r="U22" s="89" t="str">
        <f t="shared" si="6"/>
        <v>n/a</v>
      </c>
      <c r="V22" s="89" t="str">
        <f t="shared" si="7"/>
        <v>n/a</v>
      </c>
      <c r="W22" s="89" t="str">
        <f t="shared" si="8"/>
        <v>n/a</v>
      </c>
      <c r="Y22" s="386">
        <f>'Comp.1'!AC20</f>
        <v>289.7</v>
      </c>
      <c r="Z22" s="386" t="str">
        <f>'Comp.1'!AD20</f>
        <v xml:space="preserve"> -   </v>
      </c>
      <c r="AA22" s="386" t="str">
        <f>'Comp.1'!AE20</f>
        <v xml:space="preserve"> n/a </v>
      </c>
      <c r="AB22" s="386" t="str">
        <f>'Comp.1'!AF20</f>
        <v xml:space="preserve"> n/a </v>
      </c>
      <c r="AC22" s="386">
        <f t="shared" si="9"/>
        <v>0</v>
      </c>
      <c r="AD22" s="386">
        <f t="shared" si="10"/>
        <v>289.7</v>
      </c>
      <c r="AE22" s="386">
        <f>'Comp.1'!AI20</f>
        <v>15.5</v>
      </c>
      <c r="AF22" s="91">
        <f t="shared" si="11"/>
        <v>274.2</v>
      </c>
      <c r="AH22" s="92" t="str">
        <f>IF('MASTER PubCo Inputs'!C38="","",'MASTER PubCo Inputs'!C38)</f>
        <v>IQ114779940</v>
      </c>
      <c r="AI22" s="385" t="str">
        <f>'Comp.1'!AM20</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3" spans="2:35" ht="12.75" customHeight="1">
      <c r="B23" s="385" t="str">
        <f>'Comp.1'!B21</f>
        <v>Galectin Therapeutics, Inc.</v>
      </c>
      <c r="C23" s="91">
        <f>'Comp.1'!C21</f>
        <v>207.3</v>
      </c>
      <c r="E23" s="91">
        <f>'Capital IQ Sheet-GPC'!X24</f>
        <v>-21.2</v>
      </c>
      <c r="F23" s="91">
        <f>'Capital IQ Sheet-GPC'!Y24</f>
        <v>-20.5</v>
      </c>
      <c r="G23" s="91">
        <f>'Capital IQ Sheet-GPC'!Z24</f>
        <v>-15.5</v>
      </c>
      <c r="H23" s="386"/>
      <c r="I23" s="91">
        <f>'Capital IQ Sheet-GPC'!AA24</f>
        <v>-21.5</v>
      </c>
      <c r="J23" s="91">
        <f>'Capital IQ Sheet-GPC'!AB24</f>
        <v>-16.2</v>
      </c>
      <c r="K23" s="91" t="str">
        <f>'Capital IQ Sheet-GPC'!AC24</f>
        <v xml:space="preserve"> n/a </v>
      </c>
      <c r="L23" s="91" t="str">
        <f>'Capital IQ Sheet-GPC'!AD24</f>
        <v xml:space="preserve"> n/a </v>
      </c>
      <c r="M23" s="91" t="str">
        <f>'Capital IQ Sheet-GPC'!AE24</f>
        <v xml:space="preserve"> n/a </v>
      </c>
      <c r="O23" s="89">
        <f t="shared" si="1"/>
        <v>-9.7783018867924536</v>
      </c>
      <c r="P23" s="89">
        <f t="shared" si="2"/>
        <v>-10.112195121951221</v>
      </c>
      <c r="Q23" s="89" t="str">
        <f t="shared" si="3"/>
        <v>NM</v>
      </c>
      <c r="S23" s="89">
        <f t="shared" si="4"/>
        <v>-9.6418604651162791</v>
      </c>
      <c r="T23" s="89">
        <f t="shared" si="5"/>
        <v>-12.796296296296298</v>
      </c>
      <c r="U23" s="89" t="str">
        <f t="shared" si="6"/>
        <v>n/a</v>
      </c>
      <c r="V23" s="89" t="str">
        <f t="shared" si="7"/>
        <v>n/a</v>
      </c>
      <c r="W23" s="89" t="str">
        <f t="shared" si="8"/>
        <v>n/a</v>
      </c>
      <c r="Y23" s="386">
        <f>'Comp.1'!AC21</f>
        <v>202.3</v>
      </c>
      <c r="Z23" s="386" t="str">
        <f>'Comp.1'!AD21</f>
        <v xml:space="preserve"> -   </v>
      </c>
      <c r="AA23" s="386">
        <f>'Comp.1'!AE21</f>
        <v>9</v>
      </c>
      <c r="AB23" s="386" t="str">
        <f>'Comp.1'!AF21</f>
        <v xml:space="preserve"> n/a </v>
      </c>
      <c r="AC23" s="386">
        <f t="shared" si="9"/>
        <v>9</v>
      </c>
      <c r="AD23" s="386">
        <f t="shared" si="10"/>
        <v>211.3</v>
      </c>
      <c r="AE23" s="386">
        <f>'Comp.1'!AI21</f>
        <v>4</v>
      </c>
      <c r="AF23" s="91">
        <f t="shared" si="11"/>
        <v>207.3</v>
      </c>
      <c r="AH23" s="92" t="str">
        <f>IF('MASTER PubCo Inputs'!C39="","",'MASTER PubCo Inputs'!C39)</f>
        <v>IQ1065415</v>
      </c>
      <c r="AI23" s="385" t="str">
        <f>'Comp.1'!AM21</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4" spans="2:35" ht="12.75" customHeight="1">
      <c r="B24" s="385" t="str">
        <f>'Comp.1'!B22</f>
        <v>Corbus Pharmaceuticals Holdings, Inc.</v>
      </c>
      <c r="C24" s="91">
        <f>'Comp.1'!C22</f>
        <v>203.5</v>
      </c>
      <c r="E24" s="91">
        <f>'Capital IQ Sheet-GPC'!X25</f>
        <v>-10.1</v>
      </c>
      <c r="F24" s="91">
        <f>'Capital IQ Sheet-GPC'!Y25</f>
        <v>-24.4</v>
      </c>
      <c r="G24" s="91">
        <f>'Capital IQ Sheet-GPC'!Z25</f>
        <v>-36.700000000000003</v>
      </c>
      <c r="H24" s="386"/>
      <c r="I24" s="91">
        <f>'Capital IQ Sheet-GPC'!AA25</f>
        <v>-19.899999999999999</v>
      </c>
      <c r="J24" s="91">
        <f>'Capital IQ Sheet-GPC'!AB25</f>
        <v>-32.299999999999997</v>
      </c>
      <c r="K24" s="91">
        <f>'Capital IQ Sheet-GPC'!AC25</f>
        <v>-47.7</v>
      </c>
      <c r="L24" s="91">
        <f>'Capital IQ Sheet-GPC'!AD25</f>
        <v>-50.5</v>
      </c>
      <c r="M24" s="91" t="str">
        <f>'Capital IQ Sheet-GPC'!AE25</f>
        <v xml:space="preserve"> n/a </v>
      </c>
      <c r="O24" s="89">
        <f t="shared" si="1"/>
        <v>-20.14851485148515</v>
      </c>
      <c r="P24" s="89">
        <f t="shared" si="2"/>
        <v>-8.3401639344262293</v>
      </c>
      <c r="Q24" s="89" t="str">
        <f t="shared" si="3"/>
        <v>NM</v>
      </c>
      <c r="S24" s="89">
        <f t="shared" si="4"/>
        <v>-10.226130653266333</v>
      </c>
      <c r="T24" s="89">
        <f t="shared" si="5"/>
        <v>-6.3003095975232206</v>
      </c>
      <c r="U24" s="89" t="str">
        <f t="shared" si="6"/>
        <v>NM</v>
      </c>
      <c r="V24" s="89" t="str">
        <f t="shared" si="7"/>
        <v>NM</v>
      </c>
      <c r="W24" s="89" t="str">
        <f t="shared" si="8"/>
        <v>n/a</v>
      </c>
      <c r="Y24" s="386">
        <f>'Comp.1'!AC22</f>
        <v>274.3</v>
      </c>
      <c r="Z24" s="386">
        <f>'Comp.1'!AD22</f>
        <v>0.2</v>
      </c>
      <c r="AA24" s="386" t="str">
        <f>'Comp.1'!AE22</f>
        <v xml:space="preserve"> n/a </v>
      </c>
      <c r="AB24" s="386" t="str">
        <f>'Comp.1'!AF22</f>
        <v xml:space="preserve"> n/a </v>
      </c>
      <c r="AC24" s="386">
        <f t="shared" si="9"/>
        <v>0.2</v>
      </c>
      <c r="AD24" s="386">
        <f t="shared" si="10"/>
        <v>274.5</v>
      </c>
      <c r="AE24" s="386">
        <f>'Comp.1'!AI22</f>
        <v>71</v>
      </c>
      <c r="AF24" s="91">
        <f t="shared" si="11"/>
        <v>203.5</v>
      </c>
      <c r="AH24" s="92" t="str">
        <f>IF('MASTER PubCo Inputs'!C40="","",'MASTER PubCo Inputs'!C40)</f>
        <v>IQ254045988</v>
      </c>
      <c r="AI24" s="385" t="str">
        <f>'Comp.1'!AM22</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5" spans="2:35" ht="12.75" customHeight="1">
      <c r="B25" s="385" t="str">
        <f>'Comp.1'!B23</f>
        <v>ProQR Therapeutics N.V.</v>
      </c>
      <c r="C25" s="91">
        <f>'Comp.1'!C23</f>
        <v>163.19999999999999</v>
      </c>
      <c r="E25" s="91">
        <f>'Capital IQ Sheet-GPC'!X26</f>
        <v>-28.8</v>
      </c>
      <c r="F25" s="91">
        <f>'Capital IQ Sheet-GPC'!Y26</f>
        <v>-40.5</v>
      </c>
      <c r="G25" s="91">
        <f>'Capital IQ Sheet-GPC'!Z26</f>
        <v>-47.4</v>
      </c>
      <c r="H25" s="386"/>
      <c r="I25" s="91">
        <f>'Capital IQ Sheet-GPC'!AA26</f>
        <v>-40.5</v>
      </c>
      <c r="J25" s="91">
        <f>'Capital IQ Sheet-GPC'!AB26</f>
        <v>-47.4</v>
      </c>
      <c r="K25" s="91" t="str">
        <f>'Capital IQ Sheet-GPC'!AC26</f>
        <v xml:space="preserve"> n/a </v>
      </c>
      <c r="L25" s="91" t="str">
        <f>'Capital IQ Sheet-GPC'!AD26</f>
        <v xml:space="preserve"> n/a </v>
      </c>
      <c r="M25" s="91" t="str">
        <f>'Capital IQ Sheet-GPC'!AE26</f>
        <v xml:space="preserve"> n/a </v>
      </c>
      <c r="O25" s="89">
        <f t="shared" si="1"/>
        <v>-5.6666666666666661</v>
      </c>
      <c r="P25" s="89">
        <f t="shared" si="2"/>
        <v>-4.0296296296296292</v>
      </c>
      <c r="Q25" s="89" t="str">
        <f t="shared" si="3"/>
        <v>NM</v>
      </c>
      <c r="S25" s="89">
        <f t="shared" si="4"/>
        <v>-4.0296296296296292</v>
      </c>
      <c r="T25" s="89">
        <f t="shared" si="5"/>
        <v>-3.443037974683544</v>
      </c>
      <c r="U25" s="89" t="str">
        <f t="shared" si="6"/>
        <v>n/a</v>
      </c>
      <c r="V25" s="89" t="str">
        <f t="shared" si="7"/>
        <v>n/a</v>
      </c>
      <c r="W25" s="89" t="str">
        <f t="shared" si="8"/>
        <v>n/a</v>
      </c>
      <c r="Y25" s="386">
        <f>'Comp.1'!AC23</f>
        <v>212.3</v>
      </c>
      <c r="Z25" s="386">
        <f>'Comp.1'!AD23</f>
        <v>8.6999999999999993</v>
      </c>
      <c r="AA25" s="386" t="str">
        <f>'Comp.1'!AE23</f>
        <v xml:space="preserve"> n/a </v>
      </c>
      <c r="AB25" s="386">
        <f>'Comp.1'!AF23</f>
        <v>0</v>
      </c>
      <c r="AC25" s="386">
        <f t="shared" si="9"/>
        <v>8.6999999999999993</v>
      </c>
      <c r="AD25" s="386">
        <f t="shared" si="10"/>
        <v>221</v>
      </c>
      <c r="AE25" s="386">
        <f>'Comp.1'!AI23</f>
        <v>57.8</v>
      </c>
      <c r="AF25" s="91">
        <f t="shared" si="11"/>
        <v>163.19999999999999</v>
      </c>
      <c r="AH25" s="92" t="str">
        <f>IF('MASTER PubCo Inputs'!C41="","",'MASTER PubCo Inputs'!C41)</f>
        <v>IQ224193775</v>
      </c>
      <c r="AI25" s="385" t="str">
        <f>'Comp.1'!AM23</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6" spans="2:35" ht="12.75" customHeight="1">
      <c r="B26" s="385" t="str">
        <f>'Comp.1'!B24</f>
        <v>Miragen Therapeutics, Inc.</v>
      </c>
      <c r="C26" s="91">
        <f>'Comp.1'!C24</f>
        <v>126.6</v>
      </c>
      <c r="E26" s="91">
        <f>'Capital IQ Sheet-GPC'!X27</f>
        <v>-11.9</v>
      </c>
      <c r="F26" s="91">
        <f>'Capital IQ Sheet-GPC'!Y27</f>
        <v>-20.100000000000001</v>
      </c>
      <c r="G26" s="91">
        <f>'Capital IQ Sheet-GPC'!Z27</f>
        <v>-23.9</v>
      </c>
      <c r="H26" s="386"/>
      <c r="I26" s="91">
        <f>'Capital IQ Sheet-GPC'!AA27</f>
        <v>-16.600000000000001</v>
      </c>
      <c r="J26" s="91">
        <f>'Capital IQ Sheet-GPC'!AB27</f>
        <v>-26.2</v>
      </c>
      <c r="K26" s="91" t="str">
        <f>'Capital IQ Sheet-GPC'!AC27</f>
        <v xml:space="preserve"> n/a </v>
      </c>
      <c r="L26" s="91" t="str">
        <f>'Capital IQ Sheet-GPC'!AD27</f>
        <v xml:space="preserve"> n/a </v>
      </c>
      <c r="M26" s="91" t="str">
        <f>'Capital IQ Sheet-GPC'!AE27</f>
        <v xml:space="preserve"> n/a </v>
      </c>
      <c r="O26" s="89">
        <f t="shared" si="1"/>
        <v>-10.638655462184873</v>
      </c>
      <c r="P26" s="89">
        <f t="shared" si="2"/>
        <v>-6.2985074626865662</v>
      </c>
      <c r="Q26" s="89" t="str">
        <f t="shared" si="3"/>
        <v>NM</v>
      </c>
      <c r="S26" s="89">
        <f t="shared" si="4"/>
        <v>-7.6265060240963845</v>
      </c>
      <c r="T26" s="89">
        <f t="shared" si="5"/>
        <v>-4.8320610687022896</v>
      </c>
      <c r="U26" s="89" t="str">
        <f t="shared" si="6"/>
        <v>n/a</v>
      </c>
      <c r="V26" s="89" t="str">
        <f t="shared" si="7"/>
        <v>n/a</v>
      </c>
      <c r="W26" s="89" t="str">
        <f t="shared" si="8"/>
        <v>n/a</v>
      </c>
      <c r="Y26" s="386">
        <f>'Comp.1'!AC24</f>
        <v>194.7</v>
      </c>
      <c r="Z26" s="386">
        <f>'Comp.1'!AD24</f>
        <v>10</v>
      </c>
      <c r="AA26" s="386" t="str">
        <f>'Comp.1'!AE24</f>
        <v xml:space="preserve"> n/a </v>
      </c>
      <c r="AB26" s="386" t="str">
        <f>'Comp.1'!AF24</f>
        <v xml:space="preserve"> n/a </v>
      </c>
      <c r="AC26" s="386">
        <f t="shared" si="9"/>
        <v>10</v>
      </c>
      <c r="AD26" s="386">
        <f t="shared" si="10"/>
        <v>204.7</v>
      </c>
      <c r="AE26" s="386">
        <f>'Comp.1'!AI24</f>
        <v>78.099999999999994</v>
      </c>
      <c r="AF26" s="91">
        <f t="shared" si="11"/>
        <v>126.6</v>
      </c>
      <c r="AH26" s="92" t="str">
        <f>IF('MASTER PubCo Inputs'!C42="","",'MASTER PubCo Inputs'!C42)</f>
        <v>IQ45015663</v>
      </c>
      <c r="AI26" s="385" t="str">
        <f>'Comp.1'!AM24</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7" spans="2:35" ht="12.75" customHeight="1">
      <c r="B27" s="385" t="str">
        <f>'Comp.1'!B25</f>
        <v>Conatus Pharmaceuticals Inc.</v>
      </c>
      <c r="C27" s="91">
        <f>'Comp.1'!C25</f>
        <v>62.2</v>
      </c>
      <c r="E27" s="91">
        <f>'Capital IQ Sheet-GPC'!X28</f>
        <v>-25.4</v>
      </c>
      <c r="F27" s="91">
        <f>'Capital IQ Sheet-GPC'!Y28</f>
        <v>-26.1</v>
      </c>
      <c r="G27" s="91">
        <f>'Capital IQ Sheet-GPC'!Z28</f>
        <v>-18.8</v>
      </c>
      <c r="H27" s="386"/>
      <c r="I27" s="91">
        <f>'Capital IQ Sheet-GPC'!AA28</f>
        <v>-29.7</v>
      </c>
      <c r="J27" s="91">
        <f>'Capital IQ Sheet-GPC'!AB28</f>
        <v>-17.399999999999999</v>
      </c>
      <c r="K27" s="91" t="str">
        <f>'Capital IQ Sheet-GPC'!AC28</f>
        <v xml:space="preserve"> n/a </v>
      </c>
      <c r="L27" s="91" t="str">
        <f>'Capital IQ Sheet-GPC'!AD28</f>
        <v xml:space="preserve"> n/a </v>
      </c>
      <c r="M27" s="91" t="str">
        <f>'Capital IQ Sheet-GPC'!AE28</f>
        <v xml:space="preserve"> n/a </v>
      </c>
      <c r="O27" s="89">
        <f t="shared" si="1"/>
        <v>-2.4488188976377954</v>
      </c>
      <c r="P27" s="89">
        <f t="shared" si="2"/>
        <v>-2.3831417624521074</v>
      </c>
      <c r="Q27" s="89" t="str">
        <f t="shared" si="3"/>
        <v>NM</v>
      </c>
      <c r="S27" s="89">
        <f t="shared" si="4"/>
        <v>-2.0942760942760943</v>
      </c>
      <c r="T27" s="89">
        <f t="shared" si="5"/>
        <v>-3.5747126436781613</v>
      </c>
      <c r="U27" s="89" t="str">
        <f t="shared" si="6"/>
        <v>n/a</v>
      </c>
      <c r="V27" s="89" t="str">
        <f t="shared" si="7"/>
        <v>n/a</v>
      </c>
      <c r="W27" s="89" t="str">
        <f t="shared" si="8"/>
        <v>n/a</v>
      </c>
      <c r="Y27" s="386">
        <f>'Comp.1'!AC25</f>
        <v>115.7</v>
      </c>
      <c r="Z27" s="386">
        <f>'Comp.1'!AD25</f>
        <v>13.3</v>
      </c>
      <c r="AA27" s="386" t="str">
        <f>'Comp.1'!AE25</f>
        <v xml:space="preserve"> n/a </v>
      </c>
      <c r="AB27" s="386" t="str">
        <f>'Comp.1'!AF25</f>
        <v xml:space="preserve"> n/a </v>
      </c>
      <c r="AC27" s="386">
        <f t="shared" si="9"/>
        <v>13.3</v>
      </c>
      <c r="AD27" s="386">
        <f t="shared" si="10"/>
        <v>129</v>
      </c>
      <c r="AE27" s="386">
        <f>'Comp.1'!AI25</f>
        <v>66.8</v>
      </c>
      <c r="AF27" s="91">
        <f t="shared" si="11"/>
        <v>62.2</v>
      </c>
      <c r="AH27" s="92" t="str">
        <f>IF('MASTER PubCo Inputs'!C43="","",'MASTER PubCo Inputs'!C43)</f>
        <v>IQ30828389</v>
      </c>
      <c r="AI27" s="385" t="str">
        <f>'Comp.1'!AM25</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8" spans="2:35" ht="12.75" customHeight="1">
      <c r="B28" s="385" t="str">
        <f>'Comp.1'!B26</f>
        <v>Immuron Limited</v>
      </c>
      <c r="C28" s="91">
        <f>'Comp.1'!C26</f>
        <v>39.200000000000003</v>
      </c>
      <c r="E28" s="91">
        <f>'Capital IQ Sheet-GPC'!X29</f>
        <v>-4.9000000000000004</v>
      </c>
      <c r="F28" s="91">
        <f>'Capital IQ Sheet-GPC'!Y29</f>
        <v>-6.3</v>
      </c>
      <c r="G28" s="91">
        <f>'Capital IQ Sheet-GPC'!Z29</f>
        <v>-5.8</v>
      </c>
      <c r="H28" s="386"/>
      <c r="I28" s="91">
        <f>'Capital IQ Sheet-GPC'!AA29</f>
        <v>-6.3</v>
      </c>
      <c r="J28" s="91">
        <f>'Capital IQ Sheet-GPC'!AB29</f>
        <v>-5.8</v>
      </c>
      <c r="K28" s="91" t="str">
        <f>'Capital IQ Sheet-GPC'!AC29</f>
        <v xml:space="preserve"> n/a </v>
      </c>
      <c r="L28" s="91" t="str">
        <f>'Capital IQ Sheet-GPC'!AD29</f>
        <v xml:space="preserve"> n/a </v>
      </c>
      <c r="M28" s="91" t="str">
        <f>'Capital IQ Sheet-GPC'!AE29</f>
        <v xml:space="preserve"> n/a </v>
      </c>
      <c r="O28" s="89">
        <f t="shared" si="1"/>
        <v>-8</v>
      </c>
      <c r="P28" s="89">
        <f t="shared" si="2"/>
        <v>-6.2222222222222232</v>
      </c>
      <c r="Q28" s="89" t="str">
        <f t="shared" si="3"/>
        <v>NM</v>
      </c>
      <c r="S28" s="89">
        <f t="shared" si="4"/>
        <v>-6.2222222222222232</v>
      </c>
      <c r="T28" s="89">
        <f t="shared" si="5"/>
        <v>-6.7586206896551735</v>
      </c>
      <c r="U28" s="89" t="str">
        <f t="shared" si="6"/>
        <v>n/a</v>
      </c>
      <c r="V28" s="89" t="str">
        <f t="shared" si="7"/>
        <v>n/a</v>
      </c>
      <c r="W28" s="89" t="str">
        <f t="shared" si="8"/>
        <v>n/a</v>
      </c>
      <c r="Y28" s="386">
        <f>'Comp.1'!AC26</f>
        <v>39.700000000000003</v>
      </c>
      <c r="Z28" s="386">
        <f>'Comp.1'!AD26</f>
        <v>0</v>
      </c>
      <c r="AA28" s="386" t="str">
        <f>'Comp.1'!AE26</f>
        <v xml:space="preserve"> n/a </v>
      </c>
      <c r="AB28" s="386" t="str">
        <f>'Comp.1'!AF26</f>
        <v xml:space="preserve"> n/a </v>
      </c>
      <c r="AC28" s="386">
        <f t="shared" si="9"/>
        <v>0</v>
      </c>
      <c r="AD28" s="386">
        <f t="shared" si="10"/>
        <v>39.700000000000003</v>
      </c>
      <c r="AE28" s="386">
        <f>'Comp.1'!AI26</f>
        <v>0.5</v>
      </c>
      <c r="AF28" s="91">
        <f t="shared" si="11"/>
        <v>39.200000000000003</v>
      </c>
      <c r="AH28" s="92" t="str">
        <f>IF('MASTER PubCo Inputs'!C44="","",'MASTER PubCo Inputs'!C44)</f>
        <v>IQ7687411</v>
      </c>
      <c r="AI28" s="385" t="str">
        <f>'Comp.1'!AM26</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9" spans="2:35" ht="12.75" customHeight="1">
      <c r="B29" s="385" t="str">
        <f>'Comp.1'!B27</f>
        <v>AdAlta Limited</v>
      </c>
      <c r="C29" s="91">
        <f>'Comp.1'!C27</f>
        <v>21.1</v>
      </c>
      <c r="E29" s="91">
        <f>'Capital IQ Sheet-GPC'!X30</f>
        <v>-1.2</v>
      </c>
      <c r="F29" s="91">
        <f>'Capital IQ Sheet-GPC'!Y30</f>
        <v>-2</v>
      </c>
      <c r="G29" s="91">
        <f>'Capital IQ Sheet-GPC'!Z30</f>
        <v>-3.2</v>
      </c>
      <c r="H29" s="386"/>
      <c r="I29" s="91">
        <f>'Capital IQ Sheet-GPC'!AA30</f>
        <v>-2</v>
      </c>
      <c r="J29" s="91">
        <f>'Capital IQ Sheet-GPC'!AB30</f>
        <v>-3.2</v>
      </c>
      <c r="K29" s="91" t="str">
        <f>'Capital IQ Sheet-GPC'!AC30</f>
        <v xml:space="preserve"> n/a </v>
      </c>
      <c r="L29" s="91" t="str">
        <f>'Capital IQ Sheet-GPC'!AD30</f>
        <v xml:space="preserve"> n/a </v>
      </c>
      <c r="M29" s="91" t="str">
        <f>'Capital IQ Sheet-GPC'!AE30</f>
        <v xml:space="preserve"> n/a </v>
      </c>
      <c r="O29" s="89">
        <f t="shared" si="1"/>
        <v>-17.583333333333336</v>
      </c>
      <c r="P29" s="89">
        <f t="shared" si="2"/>
        <v>-10.55</v>
      </c>
      <c r="Q29" s="89" t="str">
        <f t="shared" si="3"/>
        <v>NM</v>
      </c>
      <c r="S29" s="89">
        <f t="shared" si="4"/>
        <v>-10.55</v>
      </c>
      <c r="T29" s="89">
        <f t="shared" si="5"/>
        <v>-6.59375</v>
      </c>
      <c r="U29" s="89" t="str">
        <f t="shared" si="6"/>
        <v>n/a</v>
      </c>
      <c r="V29" s="89" t="str">
        <f t="shared" si="7"/>
        <v>n/a</v>
      </c>
      <c r="W29" s="89" t="str">
        <f t="shared" si="8"/>
        <v>n/a</v>
      </c>
      <c r="Y29" s="386">
        <f>'Comp.1'!AC27</f>
        <v>25.2</v>
      </c>
      <c r="Z29" s="386" t="str">
        <f>'Comp.1'!AD27</f>
        <v xml:space="preserve"> -   </v>
      </c>
      <c r="AA29" s="386" t="str">
        <f>'Comp.1'!AE27</f>
        <v xml:space="preserve"> n/a </v>
      </c>
      <c r="AB29" s="386" t="str">
        <f>'Comp.1'!AF27</f>
        <v xml:space="preserve"> n/a </v>
      </c>
      <c r="AC29" s="386">
        <f t="shared" si="9"/>
        <v>0</v>
      </c>
      <c r="AD29" s="386">
        <f t="shared" si="10"/>
        <v>25.2</v>
      </c>
      <c r="AE29" s="386">
        <f>'Comp.1'!AI27</f>
        <v>4.0999999999999996</v>
      </c>
      <c r="AF29" s="91">
        <f t="shared" si="11"/>
        <v>21.1</v>
      </c>
      <c r="AH29" s="92" t="str">
        <f>IF('MASTER PubCo Inputs'!C45="","",'MASTER PubCo Inputs'!C45)</f>
        <v>IQ61120709</v>
      </c>
      <c r="AI29" s="385" t="str">
        <f>'Comp.1'!AM27</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30" spans="2:35" ht="12.75" customHeight="1">
      <c r="B30" s="385" t="str">
        <f>'Comp.1'!B28</f>
        <v>Pulmatrix, Inc.</v>
      </c>
      <c r="C30" s="91">
        <f>'Comp.1'!C28</f>
        <v>20.2</v>
      </c>
      <c r="E30" s="91">
        <f>'Capital IQ Sheet-GPC'!X31</f>
        <v>-18.100000000000001</v>
      </c>
      <c r="F30" s="91">
        <f>'Capital IQ Sheet-GPC'!Y31</f>
        <v>-14.9</v>
      </c>
      <c r="G30" s="91">
        <f>'Capital IQ Sheet-GPC'!Z31</f>
        <v>-19</v>
      </c>
      <c r="H30" s="386"/>
      <c r="I30" s="91">
        <f>'Capital IQ Sheet-GPC'!AA31</f>
        <v>-17.100000000000001</v>
      </c>
      <c r="J30" s="91">
        <f>'Capital IQ Sheet-GPC'!AB31</f>
        <v>-17.2</v>
      </c>
      <c r="K30" s="91" t="str">
        <f>'Capital IQ Sheet-GPC'!AC31</f>
        <v xml:space="preserve"> n/a </v>
      </c>
      <c r="L30" s="91" t="str">
        <f>'Capital IQ Sheet-GPC'!AD31</f>
        <v xml:space="preserve"> n/a </v>
      </c>
      <c r="M30" s="91" t="str">
        <f>'Capital IQ Sheet-GPC'!AE31</f>
        <v xml:space="preserve"> n/a </v>
      </c>
      <c r="O30" s="89">
        <f t="shared" si="1"/>
        <v>-1.1160220994475136</v>
      </c>
      <c r="P30" s="89">
        <f t="shared" si="2"/>
        <v>-1.355704697986577</v>
      </c>
      <c r="Q30" s="89" t="str">
        <f t="shared" si="3"/>
        <v>NM</v>
      </c>
      <c r="S30" s="89">
        <f t="shared" si="4"/>
        <v>-1.1812865497076022</v>
      </c>
      <c r="T30" s="89">
        <f t="shared" si="5"/>
        <v>-1.1744186046511629</v>
      </c>
      <c r="U30" s="89" t="str">
        <f t="shared" si="6"/>
        <v>n/a</v>
      </c>
      <c r="V30" s="89" t="str">
        <f t="shared" si="7"/>
        <v>n/a</v>
      </c>
      <c r="W30" s="89" t="str">
        <f t="shared" si="8"/>
        <v>n/a</v>
      </c>
      <c r="Y30" s="386">
        <f>'Comp.1'!AC28</f>
        <v>19.3</v>
      </c>
      <c r="Z30" s="386">
        <f>'Comp.1'!AD28</f>
        <v>2.5</v>
      </c>
      <c r="AA30" s="386" t="str">
        <f>'Comp.1'!AE28</f>
        <v xml:space="preserve"> n/a </v>
      </c>
      <c r="AB30" s="386" t="str">
        <f>'Comp.1'!AF28</f>
        <v xml:space="preserve"> n/a </v>
      </c>
      <c r="AC30" s="386">
        <f t="shared" si="9"/>
        <v>2.5</v>
      </c>
      <c r="AD30" s="386">
        <f t="shared" si="10"/>
        <v>21.8</v>
      </c>
      <c r="AE30" s="386">
        <f>'Comp.1'!AI28</f>
        <v>1.6</v>
      </c>
      <c r="AF30" s="91">
        <f t="shared" si="11"/>
        <v>20.2</v>
      </c>
      <c r="AH30" s="92" t="str">
        <f>IF('MASTER PubCo Inputs'!C46="","",'MASTER PubCo Inputs'!C46)</f>
        <v>IQ26897567</v>
      </c>
      <c r="AI30" s="385" t="str">
        <f>'Comp.1'!AM28</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31" spans="2:35" ht="12.75" customHeight="1">
      <c r="B31" s="385" t="str">
        <f>'Comp.1'!B29</f>
        <v>AmpliPhi Biosciences Corporation</v>
      </c>
      <c r="C31" s="91">
        <f>'Comp.1'!C29</f>
        <v>8.3000000000000007</v>
      </c>
      <c r="E31" s="91">
        <f>'Capital IQ Sheet-GPC'!X32</f>
        <v>-12.1</v>
      </c>
      <c r="F31" s="91">
        <f>'Capital IQ Sheet-GPC'!Y32</f>
        <v>-12.3</v>
      </c>
      <c r="G31" s="91">
        <f>'Capital IQ Sheet-GPC'!Z32</f>
        <v>-9.6999999999999993</v>
      </c>
      <c r="H31" s="386"/>
      <c r="I31" s="91">
        <f>'Capital IQ Sheet-GPC'!AA32</f>
        <v>-13.5</v>
      </c>
      <c r="J31" s="91">
        <f>'Capital IQ Sheet-GPC'!AB32</f>
        <v>-10</v>
      </c>
      <c r="K31" s="91">
        <f>'Capital IQ Sheet-GPC'!AC32</f>
        <v>-12.1</v>
      </c>
      <c r="L31" s="91">
        <f>'Capital IQ Sheet-GPC'!AD32</f>
        <v>-14.6</v>
      </c>
      <c r="M31" s="91">
        <f>'Capital IQ Sheet-GPC'!AE32</f>
        <v>-4.0999999999999996</v>
      </c>
      <c r="O31" s="89">
        <f t="shared" si="1"/>
        <v>-0.68595041322314054</v>
      </c>
      <c r="P31" s="89">
        <f t="shared" si="2"/>
        <v>-0.67479674796747968</v>
      </c>
      <c r="Q31" s="89" t="str">
        <f t="shared" si="3"/>
        <v>NM</v>
      </c>
      <c r="S31" s="89">
        <f t="shared" si="4"/>
        <v>-0.61481481481481481</v>
      </c>
      <c r="T31" s="89">
        <f t="shared" si="5"/>
        <v>-0.83000000000000007</v>
      </c>
      <c r="U31" s="89" t="str">
        <f t="shared" si="6"/>
        <v>NM</v>
      </c>
      <c r="V31" s="89" t="str">
        <f t="shared" si="7"/>
        <v>NM</v>
      </c>
      <c r="W31" s="89" t="str">
        <f t="shared" si="8"/>
        <v>NM</v>
      </c>
      <c r="Y31" s="386">
        <f>'Comp.1'!AC29</f>
        <v>16.5</v>
      </c>
      <c r="Z31" s="386" t="str">
        <f>'Comp.1'!AD29</f>
        <v xml:space="preserve"> -   </v>
      </c>
      <c r="AA31" s="386" t="str">
        <f>'Comp.1'!AE29</f>
        <v xml:space="preserve"> n/a </v>
      </c>
      <c r="AB31" s="386" t="str">
        <f>'Comp.1'!AF29</f>
        <v xml:space="preserve"> n/a </v>
      </c>
      <c r="AC31" s="386">
        <f t="shared" si="9"/>
        <v>0</v>
      </c>
      <c r="AD31" s="386">
        <f t="shared" si="10"/>
        <v>16.5</v>
      </c>
      <c r="AE31" s="386">
        <f>'Comp.1'!AI29</f>
        <v>8.1999999999999993</v>
      </c>
      <c r="AF31" s="91">
        <f t="shared" si="11"/>
        <v>8.3000000000000007</v>
      </c>
      <c r="AH31" s="92" t="str">
        <f>IF('MASTER PubCo Inputs'!C47="","",'MASTER PubCo Inputs'!C47)</f>
        <v>IQ35106</v>
      </c>
      <c r="AI31" s="385" t="str">
        <f>'Comp.1'!AM29</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2" spans="2:35" ht="12.75" customHeight="1">
      <c r="B32" s="385">
        <f>'Comp.1'!B30</f>
        <v>0</v>
      </c>
      <c r="C32" s="91">
        <f>'Comp.1'!C30</f>
        <v>0</v>
      </c>
      <c r="E32" s="91" t="str">
        <f>'Capital IQ Sheet-GPC'!X33</f>
        <v xml:space="preserve"> (Invalid Identifier) </v>
      </c>
      <c r="F32" s="91" t="str">
        <f>'Capital IQ Sheet-GPC'!Y33</f>
        <v xml:space="preserve"> (Invalid Identifier) </v>
      </c>
      <c r="G32" s="91" t="str">
        <f>'Capital IQ Sheet-GPC'!Z33</f>
        <v xml:space="preserve"> (Invalid Identifier) </v>
      </c>
      <c r="H32" s="386"/>
      <c r="I32" s="91" t="str">
        <f>'Capital IQ Sheet-GPC'!AA33</f>
        <v xml:space="preserve"> (Invalid Identifier) </v>
      </c>
      <c r="J32" s="91" t="str">
        <f>'Capital IQ Sheet-GPC'!AB33</f>
        <v xml:space="preserve"> (Invalid Identifier) </v>
      </c>
      <c r="K32" s="91" t="str">
        <f>'Capital IQ Sheet-GPC'!AC33</f>
        <v xml:space="preserve"> (Invalid Identifier) </v>
      </c>
      <c r="L32" s="91" t="str">
        <f>'Capital IQ Sheet-GPC'!AD33</f>
        <v xml:space="preserve"> (Invalid Identifier) </v>
      </c>
      <c r="M32" s="91" t="str">
        <f>'Capital IQ Sheet-GPC'!AE33</f>
        <v xml:space="preserve"> (Invalid Identifier) </v>
      </c>
      <c r="O32" s="89" t="str">
        <f t="shared" si="1"/>
        <v>n/a</v>
      </c>
      <c r="P32" s="89" t="str">
        <f t="shared" si="2"/>
        <v>n/a</v>
      </c>
      <c r="Q32" s="89" t="str">
        <f t="shared" si="3"/>
        <v>n/a</v>
      </c>
      <c r="S32" s="89" t="str">
        <f t="shared" si="4"/>
        <v>n/a</v>
      </c>
      <c r="T32" s="89" t="str">
        <f t="shared" si="5"/>
        <v>n/a</v>
      </c>
      <c r="U32" s="89" t="str">
        <f t="shared" si="6"/>
        <v>n/a</v>
      </c>
      <c r="V32" s="89" t="str">
        <f t="shared" si="7"/>
        <v>n/a</v>
      </c>
      <c r="W32" s="89" t="str">
        <f t="shared" si="8"/>
        <v>n/a</v>
      </c>
      <c r="Y32" s="386">
        <f>'Comp.1'!AC30</f>
        <v>0</v>
      </c>
      <c r="Z32" s="386">
        <f>'Comp.1'!AD30</f>
        <v>0</v>
      </c>
      <c r="AA32" s="386">
        <f>'Comp.1'!AE30</f>
        <v>0</v>
      </c>
      <c r="AB32" s="386">
        <f>'Comp.1'!AF30</f>
        <v>0</v>
      </c>
      <c r="AC32" s="386">
        <f t="shared" si="9"/>
        <v>0</v>
      </c>
      <c r="AD32" s="386">
        <f t="shared" si="10"/>
        <v>0</v>
      </c>
      <c r="AE32" s="386">
        <f>'Comp.1'!AI30</f>
        <v>0</v>
      </c>
      <c r="AF32" s="91">
        <f t="shared" si="11"/>
        <v>0</v>
      </c>
      <c r="AH32" s="92" t="str">
        <f>IF('MASTER PubCo Inputs'!C48="","",'MASTER PubCo Inputs'!C48)</f>
        <v>(Invalid Identifier)</v>
      </c>
      <c r="AI32" s="385">
        <f>'Comp.1'!AM30</f>
        <v>0</v>
      </c>
    </row>
    <row r="33" spans="2:35" ht="12.75" customHeight="1">
      <c r="B33" s="385">
        <f>'Comp.1'!B31</f>
        <v>0</v>
      </c>
      <c r="C33" s="91">
        <f>'Comp.1'!C31</f>
        <v>0</v>
      </c>
      <c r="E33" s="91" t="str">
        <f>'Capital IQ Sheet-GPC'!X34</f>
        <v xml:space="preserve"> (Invalid Identifier) </v>
      </c>
      <c r="F33" s="91" t="str">
        <f>'Capital IQ Sheet-GPC'!Y34</f>
        <v xml:space="preserve"> (Invalid Identifier) </v>
      </c>
      <c r="G33" s="91" t="str">
        <f>'Capital IQ Sheet-GPC'!Z34</f>
        <v xml:space="preserve"> (Invalid Identifier) </v>
      </c>
      <c r="H33" s="386"/>
      <c r="I33" s="91" t="str">
        <f>'Capital IQ Sheet-GPC'!AA34</f>
        <v xml:space="preserve"> (Invalid Identifier) </v>
      </c>
      <c r="J33" s="91" t="str">
        <f>'Capital IQ Sheet-GPC'!AB34</f>
        <v xml:space="preserve"> (Invalid Identifier) </v>
      </c>
      <c r="K33" s="91" t="str">
        <f>'Capital IQ Sheet-GPC'!AC34</f>
        <v xml:space="preserve"> (Invalid Identifier) </v>
      </c>
      <c r="L33" s="91" t="str">
        <f>'Capital IQ Sheet-GPC'!AD34</f>
        <v xml:space="preserve"> (Invalid Identifier) </v>
      </c>
      <c r="M33" s="91" t="str">
        <f>'Capital IQ Sheet-GPC'!AE34</f>
        <v xml:space="preserve"> (Invalid Identifier) </v>
      </c>
      <c r="O33" s="89" t="str">
        <f t="shared" si="1"/>
        <v>n/a</v>
      </c>
      <c r="P33" s="89" t="str">
        <f t="shared" si="2"/>
        <v>n/a</v>
      </c>
      <c r="Q33" s="89" t="str">
        <f t="shared" si="3"/>
        <v>n/a</v>
      </c>
      <c r="S33" s="89" t="str">
        <f t="shared" si="4"/>
        <v>n/a</v>
      </c>
      <c r="T33" s="89" t="str">
        <f t="shared" si="5"/>
        <v>n/a</v>
      </c>
      <c r="U33" s="89" t="str">
        <f t="shared" si="6"/>
        <v>n/a</v>
      </c>
      <c r="V33" s="89" t="str">
        <f t="shared" si="7"/>
        <v>n/a</v>
      </c>
      <c r="W33" s="89" t="str">
        <f t="shared" si="8"/>
        <v>n/a</v>
      </c>
      <c r="Y33" s="386">
        <f>'Comp.1'!AC31</f>
        <v>0</v>
      </c>
      <c r="Z33" s="386">
        <f>'Comp.1'!AD31</f>
        <v>0</v>
      </c>
      <c r="AA33" s="386">
        <f>'Comp.1'!AE31</f>
        <v>0</v>
      </c>
      <c r="AB33" s="386">
        <f>'Comp.1'!AF31</f>
        <v>0</v>
      </c>
      <c r="AC33" s="386">
        <f t="shared" si="9"/>
        <v>0</v>
      </c>
      <c r="AD33" s="386">
        <f t="shared" si="10"/>
        <v>0</v>
      </c>
      <c r="AE33" s="386">
        <f>'Comp.1'!AI31</f>
        <v>0</v>
      </c>
      <c r="AF33" s="91">
        <f t="shared" si="11"/>
        <v>0</v>
      </c>
      <c r="AH33" s="92" t="str">
        <f>IF('MASTER PubCo Inputs'!C49="","",'MASTER PubCo Inputs'!C49)</f>
        <v>(Invalid Identifier)</v>
      </c>
      <c r="AI33" s="385">
        <f>'Comp.1'!AM31</f>
        <v>0</v>
      </c>
    </row>
    <row r="34" spans="2:35" ht="12.75" customHeight="1">
      <c r="B34" s="385">
        <f>'Comp.1'!B32</f>
        <v>0</v>
      </c>
      <c r="C34" s="91">
        <f>'Comp.1'!C32</f>
        <v>0</v>
      </c>
      <c r="E34" s="91" t="str">
        <f>'Capital IQ Sheet-GPC'!X35</f>
        <v xml:space="preserve"> (Invalid Identifier) </v>
      </c>
      <c r="F34" s="91" t="str">
        <f>'Capital IQ Sheet-GPC'!Y35</f>
        <v xml:space="preserve"> (Invalid Identifier) </v>
      </c>
      <c r="G34" s="91" t="str">
        <f>'Capital IQ Sheet-GPC'!Z35</f>
        <v xml:space="preserve"> (Invalid Identifier) </v>
      </c>
      <c r="H34" s="386"/>
      <c r="I34" s="91" t="str">
        <f>'Capital IQ Sheet-GPC'!AA35</f>
        <v xml:space="preserve"> (Invalid Identifier) </v>
      </c>
      <c r="J34" s="91" t="str">
        <f>'Capital IQ Sheet-GPC'!AB35</f>
        <v xml:space="preserve"> (Invalid Identifier) </v>
      </c>
      <c r="K34" s="91" t="str">
        <f>'Capital IQ Sheet-GPC'!AC35</f>
        <v xml:space="preserve"> (Invalid Identifier) </v>
      </c>
      <c r="L34" s="91" t="str">
        <f>'Capital IQ Sheet-GPC'!AD35</f>
        <v xml:space="preserve"> (Invalid Identifier) </v>
      </c>
      <c r="M34" s="91" t="str">
        <f>'Capital IQ Sheet-GPC'!AE35</f>
        <v xml:space="preserve"> (Invalid Identifier) </v>
      </c>
      <c r="O34" s="89" t="str">
        <f t="shared" si="1"/>
        <v>n/a</v>
      </c>
      <c r="P34" s="89" t="str">
        <f t="shared" si="2"/>
        <v>n/a</v>
      </c>
      <c r="Q34" s="89" t="str">
        <f t="shared" si="3"/>
        <v>n/a</v>
      </c>
      <c r="S34" s="89" t="str">
        <f t="shared" si="4"/>
        <v>n/a</v>
      </c>
      <c r="T34" s="89" t="str">
        <f t="shared" si="5"/>
        <v>n/a</v>
      </c>
      <c r="U34" s="89" t="str">
        <f t="shared" si="6"/>
        <v>n/a</v>
      </c>
      <c r="V34" s="89" t="str">
        <f t="shared" si="7"/>
        <v>n/a</v>
      </c>
      <c r="W34" s="89" t="str">
        <f t="shared" si="8"/>
        <v>n/a</v>
      </c>
      <c r="Y34" s="386">
        <f>'Comp.1'!AC32</f>
        <v>0</v>
      </c>
      <c r="Z34" s="386">
        <f>'Comp.1'!AD32</f>
        <v>0</v>
      </c>
      <c r="AA34" s="386">
        <f>'Comp.1'!AE32</f>
        <v>0</v>
      </c>
      <c r="AB34" s="386">
        <f>'Comp.1'!AF32</f>
        <v>0</v>
      </c>
      <c r="AC34" s="386">
        <f t="shared" si="9"/>
        <v>0</v>
      </c>
      <c r="AD34" s="386">
        <f t="shared" si="10"/>
        <v>0</v>
      </c>
      <c r="AE34" s="386">
        <f>'Comp.1'!AI32</f>
        <v>0</v>
      </c>
      <c r="AF34" s="91">
        <f t="shared" si="11"/>
        <v>0</v>
      </c>
      <c r="AH34" s="92" t="str">
        <f>IF('MASTER PubCo Inputs'!C50="","",'MASTER PubCo Inputs'!C50)</f>
        <v/>
      </c>
      <c r="AI34" s="385">
        <f>'Comp.1'!AM32</f>
        <v>0</v>
      </c>
    </row>
    <row r="35" spans="2:35" ht="12.75" customHeight="1">
      <c r="B35" s="385">
        <f>'Comp.1'!B33</f>
        <v>0</v>
      </c>
      <c r="C35" s="91">
        <f>'Comp.1'!C33</f>
        <v>0</v>
      </c>
      <c r="E35" s="91" t="str">
        <f>'Capital IQ Sheet-GPC'!X36</f>
        <v xml:space="preserve"> (Invalid Identifier) </v>
      </c>
      <c r="F35" s="91" t="str">
        <f>'Capital IQ Sheet-GPC'!Y36</f>
        <v xml:space="preserve"> (Invalid Identifier) </v>
      </c>
      <c r="G35" s="91" t="str">
        <f>'Capital IQ Sheet-GPC'!Z36</f>
        <v xml:space="preserve"> (Invalid Identifier) </v>
      </c>
      <c r="H35" s="386"/>
      <c r="I35" s="91" t="str">
        <f>'Capital IQ Sheet-GPC'!AA36</f>
        <v xml:space="preserve"> (Invalid Identifier) </v>
      </c>
      <c r="J35" s="91" t="str">
        <f>'Capital IQ Sheet-GPC'!AB36</f>
        <v xml:space="preserve"> (Invalid Identifier) </v>
      </c>
      <c r="K35" s="91" t="str">
        <f>'Capital IQ Sheet-GPC'!AC36</f>
        <v xml:space="preserve"> (Invalid Identifier) </v>
      </c>
      <c r="L35" s="91" t="str">
        <f>'Capital IQ Sheet-GPC'!AD36</f>
        <v xml:space="preserve"> (Invalid Identifier) </v>
      </c>
      <c r="M35" s="91" t="str">
        <f>'Capital IQ Sheet-GPC'!AE36</f>
        <v xml:space="preserve"> (Invalid Identifier) </v>
      </c>
      <c r="O35" s="89" t="str">
        <f t="shared" si="1"/>
        <v>n/a</v>
      </c>
      <c r="P35" s="89" t="str">
        <f t="shared" si="2"/>
        <v>n/a</v>
      </c>
      <c r="Q35" s="89" t="str">
        <f t="shared" si="3"/>
        <v>n/a</v>
      </c>
      <c r="S35" s="89" t="str">
        <f t="shared" si="4"/>
        <v>n/a</v>
      </c>
      <c r="T35" s="89" t="str">
        <f t="shared" si="5"/>
        <v>n/a</v>
      </c>
      <c r="U35" s="89" t="str">
        <f t="shared" si="6"/>
        <v>n/a</v>
      </c>
      <c r="V35" s="89" t="str">
        <f t="shared" si="7"/>
        <v>n/a</v>
      </c>
      <c r="W35" s="89" t="str">
        <f t="shared" si="8"/>
        <v>n/a</v>
      </c>
      <c r="Y35" s="386">
        <f>'Comp.1'!AC33</f>
        <v>0</v>
      </c>
      <c r="Z35" s="386">
        <f>'Comp.1'!AD33</f>
        <v>0</v>
      </c>
      <c r="AA35" s="386">
        <f>'Comp.1'!AE33</f>
        <v>0</v>
      </c>
      <c r="AB35" s="386">
        <f>'Comp.1'!AF33</f>
        <v>0</v>
      </c>
      <c r="AC35" s="386">
        <f t="shared" si="9"/>
        <v>0</v>
      </c>
      <c r="AD35" s="386">
        <f t="shared" si="10"/>
        <v>0</v>
      </c>
      <c r="AE35" s="386">
        <f>'Comp.1'!AI33</f>
        <v>0</v>
      </c>
      <c r="AF35" s="91">
        <f t="shared" si="11"/>
        <v>0</v>
      </c>
      <c r="AH35" s="92" t="str">
        <f>IF('MASTER PubCo Inputs'!C51="","",'MASTER PubCo Inputs'!C51)</f>
        <v/>
      </c>
      <c r="AI35" s="385">
        <f>'Comp.1'!AM33</f>
        <v>0</v>
      </c>
    </row>
    <row r="36" spans="2:35" ht="12.75" customHeight="1">
      <c r="B36" s="385">
        <f>'Comp.1'!B34</f>
        <v>0</v>
      </c>
      <c r="C36" s="91">
        <f>'Comp.1'!C34</f>
        <v>0</v>
      </c>
      <c r="E36" s="91" t="str">
        <f>'Capital IQ Sheet-GPC'!X37</f>
        <v xml:space="preserve"> (Invalid Identifier) </v>
      </c>
      <c r="F36" s="91" t="str">
        <f>'Capital IQ Sheet-GPC'!Y37</f>
        <v xml:space="preserve"> (Invalid Identifier) </v>
      </c>
      <c r="G36" s="91" t="str">
        <f>'Capital IQ Sheet-GPC'!Z37</f>
        <v xml:space="preserve"> (Invalid Identifier) </v>
      </c>
      <c r="H36" s="386"/>
      <c r="I36" s="91" t="str">
        <f>'Capital IQ Sheet-GPC'!AA37</f>
        <v xml:space="preserve"> (Invalid Identifier) </v>
      </c>
      <c r="J36" s="91" t="str">
        <f>'Capital IQ Sheet-GPC'!AB37</f>
        <v xml:space="preserve"> (Invalid Identifier) </v>
      </c>
      <c r="K36" s="91" t="str">
        <f>'Capital IQ Sheet-GPC'!AC37</f>
        <v xml:space="preserve"> (Invalid Identifier) </v>
      </c>
      <c r="L36" s="91" t="str">
        <f>'Capital IQ Sheet-GPC'!AD37</f>
        <v xml:space="preserve"> (Invalid Identifier) </v>
      </c>
      <c r="M36" s="91" t="str">
        <f>'Capital IQ Sheet-GPC'!AE37</f>
        <v xml:space="preserve"> (Invalid Identifier) </v>
      </c>
      <c r="O36" s="89" t="str">
        <f t="shared" si="1"/>
        <v>n/a</v>
      </c>
      <c r="P36" s="89" t="str">
        <f t="shared" si="2"/>
        <v>n/a</v>
      </c>
      <c r="Q36" s="89" t="str">
        <f t="shared" si="3"/>
        <v>n/a</v>
      </c>
      <c r="S36" s="89" t="str">
        <f t="shared" si="4"/>
        <v>n/a</v>
      </c>
      <c r="T36" s="89" t="str">
        <f t="shared" si="5"/>
        <v>n/a</v>
      </c>
      <c r="U36" s="89" t="str">
        <f t="shared" si="6"/>
        <v>n/a</v>
      </c>
      <c r="V36" s="89" t="str">
        <f t="shared" si="7"/>
        <v>n/a</v>
      </c>
      <c r="W36" s="89" t="str">
        <f t="shared" si="8"/>
        <v>n/a</v>
      </c>
      <c r="Y36" s="386">
        <f>'Comp.1'!AC34</f>
        <v>0</v>
      </c>
      <c r="Z36" s="386">
        <f>'Comp.1'!AD34</f>
        <v>0</v>
      </c>
      <c r="AA36" s="386">
        <f>'Comp.1'!AE34</f>
        <v>0</v>
      </c>
      <c r="AB36" s="386">
        <f>'Comp.1'!AF34</f>
        <v>0</v>
      </c>
      <c r="AC36" s="386">
        <f t="shared" si="9"/>
        <v>0</v>
      </c>
      <c r="AD36" s="386">
        <f t="shared" si="10"/>
        <v>0</v>
      </c>
      <c r="AE36" s="386">
        <f>'Comp.1'!AI34</f>
        <v>0</v>
      </c>
      <c r="AF36" s="91">
        <f t="shared" si="11"/>
        <v>0</v>
      </c>
      <c r="AH36" s="92" t="str">
        <f>IF('MASTER PubCo Inputs'!C52="","",'MASTER PubCo Inputs'!C52)</f>
        <v/>
      </c>
      <c r="AI36" s="385">
        <f>'Comp.1'!AM34</f>
        <v>0</v>
      </c>
    </row>
    <row r="37" spans="2:35" ht="12.75" customHeight="1">
      <c r="B37" s="385">
        <f>'Comp.1'!B35</f>
        <v>0</v>
      </c>
      <c r="C37" s="91">
        <f>'Comp.1'!C35</f>
        <v>0</v>
      </c>
      <c r="E37" s="91" t="str">
        <f>'Capital IQ Sheet-GPC'!X38</f>
        <v xml:space="preserve"> (Invalid Identifier) </v>
      </c>
      <c r="F37" s="91" t="str">
        <f>'Capital IQ Sheet-GPC'!Y38</f>
        <v xml:space="preserve"> (Invalid Identifier) </v>
      </c>
      <c r="G37" s="91" t="str">
        <f>'Capital IQ Sheet-GPC'!Z38</f>
        <v xml:space="preserve"> (Invalid Identifier) </v>
      </c>
      <c r="H37" s="386"/>
      <c r="I37" s="91" t="str">
        <f>'Capital IQ Sheet-GPC'!AA38</f>
        <v xml:space="preserve"> (Invalid Identifier) </v>
      </c>
      <c r="J37" s="91" t="str">
        <f>'Capital IQ Sheet-GPC'!AB38</f>
        <v xml:space="preserve"> (Invalid Identifier) </v>
      </c>
      <c r="K37" s="91" t="str">
        <f>'Capital IQ Sheet-GPC'!AC38</f>
        <v xml:space="preserve"> (Invalid Identifier) </v>
      </c>
      <c r="L37" s="91" t="str">
        <f>'Capital IQ Sheet-GPC'!AD38</f>
        <v xml:space="preserve"> (Invalid Identifier) </v>
      </c>
      <c r="M37" s="91" t="str">
        <f>'Capital IQ Sheet-GPC'!AE38</f>
        <v xml:space="preserve"> (Invalid Identifier) </v>
      </c>
      <c r="O37" s="89" t="str">
        <f t="shared" si="1"/>
        <v>n/a</v>
      </c>
      <c r="P37" s="89" t="str">
        <f t="shared" si="2"/>
        <v>n/a</v>
      </c>
      <c r="Q37" s="89" t="str">
        <f t="shared" si="3"/>
        <v>n/a</v>
      </c>
      <c r="S37" s="89" t="str">
        <f t="shared" si="4"/>
        <v>n/a</v>
      </c>
      <c r="T37" s="89" t="str">
        <f t="shared" si="5"/>
        <v>n/a</v>
      </c>
      <c r="U37" s="89" t="str">
        <f t="shared" si="6"/>
        <v>n/a</v>
      </c>
      <c r="V37" s="89" t="str">
        <f t="shared" si="7"/>
        <v>n/a</v>
      </c>
      <c r="W37" s="89" t="str">
        <f t="shared" si="8"/>
        <v>n/a</v>
      </c>
      <c r="Y37" s="386">
        <f>'Comp.1'!AC35</f>
        <v>0</v>
      </c>
      <c r="Z37" s="386">
        <f>'Comp.1'!AD35</f>
        <v>0</v>
      </c>
      <c r="AA37" s="386">
        <f>'Comp.1'!AE35</f>
        <v>0</v>
      </c>
      <c r="AB37" s="386">
        <f>'Comp.1'!AF35</f>
        <v>0</v>
      </c>
      <c r="AC37" s="386">
        <f t="shared" si="9"/>
        <v>0</v>
      </c>
      <c r="AD37" s="386">
        <f t="shared" si="10"/>
        <v>0</v>
      </c>
      <c r="AE37" s="386">
        <f>'Comp.1'!AI35</f>
        <v>0</v>
      </c>
      <c r="AF37" s="91">
        <f t="shared" si="11"/>
        <v>0</v>
      </c>
      <c r="AH37" s="92" t="str">
        <f>IF('MASTER PubCo Inputs'!C53="","",'MASTER PubCo Inputs'!C53)</f>
        <v/>
      </c>
      <c r="AI37" s="385">
        <f>'Comp.1'!AM35</f>
        <v>0</v>
      </c>
    </row>
    <row r="38" spans="2:35" ht="12.75" customHeight="1">
      <c r="B38" s="385">
        <f>'Comp.1'!B36</f>
        <v>0</v>
      </c>
      <c r="C38" s="91">
        <f>'Comp.1'!C36</f>
        <v>0</v>
      </c>
      <c r="E38" s="91" t="str">
        <f>'Capital IQ Sheet-GPC'!X39</f>
        <v xml:space="preserve"> (Invalid Identifier) </v>
      </c>
      <c r="F38" s="91" t="str">
        <f>'Capital IQ Sheet-GPC'!Y39</f>
        <v xml:space="preserve"> (Invalid Identifier) </v>
      </c>
      <c r="G38" s="91" t="str">
        <f>'Capital IQ Sheet-GPC'!Z39</f>
        <v xml:space="preserve"> (Invalid Identifier) </v>
      </c>
      <c r="H38" s="386"/>
      <c r="I38" s="91" t="str">
        <f>'Capital IQ Sheet-GPC'!AA39</f>
        <v xml:space="preserve"> (Invalid Identifier) </v>
      </c>
      <c r="J38" s="91" t="str">
        <f>'Capital IQ Sheet-GPC'!AB39</f>
        <v xml:space="preserve"> (Invalid Identifier) </v>
      </c>
      <c r="K38" s="91" t="str">
        <f>'Capital IQ Sheet-GPC'!AC39</f>
        <v xml:space="preserve"> (Invalid Identifier) </v>
      </c>
      <c r="L38" s="91" t="str">
        <f>'Capital IQ Sheet-GPC'!AD39</f>
        <v xml:space="preserve"> (Invalid Identifier) </v>
      </c>
      <c r="M38" s="91" t="str">
        <f>'Capital IQ Sheet-GPC'!AE39</f>
        <v xml:space="preserve"> (Invalid Identifier) </v>
      </c>
      <c r="O38" s="89" t="str">
        <f t="shared" si="1"/>
        <v>n/a</v>
      </c>
      <c r="P38" s="89" t="str">
        <f t="shared" si="2"/>
        <v>n/a</v>
      </c>
      <c r="Q38" s="89" t="str">
        <f t="shared" si="3"/>
        <v>n/a</v>
      </c>
      <c r="S38" s="89" t="str">
        <f t="shared" si="4"/>
        <v>n/a</v>
      </c>
      <c r="T38" s="89" t="str">
        <f t="shared" si="5"/>
        <v>n/a</v>
      </c>
      <c r="U38" s="89" t="str">
        <f t="shared" si="6"/>
        <v>n/a</v>
      </c>
      <c r="V38" s="89" t="str">
        <f t="shared" si="7"/>
        <v>n/a</v>
      </c>
      <c r="W38" s="89" t="str">
        <f t="shared" si="8"/>
        <v>n/a</v>
      </c>
      <c r="Y38" s="386">
        <f>'Comp.1'!AC36</f>
        <v>0</v>
      </c>
      <c r="Z38" s="386">
        <f>'Comp.1'!AD36</f>
        <v>0</v>
      </c>
      <c r="AA38" s="386">
        <f>'Comp.1'!AE36</f>
        <v>0</v>
      </c>
      <c r="AB38" s="386">
        <f>'Comp.1'!AF36</f>
        <v>0</v>
      </c>
      <c r="AC38" s="386">
        <f t="shared" si="9"/>
        <v>0</v>
      </c>
      <c r="AD38" s="386">
        <f t="shared" si="10"/>
        <v>0</v>
      </c>
      <c r="AE38" s="386">
        <f>'Comp.1'!AI36</f>
        <v>0</v>
      </c>
      <c r="AF38" s="91">
        <f t="shared" si="11"/>
        <v>0</v>
      </c>
      <c r="AH38" s="92" t="str">
        <f>IF('MASTER PubCo Inputs'!C54="","",'MASTER PubCo Inputs'!C54)</f>
        <v/>
      </c>
      <c r="AI38" s="385" t="str">
        <f>'Comp.1'!AM36</f>
        <v>(Invalid Identifier)</v>
      </c>
    </row>
    <row r="39" spans="2:35" ht="12.75" customHeight="1">
      <c r="B39" s="385">
        <f>'Comp.1'!B37</f>
        <v>0</v>
      </c>
      <c r="C39" s="91">
        <f>'Comp.1'!C37</f>
        <v>0</v>
      </c>
      <c r="E39" s="91" t="str">
        <f>'Capital IQ Sheet-GPC'!X40</f>
        <v xml:space="preserve"> (Invalid Identifier) </v>
      </c>
      <c r="F39" s="91" t="str">
        <f>'Capital IQ Sheet-GPC'!Y40</f>
        <v xml:space="preserve"> (Invalid Identifier) </v>
      </c>
      <c r="G39" s="91" t="str">
        <f>'Capital IQ Sheet-GPC'!Z40</f>
        <v xml:space="preserve"> (Invalid Identifier) </v>
      </c>
      <c r="H39" s="386"/>
      <c r="I39" s="91" t="str">
        <f>'Capital IQ Sheet-GPC'!AA40</f>
        <v xml:space="preserve"> (Invalid Identifier) </v>
      </c>
      <c r="J39" s="91" t="str">
        <f>'Capital IQ Sheet-GPC'!AB40</f>
        <v xml:space="preserve"> (Invalid Identifier) </v>
      </c>
      <c r="K39" s="91" t="str">
        <f>'Capital IQ Sheet-GPC'!AC40</f>
        <v xml:space="preserve"> (Invalid Identifier) </v>
      </c>
      <c r="L39" s="91" t="str">
        <f>'Capital IQ Sheet-GPC'!AD40</f>
        <v xml:space="preserve"> (Invalid Identifier) </v>
      </c>
      <c r="M39" s="91" t="str">
        <f>'Capital IQ Sheet-GPC'!AE40</f>
        <v xml:space="preserve"> (Invalid Identifier) </v>
      </c>
      <c r="O39" s="89" t="str">
        <f t="shared" si="1"/>
        <v>n/a</v>
      </c>
      <c r="P39" s="89" t="str">
        <f t="shared" si="2"/>
        <v>n/a</v>
      </c>
      <c r="Q39" s="89" t="str">
        <f t="shared" si="3"/>
        <v>n/a</v>
      </c>
      <c r="S39" s="89" t="str">
        <f t="shared" si="4"/>
        <v>n/a</v>
      </c>
      <c r="T39" s="89" t="str">
        <f t="shared" si="5"/>
        <v>n/a</v>
      </c>
      <c r="U39" s="89" t="str">
        <f t="shared" si="6"/>
        <v>n/a</v>
      </c>
      <c r="V39" s="89" t="str">
        <f t="shared" si="7"/>
        <v>n/a</v>
      </c>
      <c r="W39" s="89" t="str">
        <f t="shared" si="8"/>
        <v>n/a</v>
      </c>
      <c r="Y39" s="386">
        <f>'Comp.1'!AC37</f>
        <v>0</v>
      </c>
      <c r="Z39" s="386">
        <f>'Comp.1'!AD37</f>
        <v>0</v>
      </c>
      <c r="AA39" s="386">
        <f>'Comp.1'!AE37</f>
        <v>0</v>
      </c>
      <c r="AB39" s="386">
        <f>'Comp.1'!AF37</f>
        <v>0</v>
      </c>
      <c r="AC39" s="386">
        <f t="shared" si="9"/>
        <v>0</v>
      </c>
      <c r="AD39" s="386">
        <f t="shared" si="10"/>
        <v>0</v>
      </c>
      <c r="AE39" s="386">
        <f>'Comp.1'!AI37</f>
        <v>0</v>
      </c>
      <c r="AF39" s="91">
        <f t="shared" si="11"/>
        <v>0</v>
      </c>
      <c r="AH39" s="92" t="str">
        <f>IF('MASTER PubCo Inputs'!C55="","",'MASTER PubCo Inputs'!C55)</f>
        <v/>
      </c>
      <c r="AI39" s="385" t="str">
        <f>'Comp.1'!AM37</f>
        <v>(Invalid Identifier)</v>
      </c>
    </row>
    <row r="40" spans="2:35" ht="12.75" customHeight="1">
      <c r="B40" s="385">
        <f>'Comp.1'!B38</f>
        <v>0</v>
      </c>
      <c r="C40" s="91">
        <f>'Comp.1'!C38</f>
        <v>0</v>
      </c>
      <c r="E40" s="91" t="str">
        <f>'Capital IQ Sheet-GPC'!X41</f>
        <v xml:space="preserve"> (Invalid Identifier) </v>
      </c>
      <c r="F40" s="91" t="str">
        <f>'Capital IQ Sheet-GPC'!Y41</f>
        <v xml:space="preserve"> (Invalid Identifier) </v>
      </c>
      <c r="G40" s="91" t="str">
        <f>'Capital IQ Sheet-GPC'!Z41</f>
        <v xml:space="preserve"> (Invalid Identifier) </v>
      </c>
      <c r="H40" s="386"/>
      <c r="I40" s="91" t="str">
        <f>'Capital IQ Sheet-GPC'!AA41</f>
        <v xml:space="preserve"> (Invalid Identifier) </v>
      </c>
      <c r="J40" s="91" t="str">
        <f>'Capital IQ Sheet-GPC'!AB41</f>
        <v xml:space="preserve"> (Invalid Identifier) </v>
      </c>
      <c r="K40" s="91" t="str">
        <f>'Capital IQ Sheet-GPC'!AC41</f>
        <v xml:space="preserve"> (Invalid Identifier) </v>
      </c>
      <c r="L40" s="91" t="str">
        <f>'Capital IQ Sheet-GPC'!AD41</f>
        <v xml:space="preserve"> (Invalid Identifier) </v>
      </c>
      <c r="M40" s="91" t="str">
        <f>'Capital IQ Sheet-GPC'!AE41</f>
        <v xml:space="preserve"> (Invalid Identifier) </v>
      </c>
      <c r="O40" s="89" t="str">
        <f t="shared" si="1"/>
        <v>n/a</v>
      </c>
      <c r="P40" s="89" t="str">
        <f t="shared" si="2"/>
        <v>n/a</v>
      </c>
      <c r="Q40" s="89" t="str">
        <f t="shared" si="3"/>
        <v>n/a</v>
      </c>
      <c r="S40" s="89" t="str">
        <f t="shared" si="4"/>
        <v>n/a</v>
      </c>
      <c r="T40" s="89" t="str">
        <f t="shared" si="5"/>
        <v>n/a</v>
      </c>
      <c r="U40" s="89" t="str">
        <f t="shared" si="6"/>
        <v>n/a</v>
      </c>
      <c r="V40" s="89" t="str">
        <f t="shared" si="7"/>
        <v>n/a</v>
      </c>
      <c r="W40" s="89" t="str">
        <f t="shared" si="8"/>
        <v>n/a</v>
      </c>
      <c r="Y40" s="386">
        <f>'Comp.1'!AC38</f>
        <v>0</v>
      </c>
      <c r="Z40" s="386">
        <f>'Comp.1'!AD38</f>
        <v>0</v>
      </c>
      <c r="AA40" s="386">
        <f>'Comp.1'!AE38</f>
        <v>0</v>
      </c>
      <c r="AB40" s="386">
        <f>'Comp.1'!AF38</f>
        <v>0</v>
      </c>
      <c r="AC40" s="386">
        <f t="shared" si="9"/>
        <v>0</v>
      </c>
      <c r="AD40" s="386">
        <f t="shared" si="10"/>
        <v>0</v>
      </c>
      <c r="AE40" s="386">
        <f>'Comp.1'!AI38</f>
        <v>0</v>
      </c>
      <c r="AF40" s="91">
        <f t="shared" si="11"/>
        <v>0</v>
      </c>
      <c r="AH40" s="92" t="str">
        <f>IF('MASTER PubCo Inputs'!C56="","",'MASTER PubCo Inputs'!C56)</f>
        <v/>
      </c>
      <c r="AI40" s="385" t="str">
        <f>'Comp.1'!AM38</f>
        <v>(Invalid Identifier)</v>
      </c>
    </row>
    <row r="41" spans="2:35" ht="12.75" customHeight="1">
      <c r="B41" s="385">
        <f>'Comp.1'!B39</f>
        <v>0</v>
      </c>
      <c r="C41" s="91">
        <f>'Comp.1'!C39</f>
        <v>0</v>
      </c>
      <c r="E41" s="91" t="str">
        <f>'Capital IQ Sheet-GPC'!X42</f>
        <v xml:space="preserve"> (Invalid Identifier) </v>
      </c>
      <c r="F41" s="91" t="str">
        <f>'Capital IQ Sheet-GPC'!Y42</f>
        <v xml:space="preserve"> (Invalid Identifier) </v>
      </c>
      <c r="G41" s="91" t="str">
        <f>'Capital IQ Sheet-GPC'!Z42</f>
        <v xml:space="preserve"> (Invalid Identifier) </v>
      </c>
      <c r="H41" s="386"/>
      <c r="I41" s="91" t="str">
        <f>'Capital IQ Sheet-GPC'!AA42</f>
        <v xml:space="preserve"> (Invalid Identifier) </v>
      </c>
      <c r="J41" s="91" t="str">
        <f>'Capital IQ Sheet-GPC'!AB42</f>
        <v xml:space="preserve"> (Invalid Identifier) </v>
      </c>
      <c r="K41" s="91" t="str">
        <f>'Capital IQ Sheet-GPC'!AC42</f>
        <v xml:space="preserve"> (Invalid Identifier) </v>
      </c>
      <c r="L41" s="91" t="str">
        <f>'Capital IQ Sheet-GPC'!AD42</f>
        <v xml:space="preserve"> (Invalid Identifier) </v>
      </c>
      <c r="M41" s="91" t="str">
        <f>'Capital IQ Sheet-GPC'!AE42</f>
        <v xml:space="preserve"> (Invalid Identifier) </v>
      </c>
      <c r="O41" s="89" t="str">
        <f t="shared" si="1"/>
        <v>n/a</v>
      </c>
      <c r="P41" s="89" t="str">
        <f t="shared" si="2"/>
        <v>n/a</v>
      </c>
      <c r="Q41" s="89" t="str">
        <f t="shared" si="3"/>
        <v>n/a</v>
      </c>
      <c r="S41" s="89" t="str">
        <f t="shared" si="4"/>
        <v>n/a</v>
      </c>
      <c r="T41" s="89" t="str">
        <f t="shared" si="5"/>
        <v>n/a</v>
      </c>
      <c r="U41" s="89" t="str">
        <f t="shared" si="6"/>
        <v>n/a</v>
      </c>
      <c r="V41" s="89" t="str">
        <f t="shared" si="7"/>
        <v>n/a</v>
      </c>
      <c r="W41" s="89" t="str">
        <f t="shared" si="8"/>
        <v>n/a</v>
      </c>
      <c r="Y41" s="386">
        <f>'Comp.1'!AC39</f>
        <v>0</v>
      </c>
      <c r="Z41" s="386">
        <f>'Comp.1'!AD39</f>
        <v>0</v>
      </c>
      <c r="AA41" s="386">
        <f>'Comp.1'!AE39</f>
        <v>0</v>
      </c>
      <c r="AB41" s="386">
        <f>'Comp.1'!AF39</f>
        <v>0</v>
      </c>
      <c r="AC41" s="386">
        <f t="shared" si="9"/>
        <v>0</v>
      </c>
      <c r="AD41" s="386">
        <f t="shared" si="10"/>
        <v>0</v>
      </c>
      <c r="AE41" s="386">
        <f>'Comp.1'!AI39</f>
        <v>0</v>
      </c>
      <c r="AF41" s="91">
        <f t="shared" si="11"/>
        <v>0</v>
      </c>
      <c r="AH41" s="92" t="str">
        <f>IF('MASTER PubCo Inputs'!C57="","",'MASTER PubCo Inputs'!C57)</f>
        <v/>
      </c>
      <c r="AI41" s="385" t="str">
        <f>'Comp.1'!AM39</f>
        <v>(Invalid Identifier)</v>
      </c>
    </row>
    <row r="42" spans="2:35" ht="12.75" customHeight="1">
      <c r="C42" s="386"/>
      <c r="E42" s="386"/>
      <c r="F42" s="386"/>
      <c r="G42" s="386"/>
      <c r="H42" s="386"/>
      <c r="I42" s="386"/>
      <c r="J42" s="386"/>
      <c r="K42" s="386"/>
      <c r="L42" s="386"/>
      <c r="M42" s="386"/>
    </row>
    <row r="43" spans="2:35" ht="12.75" customHeight="1">
      <c r="B43" s="69" t="s">
        <v>46</v>
      </c>
      <c r="C43" s="125">
        <f>MAX(C12:C42)</f>
        <v>42428.399999999994</v>
      </c>
      <c r="D43" s="70"/>
      <c r="E43" s="125">
        <f>MAX(E12:E42)</f>
        <v>-1.2</v>
      </c>
      <c r="F43" s="125">
        <f>MAX(F12:F42)</f>
        <v>418</v>
      </c>
      <c r="G43" s="125">
        <f>MAX(G12:G42)</f>
        <v>583.6</v>
      </c>
      <c r="H43" s="125"/>
      <c r="I43" s="125">
        <f>MAX(I12:I42)</f>
        <v>72.599999999999994</v>
      </c>
      <c r="J43" s="125">
        <f>MAX(J12:J42)</f>
        <v>614.20000000000005</v>
      </c>
      <c r="K43" s="125">
        <f>MAX(K12:K42)</f>
        <v>1125.4000000000001</v>
      </c>
      <c r="L43" s="125">
        <f>MAX(L12:L42)</f>
        <v>1320.7</v>
      </c>
      <c r="M43" s="125">
        <f>MAX(M12:M42)</f>
        <v>2020.8</v>
      </c>
      <c r="N43" s="126"/>
      <c r="O43" s="96">
        <f>MAX(O12:O42)</f>
        <v>-0.68595041322314054</v>
      </c>
      <c r="P43" s="96">
        <f>MAX(P12:P42)</f>
        <v>101.50334928229664</v>
      </c>
      <c r="Q43" s="96">
        <f>MAX(Q12:Q42)</f>
        <v>0</v>
      </c>
      <c r="R43" s="126"/>
      <c r="S43" s="96">
        <f>MAX(S12:S42)</f>
        <v>584.4132231404958</v>
      </c>
      <c r="T43" s="96">
        <f>MAX(T12:T42)</f>
        <v>69.07912732009116</v>
      </c>
      <c r="U43" s="96">
        <f>MAX(U12:U42)</f>
        <v>37.700728629820503</v>
      </c>
      <c r="V43" s="96">
        <f>MAX(V12:V42)</f>
        <v>32.125690921481031</v>
      </c>
      <c r="W43" s="127">
        <f>MAX(W12:W42)</f>
        <v>29.310741687979537</v>
      </c>
      <c r="X43" s="48"/>
      <c r="Y43" s="48"/>
    </row>
    <row r="44" spans="2:35" ht="12.75" customHeight="1">
      <c r="B44" s="97" t="s">
        <v>50</v>
      </c>
      <c r="C44" s="99">
        <f>QUARTILE(C12:C42,3)</f>
        <v>376.20000000000005</v>
      </c>
      <c r="D44" s="75"/>
      <c r="E44" s="99">
        <f>QUARTILE(E12:E42,3)</f>
        <v>-11.95</v>
      </c>
      <c r="F44" s="99">
        <f>QUARTILE(F12:F42,3)</f>
        <v>-11.2</v>
      </c>
      <c r="G44" s="99">
        <f>QUARTILE(G12:G42,3)</f>
        <v>-14.25</v>
      </c>
      <c r="H44" s="99"/>
      <c r="I44" s="99">
        <f>QUARTILE(I12:I42,3)</f>
        <v>-10.824999999999999</v>
      </c>
      <c r="J44" s="99">
        <f>QUARTILE(J12:J42,3)</f>
        <v>-12.775</v>
      </c>
      <c r="K44" s="99">
        <f>QUARTILE(K12:K42,3)</f>
        <v>-28.55</v>
      </c>
      <c r="L44" s="99">
        <f>QUARTILE(L12:L42,3)</f>
        <v>-22.05</v>
      </c>
      <c r="M44" s="99">
        <f>QUARTILE(M12:M42,3)</f>
        <v>-7.5250000000000004</v>
      </c>
      <c r="N44" s="128"/>
      <c r="O44" s="98">
        <f>QUARTILE(O12:O42,3)</f>
        <v>-6.25</v>
      </c>
      <c r="P44" s="98">
        <f>QUARTILE(P12:P42,3)</f>
        <v>-3.9890050982156247</v>
      </c>
      <c r="Q44" s="98" t="e">
        <f>QUARTILE(Q12:Q42,3)</f>
        <v>#NUM!</v>
      </c>
      <c r="R44" s="128"/>
      <c r="S44" s="98">
        <f>QUARTILE(S12:S42,3)</f>
        <v>-3.9964979464979464</v>
      </c>
      <c r="T44" s="98">
        <f>QUARTILE(T12:T42,3)</f>
        <v>-4.517723962446258</v>
      </c>
      <c r="U44" s="98">
        <f>QUARTILE(U12:U42,3)</f>
        <v>37.700728629820503</v>
      </c>
      <c r="V44" s="98">
        <f>QUARTILE(V12:V42,3)</f>
        <v>30.011460620132855</v>
      </c>
      <c r="W44" s="129">
        <f>QUARTILE(W12:W42,3)</f>
        <v>27.232017073585602</v>
      </c>
      <c r="X44" s="48"/>
      <c r="Y44" s="48"/>
    </row>
    <row r="45" spans="2:35" ht="12.75" customHeight="1">
      <c r="B45" s="97" t="s">
        <v>48</v>
      </c>
      <c r="C45" s="99">
        <f>AVERAGE(C12:C42)</f>
        <v>2075.6433333333325</v>
      </c>
      <c r="D45" s="75"/>
      <c r="E45" s="99">
        <f>AVERAGE(E12:E42)</f>
        <v>-47.727777777777781</v>
      </c>
      <c r="F45" s="99">
        <f>AVERAGE(F12:F42)</f>
        <v>-26.48947368421053</v>
      </c>
      <c r="G45" s="99">
        <f>AVERAGE(G12:G42)</f>
        <v>-30.739999999999991</v>
      </c>
      <c r="H45" s="99"/>
      <c r="I45" s="99">
        <f>AVERAGE(I12:I42)</f>
        <v>-43.61</v>
      </c>
      <c r="J45" s="99">
        <f>AVERAGE(J12:J42)</f>
        <v>-25.494999999999997</v>
      </c>
      <c r="K45" s="99">
        <f>AVERAGE(K12:K42)</f>
        <v>6.2181818181818382</v>
      </c>
      <c r="L45" s="99">
        <f>AVERAGE(L12:L42)</f>
        <v>33.627272727272732</v>
      </c>
      <c r="M45" s="99">
        <f>AVERAGE(M12:M42)</f>
        <v>106.16000000000001</v>
      </c>
      <c r="N45" s="128"/>
      <c r="O45" s="98">
        <f>AVERAGE(O12:O42)</f>
        <v>-53.237048029304624</v>
      </c>
      <c r="P45" s="98">
        <f>AVERAGE(P12:P42)</f>
        <v>-124.21802989217186</v>
      </c>
      <c r="Q45" s="98" t="e">
        <f>AVERAGE(Q12:Q42)</f>
        <v>#DIV/0!</v>
      </c>
      <c r="R45" s="128"/>
      <c r="S45" s="98">
        <f>AVERAGE(S12:S42)</f>
        <v>-17.95961177437745</v>
      </c>
      <c r="T45" s="98">
        <f>AVERAGE(T12:T42)</f>
        <v>-13.584108115012199</v>
      </c>
      <c r="U45" s="98">
        <f>AVERAGE(U12:U42)</f>
        <v>37.700728629820503</v>
      </c>
      <c r="V45" s="98">
        <f>AVERAGE(V12:V42)</f>
        <v>27.897230318784679</v>
      </c>
      <c r="W45" s="129">
        <f>AVERAGE(W12:W42)</f>
        <v>25.153292459191668</v>
      </c>
      <c r="X45" s="48"/>
      <c r="Y45" s="48"/>
    </row>
    <row r="46" spans="2:35" ht="12.75" customHeight="1">
      <c r="B46" s="97" t="s">
        <v>3</v>
      </c>
      <c r="C46" s="99">
        <f>MEDIAN(C12:C42)</f>
        <v>94.4</v>
      </c>
      <c r="D46" s="75"/>
      <c r="E46" s="99">
        <f>MEDIAN(E12:E42)</f>
        <v>-20</v>
      </c>
      <c r="F46" s="99">
        <f>MEDIAN(F12:F42)</f>
        <v>-20.100000000000001</v>
      </c>
      <c r="G46" s="99">
        <f>MEDIAN(G12:G42)</f>
        <v>-27.45</v>
      </c>
      <c r="H46" s="99"/>
      <c r="I46" s="99">
        <f>MEDIAN(I12:I42)</f>
        <v>-18.5</v>
      </c>
      <c r="J46" s="99">
        <f>MEDIAN(J12:J42)</f>
        <v>-25.7</v>
      </c>
      <c r="K46" s="99">
        <f>MEDIAN(K12:K42)</f>
        <v>-47.7</v>
      </c>
      <c r="L46" s="99">
        <f>MEDIAN(L12:L42)</f>
        <v>-54.6</v>
      </c>
      <c r="M46" s="99">
        <f>MEDIAN(M12:M42)</f>
        <v>-54.3</v>
      </c>
      <c r="N46" s="128"/>
      <c r="O46" s="98">
        <f>MEDIAN(O12:O42)</f>
        <v>-11.393219356708201</v>
      </c>
      <c r="P46" s="98">
        <f>MEDIAN(P12:P42)</f>
        <v>-8.3401639344262293</v>
      </c>
      <c r="Q46" s="98" t="e">
        <f>MEDIAN(Q12:Q42)</f>
        <v>#NUM!</v>
      </c>
      <c r="R46" s="128"/>
      <c r="S46" s="98">
        <f>MEDIAN(S12:S42)</f>
        <v>-9.1472460220318226</v>
      </c>
      <c r="T46" s="98">
        <f>MEDIAN(T12:T42)</f>
        <v>-7.3567296996662961</v>
      </c>
      <c r="U46" s="98">
        <f>MEDIAN(U12:U42)</f>
        <v>37.700728629820503</v>
      </c>
      <c r="V46" s="98">
        <f>MEDIAN(V12:V42)</f>
        <v>27.897230318784679</v>
      </c>
      <c r="W46" s="129">
        <f>MEDIAN(W12:W42)</f>
        <v>25.153292459191668</v>
      </c>
      <c r="X46" s="48"/>
      <c r="Y46" s="48"/>
    </row>
    <row r="47" spans="2:35" ht="12.75" customHeight="1">
      <c r="B47" s="97" t="s">
        <v>49</v>
      </c>
      <c r="C47" s="99">
        <f>QUARTILE(C12:C42,1)</f>
        <v>0</v>
      </c>
      <c r="D47" s="75"/>
      <c r="E47" s="99">
        <f>QUARTILE(E12:E42,1)</f>
        <v>-63.725000000000001</v>
      </c>
      <c r="F47" s="99">
        <f>QUARTILE(F12:F42,1)</f>
        <v>-37.950000000000003</v>
      </c>
      <c r="G47" s="99">
        <f>QUARTILE(G12:G42,1)</f>
        <v>-68.099999999999994</v>
      </c>
      <c r="H47" s="99"/>
      <c r="I47" s="99">
        <f>QUARTILE(I12:I42,1)</f>
        <v>-36.674999999999997</v>
      </c>
      <c r="J47" s="99">
        <f>QUARTILE(J12:J42,1)</f>
        <v>-67.075000000000003</v>
      </c>
      <c r="K47" s="99">
        <f>QUARTILE(K12:K42,1)</f>
        <v>-131.6</v>
      </c>
      <c r="L47" s="99">
        <f>QUARTILE(L12:L42,1)</f>
        <v>-136.4</v>
      </c>
      <c r="M47" s="99">
        <f>QUARTILE(M12:M42,1)</f>
        <v>-162</v>
      </c>
      <c r="N47" s="128"/>
      <c r="O47" s="98">
        <f>QUARTILE(O12:O42,1)</f>
        <v>-28.544280852323169</v>
      </c>
      <c r="P47" s="98">
        <f>QUARTILE(P12:P42,1)</f>
        <v>-19.274672816992059</v>
      </c>
      <c r="Q47" s="98" t="e">
        <f>QUARTILE(Q12:Q42,1)</f>
        <v>#NUM!</v>
      </c>
      <c r="R47" s="128"/>
      <c r="S47" s="98">
        <f>QUARTILE(S12:S42,1)</f>
        <v>-23.521186440677965</v>
      </c>
      <c r="T47" s="98">
        <f>QUARTILE(T12:T42,1)</f>
        <v>-15.287313065722158</v>
      </c>
      <c r="U47" s="98">
        <f>QUARTILE(U12:U42,1)</f>
        <v>37.700728629820503</v>
      </c>
      <c r="V47" s="98">
        <f>QUARTILE(V12:V42,1)</f>
        <v>25.783000017436503</v>
      </c>
      <c r="W47" s="129">
        <f>QUARTILE(W12:W42,1)</f>
        <v>23.07456784479773</v>
      </c>
      <c r="X47" s="48"/>
      <c r="Y47" s="48"/>
    </row>
    <row r="48" spans="2:35" ht="12.75" customHeight="1">
      <c r="B48" s="101" t="s">
        <v>47</v>
      </c>
      <c r="C48" s="71">
        <f>MIN(C12:C42)</f>
        <v>0</v>
      </c>
      <c r="D48" s="68"/>
      <c r="E48" s="71">
        <f>MIN(E12:E42)</f>
        <v>-269.8</v>
      </c>
      <c r="F48" s="71">
        <f>MIN(F12:F42)</f>
        <v>-355.2</v>
      </c>
      <c r="G48" s="71">
        <f>MIN(G12:G42)</f>
        <v>-316.8</v>
      </c>
      <c r="H48" s="71"/>
      <c r="I48" s="71">
        <f>MIN(I12:I42)</f>
        <v>-353.7</v>
      </c>
      <c r="J48" s="71">
        <f>MIN(J12:J42)</f>
        <v>-325.8</v>
      </c>
      <c r="K48" s="71">
        <f>MIN(K12:K42)</f>
        <v>-297.3</v>
      </c>
      <c r="L48" s="71">
        <f>MIN(L12:L42)</f>
        <v>-256.5</v>
      </c>
      <c r="M48" s="71">
        <f>MIN(M12:M42)</f>
        <v>-492</v>
      </c>
      <c r="N48" s="130"/>
      <c r="O48" s="103">
        <f>MIN(O12:O42)</f>
        <v>-633.25970149253726</v>
      </c>
      <c r="P48" s="103">
        <f>MIN(P12:P42)</f>
        <v>-2203.85</v>
      </c>
      <c r="Q48" s="103">
        <f>MIN(Q12:Q42)</f>
        <v>0</v>
      </c>
      <c r="R48" s="130"/>
      <c r="S48" s="103">
        <f>MIN(S12:S42)</f>
        <v>-512.52325581395348</v>
      </c>
      <c r="T48" s="103">
        <f>MIN(T12:T42)</f>
        <v>-118.175</v>
      </c>
      <c r="U48" s="103">
        <f>MIN(U12:U42)</f>
        <v>37.700728629820503</v>
      </c>
      <c r="V48" s="103">
        <f>MIN(V12:V42)</f>
        <v>23.668769716088327</v>
      </c>
      <c r="W48" s="131">
        <f>MIN(W12:W42)</f>
        <v>20.995843230403796</v>
      </c>
      <c r="X48" s="48"/>
      <c r="Y48" s="48"/>
    </row>
    <row r="49" spans="2:2" ht="12.75" customHeight="1"/>
    <row r="50" spans="2:2" ht="12.75" customHeight="1">
      <c r="B50" s="8" t="s">
        <v>51</v>
      </c>
    </row>
    <row r="51" spans="2:2" ht="12.75" customHeight="1">
      <c r="B51" s="8"/>
    </row>
    <row r="52" spans="2:2" ht="12.75" customHeight="1"/>
    <row r="53" spans="2:2" ht="12.75" customHeight="1"/>
  </sheetData>
  <conditionalFormatting sqref="B12:C41">
    <cfRule type="cellIs" dxfId="30" priority="15" operator="equal">
      <formula>"(Invalid Identifier)"</formula>
    </cfRule>
  </conditionalFormatting>
  <conditionalFormatting sqref="C4:I4">
    <cfRule type="cellIs" dxfId="29" priority="14" stopIfTrue="1" operator="equal">
      <formula>"input"</formula>
    </cfRule>
  </conditionalFormatting>
  <conditionalFormatting sqref="J4">
    <cfRule type="cellIs" dxfId="28" priority="12" stopIfTrue="1" operator="equal">
      <formula>"input"</formula>
    </cfRule>
  </conditionalFormatting>
  <conditionalFormatting sqref="J4">
    <cfRule type="cellIs" dxfId="27" priority="13" stopIfTrue="1" operator="equal">
      <formula>"input"</formula>
    </cfRule>
  </conditionalFormatting>
  <conditionalFormatting sqref="K4:M4">
    <cfRule type="cellIs" dxfId="26" priority="10" stopIfTrue="1" operator="equal">
      <formula>"input"</formula>
    </cfRule>
  </conditionalFormatting>
  <conditionalFormatting sqref="K4:M4">
    <cfRule type="cellIs" dxfId="25" priority="11" stopIfTrue="1" operator="equal">
      <formula>"input"</formula>
    </cfRule>
  </conditionalFormatting>
  <conditionalFormatting sqref="N4">
    <cfRule type="cellIs" dxfId="24" priority="8" stopIfTrue="1" operator="equal">
      <formula>"input"</formula>
    </cfRule>
  </conditionalFormatting>
  <conditionalFormatting sqref="N4">
    <cfRule type="cellIs" dxfId="23" priority="9" stopIfTrue="1" operator="equal">
      <formula>"input"</formula>
    </cfRule>
  </conditionalFormatting>
  <conditionalFormatting sqref="O4:V4">
    <cfRule type="cellIs" dxfId="22" priority="6" stopIfTrue="1" operator="equal">
      <formula>"input"</formula>
    </cfRule>
  </conditionalFormatting>
  <conditionalFormatting sqref="O4:V4">
    <cfRule type="cellIs" dxfId="21" priority="7" stopIfTrue="1" operator="equal">
      <formula>"input"</formula>
    </cfRule>
  </conditionalFormatting>
  <conditionalFormatting sqref="W4">
    <cfRule type="cellIs" dxfId="20" priority="2" stopIfTrue="1" operator="equal">
      <formula>"input"</formula>
    </cfRule>
  </conditionalFormatting>
  <conditionalFormatting sqref="W4">
    <cfRule type="cellIs" dxfId="19" priority="3" stopIfTrue="1" operator="equal">
      <formula>"input"</formula>
    </cfRule>
  </conditionalFormatting>
  <conditionalFormatting sqref="B4">
    <cfRule type="cellIs" dxfId="18"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AC55"/>
  <sheetViews>
    <sheetView showGridLines="0" view="pageBreakPreview" zoomScale="70" zoomScaleNormal="100" zoomScaleSheetLayoutView="70" workbookViewId="0">
      <selection activeCell="B57" sqref="B57"/>
    </sheetView>
  </sheetViews>
  <sheetFormatPr defaultRowHeight="12.75"/>
  <cols>
    <col min="1" max="1" width="4.5" style="385" customWidth="1"/>
    <col min="2" max="2" width="72.6640625" style="385" bestFit="1" customWidth="1"/>
    <col min="3" max="3" width="2.83203125" style="385" customWidth="1"/>
    <col min="4" max="7" width="15.83203125" style="385" customWidth="1"/>
    <col min="8" max="8" width="2.83203125" style="385" customWidth="1"/>
    <col min="9" max="11" width="15.83203125" style="385" customWidth="1"/>
    <col min="12" max="12" width="2.83203125" style="385" customWidth="1"/>
    <col min="13" max="15" width="11.83203125" style="385" customWidth="1"/>
    <col min="16" max="16" width="2.83203125" style="385" customWidth="1"/>
    <col min="17" max="19" width="11.83203125" style="385" customWidth="1"/>
    <col min="20" max="20" width="2.83203125" style="385" customWidth="1"/>
    <col min="21" max="23" width="11.83203125" style="385" customWidth="1"/>
    <col min="24" max="24" width="4.5" style="385" customWidth="1"/>
    <col min="25" max="25" width="2.83203125" style="385" customWidth="1"/>
    <col min="26" max="26" width="15.33203125" style="385" bestFit="1" customWidth="1"/>
    <col min="27" max="27" width="10.5" style="385" bestFit="1" customWidth="1"/>
    <col min="28" max="28" width="15.33203125" style="385" bestFit="1" customWidth="1"/>
    <col min="29" max="33" width="9.33203125" style="385"/>
    <col min="34" max="34" width="8.83203125" style="385" customWidth="1"/>
    <col min="35" max="16384" width="9.33203125" style="385"/>
  </cols>
  <sheetData>
    <row r="1" spans="2:29" ht="10.7" customHeight="1" thickBot="1"/>
    <row r="2" spans="2:29"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Z2" s="270" t="s">
        <v>22</v>
      </c>
      <c r="AA2" s="271">
        <f>+'Comp.1'!$AM$2</f>
        <v>43312</v>
      </c>
    </row>
    <row r="3" spans="2:29"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Z3" s="194" t="s">
        <v>299</v>
      </c>
      <c r="AA3" s="275" t="str">
        <f>+'Comp.1'!$AM$3</f>
        <v>F</v>
      </c>
    </row>
    <row r="4" spans="2:29" ht="16.5" customHeight="1" thickBot="1">
      <c r="B4" s="12" t="s">
        <v>525</v>
      </c>
      <c r="C4" s="12"/>
      <c r="D4" s="12"/>
      <c r="E4" s="12"/>
      <c r="F4" s="12"/>
      <c r="G4" s="12"/>
      <c r="H4" s="12"/>
      <c r="I4" s="12"/>
      <c r="J4" s="13"/>
      <c r="K4" s="13" t="str">
        <f>+'MASTER PubCo Inputs'!$C$24</f>
        <v>(in millions of USD)</v>
      </c>
      <c r="L4" s="12"/>
      <c r="M4" s="13"/>
      <c r="N4" s="13"/>
      <c r="O4" s="13"/>
      <c r="P4" s="13"/>
      <c r="Q4" s="13"/>
      <c r="R4" s="13"/>
      <c r="S4" s="13"/>
      <c r="T4" s="13"/>
      <c r="U4" s="13"/>
      <c r="V4" s="13"/>
      <c r="W4" s="13" t="str">
        <f>+'MASTER PubCo Inputs'!$C$24</f>
        <v>(in millions of USD)</v>
      </c>
      <c r="Z4" s="194" t="s">
        <v>300</v>
      </c>
      <c r="AA4" s="275" t="str">
        <f>+'Comp.1'!$AM$4</f>
        <v>USD</v>
      </c>
    </row>
    <row r="5" spans="2:29" ht="12.75" customHeight="1" thickTop="1">
      <c r="Z5" s="78" t="s">
        <v>24</v>
      </c>
      <c r="AA5" s="274" t="str">
        <f>+'Comp.1'!$AM$5</f>
        <v>H</v>
      </c>
    </row>
    <row r="6" spans="2:29" ht="12.75" customHeight="1">
      <c r="D6" s="134" t="s">
        <v>175</v>
      </c>
      <c r="E6" s="135"/>
      <c r="F6" s="135"/>
      <c r="G6" s="136"/>
    </row>
    <row r="7" spans="2:29">
      <c r="D7" s="33" t="s">
        <v>182</v>
      </c>
      <c r="E7" s="34"/>
      <c r="F7" s="35"/>
      <c r="G7" s="276"/>
      <c r="I7" s="33" t="s">
        <v>506</v>
      </c>
      <c r="J7" s="34"/>
      <c r="K7" s="35"/>
      <c r="M7" s="2326" t="s">
        <v>619</v>
      </c>
      <c r="N7" s="2327"/>
      <c r="O7" s="2328"/>
      <c r="Q7" s="33" t="s">
        <v>105</v>
      </c>
      <c r="R7" s="34"/>
      <c r="S7" s="35"/>
      <c r="U7" s="33" t="s">
        <v>189</v>
      </c>
      <c r="V7" s="34"/>
      <c r="W7" s="35"/>
      <c r="Z7" s="738" t="s">
        <v>706</v>
      </c>
      <c r="AA7" s="911">
        <v>1</v>
      </c>
      <c r="AB7" s="738" t="s">
        <v>707</v>
      </c>
      <c r="AC7" s="911">
        <v>-1</v>
      </c>
    </row>
    <row r="8" spans="2:29" s="6" customFormat="1" ht="14.25" customHeight="1">
      <c r="B8" s="455" t="s">
        <v>519</v>
      </c>
      <c r="D8" s="577" t="s">
        <v>180</v>
      </c>
      <c r="E8" s="578" t="s">
        <v>93</v>
      </c>
      <c r="F8" s="578" t="s">
        <v>94</v>
      </c>
      <c r="G8" s="590" t="s">
        <v>181</v>
      </c>
      <c r="H8" s="298"/>
      <c r="I8" s="577" t="s">
        <v>188</v>
      </c>
      <c r="J8" s="578" t="s">
        <v>174</v>
      </c>
      <c r="K8" s="590" t="s">
        <v>175</v>
      </c>
      <c r="L8" s="298"/>
      <c r="M8" s="577" t="s">
        <v>188</v>
      </c>
      <c r="N8" s="578" t="s">
        <v>174</v>
      </c>
      <c r="O8" s="586" t="s">
        <v>175</v>
      </c>
      <c r="P8" s="298"/>
      <c r="Q8" s="572" t="s">
        <v>188</v>
      </c>
      <c r="R8" s="573" t="s">
        <v>174</v>
      </c>
      <c r="S8" s="575" t="s">
        <v>175</v>
      </c>
      <c r="T8" s="298"/>
      <c r="U8" s="572" t="s">
        <v>188</v>
      </c>
      <c r="V8" s="573" t="s">
        <v>174</v>
      </c>
      <c r="W8" s="575" t="s">
        <v>175</v>
      </c>
      <c r="X8" s="385"/>
      <c r="Z8" s="86" t="s">
        <v>43</v>
      </c>
    </row>
    <row r="9" spans="2:29" ht="12.75" customHeight="1"/>
    <row r="10" spans="2:29" ht="12.75" customHeight="1">
      <c r="B10" s="385" t="str">
        <f>'Comp.1'!B10</f>
        <v>Vertex Pharmaceuticals Incorporated</v>
      </c>
      <c r="D10" s="54">
        <f>'Capital IQ Sheet-GPC'!AF13</f>
        <v>0.39700000000000002</v>
      </c>
      <c r="E10" s="54">
        <f>'Capital IQ Sheet-GPC'!AG13</f>
        <v>0.223</v>
      </c>
      <c r="F10" s="54">
        <f>'Capital IQ Sheet-GPC'!AH13</f>
        <v>0.19700000000000001</v>
      </c>
      <c r="G10" s="54">
        <f>'Capital IQ Sheet-GPC'!AI13</f>
        <v>0.158</v>
      </c>
      <c r="I10" s="91">
        <f>'Capital IQ Sheet-GPC'!AJ13</f>
        <v>-1.1000000000000001</v>
      </c>
      <c r="J10" s="91">
        <f>'Capital IQ Sheet-GPC'!AK13</f>
        <v>-95.3</v>
      </c>
      <c r="K10" s="91">
        <f>'Capital IQ Sheet-GPC'!AL13</f>
        <v>-272.60000000000002</v>
      </c>
      <c r="M10" s="54">
        <f>IFERROR(IF(I10/'Comp.1'!H10&gt;$AA$7,"NM",IF((I10/'Comp.1'!H10)&lt;$AC$7,"NM",I10/'Comp.1'!H10)),"n/a")</f>
        <v>-7.063053807628098E-4</v>
      </c>
      <c r="N10" s="54">
        <f>IFERROR(IF(J10/'Comp.1'!I10&gt;$AA$7,"NM",IF((J10/'Comp.1'!I10)&lt;$AC$7,"NM",J10/'Comp.1'!I10)),"n/a")</f>
        <v>-4.4714493501618727E-2</v>
      </c>
      <c r="O10" s="54">
        <f>IFERROR(IF(K10/'Comp.1'!J10&gt;$AA$7,"NM",IF((K10/'Comp.1'!J10)&lt;$AC$7,"NM",K10/'Comp.1'!J10)),"n/a")</f>
        <v>-0.10393472624675919</v>
      </c>
      <c r="P10" s="386"/>
      <c r="Q10" s="91">
        <f>'Capital IQ Sheet-GPC'!AM13</f>
        <v>-49.2</v>
      </c>
      <c r="R10" s="91">
        <f>'Capital IQ Sheet-GPC'!AN13</f>
        <v>-57.1</v>
      </c>
      <c r="S10" s="91">
        <f>'Capital IQ Sheet-GPC'!AO13</f>
        <v>-129.80000000000001</v>
      </c>
      <c r="U10" s="54">
        <f>IFERROR(IF(Q10/'Comp.1'!H10&gt;$AA$7,"NM",IF((Q10/'Comp.1'!H10)&lt;$AC$7,"NM",Q10/'Comp.1'!H10)),"n/a")</f>
        <v>-3.1591113394118402E-2</v>
      </c>
      <c r="V10" s="54">
        <f>IFERROR(IF(R10/'Comp.1'!I10&gt;$AA$7,"NM",IF((R10/'Comp.1'!I10)&lt;$AC$7,"NM",R10/'Comp.1'!I10)),"n/a")</f>
        <v>-2.6791160324684465E-2</v>
      </c>
      <c r="W10" s="54">
        <f>IFERROR(IF(S10/'Comp.1'!J10&gt;$AA$7,"NM",IF((S10/'Comp.1'!J10)&lt;$AC$7,"NM",S10/'Comp.1'!J10)),"n/a")</f>
        <v>-4.9489095622998323E-2</v>
      </c>
      <c r="Z10" s="92" t="str">
        <f>IF('MASTER PubCo Inputs'!B28="","",'MASTER PubCo Inputs'!B28)</f>
        <v>NasdaqGS:VRTX</v>
      </c>
      <c r="AA10" s="385" t="str">
        <f>'Comp.2'!AI12</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1" spans="2:29" ht="12.75" customHeight="1">
      <c r="B11" s="385" t="str">
        <f>'Comp.1'!B11</f>
        <v>FibroGen, Inc.</v>
      </c>
      <c r="D11" s="54">
        <f>'Capital IQ Sheet-GPC'!AF14</f>
        <v>-0.61299999999999999</v>
      </c>
      <c r="E11" s="54">
        <f>'Capital IQ Sheet-GPC'!AG14</f>
        <v>-1.0009999999999999</v>
      </c>
      <c r="F11" s="54">
        <f>'Capital IQ Sheet-GPC'!AH14</f>
        <v>-1.0489999999999999</v>
      </c>
      <c r="G11" s="54">
        <f>'Capital IQ Sheet-GPC'!AI14</f>
        <v>-1.069</v>
      </c>
      <c r="I11" s="91">
        <f>'Capital IQ Sheet-GPC'!AJ14</f>
        <v>-47.7</v>
      </c>
      <c r="J11" s="91">
        <f>'Capital IQ Sheet-GPC'!AK14</f>
        <v>-47</v>
      </c>
      <c r="K11" s="91">
        <f>'Capital IQ Sheet-GPC'!AL14</f>
        <v>-69.900000000000006</v>
      </c>
      <c r="M11" s="54">
        <f>IFERROR(IF(I11/'Comp.1'!H11&gt;$AA$7,"NM",IF((I11/'Comp.1'!H11)&lt;$AC$7,"NM",I11/'Comp.1'!H11)),"n/a")</f>
        <v>-0.24740663900414939</v>
      </c>
      <c r="N11" s="54">
        <f>IFERROR(IF(J11/'Comp.1'!I11&gt;$AA$7,"NM",IF((J11/'Comp.1'!I11)&lt;$AC$7,"NM",J11/'Comp.1'!I11)),"n/a")</f>
        <v>-0.26009961261759823</v>
      </c>
      <c r="O11" s="54">
        <f>IFERROR(IF(K11/'Comp.1'!J11&gt;$AA$7,"NM",IF((K11/'Comp.1'!J11)&lt;$AC$7,"NM",K11/'Comp.1'!J11)),"n/a")</f>
        <v>-0.545241809672387</v>
      </c>
      <c r="P11" s="386"/>
      <c r="Q11" s="91">
        <f>'Capital IQ Sheet-GPC'!AM14</f>
        <v>-2.4</v>
      </c>
      <c r="R11" s="91">
        <f>'Capital IQ Sheet-GPC'!AN14</f>
        <v>-1</v>
      </c>
      <c r="S11" s="91">
        <f>'Capital IQ Sheet-GPC'!AO14</f>
        <v>-9.6999999999999993</v>
      </c>
      <c r="U11" s="54">
        <f>IFERROR(IF(Q11/'Comp.1'!H11&gt;$AA$7,"NM",IF((Q11/'Comp.1'!H11)&lt;$AC$7,"NM",Q11/'Comp.1'!H11)),"n/a")</f>
        <v>-1.2448132780082987E-2</v>
      </c>
      <c r="V11" s="54">
        <f>IFERROR(IF(R11/'Comp.1'!I11&gt;$AA$7,"NM",IF((R11/'Comp.1'!I11)&lt;$AC$7,"NM",R11/'Comp.1'!I11)),"n/a")</f>
        <v>-5.5340343110127288E-3</v>
      </c>
      <c r="W11" s="54">
        <f>IFERROR(IF(S11/'Comp.1'!J11&gt;$AA$7,"NM",IF((S11/'Comp.1'!J11)&lt;$AC$7,"NM",S11/'Comp.1'!J11)),"n/a")</f>
        <v>-7.5663026521060842E-2</v>
      </c>
      <c r="Z11" s="92" t="str">
        <f>IF('MASTER PubCo Inputs'!B29="","",'MASTER PubCo Inputs'!B29)</f>
        <v>NasdaqGS:FGEN</v>
      </c>
      <c r="AA11" s="385" t="str">
        <f>'Comp.2'!AI13</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2" spans="2:29" ht="12.75" customHeight="1">
      <c r="B12" s="385" t="str">
        <f>'Comp.1'!B12</f>
        <v>Galapagos NV</v>
      </c>
      <c r="D12" s="54">
        <f>'Capital IQ Sheet-GPC'!AF15</f>
        <v>8.3000000000000004E-2</v>
      </c>
      <c r="E12" s="54">
        <f>'Capital IQ Sheet-GPC'!AG15</f>
        <v>-0.66400000000000003</v>
      </c>
      <c r="F12" s="54">
        <f>'Capital IQ Sheet-GPC'!AH15</f>
        <v>-0.68700000000000006</v>
      </c>
      <c r="G12" s="54">
        <f>'Capital IQ Sheet-GPC'!AI15</f>
        <v>-0.86599999999999999</v>
      </c>
      <c r="I12" s="91">
        <f>'Capital IQ Sheet-GPC'!AJ15</f>
        <v>-85.8</v>
      </c>
      <c r="J12" s="91">
        <f>'Capital IQ Sheet-GPC'!AK15</f>
        <v>-95.4</v>
      </c>
      <c r="K12" s="91">
        <f>'Capital IQ Sheet-GPC'!AL15</f>
        <v>-241.6</v>
      </c>
      <c r="M12" s="54" t="str">
        <f>IFERROR(IF(I12/'Comp.1'!H12&gt;$AA$7,"NM",IF((I12/'Comp.1'!H12)&lt;$AC$7,"NM",I12/'Comp.1'!H12)),"n/a")</f>
        <v>NM</v>
      </c>
      <c r="N12" s="54">
        <f>IFERROR(IF(J12/'Comp.1'!I12&gt;$AA$7,"NM",IF((J12/'Comp.1'!I12)&lt;$AC$7,"NM",J12/'Comp.1'!I12)),"n/a")</f>
        <v>-0.50502911593435684</v>
      </c>
      <c r="O12" s="54" t="str">
        <f>IFERROR(IF(K12/'Comp.1'!J12&gt;$AA$7,"NM",IF((K12/'Comp.1'!J12)&lt;$AC$7,"NM",K12/'Comp.1'!J12)),"n/a")</f>
        <v>NM</v>
      </c>
      <c r="P12" s="386"/>
      <c r="Q12" s="91">
        <f>'Capital IQ Sheet-GPC'!AM15</f>
        <v>-7.6</v>
      </c>
      <c r="R12" s="91">
        <f>'Capital IQ Sheet-GPC'!AN15</f>
        <v>-4.7</v>
      </c>
      <c r="S12" s="91">
        <f>'Capital IQ Sheet-GPC'!AO15</f>
        <v>-6.9</v>
      </c>
      <c r="U12" s="54">
        <f>IFERROR(IF(Q12/'Comp.1'!H12&gt;$AA$7,"NM",IF((Q12/'Comp.1'!H12)&lt;$AC$7,"NM",Q12/'Comp.1'!H12)),"n/a")</f>
        <v>-0.12044374009508715</v>
      </c>
      <c r="V12" s="54">
        <f>IFERROR(IF(R12/'Comp.1'!I12&gt;$AA$7,"NM",IF((R12/'Comp.1'!I12)&lt;$AC$7,"NM",R12/'Comp.1'!I12)),"n/a")</f>
        <v>-2.4880889359449446E-2</v>
      </c>
      <c r="W12" s="54">
        <f>IFERROR(IF(S12/'Comp.1'!J12&gt;$AA$7,"NM",IF((S12/'Comp.1'!J12)&lt;$AC$7,"NM",S12/'Comp.1'!J12)),"n/a")</f>
        <v>-3.4813319878910197E-2</v>
      </c>
      <c r="Z12" s="92" t="str">
        <f>IF('MASTER PubCo Inputs'!B30="","",'MASTER PubCo Inputs'!B30)</f>
        <v>ENXTAM:GLPG</v>
      </c>
      <c r="AA12" s="385" t="str">
        <f>'Comp.2'!AI14</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3" spans="2:29" ht="12.75" customHeight="1">
      <c r="B13" s="385" t="str">
        <f>'Comp.1'!B13</f>
        <v>Madrigal Pharmaceuticals, Inc.</v>
      </c>
      <c r="D13" s="54" t="str">
        <f>'Capital IQ Sheet-GPC'!AF16</f>
        <v>n/a</v>
      </c>
      <c r="E13" s="54" t="str">
        <f>'Capital IQ Sheet-GPC'!AG16</f>
        <v>n/a</v>
      </c>
      <c r="F13" s="54" t="str">
        <f>'Capital IQ Sheet-GPC'!AH16</f>
        <v>n/a</v>
      </c>
      <c r="G13" s="54" t="str">
        <f>'Capital IQ Sheet-GPC'!AI16</f>
        <v>n/a</v>
      </c>
      <c r="I13" s="91">
        <f>'Capital IQ Sheet-GPC'!AJ16</f>
        <v>-0.4</v>
      </c>
      <c r="J13" s="91">
        <f>'Capital IQ Sheet-GPC'!AK16</f>
        <v>-5.7</v>
      </c>
      <c r="K13" s="91">
        <f>'Capital IQ Sheet-GPC'!AL16</f>
        <v>-5.9</v>
      </c>
      <c r="M13" s="54" t="str">
        <f>IFERROR(IF(I13/'Comp.1'!H13&gt;$AA$7,"NM",IF((I13/'Comp.1'!H13)&lt;$AC$7,"NM",I13/'Comp.1'!H13)),"n/a")</f>
        <v>n/a</v>
      </c>
      <c r="N13" s="54" t="str">
        <f>IFERROR(IF(J13/'Comp.1'!I13&gt;$AA$7,"NM",IF((J13/'Comp.1'!I13)&lt;$AC$7,"NM",J13/'Comp.1'!I13)),"n/a")</f>
        <v>n/a</v>
      </c>
      <c r="O13" s="54" t="str">
        <f>IFERROR(IF(K13/'Comp.1'!J13&gt;$AA$7,"NM",IF((K13/'Comp.1'!J13)&lt;$AC$7,"NM",K13/'Comp.1'!J13)),"n/a")</f>
        <v>n/a</v>
      </c>
      <c r="P13" s="386"/>
      <c r="Q13" s="91" t="str">
        <f>'Capital IQ Sheet-GPC'!AM16</f>
        <v xml:space="preserve"> n/a </v>
      </c>
      <c r="R13" s="91">
        <f>'Capital IQ Sheet-GPC'!AN16</f>
        <v>0</v>
      </c>
      <c r="S13" s="91">
        <f>'Capital IQ Sheet-GPC'!AO16</f>
        <v>-0.1</v>
      </c>
      <c r="U13" s="54" t="str">
        <f>IFERROR(IF(Q13/'Comp.1'!H13&gt;$AA$7,"NM",IF((Q13/'Comp.1'!H13)&lt;$AC$7,"NM",Q13/'Comp.1'!H13)),"n/a")</f>
        <v>n/a</v>
      </c>
      <c r="V13" s="54" t="str">
        <f>IFERROR(IF(R13/'Comp.1'!I13&gt;$AA$7,"NM",IF((R13/'Comp.1'!I13)&lt;$AC$7,"NM",R13/'Comp.1'!I13)),"n/a")</f>
        <v>n/a</v>
      </c>
      <c r="W13" s="54" t="str">
        <f>IFERROR(IF(S13/'Comp.1'!J13&gt;$AA$7,"NM",IF((S13/'Comp.1'!J13)&lt;$AC$7,"NM",S13/'Comp.1'!J13)),"n/a")</f>
        <v>n/a</v>
      </c>
      <c r="Z13" s="92" t="str">
        <f>IF('MASTER PubCo Inputs'!B31="","",'MASTER PubCo Inputs'!B31)</f>
        <v>NasdaqCM:MDGL</v>
      </c>
      <c r="AA13" s="385" t="str">
        <f>'Comp.2'!AI15</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4" spans="2:29" ht="12.75" customHeight="1">
      <c r="B14" s="385" t="str">
        <f>'Comp.1'!B14</f>
        <v>Intercept Pharmaceuticals, Inc.</v>
      </c>
      <c r="D14" s="54">
        <f>'Capital IQ Sheet-GPC'!AF17</f>
        <v>0.98899999999999999</v>
      </c>
      <c r="E14" s="54">
        <f>'Capital IQ Sheet-GPC'!AG17</f>
        <v>-2.1720000000000002</v>
      </c>
      <c r="F14" s="54">
        <f>'Capital IQ Sheet-GPC'!AH17</f>
        <v>-2.2069999999999999</v>
      </c>
      <c r="G14" s="54">
        <f>'Capital IQ Sheet-GPC'!AI17</f>
        <v>-2.4129999999999998</v>
      </c>
      <c r="I14" s="91">
        <f>'Capital IQ Sheet-GPC'!AJ17</f>
        <v>-81.2</v>
      </c>
      <c r="J14" s="91">
        <f>'Capital IQ Sheet-GPC'!AK17</f>
        <v>-45.7</v>
      </c>
      <c r="K14" s="91">
        <f>'Capital IQ Sheet-GPC'!AL17</f>
        <v>-41.7</v>
      </c>
      <c r="M14" s="54" t="str">
        <f>IFERROR(IF(I14/'Comp.1'!H14&gt;$AA$7,"NM",IF((I14/'Comp.1'!H14)&lt;$AC$7,"NM",I14/'Comp.1'!H14)),"n/a")</f>
        <v>NM</v>
      </c>
      <c r="N14" s="54" t="str">
        <f>IFERROR(IF(J14/'Comp.1'!I14&gt;$AA$7,"NM",IF((J14/'Comp.1'!I14)&lt;$AC$7,"NM",J14/'Comp.1'!I14)),"n/a")</f>
        <v>NM</v>
      </c>
      <c r="O14" s="54">
        <f>IFERROR(IF(K14/'Comp.1'!J14&gt;$AA$7,"NM",IF((K14/'Comp.1'!J14)&lt;$AC$7,"NM",K14/'Comp.1'!J14)),"n/a")</f>
        <v>-0.2858122001370802</v>
      </c>
      <c r="P14" s="386"/>
      <c r="Q14" s="91">
        <f>'Capital IQ Sheet-GPC'!AM17</f>
        <v>-6.4</v>
      </c>
      <c r="R14" s="91">
        <f>'Capital IQ Sheet-GPC'!AN17</f>
        <v>-6.7</v>
      </c>
      <c r="S14" s="91">
        <f>'Capital IQ Sheet-GPC'!AO17</f>
        <v>-6.5</v>
      </c>
      <c r="U14" s="54" t="str">
        <f>IFERROR(IF(Q14/'Comp.1'!H14&gt;$AA$7,"NM",IF((Q14/'Comp.1'!H14)&lt;$AC$7,"NM",Q14/'Comp.1'!H14)),"n/a")</f>
        <v>NM</v>
      </c>
      <c r="V14" s="54">
        <f>IFERROR(IF(R14/'Comp.1'!I14&gt;$AA$7,"NM",IF((R14/'Comp.1'!I14)&lt;$AC$7,"NM",R14/'Comp.1'!I14)),"n/a")</f>
        <v>-0.14692982456140352</v>
      </c>
      <c r="W14" s="54">
        <f>IFERROR(IF(S14/'Comp.1'!J14&gt;$AA$7,"NM",IF((S14/'Comp.1'!J14)&lt;$AC$7,"NM",S14/'Comp.1'!J14)),"n/a")</f>
        <v>-4.4551062371487316E-2</v>
      </c>
      <c r="Z14" s="92" t="str">
        <f>IF('MASTER PubCo Inputs'!B32="","",'MASTER PubCo Inputs'!B32)</f>
        <v>NasdaqGS:ICPT</v>
      </c>
      <c r="AA14" s="385" t="str">
        <f>'Comp.2'!AI16</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5" spans="2:29" ht="12.75" customHeight="1">
      <c r="B15" s="385" t="str">
        <f>'Comp.1'!B15</f>
        <v>Insmed Incorporated</v>
      </c>
      <c r="D15" s="54" t="str">
        <f>'Capital IQ Sheet-GPC'!AF18</f>
        <v>n/a</v>
      </c>
      <c r="E15" s="54" t="str">
        <f>'Capital IQ Sheet-GPC'!AG18</f>
        <v>n/a</v>
      </c>
      <c r="F15" s="54" t="str">
        <f>'Capital IQ Sheet-GPC'!AH18</f>
        <v>n/a</v>
      </c>
      <c r="G15" s="54" t="str">
        <f>'Capital IQ Sheet-GPC'!AI18</f>
        <v>n/a</v>
      </c>
      <c r="I15" s="91">
        <f>'Capital IQ Sheet-GPC'!AJ18</f>
        <v>-14.3</v>
      </c>
      <c r="J15" s="91">
        <f>'Capital IQ Sheet-GPC'!AK18</f>
        <v>-17.5</v>
      </c>
      <c r="K15" s="91">
        <f>'Capital IQ Sheet-GPC'!AL18</f>
        <v>-25</v>
      </c>
      <c r="M15" s="54" t="str">
        <f>IFERROR(IF(I15/'Comp.1'!H15&gt;$AA$7,"NM",IF((I15/'Comp.1'!H15)&lt;$AC$7,"NM",I15/'Comp.1'!H15)),"n/a")</f>
        <v>n/a</v>
      </c>
      <c r="N15" s="54" t="str">
        <f>IFERROR(IF(J15/'Comp.1'!I15&gt;$AA$7,"NM",IF((J15/'Comp.1'!I15)&lt;$AC$7,"NM",J15/'Comp.1'!I15)),"n/a")</f>
        <v>n/a</v>
      </c>
      <c r="O15" s="54" t="str">
        <f>IFERROR(IF(K15/'Comp.1'!J15&gt;$AA$7,"NM",IF((K15/'Comp.1'!J15)&lt;$AC$7,"NM",K15/'Comp.1'!J15)),"n/a")</f>
        <v>n/a</v>
      </c>
      <c r="P15" s="386"/>
      <c r="Q15" s="91">
        <f>'Capital IQ Sheet-GPC'!AM18</f>
        <v>-2.8</v>
      </c>
      <c r="R15" s="91">
        <f>'Capital IQ Sheet-GPC'!AN18</f>
        <v>-4</v>
      </c>
      <c r="S15" s="91">
        <f>'Capital IQ Sheet-GPC'!AO18</f>
        <v>-7.9</v>
      </c>
      <c r="U15" s="54" t="str">
        <f>IFERROR(IF(Q15/'Comp.1'!H15&gt;$AA$7,"NM",IF((Q15/'Comp.1'!H15)&lt;$AC$7,"NM",Q15/'Comp.1'!H15)),"n/a")</f>
        <v>n/a</v>
      </c>
      <c r="V15" s="54" t="str">
        <f>IFERROR(IF(R15/'Comp.1'!I15&gt;$AA$7,"NM",IF((R15/'Comp.1'!I15)&lt;$AC$7,"NM",R15/'Comp.1'!I15)),"n/a")</f>
        <v>n/a</v>
      </c>
      <c r="W15" s="54" t="str">
        <f>IFERROR(IF(S15/'Comp.1'!J15&gt;$AA$7,"NM",IF((S15/'Comp.1'!J15)&lt;$AC$7,"NM",S15/'Comp.1'!J15)),"n/a")</f>
        <v>n/a</v>
      </c>
      <c r="Z15" s="92" t="str">
        <f>IF('MASTER PubCo Inputs'!B33="","",'MASTER PubCo Inputs'!B33)</f>
        <v>NasdaqGS:INSM</v>
      </c>
      <c r="AA15" s="385" t="str">
        <f>'Comp.2'!AI17</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6" spans="2:29" ht="12.75" customHeight="1">
      <c r="B16" s="385" t="str">
        <f>'Comp.1'!B16</f>
        <v>Genfit SA</v>
      </c>
      <c r="D16" s="54">
        <f>'Capital IQ Sheet-GPC'!AF19</f>
        <v>1</v>
      </c>
      <c r="E16" s="54" t="str">
        <f>'Capital IQ Sheet-GPC'!AG19</f>
        <v>n/a</v>
      </c>
      <c r="F16" s="54" t="str">
        <f>'Capital IQ Sheet-GPC'!AH19</f>
        <v>n/a</v>
      </c>
      <c r="G16" s="54" t="str">
        <f>'Capital IQ Sheet-GPC'!AI19</f>
        <v>n/a</v>
      </c>
      <c r="I16" s="91">
        <f>'Capital IQ Sheet-GPC'!AJ19</f>
        <v>-0.8</v>
      </c>
      <c r="J16" s="91">
        <f>'Capital IQ Sheet-GPC'!AK19</f>
        <v>-7</v>
      </c>
      <c r="K16" s="91">
        <f>'Capital IQ Sheet-GPC'!AL19</f>
        <v>-17</v>
      </c>
      <c r="M16" s="54">
        <f>IFERROR(IF(I16/'Comp.1'!H16&gt;$AA$7,"NM",IF((I16/'Comp.1'!H16)&lt;$AC$7,"NM",I16/'Comp.1'!H16)),"n/a")</f>
        <v>-0.17391304347826089</v>
      </c>
      <c r="N16" s="54">
        <f>IFERROR(IF(J16/'Comp.1'!I16&gt;$AA$7,"NM",IF((J16/'Comp.1'!I16)&lt;$AC$7,"NM",J16/'Comp.1'!I16)),"n/a")</f>
        <v>-1</v>
      </c>
      <c r="O16" s="54" t="str">
        <f>IFERROR(IF(K16/'Comp.1'!J16&gt;$AA$7,"NM",IF((K16/'Comp.1'!J16)&lt;$AC$7,"NM",K16/'Comp.1'!J16)),"n/a")</f>
        <v>NM</v>
      </c>
      <c r="P16" s="386"/>
      <c r="Q16" s="91">
        <f>'Capital IQ Sheet-GPC'!AM19</f>
        <v>-0.9</v>
      </c>
      <c r="R16" s="91">
        <f>'Capital IQ Sheet-GPC'!AN19</f>
        <v>-2.1</v>
      </c>
      <c r="S16" s="91">
        <f>'Capital IQ Sheet-GPC'!AO19</f>
        <v>-3.4</v>
      </c>
      <c r="U16" s="54">
        <f>IFERROR(IF(Q16/'Comp.1'!H16&gt;$AA$7,"NM",IF((Q16/'Comp.1'!H16)&lt;$AC$7,"NM",Q16/'Comp.1'!H16)),"n/a")</f>
        <v>-0.19565217391304349</v>
      </c>
      <c r="V16" s="54">
        <f>IFERROR(IF(R16/'Comp.1'!I16&gt;$AA$7,"NM",IF((R16/'Comp.1'!I16)&lt;$AC$7,"NM",R16/'Comp.1'!I16)),"n/a")</f>
        <v>-0.3</v>
      </c>
      <c r="W16" s="54">
        <f>IFERROR(IF(S16/'Comp.1'!J16&gt;$AA$7,"NM",IF((S16/'Comp.1'!J16)&lt;$AC$7,"NM",S16/'Comp.1'!J16)),"n/a")</f>
        <v>-0.42499999999999999</v>
      </c>
      <c r="Z16" s="92" t="str">
        <f>IF('MASTER PubCo Inputs'!B34="","",'MASTER PubCo Inputs'!B34)</f>
        <v>ENXTPA:GNFT</v>
      </c>
      <c r="AA16" s="385" t="str">
        <f>'Comp.2'!AI18</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7" spans="2:27" ht="12.75" customHeight="1">
      <c r="B17" s="385" t="str">
        <f>'Comp.1'!B17</f>
        <v>Kadmon Holdings, Inc.</v>
      </c>
      <c r="D17" s="54">
        <f>'Capital IQ Sheet-GPC'!AF20</f>
        <v>0.66400000000000003</v>
      </c>
      <c r="E17" s="54" t="str">
        <f>'Capital IQ Sheet-GPC'!AG20</f>
        <v>n/a</v>
      </c>
      <c r="F17" s="54" t="str">
        <f>'Capital IQ Sheet-GPC'!AH20</f>
        <v>n/a</v>
      </c>
      <c r="G17" s="54" t="str">
        <f>'Capital IQ Sheet-GPC'!AI20</f>
        <v>n/a</v>
      </c>
      <c r="I17" s="91">
        <f>'Capital IQ Sheet-GPC'!AJ20</f>
        <v>-34.799999999999997</v>
      </c>
      <c r="J17" s="91">
        <f>'Capital IQ Sheet-GPC'!AK20</f>
        <v>-17.100000000000001</v>
      </c>
      <c r="K17" s="91">
        <f>'Capital IQ Sheet-GPC'!AL20</f>
        <v>-14.8</v>
      </c>
      <c r="M17" s="54">
        <f>IFERROR(IF(I17/'Comp.1'!H17&gt;$AA$7,"NM",IF((I17/'Comp.1'!H17)&lt;$AC$7,"NM",I17/'Comp.1'!H17)),"n/a")</f>
        <v>-0.92307692307692291</v>
      </c>
      <c r="N17" s="54">
        <f>IFERROR(IF(J17/'Comp.1'!I17&gt;$AA$7,"NM",IF((J17/'Comp.1'!I17)&lt;$AC$7,"NM",J17/'Comp.1'!I17)),"n/a")</f>
        <v>-0.77727272727272734</v>
      </c>
      <c r="O17" s="54" t="str">
        <f>IFERROR(IF(K17/'Comp.1'!J17&gt;$AA$7,"NM",IF((K17/'Comp.1'!J17)&lt;$AC$7,"NM",K17/'Comp.1'!J17)),"n/a")</f>
        <v>NM</v>
      </c>
      <c r="P17" s="386"/>
      <c r="Q17" s="91">
        <f>'Capital IQ Sheet-GPC'!AM20</f>
        <v>-0.5</v>
      </c>
      <c r="R17" s="91">
        <f>'Capital IQ Sheet-GPC'!AN20</f>
        <v>-0.3</v>
      </c>
      <c r="S17" s="91">
        <f>'Capital IQ Sheet-GPC'!AO20</f>
        <v>-0.5</v>
      </c>
      <c r="U17" s="54">
        <f>IFERROR(IF(Q17/'Comp.1'!H17&gt;$AA$7,"NM",IF((Q17/'Comp.1'!H17)&lt;$AC$7,"NM",Q17/'Comp.1'!H17)),"n/a")</f>
        <v>-1.326259946949602E-2</v>
      </c>
      <c r="V17" s="54">
        <f>IFERROR(IF(R17/'Comp.1'!I17&gt;$AA$7,"NM",IF((R17/'Comp.1'!I17)&lt;$AC$7,"NM",R17/'Comp.1'!I17)),"n/a")</f>
        <v>-1.3636363636363636E-2</v>
      </c>
      <c r="W17" s="54">
        <f>IFERROR(IF(S17/'Comp.1'!J17&gt;$AA$7,"NM",IF((S17/'Comp.1'!J17)&lt;$AC$7,"NM",S17/'Comp.1'!J17)),"n/a")</f>
        <v>-7.0422535211267609E-2</v>
      </c>
      <c r="Z17" s="92" t="str">
        <f>IF('MASTER PubCo Inputs'!B35="","",'MASTER PubCo Inputs'!B35)</f>
        <v>NYSE:KDMN</v>
      </c>
      <c r="AA17" s="385" t="str">
        <f>'Comp.2'!AI19</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8" spans="2:27" ht="12.75" customHeight="1">
      <c r="B18" s="385" t="str">
        <f>'Comp.1'!B18</f>
        <v>MediciNova, Inc.</v>
      </c>
      <c r="D18" s="54" t="str">
        <f>'Capital IQ Sheet-GPC'!AF21</f>
        <v>n/a</v>
      </c>
      <c r="E18" s="54" t="str">
        <f>'Capital IQ Sheet-GPC'!AG21</f>
        <v>n/a</v>
      </c>
      <c r="F18" s="54" t="str">
        <f>'Capital IQ Sheet-GPC'!AH21</f>
        <v>n/a</v>
      </c>
      <c r="G18" s="54" t="str">
        <f>'Capital IQ Sheet-GPC'!AI21</f>
        <v>n/a</v>
      </c>
      <c r="I18" s="91">
        <f>'Capital IQ Sheet-GPC'!AJ21</f>
        <v>-0.7</v>
      </c>
      <c r="J18" s="91">
        <f>'Capital IQ Sheet-GPC'!AK21</f>
        <v>-0.9</v>
      </c>
      <c r="K18" s="91">
        <f>'Capital IQ Sheet-GPC'!AL21</f>
        <v>-1.1000000000000001</v>
      </c>
      <c r="M18" s="54" t="str">
        <f>IFERROR(IF(I18/'Comp.1'!H18&gt;$AA$7,"NM",IF((I18/'Comp.1'!H18)&lt;$AC$7,"NM",I18/'Comp.1'!H18)),"n/a")</f>
        <v>n/a</v>
      </c>
      <c r="N18" s="54" t="str">
        <f>IFERROR(IF(J18/'Comp.1'!I18&gt;$AA$7,"NM",IF((J18/'Comp.1'!I18)&lt;$AC$7,"NM",J18/'Comp.1'!I18)),"n/a")</f>
        <v>n/a</v>
      </c>
      <c r="O18" s="54" t="str">
        <f>IFERROR(IF(K18/'Comp.1'!J18&gt;$AA$7,"NM",IF((K18/'Comp.1'!J18)&lt;$AC$7,"NM",K18/'Comp.1'!J18)),"n/a")</f>
        <v>n/a</v>
      </c>
      <c r="P18" s="386"/>
      <c r="Q18" s="91">
        <f>'Capital IQ Sheet-GPC'!AM21</f>
        <v>0</v>
      </c>
      <c r="R18" s="91">
        <f>'Capital IQ Sheet-GPC'!AN21</f>
        <v>-0.1</v>
      </c>
      <c r="S18" s="91">
        <f>'Capital IQ Sheet-GPC'!AO21</f>
        <v>0</v>
      </c>
      <c r="U18" s="54" t="str">
        <f>IFERROR(IF(Q18/'Comp.1'!H18&gt;$AA$7,"NM",IF((Q18/'Comp.1'!H18)&lt;$AC$7,"NM",Q18/'Comp.1'!H18)),"n/a")</f>
        <v>n/a</v>
      </c>
      <c r="V18" s="54" t="str">
        <f>IFERROR(IF(R18/'Comp.1'!I18&gt;$AA$7,"NM",IF((R18/'Comp.1'!I18)&lt;$AC$7,"NM",R18/'Comp.1'!I18)),"n/a")</f>
        <v>n/a</v>
      </c>
      <c r="W18" s="54" t="str">
        <f>IFERROR(IF(S18/'Comp.1'!J18&gt;$AA$7,"NM",IF((S18/'Comp.1'!J18)&lt;$AC$7,"NM",S18/'Comp.1'!J18)),"n/a")</f>
        <v>n/a</v>
      </c>
      <c r="Z18" s="92" t="str">
        <f>IF('MASTER PubCo Inputs'!B36="","",'MASTER PubCo Inputs'!B36)</f>
        <v>NasdaqGM:MNOV</v>
      </c>
      <c r="AA18" s="385" t="str">
        <f>'Comp.2'!AI20</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9" spans="2:27" ht="12.75" customHeight="1">
      <c r="B19" s="385" t="str">
        <f>'Comp.1'!B19</f>
        <v>Savara Inc.</v>
      </c>
      <c r="D19" s="54" t="str">
        <f>'Capital IQ Sheet-GPC'!AF22</f>
        <v>n/a</v>
      </c>
      <c r="E19" s="54" t="str">
        <f>'Capital IQ Sheet-GPC'!AG22</f>
        <v>n/a</v>
      </c>
      <c r="F19" s="54" t="str">
        <f>'Capital IQ Sheet-GPC'!AH22</f>
        <v>n/a</v>
      </c>
      <c r="G19" s="54" t="str">
        <f>'Capital IQ Sheet-GPC'!AI22</f>
        <v>n/a</v>
      </c>
      <c r="I19" s="91" t="str">
        <f>'Capital IQ Sheet-GPC'!AJ22</f>
        <v xml:space="preserve"> n/a </v>
      </c>
      <c r="J19" s="91">
        <f>'Capital IQ Sheet-GPC'!AK22</f>
        <v>-3.3</v>
      </c>
      <c r="K19" s="91">
        <f>'Capital IQ Sheet-GPC'!AL22</f>
        <v>-3</v>
      </c>
      <c r="M19" s="54" t="str">
        <f>IFERROR(IF(I19/'Comp.1'!H19&gt;$AA$7,"NM",IF((I19/'Comp.1'!H19)&lt;$AC$7,"NM",I19/'Comp.1'!H19)),"n/a")</f>
        <v>n/a</v>
      </c>
      <c r="N19" s="54" t="str">
        <f>IFERROR(IF(J19/'Comp.1'!I19&gt;$AA$7,"NM",IF((J19/'Comp.1'!I19)&lt;$AC$7,"NM",J19/'Comp.1'!I19)),"n/a")</f>
        <v>NM</v>
      </c>
      <c r="O19" s="54" t="str">
        <f>IFERROR(IF(K19/'Comp.1'!J19&gt;$AA$7,"NM",IF((K19/'Comp.1'!J19)&lt;$AC$7,"NM",K19/'Comp.1'!J19)),"n/a")</f>
        <v>n/a</v>
      </c>
      <c r="P19" s="386"/>
      <c r="Q19" s="91" t="str">
        <f>'Capital IQ Sheet-GPC'!AM22</f>
        <v xml:space="preserve"> n/a </v>
      </c>
      <c r="R19" s="91">
        <f>'Capital IQ Sheet-GPC'!AN22</f>
        <v>-0.1</v>
      </c>
      <c r="S19" s="91">
        <f>'Capital IQ Sheet-GPC'!AO22</f>
        <v>-0.5</v>
      </c>
      <c r="U19" s="54" t="str">
        <f>IFERROR(IF(Q19/'Comp.1'!H19&gt;$AA$7,"NM",IF((Q19/'Comp.1'!H19)&lt;$AC$7,"NM",Q19/'Comp.1'!H19)),"n/a")</f>
        <v>n/a</v>
      </c>
      <c r="V19" s="54">
        <f>IFERROR(IF(R19/'Comp.1'!I19&gt;$AA$7,"NM",IF((R19/'Comp.1'!I19)&lt;$AC$7,"NM",R19/'Comp.1'!I19)),"n/a")</f>
        <v>-0.25</v>
      </c>
      <c r="W19" s="54" t="str">
        <f>IFERROR(IF(S19/'Comp.1'!J19&gt;$AA$7,"NM",IF((S19/'Comp.1'!J19)&lt;$AC$7,"NM",S19/'Comp.1'!J19)),"n/a")</f>
        <v>n/a</v>
      </c>
      <c r="Z19" s="92" t="str">
        <f>IF('MASTER PubCo Inputs'!B37="","",'MASTER PubCo Inputs'!B37)</f>
        <v>NasdaqGS:SVRA</v>
      </c>
      <c r="AA19" s="385" t="str">
        <f>'Comp.2'!AI21</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0" spans="2:27" ht="12.75" customHeight="1">
      <c r="B20" s="385" t="str">
        <f>'Comp.1'!B20</f>
        <v>Galmed Pharmaceuticals Ltd.</v>
      </c>
      <c r="D20" s="54">
        <f>'Capital IQ Sheet-GPC'!AF23</f>
        <v>1</v>
      </c>
      <c r="E20" s="54" t="str">
        <f>'Capital IQ Sheet-GPC'!AG23</f>
        <v>n/a</v>
      </c>
      <c r="F20" s="54" t="str">
        <f>'Capital IQ Sheet-GPC'!AH23</f>
        <v>n/a</v>
      </c>
      <c r="G20" s="54" t="str">
        <f>'Capital IQ Sheet-GPC'!AI23</f>
        <v>n/a</v>
      </c>
      <c r="I20" s="91">
        <f>'Capital IQ Sheet-GPC'!AJ23</f>
        <v>-2.8</v>
      </c>
      <c r="J20" s="91">
        <f>'Capital IQ Sheet-GPC'!AK23</f>
        <v>-3.5</v>
      </c>
      <c r="K20" s="91">
        <f>'Capital IQ Sheet-GPC'!AL23</f>
        <v>-2.2999999999999998</v>
      </c>
      <c r="M20" s="54" t="str">
        <f>IFERROR(IF(I20/'Comp.1'!H20&gt;$AA$7,"NM",IF((I20/'Comp.1'!H20)&lt;$AC$7,"NM",I20/'Comp.1'!H20)),"n/a")</f>
        <v>n/a</v>
      </c>
      <c r="N20" s="54" t="str">
        <f>IFERROR(IF(J20/'Comp.1'!I20&gt;$AA$7,"NM",IF((J20/'Comp.1'!I20)&lt;$AC$7,"NM",J20/'Comp.1'!I20)),"n/a")</f>
        <v>NM</v>
      </c>
      <c r="O20" s="54" t="str">
        <f>IFERROR(IF(K20/'Comp.1'!J20&gt;$AA$7,"NM",IF((K20/'Comp.1'!J20)&lt;$AC$7,"NM",K20/'Comp.1'!J20)),"n/a")</f>
        <v>NM</v>
      </c>
      <c r="P20" s="386"/>
      <c r="Q20" s="91">
        <f>'Capital IQ Sheet-GPC'!AM23</f>
        <v>-0.2</v>
      </c>
      <c r="R20" s="91">
        <f>'Capital IQ Sheet-GPC'!AN23</f>
        <v>0</v>
      </c>
      <c r="S20" s="91">
        <f>'Capital IQ Sheet-GPC'!AO23</f>
        <v>0</v>
      </c>
      <c r="U20" s="54" t="str">
        <f>IFERROR(IF(Q20/'Comp.1'!H20&gt;$AA$7,"NM",IF((Q20/'Comp.1'!H20)&lt;$AC$7,"NM",Q20/'Comp.1'!H20)),"n/a")</f>
        <v>n/a</v>
      </c>
      <c r="V20" s="54">
        <f>IFERROR(IF(R20/'Comp.1'!I20&gt;$AA$7,"NM",IF((R20/'Comp.1'!I20)&lt;$AC$7,"NM",R20/'Comp.1'!I20)),"n/a")</f>
        <v>0</v>
      </c>
      <c r="W20" s="54">
        <f>IFERROR(IF(S20/'Comp.1'!J20&gt;$AA$7,"NM",IF((S20/'Comp.1'!J20)&lt;$AC$7,"NM",S20/'Comp.1'!J20)),"n/a")</f>
        <v>0</v>
      </c>
      <c r="Z20" s="92" t="str">
        <f>IF('MASTER PubCo Inputs'!B38="","",'MASTER PubCo Inputs'!B38)</f>
        <v>NasdaqCM:GLMD</v>
      </c>
      <c r="AA20" s="385" t="str">
        <f>'Comp.2'!AI22</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1" spans="2:27" ht="12.75" customHeight="1">
      <c r="B21" s="385" t="str">
        <f>'Comp.1'!B21</f>
        <v>Galectin Therapeutics, Inc.</v>
      </c>
      <c r="D21" s="54" t="str">
        <f>'Capital IQ Sheet-GPC'!AF24</f>
        <v>n/a</v>
      </c>
      <c r="E21" s="54" t="str">
        <f>'Capital IQ Sheet-GPC'!AG24</f>
        <v>n/a</v>
      </c>
      <c r="F21" s="54" t="str">
        <f>'Capital IQ Sheet-GPC'!AH24</f>
        <v>n/a</v>
      </c>
      <c r="G21" s="54" t="str">
        <f>'Capital IQ Sheet-GPC'!AI24</f>
        <v>n/a</v>
      </c>
      <c r="I21" s="91">
        <f>'Capital IQ Sheet-GPC'!AJ24</f>
        <v>-2.8</v>
      </c>
      <c r="J21" s="91">
        <f>'Capital IQ Sheet-GPC'!AK24</f>
        <v>-4</v>
      </c>
      <c r="K21" s="91">
        <f>'Capital IQ Sheet-GPC'!AL24</f>
        <v>-1.6</v>
      </c>
      <c r="M21" s="54" t="str">
        <f>IFERROR(IF(I21/'Comp.1'!H21&gt;$AA$7,"NM",IF((I21/'Comp.1'!H21)&lt;$AC$7,"NM",I21/'Comp.1'!H21)),"n/a")</f>
        <v>n/a</v>
      </c>
      <c r="N21" s="54" t="str">
        <f>IFERROR(IF(J21/'Comp.1'!I21&gt;$AA$7,"NM",IF((J21/'Comp.1'!I21)&lt;$AC$7,"NM",J21/'Comp.1'!I21)),"n/a")</f>
        <v>n/a</v>
      </c>
      <c r="O21" s="54" t="str">
        <f>IFERROR(IF(K21/'Comp.1'!J21&gt;$AA$7,"NM",IF((K21/'Comp.1'!J21)&lt;$AC$7,"NM",K21/'Comp.1'!J21)),"n/a")</f>
        <v>n/a</v>
      </c>
      <c r="P21" s="386"/>
      <c r="Q21" s="91" t="str">
        <f>'Capital IQ Sheet-GPC'!AM24</f>
        <v xml:space="preserve"> n/a </v>
      </c>
      <c r="R21" s="91" t="str">
        <f>'Capital IQ Sheet-GPC'!AN24</f>
        <v xml:space="preserve"> n/a </v>
      </c>
      <c r="S21" s="91" t="str">
        <f>'Capital IQ Sheet-GPC'!AO24</f>
        <v xml:space="preserve"> n/a </v>
      </c>
      <c r="U21" s="54" t="str">
        <f>IFERROR(IF(Q21/'Comp.1'!H21&gt;$AA$7,"NM",IF((Q21/'Comp.1'!H21)&lt;$AC$7,"NM",Q21/'Comp.1'!H21)),"n/a")</f>
        <v>n/a</v>
      </c>
      <c r="V21" s="54" t="str">
        <f>IFERROR(IF(R21/'Comp.1'!I21&gt;$AA$7,"NM",IF((R21/'Comp.1'!I21)&lt;$AC$7,"NM",R21/'Comp.1'!I21)),"n/a")</f>
        <v>n/a</v>
      </c>
      <c r="W21" s="54" t="str">
        <f>IFERROR(IF(S21/'Comp.1'!J21&gt;$AA$7,"NM",IF((S21/'Comp.1'!J21)&lt;$AC$7,"NM",S21/'Comp.1'!J21)),"n/a")</f>
        <v>n/a</v>
      </c>
      <c r="Z21" s="92" t="str">
        <f>IF('MASTER PubCo Inputs'!B39="","",'MASTER PubCo Inputs'!B39)</f>
        <v>NasdaqCM:GALT</v>
      </c>
      <c r="AA21" s="385" t="str">
        <f>'Comp.2'!AI23</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2" spans="2:27" ht="12.75" customHeight="1">
      <c r="B22" s="385" t="str">
        <f>'Comp.1'!B22</f>
        <v>Corbus Pharmaceuticals Holdings, Inc.</v>
      </c>
      <c r="D22" s="54" t="str">
        <f>'Capital IQ Sheet-GPC'!AF25</f>
        <v>n/a</v>
      </c>
      <c r="E22" s="54" t="str">
        <f>'Capital IQ Sheet-GPC'!AG25</f>
        <v>n/a</v>
      </c>
      <c r="F22" s="54" t="str">
        <f>'Capital IQ Sheet-GPC'!AH25</f>
        <v>n/a</v>
      </c>
      <c r="G22" s="54" t="str">
        <f>'Capital IQ Sheet-GPC'!AI25</f>
        <v>n/a</v>
      </c>
      <c r="I22" s="91">
        <f>'Capital IQ Sheet-GPC'!AJ25</f>
        <v>-3.5</v>
      </c>
      <c r="J22" s="91">
        <f>'Capital IQ Sheet-GPC'!AK25</f>
        <v>-5.6</v>
      </c>
      <c r="K22" s="91">
        <f>'Capital IQ Sheet-GPC'!AL25</f>
        <v>-6.5</v>
      </c>
      <c r="M22" s="54" t="str">
        <f>IFERROR(IF(I22/'Comp.1'!H22&gt;$AA$7,"NM",IF((I22/'Comp.1'!H22)&lt;$AC$7,"NM",I22/'Comp.1'!H22)),"n/a")</f>
        <v>NM</v>
      </c>
      <c r="N22" s="54" t="str">
        <f>IFERROR(IF(J22/'Comp.1'!I22&gt;$AA$7,"NM",IF((J22/'Comp.1'!I22)&lt;$AC$7,"NM",J22/'Comp.1'!I22)),"n/a")</f>
        <v>NM</v>
      </c>
      <c r="O22" s="54" t="str">
        <f>IFERROR(IF(K22/'Comp.1'!J22&gt;$AA$7,"NM",IF((K22/'Comp.1'!J22)&lt;$AC$7,"NM",K22/'Comp.1'!J22)),"n/a")</f>
        <v>NM</v>
      </c>
      <c r="P22" s="386"/>
      <c r="Q22" s="91">
        <f>'Capital IQ Sheet-GPC'!AM25</f>
        <v>-0.2</v>
      </c>
      <c r="R22" s="91">
        <f>'Capital IQ Sheet-GPC'!AN25</f>
        <v>-0.3</v>
      </c>
      <c r="S22" s="91">
        <f>'Capital IQ Sheet-GPC'!AO25</f>
        <v>-1.9</v>
      </c>
      <c r="U22" s="54">
        <f>IFERROR(IF(Q22/'Comp.1'!H22&gt;$AA$7,"NM",IF((Q22/'Comp.1'!H22)&lt;$AC$7,"NM",Q22/'Comp.1'!H22)),"n/a")</f>
        <v>-0.2</v>
      </c>
      <c r="V22" s="54">
        <f>IFERROR(IF(R22/'Comp.1'!I22&gt;$AA$7,"NM",IF((R22/'Comp.1'!I22)&lt;$AC$7,"NM",R22/'Comp.1'!I22)),"n/a")</f>
        <v>-0.10714285714285715</v>
      </c>
      <c r="W22" s="54">
        <f>IFERROR(IF(S22/'Comp.1'!J22&gt;$AA$7,"NM",IF((S22/'Comp.1'!J22)&lt;$AC$7,"NM",S22/'Comp.1'!J22)),"n/a")</f>
        <v>-0.90476190476190466</v>
      </c>
      <c r="Z22" s="92" t="str">
        <f>IF('MASTER PubCo Inputs'!B40="","",'MASTER PubCo Inputs'!B40)</f>
        <v>NasdaqGM:CRBP</v>
      </c>
      <c r="AA22" s="385" t="str">
        <f>'Comp.2'!AI24</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2:27" ht="12.75" customHeight="1">
      <c r="B23" s="385" t="str">
        <f>'Comp.1'!B23</f>
        <v>ProQR Therapeutics N.V.</v>
      </c>
      <c r="D23" s="54">
        <f>'Capital IQ Sheet-GPC'!AF26</f>
        <v>1</v>
      </c>
      <c r="E23" s="54" t="str">
        <f>'Capital IQ Sheet-GPC'!AG26</f>
        <v>n/a</v>
      </c>
      <c r="F23" s="54" t="str">
        <f>'Capital IQ Sheet-GPC'!AH26</f>
        <v>n/a</v>
      </c>
      <c r="G23" s="54" t="str">
        <f>'Capital IQ Sheet-GPC'!AI26</f>
        <v>n/a</v>
      </c>
      <c r="I23" s="91">
        <f>'Capital IQ Sheet-GPC'!AJ26</f>
        <v>-2.8</v>
      </c>
      <c r="J23" s="91">
        <f>'Capital IQ Sheet-GPC'!AK26</f>
        <v>-4.0999999999999996</v>
      </c>
      <c r="K23" s="91">
        <f>'Capital IQ Sheet-GPC'!AL26</f>
        <v>-4.9000000000000004</v>
      </c>
      <c r="M23" s="54">
        <f>IFERROR(IF(I23/'Comp.1'!H23&gt;$AA$7,"NM",IF((I23/'Comp.1'!H23)&lt;$AC$7,"NM",I23/'Comp.1'!H23)),"n/a")</f>
        <v>-0.79999999999999993</v>
      </c>
      <c r="N23" s="54" t="str">
        <f>IFERROR(IF(J23/'Comp.1'!I23&gt;$AA$7,"NM",IF((J23/'Comp.1'!I23)&lt;$AC$7,"NM",J23/'Comp.1'!I23)),"n/a")</f>
        <v>NM</v>
      </c>
      <c r="O23" s="54" t="str">
        <f>IFERROR(IF(K23/'Comp.1'!J23&gt;$AA$7,"NM",IF((K23/'Comp.1'!J23)&lt;$AC$7,"NM",K23/'Comp.1'!J23)),"n/a")</f>
        <v>NM</v>
      </c>
      <c r="P23" s="386"/>
      <c r="Q23" s="91">
        <f>'Capital IQ Sheet-GPC'!AM26</f>
        <v>-1.4</v>
      </c>
      <c r="R23" s="91">
        <f>'Capital IQ Sheet-GPC'!AN26</f>
        <v>-2.7</v>
      </c>
      <c r="S23" s="91">
        <f>'Capital IQ Sheet-GPC'!AO26</f>
        <v>-0.1</v>
      </c>
      <c r="U23" s="54">
        <f>IFERROR(IF(Q23/'Comp.1'!H23&gt;$AA$7,"NM",IF((Q23/'Comp.1'!H23)&lt;$AC$7,"NM",Q23/'Comp.1'!H23)),"n/a")</f>
        <v>-0.39999999999999997</v>
      </c>
      <c r="V23" s="54" t="str">
        <f>IFERROR(IF(R23/'Comp.1'!I23&gt;$AA$7,"NM",IF((R23/'Comp.1'!I23)&lt;$AC$7,"NM",R23/'Comp.1'!I23)),"n/a")</f>
        <v>NM</v>
      </c>
      <c r="W23" s="54">
        <f>IFERROR(IF(S23/'Comp.1'!J23&gt;$AA$7,"NM",IF((S23/'Comp.1'!J23)&lt;$AC$7,"NM",S23/'Comp.1'!J23)),"n/a")</f>
        <v>-0.1</v>
      </c>
      <c r="Z23" s="92" t="str">
        <f>IF('MASTER PubCo Inputs'!B41="","",'MASTER PubCo Inputs'!B41)</f>
        <v>NasdaqGM:PRQR</v>
      </c>
      <c r="AA23" s="385" t="str">
        <f>'Comp.2'!AI25</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4" spans="2:27" ht="12.75" customHeight="1">
      <c r="B24" s="385" t="str">
        <f>'Comp.1'!B24</f>
        <v>Miragen Therapeutics, Inc.</v>
      </c>
      <c r="D24" s="54">
        <f>'Capital IQ Sheet-GPC'!AF27</f>
        <v>-1.633</v>
      </c>
      <c r="E24" s="54">
        <f>'Capital IQ Sheet-GPC'!AG27</f>
        <v>-2.8719999999999999</v>
      </c>
      <c r="F24" s="54">
        <f>'Capital IQ Sheet-GPC'!AH27</f>
        <v>-2.9079999999999999</v>
      </c>
      <c r="G24" s="54">
        <f>'Capital IQ Sheet-GPC'!AI27</f>
        <v>-2.9060000000000001</v>
      </c>
      <c r="I24" s="91">
        <f>'Capital IQ Sheet-GPC'!AJ27</f>
        <v>-1.7</v>
      </c>
      <c r="J24" s="91">
        <f>'Capital IQ Sheet-GPC'!AK27</f>
        <v>-2.6</v>
      </c>
      <c r="K24" s="91">
        <f>'Capital IQ Sheet-GPC'!AL27</f>
        <v>4.0999999999999996</v>
      </c>
      <c r="M24" s="54">
        <f>IFERROR(IF(I24/'Comp.1'!H24&gt;$AA$7,"NM",IF((I24/'Comp.1'!H24)&lt;$AC$7,"NM",I24/'Comp.1'!H24)),"n/a")</f>
        <v>-0.33999999999999997</v>
      </c>
      <c r="N24" s="54">
        <f>IFERROR(IF(J24/'Comp.1'!I24&gt;$AA$7,"NM",IF((J24/'Comp.1'!I24)&lt;$AC$7,"NM",J24/'Comp.1'!I24)),"n/a")</f>
        <v>-0.8666666666666667</v>
      </c>
      <c r="O24" s="54">
        <f>IFERROR(IF(K24/'Comp.1'!J24&gt;$AA$7,"NM",IF((K24/'Comp.1'!J24)&lt;$AC$7,"NM",K24/'Comp.1'!J24)),"n/a")</f>
        <v>0.49397590361445776</v>
      </c>
      <c r="P24" s="386"/>
      <c r="Q24" s="91">
        <f>'Capital IQ Sheet-GPC'!AM27</f>
        <v>-0.3</v>
      </c>
      <c r="R24" s="91">
        <f>'Capital IQ Sheet-GPC'!AN27</f>
        <v>-0.2</v>
      </c>
      <c r="S24" s="91">
        <f>'Capital IQ Sheet-GPC'!AO27</f>
        <v>-0.3</v>
      </c>
      <c r="U24" s="54">
        <f>IFERROR(IF(Q24/'Comp.1'!H24&gt;$AA$7,"NM",IF((Q24/'Comp.1'!H24)&lt;$AC$7,"NM",Q24/'Comp.1'!H24)),"n/a")</f>
        <v>-0.06</v>
      </c>
      <c r="V24" s="54">
        <f>IFERROR(IF(R24/'Comp.1'!I24&gt;$AA$7,"NM",IF((R24/'Comp.1'!I24)&lt;$AC$7,"NM",R24/'Comp.1'!I24)),"n/a")</f>
        <v>-6.6666666666666666E-2</v>
      </c>
      <c r="W24" s="54">
        <f>IFERROR(IF(S24/'Comp.1'!J24&gt;$AA$7,"NM",IF((S24/'Comp.1'!J24)&lt;$AC$7,"NM",S24/'Comp.1'!J24)),"n/a")</f>
        <v>-3.614457831325301E-2</v>
      </c>
      <c r="Z24" s="92" t="str">
        <f>IF('MASTER PubCo Inputs'!B42="","",'MASTER PubCo Inputs'!B42)</f>
        <v>NasdaqCM:MGEN</v>
      </c>
      <c r="AA24" s="385" t="str">
        <f>'Comp.2'!AI26</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5" spans="2:27" ht="12.75" customHeight="1">
      <c r="B25" s="385" t="str">
        <f>'Comp.1'!B25</f>
        <v>Conatus Pharmaceuticals Inc.</v>
      </c>
      <c r="D25" s="54">
        <f>'Capital IQ Sheet-GPC'!AF28</f>
        <v>-0.24299999999999999</v>
      </c>
      <c r="E25" s="54">
        <f>'Capital IQ Sheet-GPC'!AG28</f>
        <v>-0.49299999999999999</v>
      </c>
      <c r="F25" s="54">
        <f>'Capital IQ Sheet-GPC'!AH28</f>
        <v>-0.496</v>
      </c>
      <c r="G25" s="54">
        <f>'Capital IQ Sheet-GPC'!AI28</f>
        <v>-0.49299999999999999</v>
      </c>
      <c r="I25" s="91">
        <f>'Capital IQ Sheet-GPC'!AJ28</f>
        <v>-1.2</v>
      </c>
      <c r="J25" s="91">
        <f>'Capital IQ Sheet-GPC'!AK28</f>
        <v>-33.200000000000003</v>
      </c>
      <c r="K25" s="91">
        <f>'Capital IQ Sheet-GPC'!AL28</f>
        <v>-23.5</v>
      </c>
      <c r="M25" s="54" t="str">
        <f>IFERROR(IF(I25/'Comp.1'!H25&gt;$AA$7,"NM",IF((I25/'Comp.1'!H25)&lt;$AC$7,"NM",I25/'Comp.1'!H25)),"n/a")</f>
        <v>n/a</v>
      </c>
      <c r="N25" s="54" t="str">
        <f>IFERROR(IF(J25/'Comp.1'!I25&gt;$AA$7,"NM",IF((J25/'Comp.1'!I25)&lt;$AC$7,"NM",J25/'Comp.1'!I25)),"n/a")</f>
        <v>NM</v>
      </c>
      <c r="O25" s="54">
        <f>IFERROR(IF(K25/'Comp.1'!J25&gt;$AA$7,"NM",IF((K25/'Comp.1'!J25)&lt;$AC$7,"NM",K25/'Comp.1'!J25)),"n/a")</f>
        <v>-0.61679790026246717</v>
      </c>
      <c r="P25" s="386"/>
      <c r="Q25" s="91">
        <f>'Capital IQ Sheet-GPC'!AM28</f>
        <v>-0.2</v>
      </c>
      <c r="R25" s="91">
        <f>'Capital IQ Sheet-GPC'!AN28</f>
        <v>0</v>
      </c>
      <c r="S25" s="91">
        <f>'Capital IQ Sheet-GPC'!AO28</f>
        <v>0</v>
      </c>
      <c r="U25" s="54" t="str">
        <f>IFERROR(IF(Q25/'Comp.1'!H25&gt;$AA$7,"NM",IF((Q25/'Comp.1'!H25)&lt;$AC$7,"NM",Q25/'Comp.1'!H25)),"n/a")</f>
        <v>n/a</v>
      </c>
      <c r="V25" s="54">
        <f>IFERROR(IF(R25/'Comp.1'!I25&gt;$AA$7,"NM",IF((R25/'Comp.1'!I25)&lt;$AC$7,"NM",R25/'Comp.1'!I25)),"n/a")</f>
        <v>0</v>
      </c>
      <c r="W25" s="54">
        <f>IFERROR(IF(S25/'Comp.1'!J25&gt;$AA$7,"NM",IF((S25/'Comp.1'!J25)&lt;$AC$7,"NM",S25/'Comp.1'!J25)),"n/a")</f>
        <v>0</v>
      </c>
      <c r="Z25" s="92" t="str">
        <f>IF('MASTER PubCo Inputs'!B43="","",'MASTER PubCo Inputs'!B43)</f>
        <v>NasdaqGM:CNAT</v>
      </c>
      <c r="AA25" s="385" t="str">
        <f>'Comp.2'!AI27</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6" spans="2:27" ht="12.75" customHeight="1">
      <c r="B26" s="385" t="str">
        <f>'Comp.1'!B26</f>
        <v>Immuron Limited</v>
      </c>
      <c r="D26" s="54">
        <f>'Capital IQ Sheet-GPC'!AF29</f>
        <v>0.70599999999999996</v>
      </c>
      <c r="E26" s="54" t="str">
        <f>'Capital IQ Sheet-GPC'!AG29</f>
        <v>n/a</v>
      </c>
      <c r="F26" s="54" t="str">
        <f>'Capital IQ Sheet-GPC'!AH29</f>
        <v>n/a</v>
      </c>
      <c r="G26" s="54" t="str">
        <f>'Capital IQ Sheet-GPC'!AI29</f>
        <v>n/a</v>
      </c>
      <c r="I26" s="91">
        <f>'Capital IQ Sheet-GPC'!AJ29</f>
        <v>1.4</v>
      </c>
      <c r="J26" s="91">
        <f>'Capital IQ Sheet-GPC'!AK29</f>
        <v>0.8</v>
      </c>
      <c r="K26" s="91">
        <f>'Capital IQ Sheet-GPC'!AL29</f>
        <v>3.5</v>
      </c>
      <c r="M26" s="54" t="str">
        <f>IFERROR(IF(I26/'Comp.1'!H26&gt;$AA$7,"NM",IF((I26/'Comp.1'!H26)&lt;$AC$7,"NM",I26/'Comp.1'!H26)),"n/a")</f>
        <v>NM</v>
      </c>
      <c r="N26" s="54">
        <f>IFERROR(IF(J26/'Comp.1'!I26&gt;$AA$7,"NM",IF((J26/'Comp.1'!I26)&lt;$AC$7,"NM",J26/'Comp.1'!I26)),"n/a")</f>
        <v>0.88888888888888895</v>
      </c>
      <c r="O26" s="54" t="str">
        <f>IFERROR(IF(K26/'Comp.1'!J26&gt;$AA$7,"NM",IF((K26/'Comp.1'!J26)&lt;$AC$7,"NM",K26/'Comp.1'!J26)),"n/a")</f>
        <v>NM</v>
      </c>
      <c r="P26" s="386"/>
      <c r="Q26" s="91">
        <f>'Capital IQ Sheet-GPC'!AM29</f>
        <v>0</v>
      </c>
      <c r="R26" s="91">
        <f>'Capital IQ Sheet-GPC'!AN29</f>
        <v>0</v>
      </c>
      <c r="S26" s="91">
        <f>'Capital IQ Sheet-GPC'!AO29</f>
        <v>0</v>
      </c>
      <c r="U26" s="54">
        <f>IFERROR(IF(Q26/'Comp.1'!H26&gt;$AA$7,"NM",IF((Q26/'Comp.1'!H26)&lt;$AC$7,"NM",Q26/'Comp.1'!H26)),"n/a")</f>
        <v>0</v>
      </c>
      <c r="V26" s="54">
        <f>IFERROR(IF(R26/'Comp.1'!I26&gt;$AA$7,"NM",IF((R26/'Comp.1'!I26)&lt;$AC$7,"NM",R26/'Comp.1'!I26)),"n/a")</f>
        <v>0</v>
      </c>
      <c r="W26" s="54">
        <f>IFERROR(IF(S26/'Comp.1'!J26&gt;$AA$7,"NM",IF((S26/'Comp.1'!J26)&lt;$AC$7,"NM",S26/'Comp.1'!J26)),"n/a")</f>
        <v>0</v>
      </c>
      <c r="Z26" s="92" t="str">
        <f>IF('MASTER PubCo Inputs'!B44="","",'MASTER PubCo Inputs'!B44)</f>
        <v>ASX:IMC</v>
      </c>
      <c r="AA26" s="385" t="str">
        <f>'Comp.2'!AI28</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7" spans="2:27" ht="12.75" customHeight="1">
      <c r="B27" s="385" t="str">
        <f>'Comp.1'!B27</f>
        <v>AdAlta Limited</v>
      </c>
      <c r="D27" s="54">
        <f>'Capital IQ Sheet-GPC'!AF30</f>
        <v>-1.0369999999999999</v>
      </c>
      <c r="E27" s="54">
        <f>'Capital IQ Sheet-GPC'!AG30</f>
        <v>-2.2970000000000002</v>
      </c>
      <c r="F27" s="54">
        <f>'Capital IQ Sheet-GPC'!AH30</f>
        <v>-2.3010000000000002</v>
      </c>
      <c r="G27" s="54">
        <f>'Capital IQ Sheet-GPC'!AI30</f>
        <v>-2.206</v>
      </c>
      <c r="I27" s="91">
        <f>'Capital IQ Sheet-GPC'!AJ30</f>
        <v>-0.2</v>
      </c>
      <c r="J27" s="91">
        <f>'Capital IQ Sheet-GPC'!AK30</f>
        <v>-0.3</v>
      </c>
      <c r="K27" s="91">
        <f>'Capital IQ Sheet-GPC'!AL30</f>
        <v>-0.6</v>
      </c>
      <c r="M27" s="54">
        <f>IFERROR(IF(I27/'Comp.1'!H27&gt;$AA$7,"NM",IF((I27/'Comp.1'!H27)&lt;$AC$7,"NM",I27/'Comp.1'!H27)),"n/a")</f>
        <v>-0.28571428571428575</v>
      </c>
      <c r="N27" s="54">
        <f>IFERROR(IF(J27/'Comp.1'!I27&gt;$AA$7,"NM",IF((J27/'Comp.1'!I27)&lt;$AC$7,"NM",J27/'Comp.1'!I27)),"n/a")</f>
        <v>-0.5</v>
      </c>
      <c r="O27" s="54">
        <f>IFERROR(IF(K27/'Comp.1'!J27&gt;$AA$7,"NM",IF((K27/'Comp.1'!J27)&lt;$AC$7,"NM",K27/'Comp.1'!J27)),"n/a")</f>
        <v>-0.4285714285714286</v>
      </c>
      <c r="P27" s="386"/>
      <c r="Q27" s="91">
        <f>'Capital IQ Sheet-GPC'!AM30</f>
        <v>0</v>
      </c>
      <c r="R27" s="91">
        <f>'Capital IQ Sheet-GPC'!AN30</f>
        <v>0</v>
      </c>
      <c r="S27" s="91">
        <f>'Capital IQ Sheet-GPC'!AO30</f>
        <v>0</v>
      </c>
      <c r="U27" s="54">
        <f>IFERROR(IF(Q27/'Comp.1'!H27&gt;$AA$7,"NM",IF((Q27/'Comp.1'!H27)&lt;$AC$7,"NM",Q27/'Comp.1'!H27)),"n/a")</f>
        <v>0</v>
      </c>
      <c r="V27" s="54">
        <f>IFERROR(IF(R27/'Comp.1'!I27&gt;$AA$7,"NM",IF((R27/'Comp.1'!I27)&lt;$AC$7,"NM",R27/'Comp.1'!I27)),"n/a")</f>
        <v>0</v>
      </c>
      <c r="W27" s="54">
        <f>IFERROR(IF(S27/'Comp.1'!J27&gt;$AA$7,"NM",IF((S27/'Comp.1'!J27)&lt;$AC$7,"NM",S27/'Comp.1'!J27)),"n/a")</f>
        <v>0</v>
      </c>
      <c r="Z27" s="92" t="str">
        <f>IF('MASTER PubCo Inputs'!B45="","",'MASTER PubCo Inputs'!B45)</f>
        <v>ASX:1AD</v>
      </c>
      <c r="AA27" s="385" t="str">
        <f>'Comp.2'!AI29</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8" spans="2:27" ht="12.75" customHeight="1">
      <c r="B28" s="385" t="str">
        <f>'Comp.1'!B28</f>
        <v>Pulmatrix, Inc.</v>
      </c>
      <c r="D28" s="54" t="str">
        <f>'Capital IQ Sheet-GPC'!AF31</f>
        <v>n/a</v>
      </c>
      <c r="E28" s="54" t="str">
        <f>'Capital IQ Sheet-GPC'!AG31</f>
        <v>n/a</v>
      </c>
      <c r="F28" s="54" t="str">
        <f>'Capital IQ Sheet-GPC'!AH31</f>
        <v>n/a</v>
      </c>
      <c r="G28" s="54" t="str">
        <f>'Capital IQ Sheet-GPC'!AI31</f>
        <v>n/a</v>
      </c>
      <c r="I28" s="91">
        <f>'Capital IQ Sheet-GPC'!AJ31</f>
        <v>-1.3</v>
      </c>
      <c r="J28" s="91">
        <f>'Capital IQ Sheet-GPC'!AK31</f>
        <v>-1.3</v>
      </c>
      <c r="K28" s="91">
        <f>'Capital IQ Sheet-GPC'!AL31</f>
        <v>-3.2</v>
      </c>
      <c r="M28" s="54">
        <f>IFERROR(IF(I28/'Comp.1'!H28&gt;$AA$7,"NM",IF((I28/'Comp.1'!H28)&lt;$AC$7,"NM",I28/'Comp.1'!H28)),"n/a")</f>
        <v>-0.8666666666666667</v>
      </c>
      <c r="N28" s="54" t="str">
        <f>IFERROR(IF(J28/'Comp.1'!I28&gt;$AA$7,"NM",IF((J28/'Comp.1'!I28)&lt;$AC$7,"NM",J28/'Comp.1'!I28)),"n/a")</f>
        <v>NM</v>
      </c>
      <c r="O28" s="54" t="str">
        <f>IFERROR(IF(K28/'Comp.1'!J28&gt;$AA$7,"NM",IF((K28/'Comp.1'!J28)&lt;$AC$7,"NM",K28/'Comp.1'!J28)),"n/a")</f>
        <v>NM</v>
      </c>
      <c r="P28" s="386"/>
      <c r="Q28" s="91">
        <f>'Capital IQ Sheet-GPC'!AM31</f>
        <v>-0.3</v>
      </c>
      <c r="R28" s="91">
        <f>'Capital IQ Sheet-GPC'!AN31</f>
        <v>-0.4</v>
      </c>
      <c r="S28" s="91">
        <f>'Capital IQ Sheet-GPC'!AO31</f>
        <v>-0.1</v>
      </c>
      <c r="U28" s="54">
        <f>IFERROR(IF(Q28/'Comp.1'!H28&gt;$AA$7,"NM",IF((Q28/'Comp.1'!H28)&lt;$AC$7,"NM",Q28/'Comp.1'!H28)),"n/a")</f>
        <v>-0.19999999999999998</v>
      </c>
      <c r="V28" s="54">
        <f>IFERROR(IF(R28/'Comp.1'!I28&gt;$AA$7,"NM",IF((R28/'Comp.1'!I28)&lt;$AC$7,"NM",R28/'Comp.1'!I28)),"n/a")</f>
        <v>-1</v>
      </c>
      <c r="W28" s="54">
        <f>IFERROR(IF(S28/'Comp.1'!J28&gt;$AA$7,"NM",IF((S28/'Comp.1'!J28)&lt;$AC$7,"NM",S28/'Comp.1'!J28)),"n/a")</f>
        <v>-0.2</v>
      </c>
      <c r="Z28" s="92" t="str">
        <f>IF('MASTER PubCo Inputs'!B46="","",'MASTER PubCo Inputs'!B46)</f>
        <v>NasdaqGM:PULM</v>
      </c>
      <c r="AA28" s="385" t="str">
        <f>'Comp.2'!AI30</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9" spans="2:27" ht="12.75" customHeight="1">
      <c r="B29" s="385" t="str">
        <f>'Comp.1'!B29</f>
        <v>AmpliPhi Biosciences Corporation</v>
      </c>
      <c r="D29" s="54" t="str">
        <f>'Capital IQ Sheet-GPC'!AF32</f>
        <v>n/a</v>
      </c>
      <c r="E29" s="54" t="str">
        <f>'Capital IQ Sheet-GPC'!AG32</f>
        <v>n/a</v>
      </c>
      <c r="F29" s="54" t="str">
        <f>'Capital IQ Sheet-GPC'!AH32</f>
        <v>n/a</v>
      </c>
      <c r="G29" s="54" t="str">
        <f>'Capital IQ Sheet-GPC'!AI32</f>
        <v>n/a</v>
      </c>
      <c r="I29" s="91">
        <f>'Capital IQ Sheet-GPC'!AJ32</f>
        <v>-2.1</v>
      </c>
      <c r="J29" s="91">
        <f>'Capital IQ Sheet-GPC'!AK32</f>
        <v>-1.9</v>
      </c>
      <c r="K29" s="91">
        <f>'Capital IQ Sheet-GPC'!AL32</f>
        <v>-1.2</v>
      </c>
      <c r="M29" s="54" t="str">
        <f>IFERROR(IF(I29/'Comp.1'!H29&gt;$AA$7,"NM",IF((I29/'Comp.1'!H29)&lt;$AC$7,"NM",I29/'Comp.1'!H29)),"n/a")</f>
        <v>NM</v>
      </c>
      <c r="N29" s="54" t="str">
        <f>IFERROR(IF(J29/'Comp.1'!I29&gt;$AA$7,"NM",IF((J29/'Comp.1'!I29)&lt;$AC$7,"NM",J29/'Comp.1'!I29)),"n/a")</f>
        <v>NM</v>
      </c>
      <c r="O29" s="54" t="str">
        <f>IFERROR(IF(K29/'Comp.1'!J29&gt;$AA$7,"NM",IF((K29/'Comp.1'!J29)&lt;$AC$7,"NM",K29/'Comp.1'!J29)),"n/a")</f>
        <v>NM</v>
      </c>
      <c r="P29" s="386"/>
      <c r="Q29" s="91">
        <f>'Capital IQ Sheet-GPC'!AM32</f>
        <v>-0.3</v>
      </c>
      <c r="R29" s="91">
        <f>'Capital IQ Sheet-GPC'!AN32</f>
        <v>-0.2</v>
      </c>
      <c r="S29" s="91">
        <f>'Capital IQ Sheet-GPC'!AO32</f>
        <v>-0.1</v>
      </c>
      <c r="U29" s="54">
        <f>IFERROR(IF(Q29/'Comp.1'!H29&gt;$AA$7,"NM",IF((Q29/'Comp.1'!H29)&lt;$AC$7,"NM",Q29/'Comp.1'!H29)),"n/a")</f>
        <v>-0.6</v>
      </c>
      <c r="V29" s="54">
        <f>IFERROR(IF(R29/'Comp.1'!I29&gt;$AA$7,"NM",IF((R29/'Comp.1'!I29)&lt;$AC$7,"NM",R29/'Comp.1'!I29)),"n/a")</f>
        <v>-1</v>
      </c>
      <c r="W29" s="54">
        <f>IFERROR(IF(S29/'Comp.1'!J29&gt;$AA$7,"NM",IF((S29/'Comp.1'!J29)&lt;$AC$7,"NM",S29/'Comp.1'!J29)),"n/a")</f>
        <v>-1</v>
      </c>
      <c r="Z29" s="92" t="str">
        <f>IF('MASTER PubCo Inputs'!B47="","",'MASTER PubCo Inputs'!B47)</f>
        <v>AMEX:APHB</v>
      </c>
      <c r="AA29" s="385" t="str">
        <f>'Comp.2'!AI31</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0" spans="2:27" ht="12.75" customHeight="1">
      <c r="B30" s="385">
        <f>'Comp.1'!B30</f>
        <v>0</v>
      </c>
      <c r="D30" s="54" t="str">
        <f>'Capital IQ Sheet-GPC'!AF33</f>
        <v>n/a</v>
      </c>
      <c r="E30" s="54" t="str">
        <f>'Capital IQ Sheet-GPC'!AG33</f>
        <v>n/a</v>
      </c>
      <c r="F30" s="54" t="str">
        <f>'Capital IQ Sheet-GPC'!AH33</f>
        <v>n/a</v>
      </c>
      <c r="G30" s="54" t="str">
        <f>'Capital IQ Sheet-GPC'!AI33</f>
        <v>n/a</v>
      </c>
      <c r="I30" s="91" t="str">
        <f>'Capital IQ Sheet-GPC'!AJ33</f>
        <v xml:space="preserve"> (Invalid Identifier) </v>
      </c>
      <c r="J30" s="91" t="str">
        <f>'Capital IQ Sheet-GPC'!AK33</f>
        <v xml:space="preserve"> (Invalid Identifier) </v>
      </c>
      <c r="K30" s="91" t="str">
        <f>'Capital IQ Sheet-GPC'!AL33</f>
        <v xml:space="preserve"> (Invalid Identifier) </v>
      </c>
      <c r="M30" s="54" t="str">
        <f>IFERROR(IF(I30/'Comp.1'!H30&gt;$AA$7,"NM",IF((I30/'Comp.1'!H30)&lt;$AC$7,"NM",I30/'Comp.1'!H30)),"n/a")</f>
        <v>n/a</v>
      </c>
      <c r="N30" s="54" t="str">
        <f>IFERROR(IF(J30/'Comp.1'!I30&gt;$AA$7,"NM",IF((J30/'Comp.1'!I30)&lt;$AC$7,"NM",J30/'Comp.1'!I30)),"n/a")</f>
        <v>n/a</v>
      </c>
      <c r="O30" s="54" t="str">
        <f>IFERROR(IF(K30/'Comp.1'!J30&gt;$AA$7,"NM",IF((K30/'Comp.1'!J30)&lt;$AC$7,"NM",K30/'Comp.1'!J30)),"n/a")</f>
        <v>n/a</v>
      </c>
      <c r="P30" s="386"/>
      <c r="Q30" s="91" t="str">
        <f>'Capital IQ Sheet-GPC'!AM33</f>
        <v xml:space="preserve"> (Invalid Identifier) </v>
      </c>
      <c r="R30" s="91" t="str">
        <f>'Capital IQ Sheet-GPC'!AN33</f>
        <v xml:space="preserve"> (Invalid Identifier) </v>
      </c>
      <c r="S30" s="91" t="str">
        <f>'Capital IQ Sheet-GPC'!AO33</f>
        <v xml:space="preserve"> (Invalid Identifier) </v>
      </c>
      <c r="U30" s="54" t="str">
        <f>IFERROR(IF(Q30/'Comp.1'!H30&gt;$AA$7,"NM",IF((Q30/'Comp.1'!H30)&lt;$AC$7,"NM",Q30/'Comp.1'!H30)),"n/a")</f>
        <v>n/a</v>
      </c>
      <c r="V30" s="54" t="str">
        <f>IFERROR(IF(R30/'Comp.1'!I30&gt;$AA$7,"NM",IF((R30/'Comp.1'!I30)&lt;$AC$7,"NM",R30/'Comp.1'!I30)),"n/a")</f>
        <v>n/a</v>
      </c>
      <c r="W30" s="54" t="str">
        <f>IFERROR(IF(S30/'Comp.1'!J30&gt;$AA$7,"NM",IF((S30/'Comp.1'!J30)&lt;$AC$7,"NM",S30/'Comp.1'!J30)),"n/a")</f>
        <v>n/a</v>
      </c>
      <c r="Z30" s="92" t="str">
        <f>IF('MASTER PubCo Inputs'!B48="","",'MASTER PubCo Inputs'!B48)</f>
        <v>(Invalid Identifier)</v>
      </c>
      <c r="AA30" s="385">
        <f>'Comp.2'!AI32</f>
        <v>0</v>
      </c>
    </row>
    <row r="31" spans="2:27" ht="12.75" customHeight="1">
      <c r="B31" s="385">
        <f>'Comp.1'!B31</f>
        <v>0</v>
      </c>
      <c r="D31" s="54" t="str">
        <f>'Capital IQ Sheet-GPC'!AF34</f>
        <v>n/a</v>
      </c>
      <c r="E31" s="54" t="str">
        <f>'Capital IQ Sheet-GPC'!AG34</f>
        <v>n/a</v>
      </c>
      <c r="F31" s="54" t="str">
        <f>'Capital IQ Sheet-GPC'!AH34</f>
        <v>n/a</v>
      </c>
      <c r="G31" s="54" t="str">
        <f>'Capital IQ Sheet-GPC'!AI34</f>
        <v>n/a</v>
      </c>
      <c r="I31" s="91" t="str">
        <f>'Capital IQ Sheet-GPC'!AJ34</f>
        <v xml:space="preserve"> (Invalid Identifier) </v>
      </c>
      <c r="J31" s="91" t="str">
        <f>'Capital IQ Sheet-GPC'!AK34</f>
        <v xml:space="preserve"> (Invalid Identifier) </v>
      </c>
      <c r="K31" s="91" t="str">
        <f>'Capital IQ Sheet-GPC'!AL34</f>
        <v xml:space="preserve"> (Invalid Identifier) </v>
      </c>
      <c r="M31" s="54" t="str">
        <f>IFERROR(IF(I31/'Comp.1'!H31&gt;$AA$7,"NM",IF((I31/'Comp.1'!H31)&lt;$AC$7,"NM",I31/'Comp.1'!H31)),"n/a")</f>
        <v>n/a</v>
      </c>
      <c r="N31" s="54" t="str">
        <f>IFERROR(IF(J31/'Comp.1'!I31&gt;$AA$7,"NM",IF((J31/'Comp.1'!I31)&lt;$AC$7,"NM",J31/'Comp.1'!I31)),"n/a")</f>
        <v>n/a</v>
      </c>
      <c r="O31" s="54" t="str">
        <f>IFERROR(IF(K31/'Comp.1'!J31&gt;$AA$7,"NM",IF((K31/'Comp.1'!J31)&lt;$AC$7,"NM",K31/'Comp.1'!J31)),"n/a")</f>
        <v>n/a</v>
      </c>
      <c r="P31" s="386"/>
      <c r="Q31" s="91" t="str">
        <f>'Capital IQ Sheet-GPC'!AM34</f>
        <v xml:space="preserve"> (Invalid Identifier) </v>
      </c>
      <c r="R31" s="91" t="str">
        <f>'Capital IQ Sheet-GPC'!AN34</f>
        <v xml:space="preserve"> (Invalid Identifier) </v>
      </c>
      <c r="S31" s="91" t="str">
        <f>'Capital IQ Sheet-GPC'!AO34</f>
        <v xml:space="preserve"> (Invalid Identifier) </v>
      </c>
      <c r="U31" s="54" t="str">
        <f>IFERROR(IF(Q31/'Comp.1'!H31&gt;$AA$7,"NM",IF((Q31/'Comp.1'!H31)&lt;$AC$7,"NM",Q31/'Comp.1'!H31)),"n/a")</f>
        <v>n/a</v>
      </c>
      <c r="V31" s="54" t="str">
        <f>IFERROR(IF(R31/'Comp.1'!I31&gt;$AA$7,"NM",IF((R31/'Comp.1'!I31)&lt;$AC$7,"NM",R31/'Comp.1'!I31)),"n/a")</f>
        <v>n/a</v>
      </c>
      <c r="W31" s="54" t="str">
        <f>IFERROR(IF(S31/'Comp.1'!J31&gt;$AA$7,"NM",IF((S31/'Comp.1'!J31)&lt;$AC$7,"NM",S31/'Comp.1'!J31)),"n/a")</f>
        <v>n/a</v>
      </c>
      <c r="Z31" s="92" t="str">
        <f>IF('MASTER PubCo Inputs'!B49="","",'MASTER PubCo Inputs'!B49)</f>
        <v>(Invalid Identifier)</v>
      </c>
      <c r="AA31" s="385">
        <f>'Comp.2'!AI33</f>
        <v>0</v>
      </c>
    </row>
    <row r="32" spans="2:27" ht="12.75" customHeight="1">
      <c r="B32" s="385">
        <f>'Comp.1'!B32</f>
        <v>0</v>
      </c>
      <c r="D32" s="54" t="str">
        <f>'Capital IQ Sheet-GPC'!AF35</f>
        <v>n/a</v>
      </c>
      <c r="E32" s="54" t="str">
        <f>'Capital IQ Sheet-GPC'!AG35</f>
        <v>n/a</v>
      </c>
      <c r="F32" s="54" t="str">
        <f>'Capital IQ Sheet-GPC'!AH35</f>
        <v>n/a</v>
      </c>
      <c r="G32" s="54" t="str">
        <f>'Capital IQ Sheet-GPC'!AI35</f>
        <v>n/a</v>
      </c>
      <c r="I32" s="91" t="str">
        <f>'Capital IQ Sheet-GPC'!AJ35</f>
        <v xml:space="preserve"> (Invalid Identifier) </v>
      </c>
      <c r="J32" s="91" t="str">
        <f>'Capital IQ Sheet-GPC'!AK35</f>
        <v xml:space="preserve"> (Invalid Identifier) </v>
      </c>
      <c r="K32" s="91" t="str">
        <f>'Capital IQ Sheet-GPC'!AL35</f>
        <v xml:space="preserve"> (Invalid Identifier) </v>
      </c>
      <c r="M32" s="54" t="str">
        <f>IFERROR(IF(I32/'Comp.1'!H32&gt;$AA$7,"NM",IF((I32/'Comp.1'!H32)&lt;$AC$7,"NM",I32/'Comp.1'!H32)),"n/a")</f>
        <v>n/a</v>
      </c>
      <c r="N32" s="54" t="str">
        <f>IFERROR(IF(J32/'Comp.1'!I32&gt;$AA$7,"NM",IF((J32/'Comp.1'!I32)&lt;$AC$7,"NM",J32/'Comp.1'!I32)),"n/a")</f>
        <v>n/a</v>
      </c>
      <c r="O32" s="54" t="str">
        <f>IFERROR(IF(K32/'Comp.1'!J32&gt;$AA$7,"NM",IF((K32/'Comp.1'!J32)&lt;$AC$7,"NM",K32/'Comp.1'!J32)),"n/a")</f>
        <v>n/a</v>
      </c>
      <c r="P32" s="386"/>
      <c r="Q32" s="91" t="str">
        <f>'Capital IQ Sheet-GPC'!AM35</f>
        <v xml:space="preserve"> (Invalid Identifier) </v>
      </c>
      <c r="R32" s="91" t="str">
        <f>'Capital IQ Sheet-GPC'!AN35</f>
        <v xml:space="preserve"> (Invalid Identifier) </v>
      </c>
      <c r="S32" s="91" t="str">
        <f>'Capital IQ Sheet-GPC'!AO35</f>
        <v xml:space="preserve"> (Invalid Identifier) </v>
      </c>
      <c r="U32" s="54" t="str">
        <f>IFERROR(IF(Q32/'Comp.1'!H32&gt;$AA$7,"NM",IF((Q32/'Comp.1'!H32)&lt;$AC$7,"NM",Q32/'Comp.1'!H32)),"n/a")</f>
        <v>n/a</v>
      </c>
      <c r="V32" s="54" t="str">
        <f>IFERROR(IF(R32/'Comp.1'!I32&gt;$AA$7,"NM",IF((R32/'Comp.1'!I32)&lt;$AC$7,"NM",R32/'Comp.1'!I32)),"n/a")</f>
        <v>n/a</v>
      </c>
      <c r="W32" s="54" t="str">
        <f>IFERROR(IF(S32/'Comp.1'!J32&gt;$AA$7,"NM",IF((S32/'Comp.1'!J32)&lt;$AC$7,"NM",S32/'Comp.1'!J32)),"n/a")</f>
        <v>n/a</v>
      </c>
      <c r="Z32" s="92" t="str">
        <f>IF('MASTER PubCo Inputs'!B50="","",'MASTER PubCo Inputs'!B50)</f>
        <v/>
      </c>
      <c r="AA32" s="385">
        <f>'Comp.2'!AI34</f>
        <v>0</v>
      </c>
    </row>
    <row r="33" spans="2:27" ht="12.75" customHeight="1">
      <c r="B33" s="385">
        <f>'Comp.1'!B33</f>
        <v>0</v>
      </c>
      <c r="D33" s="54" t="str">
        <f>'Capital IQ Sheet-GPC'!AF36</f>
        <v>n/a</v>
      </c>
      <c r="E33" s="54" t="str">
        <f>'Capital IQ Sheet-GPC'!AG36</f>
        <v>n/a</v>
      </c>
      <c r="F33" s="54" t="str">
        <f>'Capital IQ Sheet-GPC'!AH36</f>
        <v>n/a</v>
      </c>
      <c r="G33" s="54" t="str">
        <f>'Capital IQ Sheet-GPC'!AI36</f>
        <v>n/a</v>
      </c>
      <c r="I33" s="91" t="str">
        <f>'Capital IQ Sheet-GPC'!AJ36</f>
        <v xml:space="preserve"> (Invalid Identifier) </v>
      </c>
      <c r="J33" s="91" t="str">
        <f>'Capital IQ Sheet-GPC'!AK36</f>
        <v xml:space="preserve"> (Invalid Identifier) </v>
      </c>
      <c r="K33" s="91" t="str">
        <f>'Capital IQ Sheet-GPC'!AL36</f>
        <v xml:space="preserve"> (Invalid Identifier) </v>
      </c>
      <c r="M33" s="54" t="str">
        <f>IFERROR(IF(I33/'Comp.1'!H33&gt;$AA$7,"NM",IF((I33/'Comp.1'!H33)&lt;$AC$7,"NM",I33/'Comp.1'!H33)),"n/a")</f>
        <v>n/a</v>
      </c>
      <c r="N33" s="54" t="str">
        <f>IFERROR(IF(J33/'Comp.1'!I33&gt;$AA$7,"NM",IF((J33/'Comp.1'!I33)&lt;$AC$7,"NM",J33/'Comp.1'!I33)),"n/a")</f>
        <v>n/a</v>
      </c>
      <c r="O33" s="54" t="str">
        <f>IFERROR(IF(K33/'Comp.1'!J33&gt;$AA$7,"NM",IF((K33/'Comp.1'!J33)&lt;$AC$7,"NM",K33/'Comp.1'!J33)),"n/a")</f>
        <v>n/a</v>
      </c>
      <c r="P33" s="386"/>
      <c r="Q33" s="91" t="str">
        <f>'Capital IQ Sheet-GPC'!AM36</f>
        <v xml:space="preserve"> (Invalid Identifier) </v>
      </c>
      <c r="R33" s="91" t="str">
        <f>'Capital IQ Sheet-GPC'!AN36</f>
        <v xml:space="preserve"> (Invalid Identifier) </v>
      </c>
      <c r="S33" s="91" t="str">
        <f>'Capital IQ Sheet-GPC'!AO36</f>
        <v xml:space="preserve"> (Invalid Identifier) </v>
      </c>
      <c r="U33" s="54" t="str">
        <f>IFERROR(IF(Q33/'Comp.1'!H33&gt;$AA$7,"NM",IF((Q33/'Comp.1'!H33)&lt;$AC$7,"NM",Q33/'Comp.1'!H33)),"n/a")</f>
        <v>n/a</v>
      </c>
      <c r="V33" s="54" t="str">
        <f>IFERROR(IF(R33/'Comp.1'!I33&gt;$AA$7,"NM",IF((R33/'Comp.1'!I33)&lt;$AC$7,"NM",R33/'Comp.1'!I33)),"n/a")</f>
        <v>n/a</v>
      </c>
      <c r="W33" s="54" t="str">
        <f>IFERROR(IF(S33/'Comp.1'!J33&gt;$AA$7,"NM",IF((S33/'Comp.1'!J33)&lt;$AC$7,"NM",S33/'Comp.1'!J33)),"n/a")</f>
        <v>n/a</v>
      </c>
      <c r="Z33" s="92" t="str">
        <f>IF('MASTER PubCo Inputs'!B51="","",'MASTER PubCo Inputs'!B51)</f>
        <v/>
      </c>
      <c r="AA33" s="385">
        <f>'Comp.2'!AI35</f>
        <v>0</v>
      </c>
    </row>
    <row r="34" spans="2:27" ht="12.75" customHeight="1">
      <c r="B34" s="385">
        <f>'Comp.1'!B34</f>
        <v>0</v>
      </c>
      <c r="D34" s="54" t="str">
        <f>'Capital IQ Sheet-GPC'!AF37</f>
        <v>n/a</v>
      </c>
      <c r="E34" s="54" t="str">
        <f>'Capital IQ Sheet-GPC'!AG37</f>
        <v>n/a</v>
      </c>
      <c r="F34" s="54" t="str">
        <f>'Capital IQ Sheet-GPC'!AH37</f>
        <v>n/a</v>
      </c>
      <c r="G34" s="54" t="str">
        <f>'Capital IQ Sheet-GPC'!AI37</f>
        <v>n/a</v>
      </c>
      <c r="I34" s="91" t="str">
        <f>'Capital IQ Sheet-GPC'!AJ37</f>
        <v xml:space="preserve"> (Invalid Identifier) </v>
      </c>
      <c r="J34" s="91" t="str">
        <f>'Capital IQ Sheet-GPC'!AK37</f>
        <v xml:space="preserve"> (Invalid Identifier) </v>
      </c>
      <c r="K34" s="91" t="str">
        <f>'Capital IQ Sheet-GPC'!AL37</f>
        <v xml:space="preserve"> (Invalid Identifier) </v>
      </c>
      <c r="M34" s="54" t="str">
        <f>IFERROR(IF(I34/'Comp.1'!H34&gt;$AA$7,"NM",IF((I34/'Comp.1'!H34)&lt;$AC$7,"NM",I34/'Comp.1'!H34)),"n/a")</f>
        <v>n/a</v>
      </c>
      <c r="N34" s="54" t="str">
        <f>IFERROR(IF(J34/'Comp.1'!I34&gt;$AA$7,"NM",IF((J34/'Comp.1'!I34)&lt;$AC$7,"NM",J34/'Comp.1'!I34)),"n/a")</f>
        <v>n/a</v>
      </c>
      <c r="O34" s="54" t="str">
        <f>IFERROR(IF(K34/'Comp.1'!J34&gt;$AA$7,"NM",IF((K34/'Comp.1'!J34)&lt;$AC$7,"NM",K34/'Comp.1'!J34)),"n/a")</f>
        <v>n/a</v>
      </c>
      <c r="P34" s="386"/>
      <c r="Q34" s="91" t="str">
        <f>'Capital IQ Sheet-GPC'!AM37</f>
        <v xml:space="preserve"> (Invalid Identifier) </v>
      </c>
      <c r="R34" s="91" t="str">
        <f>'Capital IQ Sheet-GPC'!AN37</f>
        <v xml:space="preserve"> (Invalid Identifier) </v>
      </c>
      <c r="S34" s="91" t="str">
        <f>'Capital IQ Sheet-GPC'!AO37</f>
        <v xml:space="preserve"> (Invalid Identifier) </v>
      </c>
      <c r="U34" s="54" t="str">
        <f>IFERROR(IF(Q34/'Comp.1'!H34&gt;$AA$7,"NM",IF((Q34/'Comp.1'!H34)&lt;$AC$7,"NM",Q34/'Comp.1'!H34)),"n/a")</f>
        <v>n/a</v>
      </c>
      <c r="V34" s="54" t="str">
        <f>IFERROR(IF(R34/'Comp.1'!I34&gt;$AA$7,"NM",IF((R34/'Comp.1'!I34)&lt;$AC$7,"NM",R34/'Comp.1'!I34)),"n/a")</f>
        <v>n/a</v>
      </c>
      <c r="W34" s="54" t="str">
        <f>IFERROR(IF(S34/'Comp.1'!J34&gt;$AA$7,"NM",IF((S34/'Comp.1'!J34)&lt;$AC$7,"NM",S34/'Comp.1'!J34)),"n/a")</f>
        <v>n/a</v>
      </c>
      <c r="Z34" s="92" t="str">
        <f>IF('MASTER PubCo Inputs'!B52="","",'MASTER PubCo Inputs'!B52)</f>
        <v/>
      </c>
      <c r="AA34" s="385">
        <f>'Comp.2'!AI36</f>
        <v>0</v>
      </c>
    </row>
    <row r="35" spans="2:27" ht="12.75" customHeight="1">
      <c r="B35" s="385">
        <f>'Comp.1'!B35</f>
        <v>0</v>
      </c>
      <c r="D35" s="54" t="str">
        <f>'Capital IQ Sheet-GPC'!AF38</f>
        <v>n/a</v>
      </c>
      <c r="E35" s="54" t="str">
        <f>'Capital IQ Sheet-GPC'!AG38</f>
        <v>n/a</v>
      </c>
      <c r="F35" s="54" t="str">
        <f>'Capital IQ Sheet-GPC'!AH38</f>
        <v>n/a</v>
      </c>
      <c r="G35" s="54" t="str">
        <f>'Capital IQ Sheet-GPC'!AI38</f>
        <v>n/a</v>
      </c>
      <c r="I35" s="91" t="str">
        <f>'Capital IQ Sheet-GPC'!AJ38</f>
        <v xml:space="preserve"> (Invalid Identifier) </v>
      </c>
      <c r="J35" s="91" t="str">
        <f>'Capital IQ Sheet-GPC'!AK38</f>
        <v xml:space="preserve"> (Invalid Identifier) </v>
      </c>
      <c r="K35" s="91" t="str">
        <f>'Capital IQ Sheet-GPC'!AL38</f>
        <v xml:space="preserve"> (Invalid Identifier) </v>
      </c>
      <c r="M35" s="54" t="str">
        <f>IFERROR(IF(I35/'Comp.1'!H35&gt;$AA$7,"NM",IF((I35/'Comp.1'!H35)&lt;$AC$7,"NM",I35/'Comp.1'!H35)),"n/a")</f>
        <v>n/a</v>
      </c>
      <c r="N35" s="54" t="str">
        <f>IFERROR(IF(J35/'Comp.1'!I35&gt;$AA$7,"NM",IF((J35/'Comp.1'!I35)&lt;$AC$7,"NM",J35/'Comp.1'!I35)),"n/a")</f>
        <v>n/a</v>
      </c>
      <c r="O35" s="54" t="str">
        <f>IFERROR(IF(K35/'Comp.1'!J35&gt;$AA$7,"NM",IF((K35/'Comp.1'!J35)&lt;$AC$7,"NM",K35/'Comp.1'!J35)),"n/a")</f>
        <v>n/a</v>
      </c>
      <c r="P35" s="386"/>
      <c r="Q35" s="91" t="str">
        <f>'Capital IQ Sheet-GPC'!AM38</f>
        <v xml:space="preserve"> (Invalid Identifier) </v>
      </c>
      <c r="R35" s="91" t="str">
        <f>'Capital IQ Sheet-GPC'!AN38</f>
        <v xml:space="preserve"> (Invalid Identifier) </v>
      </c>
      <c r="S35" s="91" t="str">
        <f>'Capital IQ Sheet-GPC'!AO38</f>
        <v xml:space="preserve"> (Invalid Identifier) </v>
      </c>
      <c r="U35" s="54" t="str">
        <f>IFERROR(IF(Q35/'Comp.1'!H35&gt;$AA$7,"NM",IF((Q35/'Comp.1'!H35)&lt;$AC$7,"NM",Q35/'Comp.1'!H35)),"n/a")</f>
        <v>n/a</v>
      </c>
      <c r="V35" s="54" t="str">
        <f>IFERROR(IF(R35/'Comp.1'!I35&gt;$AA$7,"NM",IF((R35/'Comp.1'!I35)&lt;$AC$7,"NM",R35/'Comp.1'!I35)),"n/a")</f>
        <v>n/a</v>
      </c>
      <c r="W35" s="54" t="str">
        <f>IFERROR(IF(S35/'Comp.1'!J35&gt;$AA$7,"NM",IF((S35/'Comp.1'!J35)&lt;$AC$7,"NM",S35/'Comp.1'!J35)),"n/a")</f>
        <v>n/a</v>
      </c>
      <c r="Z35" s="92" t="str">
        <f>IF('MASTER PubCo Inputs'!B53="","",'MASTER PubCo Inputs'!B53)</f>
        <v/>
      </c>
      <c r="AA35" s="385">
        <f>'Comp.2'!AI37</f>
        <v>0</v>
      </c>
    </row>
    <row r="36" spans="2:27" ht="12.75" customHeight="1">
      <c r="B36" s="385">
        <f>'Comp.1'!B36</f>
        <v>0</v>
      </c>
      <c r="D36" s="54" t="str">
        <f>'Capital IQ Sheet-GPC'!AF39</f>
        <v>n/a</v>
      </c>
      <c r="E36" s="54" t="str">
        <f>'Capital IQ Sheet-GPC'!AG39</f>
        <v>n/a</v>
      </c>
      <c r="F36" s="54" t="str">
        <f>'Capital IQ Sheet-GPC'!AH39</f>
        <v>n/a</v>
      </c>
      <c r="G36" s="54" t="str">
        <f>'Capital IQ Sheet-GPC'!AI39</f>
        <v>n/a</v>
      </c>
      <c r="I36" s="91" t="str">
        <f>'Capital IQ Sheet-GPC'!AJ39</f>
        <v xml:space="preserve"> (Invalid Identifier) </v>
      </c>
      <c r="J36" s="91" t="str">
        <f>'Capital IQ Sheet-GPC'!AK39</f>
        <v xml:space="preserve"> (Invalid Identifier) </v>
      </c>
      <c r="K36" s="91" t="str">
        <f>'Capital IQ Sheet-GPC'!AL39</f>
        <v xml:space="preserve"> (Invalid Identifier) </v>
      </c>
      <c r="M36" s="54" t="str">
        <f>IFERROR(IF(I36/'Comp.1'!H36&gt;$AA$7,"NM",IF((I36/'Comp.1'!H36)&lt;$AC$7,"NM",I36/'Comp.1'!H36)),"n/a")</f>
        <v>n/a</v>
      </c>
      <c r="N36" s="54" t="str">
        <f>IFERROR(IF(J36/'Comp.1'!I36&gt;$AA$7,"NM",IF((J36/'Comp.1'!I36)&lt;$AC$7,"NM",J36/'Comp.1'!I36)),"n/a")</f>
        <v>n/a</v>
      </c>
      <c r="O36" s="54" t="str">
        <f>IFERROR(IF(K36/'Comp.1'!J36&gt;$AA$7,"NM",IF((K36/'Comp.1'!J36)&lt;$AC$7,"NM",K36/'Comp.1'!J36)),"n/a")</f>
        <v>n/a</v>
      </c>
      <c r="P36" s="386"/>
      <c r="Q36" s="91" t="str">
        <f>'Capital IQ Sheet-GPC'!AM39</f>
        <v xml:space="preserve"> (Invalid Identifier) </v>
      </c>
      <c r="R36" s="91" t="str">
        <f>'Capital IQ Sheet-GPC'!AN39</f>
        <v xml:space="preserve"> (Invalid Identifier) </v>
      </c>
      <c r="S36" s="91" t="str">
        <f>'Capital IQ Sheet-GPC'!AO39</f>
        <v xml:space="preserve"> (Invalid Identifier) </v>
      </c>
      <c r="U36" s="54" t="str">
        <f>IFERROR(IF(Q36/'Comp.1'!H36&gt;$AA$7,"NM",IF((Q36/'Comp.1'!H36)&lt;$AC$7,"NM",Q36/'Comp.1'!H36)),"n/a")</f>
        <v>n/a</v>
      </c>
      <c r="V36" s="54" t="str">
        <f>IFERROR(IF(R36/'Comp.1'!I36&gt;$AA$7,"NM",IF((R36/'Comp.1'!I36)&lt;$AC$7,"NM",R36/'Comp.1'!I36)),"n/a")</f>
        <v>n/a</v>
      </c>
      <c r="W36" s="54" t="str">
        <f>IFERROR(IF(S36/'Comp.1'!J36&gt;$AA$7,"NM",IF((S36/'Comp.1'!J36)&lt;$AC$7,"NM",S36/'Comp.1'!J36)),"n/a")</f>
        <v>n/a</v>
      </c>
      <c r="Z36" s="92" t="str">
        <f>IF('MASTER PubCo Inputs'!B54="","",'MASTER PubCo Inputs'!B54)</f>
        <v/>
      </c>
      <c r="AA36" s="385" t="str">
        <f>'Comp.2'!AI38</f>
        <v>(Invalid Identifier)</v>
      </c>
    </row>
    <row r="37" spans="2:27" ht="12.75" customHeight="1">
      <c r="B37" s="385">
        <f>'Comp.1'!B37</f>
        <v>0</v>
      </c>
      <c r="D37" s="54" t="str">
        <f>'Capital IQ Sheet-GPC'!AF40</f>
        <v>n/a</v>
      </c>
      <c r="E37" s="54" t="str">
        <f>'Capital IQ Sheet-GPC'!AG40</f>
        <v>n/a</v>
      </c>
      <c r="F37" s="54" t="str">
        <f>'Capital IQ Sheet-GPC'!AH40</f>
        <v>n/a</v>
      </c>
      <c r="G37" s="54" t="str">
        <f>'Capital IQ Sheet-GPC'!AI40</f>
        <v>n/a</v>
      </c>
      <c r="I37" s="91" t="str">
        <f>'Capital IQ Sheet-GPC'!AJ40</f>
        <v xml:space="preserve"> (Invalid Identifier) </v>
      </c>
      <c r="J37" s="91" t="str">
        <f>'Capital IQ Sheet-GPC'!AK40</f>
        <v xml:space="preserve"> (Invalid Identifier) </v>
      </c>
      <c r="K37" s="91" t="str">
        <f>'Capital IQ Sheet-GPC'!AL40</f>
        <v xml:space="preserve"> (Invalid Identifier) </v>
      </c>
      <c r="M37" s="54" t="str">
        <f>IFERROR(IF(I37/'Comp.1'!H37&gt;$AA$7,"NM",IF((I37/'Comp.1'!H37)&lt;$AC$7,"NM",I37/'Comp.1'!H37)),"n/a")</f>
        <v>n/a</v>
      </c>
      <c r="N37" s="54" t="str">
        <f>IFERROR(IF(J37/'Comp.1'!I37&gt;$AA$7,"NM",IF((J37/'Comp.1'!I37)&lt;$AC$7,"NM",J37/'Comp.1'!I37)),"n/a")</f>
        <v>n/a</v>
      </c>
      <c r="O37" s="54" t="str">
        <f>IFERROR(IF(K37/'Comp.1'!J37&gt;$AA$7,"NM",IF((K37/'Comp.1'!J37)&lt;$AC$7,"NM",K37/'Comp.1'!J37)),"n/a")</f>
        <v>n/a</v>
      </c>
      <c r="P37" s="386"/>
      <c r="Q37" s="91" t="str">
        <f>'Capital IQ Sheet-GPC'!AM40</f>
        <v xml:space="preserve"> (Invalid Identifier) </v>
      </c>
      <c r="R37" s="91" t="str">
        <f>'Capital IQ Sheet-GPC'!AN40</f>
        <v xml:space="preserve"> (Invalid Identifier) </v>
      </c>
      <c r="S37" s="91" t="str">
        <f>'Capital IQ Sheet-GPC'!AO40</f>
        <v xml:space="preserve"> (Invalid Identifier) </v>
      </c>
      <c r="U37" s="54" t="str">
        <f>IFERROR(IF(Q37/'Comp.1'!H37&gt;$AA$7,"NM",IF((Q37/'Comp.1'!H37)&lt;$AC$7,"NM",Q37/'Comp.1'!H37)),"n/a")</f>
        <v>n/a</v>
      </c>
      <c r="V37" s="54" t="str">
        <f>IFERROR(IF(R37/'Comp.1'!I37&gt;$AA$7,"NM",IF((R37/'Comp.1'!I37)&lt;$AC$7,"NM",R37/'Comp.1'!I37)),"n/a")</f>
        <v>n/a</v>
      </c>
      <c r="W37" s="54" t="str">
        <f>IFERROR(IF(S37/'Comp.1'!J37&gt;$AA$7,"NM",IF((S37/'Comp.1'!J37)&lt;$AC$7,"NM",S37/'Comp.1'!J37)),"n/a")</f>
        <v>n/a</v>
      </c>
      <c r="Z37" s="92" t="str">
        <f>IF('MASTER PubCo Inputs'!B55="","",'MASTER PubCo Inputs'!B55)</f>
        <v/>
      </c>
      <c r="AA37" s="385" t="str">
        <f>'Comp.2'!AI39</f>
        <v>(Invalid Identifier)</v>
      </c>
    </row>
    <row r="38" spans="2:27" ht="12.75" customHeight="1">
      <c r="B38" s="385">
        <f>'Comp.1'!B38</f>
        <v>0</v>
      </c>
      <c r="D38" s="54" t="str">
        <f>'Capital IQ Sheet-GPC'!AF41</f>
        <v>n/a</v>
      </c>
      <c r="E38" s="54" t="str">
        <f>'Capital IQ Sheet-GPC'!AG41</f>
        <v>n/a</v>
      </c>
      <c r="F38" s="54" t="str">
        <f>'Capital IQ Sheet-GPC'!AH41</f>
        <v>n/a</v>
      </c>
      <c r="G38" s="54" t="str">
        <f>'Capital IQ Sheet-GPC'!AI41</f>
        <v>n/a</v>
      </c>
      <c r="I38" s="91" t="str">
        <f>'Capital IQ Sheet-GPC'!AJ41</f>
        <v xml:space="preserve"> (Invalid Identifier) </v>
      </c>
      <c r="J38" s="91" t="str">
        <f>'Capital IQ Sheet-GPC'!AK41</f>
        <v xml:space="preserve"> (Invalid Identifier) </v>
      </c>
      <c r="K38" s="91" t="str">
        <f>'Capital IQ Sheet-GPC'!AL41</f>
        <v xml:space="preserve"> (Invalid Identifier) </v>
      </c>
      <c r="M38" s="54" t="str">
        <f>IFERROR(IF(I38/'Comp.1'!H38&gt;$AA$7,"NM",IF((I38/'Comp.1'!H38)&lt;$AC$7,"NM",I38/'Comp.1'!H38)),"n/a")</f>
        <v>n/a</v>
      </c>
      <c r="N38" s="54" t="str">
        <f>IFERROR(IF(J38/'Comp.1'!I38&gt;$AA$7,"NM",IF((J38/'Comp.1'!I38)&lt;$AC$7,"NM",J38/'Comp.1'!I38)),"n/a")</f>
        <v>n/a</v>
      </c>
      <c r="O38" s="54" t="str">
        <f>IFERROR(IF(K38/'Comp.1'!J38&gt;$AA$7,"NM",IF((K38/'Comp.1'!J38)&lt;$AC$7,"NM",K38/'Comp.1'!J38)),"n/a")</f>
        <v>n/a</v>
      </c>
      <c r="P38" s="386"/>
      <c r="Q38" s="91" t="str">
        <f>'Capital IQ Sheet-GPC'!AM41</f>
        <v xml:space="preserve"> (Invalid Identifier) </v>
      </c>
      <c r="R38" s="91" t="str">
        <f>'Capital IQ Sheet-GPC'!AN41</f>
        <v xml:space="preserve"> (Invalid Identifier) </v>
      </c>
      <c r="S38" s="91" t="str">
        <f>'Capital IQ Sheet-GPC'!AO41</f>
        <v xml:space="preserve"> (Invalid Identifier) </v>
      </c>
      <c r="U38" s="54" t="str">
        <f>IFERROR(IF(Q38/'Comp.1'!H38&gt;$AA$7,"NM",IF((Q38/'Comp.1'!H38)&lt;$AC$7,"NM",Q38/'Comp.1'!H38)),"n/a")</f>
        <v>n/a</v>
      </c>
      <c r="V38" s="54" t="str">
        <f>IFERROR(IF(R38/'Comp.1'!I38&gt;$AA$7,"NM",IF((R38/'Comp.1'!I38)&lt;$AC$7,"NM",R38/'Comp.1'!I38)),"n/a")</f>
        <v>n/a</v>
      </c>
      <c r="W38" s="54" t="str">
        <f>IFERROR(IF(S38/'Comp.1'!J38&gt;$AA$7,"NM",IF((S38/'Comp.1'!J38)&lt;$AC$7,"NM",S38/'Comp.1'!J38)),"n/a")</f>
        <v>n/a</v>
      </c>
      <c r="Z38" s="92" t="str">
        <f>IF('MASTER PubCo Inputs'!B56="","",'MASTER PubCo Inputs'!B56)</f>
        <v/>
      </c>
      <c r="AA38" s="385" t="str">
        <f>'Comp.2'!AI40</f>
        <v>(Invalid Identifier)</v>
      </c>
    </row>
    <row r="39" spans="2:27" ht="12.75" customHeight="1">
      <c r="B39" s="385">
        <f>'Comp.1'!B39</f>
        <v>0</v>
      </c>
      <c r="D39" s="54" t="str">
        <f>'Capital IQ Sheet-GPC'!AF42</f>
        <v>n/a</v>
      </c>
      <c r="E39" s="54" t="str">
        <f>'Capital IQ Sheet-GPC'!AG42</f>
        <v>n/a</v>
      </c>
      <c r="F39" s="54" t="str">
        <f>'Capital IQ Sheet-GPC'!AH42</f>
        <v>n/a</v>
      </c>
      <c r="G39" s="54" t="str">
        <f>'Capital IQ Sheet-GPC'!AI42</f>
        <v>n/a</v>
      </c>
      <c r="I39" s="91" t="str">
        <f>'Capital IQ Sheet-GPC'!AJ42</f>
        <v xml:space="preserve"> (Invalid Identifier) </v>
      </c>
      <c r="J39" s="91" t="str">
        <f>'Capital IQ Sheet-GPC'!AK42</f>
        <v xml:space="preserve"> (Invalid Identifier) </v>
      </c>
      <c r="K39" s="91" t="str">
        <f>'Capital IQ Sheet-GPC'!AL42</f>
        <v xml:space="preserve"> (Invalid Identifier) </v>
      </c>
      <c r="M39" s="54" t="str">
        <f>IFERROR(IF(I39/'Comp.1'!H39&gt;$AA$7,"NM",IF((I39/'Comp.1'!H39)&lt;$AC$7,"NM",I39/'Comp.1'!H39)),"n/a")</f>
        <v>n/a</v>
      </c>
      <c r="N39" s="54" t="str">
        <f>IFERROR(IF(J39/'Comp.1'!I39&gt;$AA$7,"NM",IF((J39/'Comp.1'!I39)&lt;$AC$7,"NM",J39/'Comp.1'!I39)),"n/a")</f>
        <v>n/a</v>
      </c>
      <c r="O39" s="54" t="str">
        <f>IFERROR(IF(K39/'Comp.1'!J39&gt;$AA$7,"NM",IF((K39/'Comp.1'!J39)&lt;$AC$7,"NM",K39/'Comp.1'!J39)),"n/a")</f>
        <v>n/a</v>
      </c>
      <c r="P39" s="386"/>
      <c r="Q39" s="91" t="str">
        <f>'Capital IQ Sheet-GPC'!AM42</f>
        <v xml:space="preserve"> (Invalid Identifier) </v>
      </c>
      <c r="R39" s="91" t="str">
        <f>'Capital IQ Sheet-GPC'!AN42</f>
        <v xml:space="preserve"> (Invalid Identifier) </v>
      </c>
      <c r="S39" s="91" t="str">
        <f>'Capital IQ Sheet-GPC'!AO42</f>
        <v xml:space="preserve"> (Invalid Identifier) </v>
      </c>
      <c r="U39" s="54" t="str">
        <f>IFERROR(IF(Q39/'Comp.1'!H39&gt;$AA$7,"NM",IF((Q39/'Comp.1'!H39)&lt;$AC$7,"NM",Q39/'Comp.1'!H39)),"n/a")</f>
        <v>n/a</v>
      </c>
      <c r="V39" s="54" t="str">
        <f>IFERROR(IF(R39/'Comp.1'!I39&gt;$AA$7,"NM",IF((R39/'Comp.1'!I39)&lt;$AC$7,"NM",R39/'Comp.1'!I39)),"n/a")</f>
        <v>n/a</v>
      </c>
      <c r="W39" s="54" t="str">
        <f>IFERROR(IF(S39/'Comp.1'!J39&gt;$AA$7,"NM",IF((S39/'Comp.1'!J39)&lt;$AC$7,"NM",S39/'Comp.1'!J39)),"n/a")</f>
        <v>n/a</v>
      </c>
      <c r="Z39" s="92" t="str">
        <f>IF('MASTER PubCo Inputs'!B57="","",'MASTER PubCo Inputs'!B57)</f>
        <v/>
      </c>
      <c r="AA39" s="385" t="str">
        <f>'Comp.2'!AI41</f>
        <v>(Invalid Identifier)</v>
      </c>
    </row>
    <row r="40" spans="2:27" ht="12.75" customHeight="1">
      <c r="I40" s="386"/>
      <c r="J40" s="386"/>
      <c r="K40" s="386"/>
      <c r="M40" s="386"/>
      <c r="N40" s="386"/>
      <c r="O40" s="386"/>
      <c r="P40" s="386"/>
    </row>
    <row r="41" spans="2:27" ht="12.75" customHeight="1">
      <c r="B41" s="753" t="s">
        <v>46</v>
      </c>
      <c r="C41" s="769"/>
      <c r="D41" s="773">
        <f>MAX(D10:D40)</f>
        <v>1</v>
      </c>
      <c r="E41" s="773">
        <f>MAX(E10:E40)</f>
        <v>0.223</v>
      </c>
      <c r="F41" s="773">
        <f>MAX(F10:F40)</f>
        <v>0.19700000000000001</v>
      </c>
      <c r="G41" s="773">
        <f>MAX(G10:G40)</f>
        <v>0.158</v>
      </c>
      <c r="H41" s="769"/>
      <c r="I41" s="768">
        <f>MAX(I10:I40)</f>
        <v>1.4</v>
      </c>
      <c r="J41" s="768">
        <f>MAX(J10:J40)</f>
        <v>0.8</v>
      </c>
      <c r="K41" s="770">
        <f>MAX(K10:K40)</f>
        <v>4.0999999999999996</v>
      </c>
      <c r="L41" s="769"/>
      <c r="M41" s="773">
        <f>MAX(M10:M40)</f>
        <v>-7.063053807628098E-4</v>
      </c>
      <c r="N41" s="773">
        <f>MAX(N10:N40)</f>
        <v>0.88888888888888895</v>
      </c>
      <c r="O41" s="773">
        <f>MAX(O10:O40)</f>
        <v>0.49397590361445776</v>
      </c>
      <c r="P41" s="768"/>
      <c r="Q41" s="768">
        <f>MAX(Q10:Q40)</f>
        <v>0</v>
      </c>
      <c r="R41" s="768">
        <f>MAX(R10:R40)</f>
        <v>0</v>
      </c>
      <c r="S41" s="768">
        <f>MAX(S10:S40)</f>
        <v>0</v>
      </c>
      <c r="T41" s="769"/>
      <c r="U41" s="773">
        <f>MAX(U10:U40)</f>
        <v>0</v>
      </c>
      <c r="V41" s="773">
        <f>MAX(V10:V40)</f>
        <v>0</v>
      </c>
      <c r="W41" s="755">
        <f>MAX(W10:W40)</f>
        <v>0</v>
      </c>
    </row>
    <row r="42" spans="2:27" ht="12.75" customHeight="1">
      <c r="B42" s="339" t="s">
        <v>50</v>
      </c>
      <c r="C42" s="75"/>
      <c r="D42" s="139">
        <f>QUARTILE(D10:D40,3)</f>
        <v>0.99175000000000002</v>
      </c>
      <c r="E42" s="139">
        <f>QUARTILE(E10:E40,3)</f>
        <v>-0.57850000000000001</v>
      </c>
      <c r="F42" s="139">
        <f>QUARTILE(F10:F40,3)</f>
        <v>-0.59150000000000003</v>
      </c>
      <c r="G42" s="139">
        <f>QUARTILE(G10:G40,3)</f>
        <v>-0.67949999999999999</v>
      </c>
      <c r="H42" s="75"/>
      <c r="I42" s="99">
        <f>QUARTILE(I10:I40,3)</f>
        <v>-0.95000000000000007</v>
      </c>
      <c r="J42" s="99">
        <f>QUARTILE(J10:J40,3)</f>
        <v>-2.4249999999999998</v>
      </c>
      <c r="K42" s="100">
        <f>QUARTILE(K10:K40,3)</f>
        <v>-1.5</v>
      </c>
      <c r="L42" s="75"/>
      <c r="M42" s="139">
        <f>QUARTILE(M10:M40,3)</f>
        <v>-0.22903324012267726</v>
      </c>
      <c r="N42" s="139">
        <f>QUARTILE(N10:N40,3)</f>
        <v>-0.20625333283860336</v>
      </c>
      <c r="O42" s="139">
        <f>QUARTILE(O10:O40,3)</f>
        <v>-0.14940409471933946</v>
      </c>
      <c r="P42" s="99"/>
      <c r="Q42" s="99">
        <f>QUARTILE(Q10:Q40,3)</f>
        <v>-0.2</v>
      </c>
      <c r="R42" s="99">
        <f>QUARTILE(R10:R40,3)</f>
        <v>-0.05</v>
      </c>
      <c r="S42" s="99">
        <f>QUARTILE(S10:S40,3)</f>
        <v>-0.05</v>
      </c>
      <c r="T42" s="75"/>
      <c r="U42" s="139">
        <f>QUARTILE(U10:U40,3)</f>
        <v>-1.3058982797142762E-2</v>
      </c>
      <c r="V42" s="139">
        <f>QUARTILE(V10:V40,3)</f>
        <v>-2.7670171555063644E-3</v>
      </c>
      <c r="W42" s="140">
        <f>QUARTILE(W10:W40,3)</f>
        <v>-1.7406659939455098E-2</v>
      </c>
    </row>
    <row r="43" spans="2:27" ht="12.75" customHeight="1">
      <c r="B43" s="339" t="s">
        <v>48</v>
      </c>
      <c r="C43" s="75"/>
      <c r="D43" s="139">
        <f>AVERAGE(D10:D40)</f>
        <v>0.19274999999999998</v>
      </c>
      <c r="E43" s="139">
        <f>AVERAGE(E10:E40)</f>
        <v>-1.3251428571428572</v>
      </c>
      <c r="F43" s="139">
        <f>AVERAGE(F10:F40)</f>
        <v>-1.3501428571428573</v>
      </c>
      <c r="G43" s="139">
        <f>AVERAGE(G10:G40)</f>
        <v>-1.3992857142857142</v>
      </c>
      <c r="H43" s="75"/>
      <c r="I43" s="99">
        <f>AVERAGE(I10:I40)</f>
        <v>-14.936842105263162</v>
      </c>
      <c r="J43" s="99">
        <f>AVERAGE(J10:J40)</f>
        <v>-19.530000000000005</v>
      </c>
      <c r="K43" s="100">
        <f>AVERAGE(K10:K40)</f>
        <v>-36.440000000000005</v>
      </c>
      <c r="L43" s="75"/>
      <c r="M43" s="139">
        <f>AVERAGE(M10:M40)</f>
        <v>-0.454685482915131</v>
      </c>
      <c r="N43" s="139">
        <f>AVERAGE(N10:N40)</f>
        <v>-0.38311171588800985</v>
      </c>
      <c r="O43" s="139">
        <f>AVERAGE(O10:O40)</f>
        <v>-0.24773036021261075</v>
      </c>
      <c r="P43" s="99"/>
      <c r="Q43" s="99">
        <f>AVERAGE(Q10:Q40)</f>
        <v>-4.2764705882352949</v>
      </c>
      <c r="R43" s="99">
        <f>AVERAGE(R10:R40)</f>
        <v>-4.2052631578947368</v>
      </c>
      <c r="S43" s="99">
        <f>AVERAGE(S10:S40)</f>
        <v>-8.8315789473684223</v>
      </c>
      <c r="T43" s="75"/>
      <c r="U43" s="139">
        <f>AVERAGE(U10:U40)</f>
        <v>-0.15278314663765233</v>
      </c>
      <c r="V43" s="139">
        <f>AVERAGE(V10:V40)</f>
        <v>-0.19610545306682917</v>
      </c>
      <c r="W43" s="140">
        <f>AVERAGE(W10:W40)</f>
        <v>-0.19605636817872546</v>
      </c>
    </row>
    <row r="44" spans="2:27" ht="12.75" customHeight="1">
      <c r="B44" s="339" t="s">
        <v>3</v>
      </c>
      <c r="C44" s="75"/>
      <c r="D44" s="139">
        <f>MEDIAN(D10:D40)</f>
        <v>0.53049999999999997</v>
      </c>
      <c r="E44" s="139">
        <f>MEDIAN(E10:E40)</f>
        <v>-1.0009999999999999</v>
      </c>
      <c r="F44" s="139">
        <f>MEDIAN(F10:F40)</f>
        <v>-1.0489999999999999</v>
      </c>
      <c r="G44" s="139">
        <f>MEDIAN(G10:G40)</f>
        <v>-1.069</v>
      </c>
      <c r="H44" s="75"/>
      <c r="I44" s="99">
        <f>MEDIAN(I10:I40)</f>
        <v>-2.1</v>
      </c>
      <c r="J44" s="99">
        <f>MEDIAN(J10:J40)</f>
        <v>-4.8499999999999996</v>
      </c>
      <c r="K44" s="100">
        <f>MEDIAN(K10:K40)</f>
        <v>-5.4</v>
      </c>
      <c r="L44" s="75"/>
      <c r="M44" s="139">
        <f>MEDIAN(M10:M40)</f>
        <v>-0.31285714285714283</v>
      </c>
      <c r="N44" s="139">
        <f>MEDIAN(N10:N40)</f>
        <v>-0.50251455796717837</v>
      </c>
      <c r="O44" s="139">
        <f>MEDIAN(O10:O40)</f>
        <v>-0.3571918143542544</v>
      </c>
      <c r="P44" s="99"/>
      <c r="Q44" s="99">
        <f>MEDIAN(Q10:Q40)</f>
        <v>-0.3</v>
      </c>
      <c r="R44" s="99">
        <f>MEDIAN(R10:R40)</f>
        <v>-0.3</v>
      </c>
      <c r="S44" s="99">
        <f>MEDIAN(S10:S40)</f>
        <v>-0.3</v>
      </c>
      <c r="T44" s="75"/>
      <c r="U44" s="139">
        <f>MEDIAN(U10:U40)</f>
        <v>-9.0221870047543576E-2</v>
      </c>
      <c r="V44" s="139">
        <f>MEDIAN(V10:V40)</f>
        <v>-2.6791160324684465E-2</v>
      </c>
      <c r="W44" s="140">
        <f>MEDIAN(W10:W40)</f>
        <v>-4.9489095622998323E-2</v>
      </c>
    </row>
    <row r="45" spans="2:27" ht="12.75" customHeight="1">
      <c r="B45" s="339" t="s">
        <v>49</v>
      </c>
      <c r="C45" s="75"/>
      <c r="D45" s="139">
        <f>QUARTILE(D10:D40,1)</f>
        <v>-0.33550000000000002</v>
      </c>
      <c r="E45" s="139">
        <f>QUARTILE(E10:E40,1)</f>
        <v>-2.2345000000000002</v>
      </c>
      <c r="F45" s="139">
        <f>QUARTILE(F10:F40,1)</f>
        <v>-2.254</v>
      </c>
      <c r="G45" s="139">
        <f>QUARTILE(G10:G40,1)</f>
        <v>-2.3094999999999999</v>
      </c>
      <c r="H45" s="75"/>
      <c r="I45" s="99">
        <f>QUARTILE(I10:I40,1)</f>
        <v>-8.9</v>
      </c>
      <c r="J45" s="99">
        <f>QUARTILE(J10:J40,1)</f>
        <v>-21.425000000000001</v>
      </c>
      <c r="K45" s="100">
        <f>QUARTILE(K10:K40,1)</f>
        <v>-23.875</v>
      </c>
      <c r="L45" s="75"/>
      <c r="M45" s="139">
        <f>QUARTILE(M10:M40,1)</f>
        <v>-0.81666666666666665</v>
      </c>
      <c r="N45" s="139">
        <f>QUARTILE(N10:N40,1)</f>
        <v>-0.79962121212121218</v>
      </c>
      <c r="O45" s="139">
        <f>QUARTILE(O10:O40,1)</f>
        <v>-0.5160742143971474</v>
      </c>
      <c r="P45" s="99"/>
      <c r="Q45" s="99">
        <f>QUARTILE(Q10:Q40,1)</f>
        <v>-2.4</v>
      </c>
      <c r="R45" s="99">
        <f>QUARTILE(R10:R40,1)</f>
        <v>-2.4000000000000004</v>
      </c>
      <c r="S45" s="99">
        <f>QUARTILE(S10:S40,1)</f>
        <v>-4.95</v>
      </c>
      <c r="T45" s="75"/>
      <c r="U45" s="139">
        <f>QUARTILE(U10:U40,1)</f>
        <v>-0.19999999999999998</v>
      </c>
      <c r="V45" s="139">
        <f>QUARTILE(V10:V40,1)</f>
        <v>-0.19846491228070176</v>
      </c>
      <c r="W45" s="140">
        <f>QUARTILE(W10:W40,1)</f>
        <v>-0.15000000000000002</v>
      </c>
    </row>
    <row r="46" spans="2:27" ht="12.75" customHeight="1">
      <c r="B46" s="101" t="s">
        <v>47</v>
      </c>
      <c r="C46" s="68"/>
      <c r="D46" s="141">
        <f>MIN(D10:D40)</f>
        <v>-1.633</v>
      </c>
      <c r="E46" s="141">
        <f>MIN(E10:E40)</f>
        <v>-2.8719999999999999</v>
      </c>
      <c r="F46" s="141">
        <f>MIN(F10:F40)</f>
        <v>-2.9079999999999999</v>
      </c>
      <c r="G46" s="141">
        <f>MIN(G10:G40)</f>
        <v>-2.9060000000000001</v>
      </c>
      <c r="H46" s="68"/>
      <c r="I46" s="71">
        <f>MIN(I10:I40)</f>
        <v>-85.8</v>
      </c>
      <c r="J46" s="71">
        <f>MIN(J10:J40)</f>
        <v>-95.4</v>
      </c>
      <c r="K46" s="396">
        <f>MIN(K10:K40)</f>
        <v>-272.60000000000002</v>
      </c>
      <c r="L46" s="68"/>
      <c r="M46" s="141">
        <f>MIN(M10:M40)</f>
        <v>-0.92307692307692291</v>
      </c>
      <c r="N46" s="141">
        <f>MIN(N10:N40)</f>
        <v>-1</v>
      </c>
      <c r="O46" s="141">
        <f>MIN(O10:O40)</f>
        <v>-0.61679790026246717</v>
      </c>
      <c r="P46" s="71"/>
      <c r="Q46" s="71">
        <f>MIN(Q10:Q40)</f>
        <v>-49.2</v>
      </c>
      <c r="R46" s="71">
        <f>MIN(R10:R40)</f>
        <v>-57.1</v>
      </c>
      <c r="S46" s="71">
        <f>MIN(S10:S40)</f>
        <v>-129.80000000000001</v>
      </c>
      <c r="T46" s="68"/>
      <c r="U46" s="141">
        <f>MIN(U10:U40)</f>
        <v>-0.6</v>
      </c>
      <c r="V46" s="141">
        <f>MIN(V10:V40)</f>
        <v>-1</v>
      </c>
      <c r="W46" s="397">
        <f>MIN(W10:W40)</f>
        <v>-1</v>
      </c>
    </row>
    <row r="47" spans="2:27" ht="12.75" customHeight="1"/>
    <row r="48" spans="2:27" ht="12.75" customHeight="1">
      <c r="B48" s="8" t="s">
        <v>51</v>
      </c>
    </row>
    <row r="49" spans="2:24" ht="12.75" customHeight="1">
      <c r="B49" s="8"/>
    </row>
    <row r="50" spans="2:24" ht="12.75" customHeight="1"/>
    <row r="54" spans="2:24" ht="3" customHeight="1"/>
    <row r="55" spans="2:24" s="6" customFormat="1" ht="25.5">
      <c r="B55" s="863" t="s">
        <v>187</v>
      </c>
      <c r="C55" s="864"/>
      <c r="D55" s="865" t="s">
        <v>183</v>
      </c>
      <c r="E55" s="865" t="s">
        <v>184</v>
      </c>
      <c r="F55" s="865" t="s">
        <v>185</v>
      </c>
      <c r="G55" s="866" t="s">
        <v>186</v>
      </c>
      <c r="X55" s="385"/>
    </row>
  </sheetData>
  <mergeCells count="1">
    <mergeCell ref="M7:O7"/>
  </mergeCells>
  <conditionalFormatting sqref="B10:B39">
    <cfRule type="cellIs" dxfId="17" priority="21" operator="equal">
      <formula>"(Invalid Identifier)"</formula>
    </cfRule>
  </conditionalFormatting>
  <conditionalFormatting sqref="C4:I4 M4:W4">
    <cfRule type="cellIs" dxfId="16" priority="20" stopIfTrue="1" operator="equal">
      <formula>"input"</formula>
    </cfRule>
  </conditionalFormatting>
  <conditionalFormatting sqref="J4">
    <cfRule type="cellIs" dxfId="15" priority="18" stopIfTrue="1" operator="equal">
      <formula>"input"</formula>
    </cfRule>
  </conditionalFormatting>
  <conditionalFormatting sqref="J4">
    <cfRule type="cellIs" dxfId="14" priority="19" stopIfTrue="1" operator="equal">
      <formula>"input"</formula>
    </cfRule>
  </conditionalFormatting>
  <conditionalFormatting sqref="L4">
    <cfRule type="cellIs" dxfId="13" priority="9" stopIfTrue="1" operator="equal">
      <formula>"input"</formula>
    </cfRule>
  </conditionalFormatting>
  <conditionalFormatting sqref="B4">
    <cfRule type="cellIs" dxfId="12" priority="2" stopIfTrue="1" operator="equal">
      <formula>"input"</formula>
    </cfRule>
  </conditionalFormatting>
  <conditionalFormatting sqref="K4">
    <cfRule type="cellIs" dxfId="11"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B1:BQ88"/>
  <sheetViews>
    <sheetView showGridLines="0" view="pageBreakPreview" zoomScale="80" zoomScaleNormal="100" zoomScaleSheetLayoutView="80" workbookViewId="0">
      <selection activeCell="B57" sqref="B57"/>
    </sheetView>
  </sheetViews>
  <sheetFormatPr defaultRowHeight="12.75" outlineLevelCol="1"/>
  <cols>
    <col min="1" max="1" width="4.5" style="385" customWidth="1"/>
    <col min="2" max="2" width="45.5" style="385" customWidth="1"/>
    <col min="3" max="3" width="14.83203125" style="385" customWidth="1"/>
    <col min="4" max="4" width="2.83203125" style="385" customWidth="1"/>
    <col min="5" max="6" width="14.83203125" style="385" hidden="1" customWidth="1" outlineLevel="1"/>
    <col min="7" max="7" width="14.83203125" style="385" customWidth="1" collapsed="1"/>
    <col min="8" max="8" width="2.83203125" style="385" hidden="1" customWidth="1" outlineLevel="1"/>
    <col min="9" max="9" width="14.83203125" style="385" customWidth="1" collapsed="1"/>
    <col min="10" max="10" width="17.1640625" style="385" customWidth="1"/>
    <col min="11" max="11" width="2.83203125" style="385" customWidth="1"/>
    <col min="12" max="13" width="14.83203125" style="385" hidden="1" customWidth="1" outlineLevel="1"/>
    <col min="14" max="14" width="14.83203125" style="385" customWidth="1" collapsed="1"/>
    <col min="15" max="15" width="2.83203125" style="385" hidden="1" customWidth="1" outlineLevel="1"/>
    <col min="16" max="16" width="14.83203125" style="385" customWidth="1" collapsed="1"/>
    <col min="17" max="17" width="14.83203125" style="385" customWidth="1"/>
    <col min="18" max="18" width="4.5" style="385" customWidth="1"/>
    <col min="19" max="19" width="21.5" style="385" bestFit="1" customWidth="1"/>
    <col min="20" max="21" width="12.83203125" style="385" customWidth="1"/>
    <col min="22" max="22" width="5.83203125" style="385" customWidth="1"/>
    <col min="23" max="23" width="16.33203125" style="385" customWidth="1"/>
    <col min="24" max="26" width="12.83203125" style="385" customWidth="1"/>
    <col min="27" max="27" width="19.83203125" style="385" bestFit="1" customWidth="1"/>
    <col min="28" max="28" width="15.33203125" style="385" bestFit="1" customWidth="1"/>
    <col min="29" max="29" width="5.83203125" style="385" customWidth="1"/>
    <col min="30" max="30" width="17.83203125" style="385" bestFit="1" customWidth="1"/>
    <col min="31" max="31" width="10.6640625" style="385" bestFit="1" customWidth="1"/>
    <col min="32" max="32" width="9.33203125" style="385"/>
    <col min="33" max="39" width="14.83203125" style="385" customWidth="1"/>
    <col min="40" max="40" width="19.1640625" style="385" customWidth="1"/>
    <col min="41" max="41" width="9.33203125" style="385"/>
    <col min="42" max="42" width="14.5" style="385" customWidth="1"/>
    <col min="43" max="43" width="19.5" style="385" customWidth="1"/>
    <col min="44" max="16384" width="9.33203125" style="385"/>
  </cols>
  <sheetData>
    <row r="1" spans="2:69" ht="10.7" customHeight="1" thickBot="1"/>
    <row r="2" spans="2:69" ht="16.5" customHeight="1" thickTop="1">
      <c r="B2" s="10" t="str">
        <f>'MASTER PubCo Inputs'!$C$5</f>
        <v>Pliant Therapeutics, Inc.</v>
      </c>
      <c r="C2" s="10"/>
      <c r="D2" s="10"/>
      <c r="E2" s="10"/>
      <c r="F2" s="10"/>
      <c r="G2" s="10"/>
      <c r="H2" s="10"/>
      <c r="I2" s="10"/>
      <c r="J2" s="10"/>
      <c r="K2" s="10"/>
      <c r="L2" s="10"/>
      <c r="M2" s="10"/>
      <c r="N2" s="10"/>
      <c r="O2" s="10"/>
      <c r="P2" s="10"/>
      <c r="Q2" s="10"/>
      <c r="AO2" s="270" t="s">
        <v>22</v>
      </c>
      <c r="AP2" s="271">
        <f>'MASTER PubCo Inputs'!$C$6</f>
        <v>43312</v>
      </c>
    </row>
    <row r="3" spans="2:69" ht="15.75" customHeight="1">
      <c r="B3" s="11" t="e">
        <f>VLOOKUP(B4,Outline!$E$8:$G$69,COLUMNS(Outline!$E$8:$G$8),FALSE)</f>
        <v>#N/A</v>
      </c>
      <c r="C3" s="11"/>
      <c r="D3" s="11"/>
      <c r="E3" s="11"/>
      <c r="F3" s="11"/>
      <c r="G3" s="11"/>
      <c r="H3" s="11"/>
      <c r="I3" s="11"/>
      <c r="J3" s="11"/>
      <c r="K3" s="11"/>
      <c r="L3" s="11"/>
      <c r="M3" s="11"/>
      <c r="N3" s="11"/>
      <c r="O3" s="11"/>
      <c r="P3" s="11"/>
      <c r="Q3" s="11"/>
      <c r="AO3" s="194" t="s">
        <v>299</v>
      </c>
      <c r="AP3" s="272" t="s">
        <v>301</v>
      </c>
    </row>
    <row r="4" spans="2:69" ht="16.5" customHeight="1" thickBot="1">
      <c r="B4" s="12" t="s">
        <v>524</v>
      </c>
      <c r="C4" s="12"/>
      <c r="D4" s="381"/>
      <c r="E4" s="12"/>
      <c r="F4" s="12"/>
      <c r="G4" s="12"/>
      <c r="H4" s="12"/>
      <c r="I4" s="12"/>
      <c r="J4" s="13"/>
      <c r="K4" s="13"/>
      <c r="L4" s="13"/>
      <c r="M4" s="13"/>
      <c r="N4" s="13"/>
      <c r="O4" s="13"/>
      <c r="P4" s="13"/>
      <c r="Q4" s="13" t="str">
        <f>+'MASTER PubCo Inputs'!$C$24</f>
        <v>(in millions of USD)</v>
      </c>
      <c r="AO4" s="194" t="s">
        <v>300</v>
      </c>
      <c r="AP4" s="272" t="s">
        <v>302</v>
      </c>
    </row>
    <row r="5" spans="2:69" ht="13.5" thickTop="1">
      <c r="B5" s="15"/>
      <c r="C5" s="15"/>
      <c r="AO5" s="78" t="s">
        <v>24</v>
      </c>
      <c r="AP5" s="273" t="s">
        <v>25</v>
      </c>
    </row>
    <row r="6" spans="2:69">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row>
    <row r="7" spans="2:69">
      <c r="E7" s="16"/>
      <c r="F7" s="16"/>
      <c r="G7" s="16"/>
      <c r="H7" s="16"/>
      <c r="I7" s="444" t="s">
        <v>176</v>
      </c>
      <c r="J7" s="447"/>
      <c r="K7" s="16"/>
      <c r="L7" s="16"/>
      <c r="M7" s="16"/>
      <c r="N7" s="16"/>
      <c r="O7" s="16"/>
      <c r="P7" s="444" t="s">
        <v>176</v>
      </c>
      <c r="Q7" s="447"/>
    </row>
    <row r="8" spans="2:69">
      <c r="E8" s="393" t="s">
        <v>517</v>
      </c>
      <c r="F8" s="394"/>
      <c r="G8" s="388" t="s">
        <v>516</v>
      </c>
      <c r="H8" s="425"/>
      <c r="I8" s="393" t="s">
        <v>516</v>
      </c>
      <c r="J8" s="394"/>
      <c r="K8" s="16"/>
      <c r="L8" s="393" t="s">
        <v>177</v>
      </c>
      <c r="M8" s="394"/>
      <c r="N8" s="388" t="s">
        <v>516</v>
      </c>
      <c r="O8" s="425"/>
      <c r="P8" s="393" t="s">
        <v>177</v>
      </c>
      <c r="Q8" s="394"/>
      <c r="AG8" s="330" t="s">
        <v>26</v>
      </c>
      <c r="AH8" s="337"/>
      <c r="AI8" s="337"/>
      <c r="AJ8" s="337"/>
      <c r="AK8" s="337"/>
      <c r="AL8" s="337"/>
      <c r="AM8" s="337"/>
      <c r="AN8" s="338"/>
    </row>
    <row r="9" spans="2:69" s="6" customFormat="1" ht="25.5">
      <c r="B9" s="454" t="s">
        <v>519</v>
      </c>
      <c r="C9" s="575" t="s">
        <v>76</v>
      </c>
      <c r="D9" s="298"/>
      <c r="E9" s="577" t="s">
        <v>188</v>
      </c>
      <c r="F9" s="586" t="s">
        <v>174</v>
      </c>
      <c r="G9" s="579" t="s">
        <v>175</v>
      </c>
      <c r="H9" s="580"/>
      <c r="I9" s="583">
        <f>J9-1</f>
        <v>2016</v>
      </c>
      <c r="J9" s="588">
        <f>YEAR($AP$2)-1</f>
        <v>2017</v>
      </c>
      <c r="K9" s="589"/>
      <c r="L9" s="577" t="str">
        <f>E9</f>
        <v>LTM-2</v>
      </c>
      <c r="M9" s="586" t="str">
        <f>F9</f>
        <v>LTM-1</v>
      </c>
      <c r="N9" s="576" t="str">
        <f>G9</f>
        <v>LTM</v>
      </c>
      <c r="O9" s="580"/>
      <c r="P9" s="583">
        <f>I9</f>
        <v>2016</v>
      </c>
      <c r="Q9" s="585">
        <f>J9</f>
        <v>2017</v>
      </c>
      <c r="AG9" s="349" t="s">
        <v>29</v>
      </c>
      <c r="AH9" s="350" t="s">
        <v>30</v>
      </c>
      <c r="AI9" s="350" t="s">
        <v>31</v>
      </c>
      <c r="AJ9" s="350" t="s">
        <v>32</v>
      </c>
      <c r="AK9" s="350" t="s">
        <v>33</v>
      </c>
      <c r="AL9" s="350" t="s">
        <v>34</v>
      </c>
      <c r="AM9" s="350" t="s">
        <v>35</v>
      </c>
      <c r="AN9" s="351" t="s">
        <v>36</v>
      </c>
      <c r="AP9" s="86" t="s">
        <v>43</v>
      </c>
    </row>
    <row r="10" spans="2:69" ht="12.75" customHeight="1"/>
    <row r="11" spans="2:69" ht="12.75" customHeight="1">
      <c r="C11" s="278"/>
      <c r="D11" s="279"/>
      <c r="E11" s="498" t="s">
        <v>380</v>
      </c>
      <c r="F11" s="499"/>
      <c r="G11" s="498" t="s">
        <v>380</v>
      </c>
      <c r="H11" s="499"/>
      <c r="I11" s="500"/>
      <c r="J11" s="501"/>
      <c r="K11" s="196"/>
      <c r="L11" s="498" t="s">
        <v>429</v>
      </c>
      <c r="M11" s="499"/>
      <c r="N11" s="498" t="s">
        <v>429</v>
      </c>
      <c r="O11" s="499"/>
      <c r="P11" s="500"/>
      <c r="Q11" s="501"/>
      <c r="S11" s="341" t="s">
        <v>430</v>
      </c>
      <c r="T11" s="341"/>
      <c r="U11" s="341"/>
      <c r="V11" s="341"/>
      <c r="W11" s="341"/>
      <c r="X11" s="341"/>
      <c r="Z11" s="341" t="s">
        <v>431</v>
      </c>
      <c r="AA11" s="341"/>
      <c r="AB11" s="341"/>
      <c r="AC11" s="341"/>
      <c r="AD11" s="341"/>
      <c r="AE11" s="341"/>
      <c r="AP11" s="94"/>
    </row>
    <row r="12" spans="2:69" s="56" customFormat="1" ht="12.75" customHeight="1">
      <c r="B12" s="48"/>
      <c r="C12" s="132"/>
      <c r="D12" s="48"/>
      <c r="E12" s="132"/>
      <c r="F12" s="132"/>
      <c r="G12" s="132"/>
      <c r="H12" s="132"/>
      <c r="I12" s="132"/>
      <c r="J12" s="132"/>
      <c r="L12" s="132"/>
      <c r="M12" s="132"/>
      <c r="N12" s="132"/>
      <c r="O12" s="48"/>
      <c r="P12" s="48"/>
      <c r="Q12" s="48"/>
      <c r="S12" s="169" t="str">
        <f>+E9</f>
        <v>LTM-2</v>
      </c>
      <c r="T12" s="169" t="str">
        <f>+F9</f>
        <v>LTM-1</v>
      </c>
      <c r="U12" s="169" t="str">
        <f>+G9</f>
        <v>LTM</v>
      </c>
      <c r="V12" s="340"/>
      <c r="W12" s="169">
        <f>+I9</f>
        <v>2016</v>
      </c>
      <c r="X12" s="169">
        <f>+J9</f>
        <v>2017</v>
      </c>
      <c r="Z12" s="169" t="str">
        <f>+L9</f>
        <v>LTM-2</v>
      </c>
      <c r="AA12" s="169" t="str">
        <f>+M9</f>
        <v>LTM-1</v>
      </c>
      <c r="AB12" s="169" t="str">
        <f>+N9</f>
        <v>LTM</v>
      </c>
      <c r="AC12" s="340"/>
      <c r="AD12" s="169">
        <f>+P9</f>
        <v>2016</v>
      </c>
      <c r="AE12" s="169">
        <f>+Q9</f>
        <v>2017</v>
      </c>
      <c r="AG12" s="385"/>
      <c r="AH12" s="385"/>
      <c r="AI12" s="385"/>
      <c r="AJ12" s="385"/>
      <c r="AK12" s="385"/>
      <c r="AL12" s="385"/>
      <c r="AM12" s="385"/>
      <c r="AN12" s="385"/>
    </row>
    <row r="13" spans="2:69" ht="12.75" customHeight="1">
      <c r="B13" s="385" t="str">
        <f>'Comp.1'!B10</f>
        <v>Vertex Pharmaceuticals Incorporated</v>
      </c>
      <c r="C13" s="91">
        <f>AG13</f>
        <v>44574.8</v>
      </c>
      <c r="E13" s="89" t="str">
        <f>IF(IF(ISERROR($AG13/S13),"n/a",$AG$13/S13)&lt;0,"n/a",IF(ISERROR($AG$13/S13),"n/a",$AG$13/S13))</f>
        <v>n/a</v>
      </c>
      <c r="F13" s="89">
        <f>IF(IF(ISERROR($AG13/T13),"n/a",$AG$13/T13)&lt;0,"n/a",IF(ISERROR($AG$13/T13),"n/a",$AG$13/T13))</f>
        <v>165.76719970249167</v>
      </c>
      <c r="G13" s="89">
        <f>IF(IF(ISERROR($AG13/U13),"n/a",$AG$13/U13)&lt;0,"n/a",IF(ISERROR($AG$13/U13),"n/a",$AG$13/U13))</f>
        <v>182.31002044989776</v>
      </c>
      <c r="H13" s="386"/>
      <c r="I13" s="89" t="str">
        <f>IF(IF(ISERROR($AG13/W13),"n/a",$AG$13/W13)&lt;0,"n/a",IF(ISERROR($AG$13/W13),"n/a",$AG$13/W13))</f>
        <v>n/a</v>
      </c>
      <c r="J13" s="89">
        <f>IF(IF(ISERROR($AG13/X13),"n/a",$AG$13/X13)&lt;0,"n/a",IF(ISERROR($AG$13/X13),"n/a",$AG$13/X13))</f>
        <v>486.62445414847167</v>
      </c>
      <c r="L13" s="89">
        <f>IF(IF(ISERROR($AG13/Z13),"n/a",$AG$13/Z13)&lt;0,"n/a",IF(ISERROR($AG$13/Z13),"n/a",$AG$13/Z13))</f>
        <v>38.137234770705</v>
      </c>
      <c r="M13" s="89">
        <f>IF(IF(ISERROR($AG13/AA13),"n/a",$AG$13/AA13)&lt;0,"n/a",IF(ISERROR($AG$13/AA13),"n/a",$AG$13/AA13))</f>
        <v>23.872536418166238</v>
      </c>
      <c r="N13" s="89">
        <f>IF(IF(ISERROR($AG13/AB13),"n/a",$AG$13/AB13)&lt;0,"n/a",IF(ISERROR($AG$13/AB13),"n/a",$AG$13/AB13))</f>
        <v>16.41857895318428</v>
      </c>
      <c r="P13" s="89">
        <f>IF(IF(ISERROR($AG13/AD13),"n/a",$AG$13/AD13)&lt;0,"n/a",IF(ISERROR($AG$13/AD13),"n/a",$AG$13/AD13))</f>
        <v>33.309520251083548</v>
      </c>
      <c r="Q13" s="89">
        <f>IF(IF(ISERROR($AG13/AE13),"n/a",$AG$13/AE13)&lt;0,"n/a",IF(ISERROR($AG$13/AE13),"n/a",$AG$13/AE13))</f>
        <v>21.825784654556141</v>
      </c>
      <c r="S13" s="133">
        <f>'Capital IQ Sheet-GPC'!AU13</f>
        <v>-240.7</v>
      </c>
      <c r="T13" s="133">
        <f>'Capital IQ Sheet-GPC'!AV13</f>
        <v>268.89999999999998</v>
      </c>
      <c r="U13" s="133">
        <f>'Capital IQ Sheet-GPC'!AW13</f>
        <v>244.5</v>
      </c>
      <c r="V13" s="133"/>
      <c r="W13" s="133">
        <f>'Capital IQ Sheet-GPC'!AX13</f>
        <v>-84</v>
      </c>
      <c r="X13" s="133">
        <f>'Capital IQ Sheet-GPC'!AY13</f>
        <v>91.6</v>
      </c>
      <c r="Z13" s="133">
        <f>'Capital IQ Sheet-GPC'!AZ13</f>
        <v>1168.8</v>
      </c>
      <c r="AA13" s="133">
        <f>'Capital IQ Sheet-GPC'!BA13</f>
        <v>1867.2</v>
      </c>
      <c r="AB13" s="133">
        <f>'Capital IQ Sheet-GPC'!BB13</f>
        <v>2714.9</v>
      </c>
      <c r="AD13" s="133">
        <f>'Capital IQ Sheet-GPC'!BC13</f>
        <v>1338.2</v>
      </c>
      <c r="AE13" s="133">
        <f>'Capital IQ Sheet-GPC'!BD13</f>
        <v>2042.3</v>
      </c>
      <c r="AG13" s="386">
        <f>'Beta Calc'!K10</f>
        <v>44574.8</v>
      </c>
      <c r="AH13" s="386">
        <f>'Beta Calc'!L10</f>
        <v>592.70000000000005</v>
      </c>
      <c r="AI13" s="386" t="str">
        <f>'Beta Calc'!M10</f>
        <v xml:space="preserve"> n/a </v>
      </c>
      <c r="AJ13" s="386">
        <f>'Beta Calc'!N10</f>
        <v>28.7</v>
      </c>
      <c r="AK13" s="386">
        <f>SUM(AH13:AJ13)</f>
        <v>621.40000000000009</v>
      </c>
      <c r="AL13" s="386">
        <f>SUM(AG13:AJ13)</f>
        <v>45196.2</v>
      </c>
      <c r="AM13" s="386">
        <f>'Beta Calc'!Q10</f>
        <v>2767.8</v>
      </c>
      <c r="AN13" s="91">
        <f>IF(ISERROR(AL13-AM13), "n/a", AL13-AM13)</f>
        <v>42428.399999999994</v>
      </c>
      <c r="AP13" s="92" t="str">
        <f>IF('MASTER PubCo Inputs'!C28="","",'MASTER PubCo Inputs'!C28)</f>
        <v>IQ36235</v>
      </c>
      <c r="AQ13" s="503" t="str">
        <f>'Comp.1'!AM10</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4" spans="2:69" ht="12.75" customHeight="1">
      <c r="B14" s="385" t="str">
        <f>'Comp.1'!B11</f>
        <v>FibroGen, Inc.</v>
      </c>
      <c r="C14" s="91">
        <f t="shared" ref="C14:C42" si="0">AG14</f>
        <v>5153.3</v>
      </c>
      <c r="E14" s="89" t="str">
        <f t="shared" ref="E14:E42" si="1">IF(IF(ISERROR($AG14/S14),"n/a",$AG$13/S14)&lt;0,"n/a",IF(ISERROR($AG$13/S14),"n/a",$AG$13/S14))</f>
        <v>n/a</v>
      </c>
      <c r="F14" s="89" t="str">
        <f t="shared" ref="F14:F42" si="2">IF(IF(ISERROR($AG14/T14),"n/a",$AG$13/T14)&lt;0,"n/a",IF(ISERROR($AG$13/T14),"n/a",$AG$13/T14))</f>
        <v>n/a</v>
      </c>
      <c r="G14" s="89" t="str">
        <f t="shared" ref="G14:G42" si="3">IF(IF(ISERROR($AG14/U14),"n/a",$AG$13/U14)&lt;0,"n/a",IF(ISERROR($AG$13/U14),"n/a",$AG$13/U14))</f>
        <v>n/a</v>
      </c>
      <c r="H14" s="386"/>
      <c r="I14" s="89" t="str">
        <f t="shared" ref="I14:I42" si="4">IF(IF(ISERROR($AG14/W14),"n/a",$AG$13/W14)&lt;0,"n/a",IF(ISERROR($AG$13/W14),"n/a",$AG$13/W14))</f>
        <v>n/a</v>
      </c>
      <c r="J14" s="89" t="str">
        <f t="shared" ref="J14:J42" si="5">IF(IF(ISERROR($AG14/X14),"n/a",$AG$13/X14)&lt;0,"n/a",IF(ISERROR($AG$13/X14),"n/a",$AG$13/X14))</f>
        <v>n/a</v>
      </c>
      <c r="L14" s="89">
        <f t="shared" ref="L14:L42" si="6">IF(IF(ISERROR($AG14/Z14),"n/a",$AG$13/Z14)&lt;0,"n/a",IF(ISERROR($AG$13/Z14),"n/a",$AG$13/Z14))</f>
        <v>252.97843359818393</v>
      </c>
      <c r="M14" s="89">
        <f t="shared" ref="M14:M42" si="7">IF(IF(ISERROR($AG14/AA14),"n/a",$AG$13/AA14)&lt;0,"n/a",IF(ISERROR($AG$13/AA14),"n/a",$AG$13/AA14))</f>
        <v>295.19735099337748</v>
      </c>
      <c r="N14" s="89">
        <f t="shared" ref="N14:N42" si="8">IF(IF(ISERROR($AG14/AB14),"n/a",$AG$13/AB14)&lt;0,"n/a",IF(ISERROR($AG$13/AB14),"n/a",$AG$13/AB14))</f>
        <v>85.919043947571325</v>
      </c>
      <c r="P14" s="89">
        <f t="shared" ref="P14:P42" si="9">IF(IF(ISERROR($AG14/AD14),"n/a",$AG$13/AD14)&lt;0,"n/a",IF(ISERROR($AG$13/AD14),"n/a",$AG$13/AD14))</f>
        <v>254.56767561393491</v>
      </c>
      <c r="Q14" s="89">
        <f t="shared" ref="Q14:Q42" si="10">IF(IF(ISERROR($AG14/AE14),"n/a",$AG$13/AE14)&lt;0,"n/a",IF(ISERROR($AG$13/AE14),"n/a",$AG$13/AE14))</f>
        <v>76.523261802575107</v>
      </c>
      <c r="S14" s="133">
        <f>'Capital IQ Sheet-GPC'!AU14</f>
        <v>-67.3</v>
      </c>
      <c r="T14" s="133">
        <f>'Capital IQ Sheet-GPC'!AV14</f>
        <v>-64.400000000000006</v>
      </c>
      <c r="U14" s="133">
        <f>'Capital IQ Sheet-GPC'!AW14</f>
        <v>-137</v>
      </c>
      <c r="V14" s="133"/>
      <c r="W14" s="133">
        <f>'Capital IQ Sheet-GPC'!AX14</f>
        <v>-61.7</v>
      </c>
      <c r="X14" s="133">
        <f>'Capital IQ Sheet-GPC'!AY14</f>
        <v>-126.2</v>
      </c>
      <c r="Z14" s="133">
        <f>'Capital IQ Sheet-GPC'!AZ14</f>
        <v>176.2</v>
      </c>
      <c r="AA14" s="133">
        <f>'Capital IQ Sheet-GPC'!BA14</f>
        <v>151</v>
      </c>
      <c r="AB14" s="133">
        <f>'Capital IQ Sheet-GPC'!BB14</f>
        <v>518.79999999999995</v>
      </c>
      <c r="AD14" s="133">
        <f>'Capital IQ Sheet-GPC'!BC14</f>
        <v>175.1</v>
      </c>
      <c r="AE14" s="133">
        <f>'Capital IQ Sheet-GPC'!BD14</f>
        <v>582.5</v>
      </c>
      <c r="AG14" s="386">
        <f>'Beta Calc'!K11</f>
        <v>5153.3</v>
      </c>
      <c r="AH14" s="386">
        <f>'Beta Calc'!L11</f>
        <v>115.4</v>
      </c>
      <c r="AI14" s="386" t="str">
        <f>'Beta Calc'!M11</f>
        <v xml:space="preserve"> n/a </v>
      </c>
      <c r="AJ14" s="386">
        <f>'Beta Calc'!N11</f>
        <v>19.3</v>
      </c>
      <c r="AK14" s="386">
        <f t="shared" ref="AK14:AK42" si="11">SUM(AH14:AJ14)</f>
        <v>134.70000000000002</v>
      </c>
      <c r="AL14" s="386">
        <f t="shared" ref="AL14:AL42" si="12">SUM(AG14:AJ14)</f>
        <v>5288</v>
      </c>
      <c r="AM14" s="386">
        <f>'Beta Calc'!Q11</f>
        <v>703.8</v>
      </c>
      <c r="AN14" s="91">
        <f t="shared" ref="AN14:AN42" si="13">IF(ISERROR(AL14-AM14), "n/a", AL14-AM14)</f>
        <v>4584.2</v>
      </c>
      <c r="AP14" s="92" t="str">
        <f>IF('MASTER PubCo Inputs'!C29="","",'MASTER PubCo Inputs'!C29)</f>
        <v>IQ28484</v>
      </c>
      <c r="AQ14" s="503" t="str">
        <f>'Comp.1'!AM11</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5" spans="2:69" ht="12.75" customHeight="1">
      <c r="B15" s="385" t="str">
        <f>'Comp.1'!B12</f>
        <v>Galapagos NV</v>
      </c>
      <c r="C15" s="91">
        <f t="shared" si="0"/>
        <v>5773</v>
      </c>
      <c r="E15" s="89" t="str">
        <f t="shared" si="1"/>
        <v>n/a</v>
      </c>
      <c r="F15" s="89">
        <f t="shared" si="2"/>
        <v>9286.4166666666679</v>
      </c>
      <c r="G15" s="89" t="str">
        <f t="shared" si="3"/>
        <v>n/a</v>
      </c>
      <c r="H15" s="386"/>
      <c r="I15" s="89">
        <f t="shared" si="4"/>
        <v>782.01403508771932</v>
      </c>
      <c r="J15" s="89" t="str">
        <f t="shared" si="5"/>
        <v>n/a</v>
      </c>
      <c r="L15" s="89">
        <f t="shared" si="6"/>
        <v>53.723996625286247</v>
      </c>
      <c r="M15" s="89">
        <f t="shared" si="7"/>
        <v>55.718500000000006</v>
      </c>
      <c r="N15" s="89">
        <f t="shared" si="8"/>
        <v>40.229963898916971</v>
      </c>
      <c r="P15" s="89">
        <f t="shared" si="9"/>
        <v>55.655887126982151</v>
      </c>
      <c r="Q15" s="89">
        <f t="shared" si="10"/>
        <v>36.681040157998687</v>
      </c>
      <c r="S15" s="133">
        <f>'Capital IQ Sheet-GPC'!AU15</f>
        <v>-77.7</v>
      </c>
      <c r="T15" s="133">
        <f>'Capital IQ Sheet-GPC'!AV15</f>
        <v>4.8</v>
      </c>
      <c r="U15" s="133">
        <f>'Capital IQ Sheet-GPC'!AW15</f>
        <v>-171.7</v>
      </c>
      <c r="V15" s="133"/>
      <c r="W15" s="133">
        <f>'Capital IQ Sheet-GPC'!AX15</f>
        <v>57</v>
      </c>
      <c r="X15" s="133">
        <f>'Capital IQ Sheet-GPC'!AY15</f>
        <v>-138.9</v>
      </c>
      <c r="Z15" s="133">
        <f>'Capital IQ Sheet-GPC'!AZ15</f>
        <v>829.7</v>
      </c>
      <c r="AA15" s="133">
        <f>'Capital IQ Sheet-GPC'!BA15</f>
        <v>800</v>
      </c>
      <c r="AB15" s="133">
        <f>'Capital IQ Sheet-GPC'!BB15</f>
        <v>1108</v>
      </c>
      <c r="AD15" s="133">
        <f>'Capital IQ Sheet-GPC'!BC15</f>
        <v>800.9</v>
      </c>
      <c r="AE15" s="133">
        <f>'Capital IQ Sheet-GPC'!BD15</f>
        <v>1215.2</v>
      </c>
      <c r="AG15" s="386">
        <f>'Beta Calc'!K12</f>
        <v>5773</v>
      </c>
      <c r="AH15" s="386" t="str">
        <f>'Beta Calc'!L12</f>
        <v xml:space="preserve"> -   </v>
      </c>
      <c r="AI15" s="386" t="str">
        <f>'Beta Calc'!M12</f>
        <v xml:space="preserve"> n/a </v>
      </c>
      <c r="AJ15" s="386" t="str">
        <f>'Beta Calc'!N12</f>
        <v xml:space="preserve"> n/a </v>
      </c>
      <c r="AK15" s="386">
        <f t="shared" si="11"/>
        <v>0</v>
      </c>
      <c r="AL15" s="386">
        <f t="shared" si="12"/>
        <v>5773</v>
      </c>
      <c r="AM15" s="386">
        <f>'Beta Calc'!Q12</f>
        <v>1365.3</v>
      </c>
      <c r="AN15" s="91">
        <f t="shared" si="13"/>
        <v>4407.7</v>
      </c>
      <c r="AP15" s="92" t="str">
        <f>IF('MASTER PubCo Inputs'!C30="","",'MASTER PubCo Inputs'!C30)</f>
        <v>IQ1716658</v>
      </c>
      <c r="AQ15" s="503" t="str">
        <f>'Comp.1'!AM12</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6" spans="2:69" ht="12.75" customHeight="1">
      <c r="B16" s="385" t="str">
        <f>'Comp.1'!B13</f>
        <v>Madrigal Pharmaceuticals, Inc.</v>
      </c>
      <c r="C16" s="91">
        <f t="shared" si="0"/>
        <v>3964.4</v>
      </c>
      <c r="E16" s="89" t="str">
        <f t="shared" si="1"/>
        <v>n/a</v>
      </c>
      <c r="F16" s="89" t="str">
        <f t="shared" si="2"/>
        <v>n/a</v>
      </c>
      <c r="G16" s="89" t="str">
        <f t="shared" si="3"/>
        <v>n/a</v>
      </c>
      <c r="H16" s="386"/>
      <c r="I16" s="89" t="str">
        <f t="shared" si="4"/>
        <v>n/a</v>
      </c>
      <c r="J16" s="89" t="str">
        <f t="shared" si="5"/>
        <v>n/a</v>
      </c>
      <c r="L16" s="89" t="str">
        <f t="shared" si="6"/>
        <v>n/a</v>
      </c>
      <c r="M16" s="89">
        <f t="shared" si="7"/>
        <v>1292.0231884057971</v>
      </c>
      <c r="N16" s="89">
        <f t="shared" si="8"/>
        <v>251.55079006772013</v>
      </c>
      <c r="P16" s="89">
        <f t="shared" si="9"/>
        <v>1224.5824175824177</v>
      </c>
      <c r="Q16" s="89">
        <f t="shared" si="10"/>
        <v>244.51343938562809</v>
      </c>
      <c r="S16" s="133">
        <f>'Capital IQ Sheet-GPC'!AU16</f>
        <v>-7.2</v>
      </c>
      <c r="T16" s="133">
        <f>'Capital IQ Sheet-GPC'!AV16</f>
        <v>-30.7</v>
      </c>
      <c r="U16" s="133">
        <f>'Capital IQ Sheet-GPC'!AW16</f>
        <v>-31.5</v>
      </c>
      <c r="V16" s="133"/>
      <c r="W16" s="133">
        <f>'Capital IQ Sheet-GPC'!AX16</f>
        <v>-26.4</v>
      </c>
      <c r="X16" s="133">
        <f>'Capital IQ Sheet-GPC'!AY16</f>
        <v>-31.2</v>
      </c>
      <c r="Z16" s="133">
        <f>'Capital IQ Sheet-GPC'!AZ16</f>
        <v>-50.6</v>
      </c>
      <c r="AA16" s="133">
        <f>'Capital IQ Sheet-GPC'!BA16</f>
        <v>34.5</v>
      </c>
      <c r="AB16" s="133">
        <f>'Capital IQ Sheet-GPC'!BB16</f>
        <v>177.2</v>
      </c>
      <c r="AD16" s="133">
        <f>'Capital IQ Sheet-GPC'!BC16</f>
        <v>36.4</v>
      </c>
      <c r="AE16" s="133">
        <f>'Capital IQ Sheet-GPC'!BD16</f>
        <v>182.3</v>
      </c>
      <c r="AG16" s="386">
        <f>'Beta Calc'!K13</f>
        <v>3964.4</v>
      </c>
      <c r="AH16" s="386" t="str">
        <f>'Beta Calc'!L13</f>
        <v xml:space="preserve"> -   </v>
      </c>
      <c r="AI16" s="386" t="str">
        <f>'Beta Calc'!M13</f>
        <v xml:space="preserve"> n/a </v>
      </c>
      <c r="AJ16" s="386" t="str">
        <f>'Beta Calc'!N13</f>
        <v xml:space="preserve"> n/a </v>
      </c>
      <c r="AK16" s="386">
        <f t="shared" si="11"/>
        <v>0</v>
      </c>
      <c r="AL16" s="386">
        <f t="shared" si="12"/>
        <v>3964.4</v>
      </c>
      <c r="AM16" s="386">
        <f>'Beta Calc'!Q13</f>
        <v>182.8</v>
      </c>
      <c r="AN16" s="91">
        <f t="shared" si="13"/>
        <v>3781.6</v>
      </c>
      <c r="AP16" s="92" t="str">
        <f>IF('MASTER PubCo Inputs'!C31="","",'MASTER PubCo Inputs'!C31)</f>
        <v>IQ144939852</v>
      </c>
      <c r="AQ16" s="503" t="str">
        <f>'Comp.1'!AM13</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7" spans="2:43" ht="12.75" customHeight="1">
      <c r="B17" s="385" t="str">
        <f>'Comp.1'!B14</f>
        <v>Intercept Pharmaceuticals, Inc.</v>
      </c>
      <c r="C17" s="91">
        <f t="shared" si="0"/>
        <v>2630.5</v>
      </c>
      <c r="E17" s="89" t="str">
        <f t="shared" si="1"/>
        <v>n/a</v>
      </c>
      <c r="F17" s="89" t="str">
        <f t="shared" si="2"/>
        <v>n/a</v>
      </c>
      <c r="G17" s="89" t="str">
        <f t="shared" si="3"/>
        <v>n/a</v>
      </c>
      <c r="H17" s="386"/>
      <c r="I17" s="89" t="str">
        <f t="shared" si="4"/>
        <v>n/a</v>
      </c>
      <c r="J17" s="89" t="str">
        <f t="shared" si="5"/>
        <v>n/a</v>
      </c>
      <c r="L17" s="89">
        <f t="shared" si="6"/>
        <v>91.285685029694861</v>
      </c>
      <c r="M17" s="89">
        <f t="shared" si="7"/>
        <v>185.57368859283932</v>
      </c>
      <c r="N17" s="89" t="str">
        <f t="shared" si="8"/>
        <v>n/a</v>
      </c>
      <c r="P17" s="89">
        <f t="shared" si="9"/>
        <v>141.55223880597018</v>
      </c>
      <c r="Q17" s="89">
        <f t="shared" si="10"/>
        <v>2717.975609756098</v>
      </c>
      <c r="S17" s="133">
        <f>'Capital IQ Sheet-GPC'!AU17</f>
        <v>-313.7</v>
      </c>
      <c r="T17" s="133">
        <f>'Capital IQ Sheet-GPC'!AV17</f>
        <v>-376.1</v>
      </c>
      <c r="U17" s="133">
        <f>'Capital IQ Sheet-GPC'!AW17</f>
        <v>-352</v>
      </c>
      <c r="V17" s="133"/>
      <c r="W17" s="133">
        <f>'Capital IQ Sheet-GPC'!AX17</f>
        <v>-412.8</v>
      </c>
      <c r="X17" s="133">
        <f>'Capital IQ Sheet-GPC'!AY17</f>
        <v>-360.4</v>
      </c>
      <c r="Z17" s="133">
        <f>'Capital IQ Sheet-GPC'!AZ17</f>
        <v>488.3</v>
      </c>
      <c r="AA17" s="133">
        <f>'Capital IQ Sheet-GPC'!BA17</f>
        <v>240.2</v>
      </c>
      <c r="AB17" s="133">
        <f>'Capital IQ Sheet-GPC'!BB17</f>
        <v>-52.3</v>
      </c>
      <c r="AD17" s="133">
        <f>'Capital IQ Sheet-GPC'!BC17</f>
        <v>314.89999999999998</v>
      </c>
      <c r="AE17" s="133">
        <f>'Capital IQ Sheet-GPC'!BD17</f>
        <v>16.399999999999999</v>
      </c>
      <c r="AG17" s="386">
        <f>'Beta Calc'!K14</f>
        <v>2630.5</v>
      </c>
      <c r="AH17" s="386">
        <f>'Beta Calc'!L14</f>
        <v>359.4</v>
      </c>
      <c r="AI17" s="386" t="str">
        <f>'Beta Calc'!M14</f>
        <v xml:space="preserve"> n/a </v>
      </c>
      <c r="AJ17" s="386" t="str">
        <f>'Beta Calc'!N14</f>
        <v xml:space="preserve"> n/a </v>
      </c>
      <c r="AK17" s="386">
        <f t="shared" si="11"/>
        <v>359.4</v>
      </c>
      <c r="AL17" s="386">
        <f t="shared" si="12"/>
        <v>2989.9</v>
      </c>
      <c r="AM17" s="386">
        <f>'Beta Calc'!Q14</f>
        <v>326.10000000000002</v>
      </c>
      <c r="AN17" s="91">
        <f t="shared" si="13"/>
        <v>2663.8</v>
      </c>
      <c r="AP17" s="92" t="str">
        <f>IF('MASTER PubCo Inputs'!C32="","",'MASTER PubCo Inputs'!C32)</f>
        <v>IQ11382658</v>
      </c>
      <c r="AQ17" s="503" t="str">
        <f>'Comp.1'!AM14</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8" spans="2:43" ht="12.75" customHeight="1">
      <c r="B18" s="385" t="str">
        <f>'Comp.1'!B15</f>
        <v>Insmed Incorporated</v>
      </c>
      <c r="C18" s="91">
        <f t="shared" si="0"/>
        <v>1863.5</v>
      </c>
      <c r="E18" s="89" t="str">
        <f t="shared" si="1"/>
        <v>n/a</v>
      </c>
      <c r="F18" s="89" t="str">
        <f t="shared" si="2"/>
        <v>n/a</v>
      </c>
      <c r="G18" s="89" t="str">
        <f t="shared" si="3"/>
        <v>n/a</v>
      </c>
      <c r="H18" s="386"/>
      <c r="I18" s="89" t="str">
        <f t="shared" si="4"/>
        <v>n/a</v>
      </c>
      <c r="J18" s="89" t="str">
        <f t="shared" si="5"/>
        <v>n/a</v>
      </c>
      <c r="L18" s="89">
        <f t="shared" si="6"/>
        <v>157.78690265486728</v>
      </c>
      <c r="M18" s="89">
        <f t="shared" si="7"/>
        <v>366.26787181594085</v>
      </c>
      <c r="N18" s="89">
        <f t="shared" si="8"/>
        <v>102.49436652103932</v>
      </c>
      <c r="P18" s="89">
        <f t="shared" si="9"/>
        <v>288.51003236245958</v>
      </c>
      <c r="Q18" s="89">
        <f t="shared" si="10"/>
        <v>123.44170589864304</v>
      </c>
      <c r="S18" s="133">
        <f>'Capital IQ Sheet-GPC'!AU18</f>
        <v>-124.3</v>
      </c>
      <c r="T18" s="133">
        <f>'Capital IQ Sheet-GPC'!AV18</f>
        <v>-180.2</v>
      </c>
      <c r="U18" s="133">
        <f>'Capital IQ Sheet-GPC'!AW18</f>
        <v>-223.8</v>
      </c>
      <c r="V18" s="133"/>
      <c r="W18" s="133">
        <f>'Capital IQ Sheet-GPC'!AX18</f>
        <v>-176.3</v>
      </c>
      <c r="X18" s="133">
        <f>'Capital IQ Sheet-GPC'!AY18</f>
        <v>-192.6</v>
      </c>
      <c r="Z18" s="133">
        <f>'Capital IQ Sheet-GPC'!AZ18</f>
        <v>282.5</v>
      </c>
      <c r="AA18" s="133">
        <f>'Capital IQ Sheet-GPC'!BA18</f>
        <v>121.7</v>
      </c>
      <c r="AB18" s="133">
        <f>'Capital IQ Sheet-GPC'!BB18</f>
        <v>434.9</v>
      </c>
      <c r="AD18" s="133">
        <f>'Capital IQ Sheet-GPC'!BC18</f>
        <v>154.5</v>
      </c>
      <c r="AE18" s="133">
        <f>'Capital IQ Sheet-GPC'!BD18</f>
        <v>361.1</v>
      </c>
      <c r="AG18" s="386">
        <f>'Beta Calc'!K15</f>
        <v>1863.5</v>
      </c>
      <c r="AH18" s="386">
        <f>'Beta Calc'!L15</f>
        <v>302.7</v>
      </c>
      <c r="AI18" s="386" t="str">
        <f>'Beta Calc'!M15</f>
        <v xml:space="preserve"> n/a </v>
      </c>
      <c r="AJ18" s="386" t="str">
        <f>'Beta Calc'!N15</f>
        <v xml:space="preserve"> n/a </v>
      </c>
      <c r="AK18" s="386">
        <f t="shared" si="11"/>
        <v>302.7</v>
      </c>
      <c r="AL18" s="386">
        <f t="shared" si="12"/>
        <v>2166.1999999999998</v>
      </c>
      <c r="AM18" s="386">
        <f>'Beta Calc'!Q15</f>
        <v>686.6</v>
      </c>
      <c r="AN18" s="91">
        <f t="shared" si="13"/>
        <v>1479.6</v>
      </c>
      <c r="AP18" s="92" t="str">
        <f>IF('MASTER PubCo Inputs'!C33="","",'MASTER PubCo Inputs'!C33)</f>
        <v>IQ29978</v>
      </c>
      <c r="AQ18" s="503" t="str">
        <f>'Comp.1'!AM15</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9" spans="2:43" ht="12.75" customHeight="1">
      <c r="B19" s="385" t="str">
        <f>'Comp.1'!B16</f>
        <v>Genfit SA</v>
      </c>
      <c r="C19" s="91">
        <f t="shared" si="0"/>
        <v>882.5</v>
      </c>
      <c r="E19" s="89" t="str">
        <f t="shared" si="1"/>
        <v>n/a</v>
      </c>
      <c r="F19" s="89" t="str">
        <f t="shared" si="2"/>
        <v>n/a</v>
      </c>
      <c r="G19" s="89" t="str">
        <f t="shared" si="3"/>
        <v>n/a</v>
      </c>
      <c r="H19" s="386"/>
      <c r="I19" s="89" t="str">
        <f t="shared" si="4"/>
        <v>n/a</v>
      </c>
      <c r="J19" s="89" t="str">
        <f t="shared" si="5"/>
        <v>n/a</v>
      </c>
      <c r="L19" s="89">
        <f t="shared" si="6"/>
        <v>740.4451827242525</v>
      </c>
      <c r="M19" s="89">
        <f t="shared" si="7"/>
        <v>295.78500331785006</v>
      </c>
      <c r="N19" s="89">
        <f t="shared" si="8"/>
        <v>356.02875399361022</v>
      </c>
      <c r="P19" s="89">
        <f t="shared" si="9"/>
        <v>295.78500331785006</v>
      </c>
      <c r="Q19" s="89">
        <f t="shared" si="10"/>
        <v>356.02875399361022</v>
      </c>
      <c r="S19" s="133">
        <f>'Capital IQ Sheet-GPC'!AU19</f>
        <v>-18.600000000000001</v>
      </c>
      <c r="T19" s="133">
        <f>'Capital IQ Sheet-GPC'!AV19</f>
        <v>-35.5</v>
      </c>
      <c r="U19" s="133">
        <f>'Capital IQ Sheet-GPC'!AW19</f>
        <v>-70.400000000000006</v>
      </c>
      <c r="V19" s="133"/>
      <c r="W19" s="133">
        <f>'Capital IQ Sheet-GPC'!AX19</f>
        <v>-35.5</v>
      </c>
      <c r="X19" s="133">
        <f>'Capital IQ Sheet-GPC'!AY19</f>
        <v>-70.400000000000006</v>
      </c>
      <c r="Z19" s="133">
        <f>'Capital IQ Sheet-GPC'!AZ19</f>
        <v>60.2</v>
      </c>
      <c r="AA19" s="133">
        <f>'Capital IQ Sheet-GPC'!BA19</f>
        <v>150.69999999999999</v>
      </c>
      <c r="AB19" s="133">
        <f>'Capital IQ Sheet-GPC'!BB19</f>
        <v>125.2</v>
      </c>
      <c r="AD19" s="133">
        <f>'Capital IQ Sheet-GPC'!BC19</f>
        <v>150.69999999999999</v>
      </c>
      <c r="AE19" s="133">
        <f>'Capital IQ Sheet-GPC'!BD19</f>
        <v>125.2</v>
      </c>
      <c r="AG19" s="386">
        <f>'Beta Calc'!K16</f>
        <v>882.5</v>
      </c>
      <c r="AH19" s="386">
        <f>'Beta Calc'!L16</f>
        <v>196.6</v>
      </c>
      <c r="AI19" s="386" t="str">
        <f>'Beta Calc'!M16</f>
        <v xml:space="preserve"> n/a </v>
      </c>
      <c r="AJ19" s="386" t="str">
        <f>'Beta Calc'!N16</f>
        <v xml:space="preserve"> n/a </v>
      </c>
      <c r="AK19" s="386">
        <f t="shared" si="11"/>
        <v>196.6</v>
      </c>
      <c r="AL19" s="386">
        <f t="shared" si="12"/>
        <v>1079.0999999999999</v>
      </c>
      <c r="AM19" s="386">
        <f>'Beta Calc'!Q16</f>
        <v>328.8</v>
      </c>
      <c r="AN19" s="91">
        <f t="shared" si="13"/>
        <v>750.3</v>
      </c>
      <c r="AP19" s="92" t="str">
        <f>IF('MASTER PubCo Inputs'!C34="","",'MASTER PubCo Inputs'!C34)</f>
        <v>IQ9683234</v>
      </c>
      <c r="AQ19" s="503" t="str">
        <f>'Comp.1'!AM16</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20" spans="2:43" ht="12.75" customHeight="1">
      <c r="B20" s="385" t="str">
        <f>'Comp.1'!B17</f>
        <v>Kadmon Holdings, Inc.</v>
      </c>
      <c r="C20" s="91">
        <f t="shared" si="0"/>
        <v>365.5</v>
      </c>
      <c r="E20" s="89" t="str">
        <f t="shared" si="1"/>
        <v>n/a</v>
      </c>
      <c r="F20" s="89" t="str">
        <f t="shared" si="2"/>
        <v>n/a</v>
      </c>
      <c r="G20" s="89" t="str">
        <f t="shared" si="3"/>
        <v>n/a</v>
      </c>
      <c r="H20" s="386"/>
      <c r="I20" s="89" t="str">
        <f t="shared" si="4"/>
        <v>n/a</v>
      </c>
      <c r="J20" s="89" t="str">
        <f t="shared" si="5"/>
        <v>n/a</v>
      </c>
      <c r="L20" s="89" t="str">
        <f t="shared" si="6"/>
        <v>n/a</v>
      </c>
      <c r="M20" s="89" t="str">
        <f t="shared" si="7"/>
        <v>n/a</v>
      </c>
      <c r="N20" s="89">
        <f t="shared" si="8"/>
        <v>5642.3797468354433</v>
      </c>
      <c r="P20" s="89" t="str">
        <f t="shared" si="9"/>
        <v>n/a</v>
      </c>
      <c r="Q20" s="89">
        <f t="shared" si="10"/>
        <v>24763.777777777777</v>
      </c>
      <c r="S20" s="133">
        <f>'Capital IQ Sheet-GPC'!AU20</f>
        <v>-152.19999999999999</v>
      </c>
      <c r="T20" s="133">
        <f>'Capital IQ Sheet-GPC'!AV20</f>
        <v>-193.1</v>
      </c>
      <c r="U20" s="133">
        <f>'Capital IQ Sheet-GPC'!AW20</f>
        <v>-82.6</v>
      </c>
      <c r="V20" s="133"/>
      <c r="W20" s="133">
        <f>'Capital IQ Sheet-GPC'!AX20</f>
        <v>-208.8</v>
      </c>
      <c r="X20" s="133">
        <f>'Capital IQ Sheet-GPC'!AY20</f>
        <v>-79.8</v>
      </c>
      <c r="Z20" s="133">
        <f>'Capital IQ Sheet-GPC'!AZ20</f>
        <v>-302.7</v>
      </c>
      <c r="AA20" s="133">
        <f>'Capital IQ Sheet-GPC'!BA20</f>
        <v>-19.600000000000001</v>
      </c>
      <c r="AB20" s="133">
        <f>'Capital IQ Sheet-GPC'!BB20</f>
        <v>7.9</v>
      </c>
      <c r="AD20" s="133">
        <f>'Capital IQ Sheet-GPC'!BC20</f>
        <v>-25.2</v>
      </c>
      <c r="AE20" s="133">
        <f>'Capital IQ Sheet-GPC'!BD20</f>
        <v>1.8</v>
      </c>
      <c r="AG20" s="386">
        <f>'Beta Calc'!K17</f>
        <v>365.5</v>
      </c>
      <c r="AH20" s="386">
        <f>'Beta Calc'!L17</f>
        <v>33.1</v>
      </c>
      <c r="AI20" s="386">
        <f>'Beta Calc'!M17</f>
        <v>40.700000000000003</v>
      </c>
      <c r="AJ20" s="386" t="str">
        <f>'Beta Calc'!N17</f>
        <v xml:space="preserve"> n/a </v>
      </c>
      <c r="AK20" s="386">
        <f t="shared" si="11"/>
        <v>73.800000000000011</v>
      </c>
      <c r="AL20" s="386">
        <f t="shared" si="12"/>
        <v>439.3</v>
      </c>
      <c r="AM20" s="386">
        <f>'Beta Calc'!Q17</f>
        <v>49.2</v>
      </c>
      <c r="AN20" s="91">
        <f t="shared" si="13"/>
        <v>390.1</v>
      </c>
      <c r="AP20" s="92" t="str">
        <f>IF('MASTER PubCo Inputs'!C35="","",'MASTER PubCo Inputs'!C35)</f>
        <v>IQ114935891</v>
      </c>
      <c r="AQ20" s="503" t="str">
        <f>'Comp.1'!AM17</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21" spans="2:43" ht="12.75" customHeight="1">
      <c r="B21" s="385" t="str">
        <f>'Comp.1'!B18</f>
        <v>MediciNova, Inc.</v>
      </c>
      <c r="C21" s="91">
        <f t="shared" si="0"/>
        <v>398.7</v>
      </c>
      <c r="E21" s="89" t="str">
        <f t="shared" si="1"/>
        <v>n/a</v>
      </c>
      <c r="F21" s="89" t="str">
        <f t="shared" si="2"/>
        <v>n/a</v>
      </c>
      <c r="G21" s="89" t="str">
        <f t="shared" si="3"/>
        <v>n/a</v>
      </c>
      <c r="H21" s="386"/>
      <c r="I21" s="89" t="str">
        <f t="shared" si="4"/>
        <v>n/a</v>
      </c>
      <c r="J21" s="89" t="str">
        <f t="shared" si="5"/>
        <v>n/a</v>
      </c>
      <c r="L21" s="89">
        <f t="shared" si="6"/>
        <v>1191.8395721925135</v>
      </c>
      <c r="M21" s="89">
        <f t="shared" si="7"/>
        <v>1334.5748502994013</v>
      </c>
      <c r="N21" s="89">
        <f t="shared" si="8"/>
        <v>589.61375661375666</v>
      </c>
      <c r="P21" s="89">
        <f t="shared" si="9"/>
        <v>1292.0231884057971</v>
      </c>
      <c r="Q21" s="89">
        <f t="shared" si="10"/>
        <v>1154.7875647668395</v>
      </c>
      <c r="S21" s="133">
        <f>'Capital IQ Sheet-GPC'!AU21</f>
        <v>-10.9</v>
      </c>
      <c r="T21" s="133">
        <f>'Capital IQ Sheet-GPC'!AV21</f>
        <v>-10.1</v>
      </c>
      <c r="U21" s="133">
        <f>'Capital IQ Sheet-GPC'!AW21</f>
        <v>-13</v>
      </c>
      <c r="V21" s="133"/>
      <c r="W21" s="133">
        <f>'Capital IQ Sheet-GPC'!AX21</f>
        <v>-10.9</v>
      </c>
      <c r="X21" s="133">
        <f>'Capital IQ Sheet-GPC'!AY21</f>
        <v>-11.2</v>
      </c>
      <c r="Z21" s="133">
        <f>'Capital IQ Sheet-GPC'!AZ21</f>
        <v>37.4</v>
      </c>
      <c r="AA21" s="133">
        <f>'Capital IQ Sheet-GPC'!BA21</f>
        <v>33.4</v>
      </c>
      <c r="AB21" s="133">
        <f>'Capital IQ Sheet-GPC'!BB21</f>
        <v>75.599999999999994</v>
      </c>
      <c r="AD21" s="133">
        <f>'Capital IQ Sheet-GPC'!BC21</f>
        <v>34.5</v>
      </c>
      <c r="AE21" s="133">
        <f>'Capital IQ Sheet-GPC'!BD21</f>
        <v>38.6</v>
      </c>
      <c r="AG21" s="386">
        <f>'Beta Calc'!K18</f>
        <v>398.7</v>
      </c>
      <c r="AH21" s="386" t="str">
        <f>'Beta Calc'!L18</f>
        <v xml:space="preserve"> -   </v>
      </c>
      <c r="AI21" s="386" t="str">
        <f>'Beta Calc'!M18</f>
        <v xml:space="preserve"> n/a </v>
      </c>
      <c r="AJ21" s="386" t="str">
        <f>'Beta Calc'!N18</f>
        <v xml:space="preserve"> n/a </v>
      </c>
      <c r="AK21" s="386">
        <f t="shared" si="11"/>
        <v>0</v>
      </c>
      <c r="AL21" s="386">
        <f t="shared" si="12"/>
        <v>398.7</v>
      </c>
      <c r="AM21" s="386">
        <f>'Beta Calc'!Q18</f>
        <v>64.2</v>
      </c>
      <c r="AN21" s="91">
        <f t="shared" si="13"/>
        <v>334.5</v>
      </c>
      <c r="AP21" s="92" t="str">
        <f>IF('MASTER PubCo Inputs'!C36="","",'MASTER PubCo Inputs'!C36)</f>
        <v>IQ9262264</v>
      </c>
      <c r="AQ21" s="503" t="str">
        <f>'Comp.1'!AM18</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22" spans="2:43" ht="12.75" customHeight="1">
      <c r="B22" s="385" t="str">
        <f>'Comp.1'!B19</f>
        <v>Savara Inc.</v>
      </c>
      <c r="C22" s="91">
        <f t="shared" si="0"/>
        <v>393.3</v>
      </c>
      <c r="E22" s="89" t="str">
        <f t="shared" si="1"/>
        <v>n/a</v>
      </c>
      <c r="F22" s="89" t="str">
        <f t="shared" si="2"/>
        <v>n/a</v>
      </c>
      <c r="G22" s="89" t="str">
        <f t="shared" si="3"/>
        <v>n/a</v>
      </c>
      <c r="H22" s="386"/>
      <c r="I22" s="89" t="str">
        <f t="shared" si="4"/>
        <v>n/a</v>
      </c>
      <c r="J22" s="89" t="str">
        <f t="shared" si="5"/>
        <v>n/a</v>
      </c>
      <c r="L22" s="89" t="str">
        <f t="shared" si="6"/>
        <v>n/a</v>
      </c>
      <c r="M22" s="89">
        <f t="shared" si="7"/>
        <v>12735.657142857144</v>
      </c>
      <c r="N22" s="89">
        <f t="shared" si="8"/>
        <v>475.71824973319104</v>
      </c>
      <c r="P22" s="89">
        <f t="shared" si="9"/>
        <v>5370.4578313253014</v>
      </c>
      <c r="Q22" s="89">
        <f t="shared" si="10"/>
        <v>373.6362112321878</v>
      </c>
      <c r="S22" s="133" t="str">
        <f>'Capital IQ Sheet-GPC'!AU22</f>
        <v xml:space="preserve"> n/a </v>
      </c>
      <c r="T22" s="133">
        <f>'Capital IQ Sheet-GPC'!AV22</f>
        <v>-14.2</v>
      </c>
      <c r="U22" s="133">
        <f>'Capital IQ Sheet-GPC'!AW22</f>
        <v>-51.7</v>
      </c>
      <c r="V22" s="133"/>
      <c r="W22" s="133">
        <f>'Capital IQ Sheet-GPC'!AX22</f>
        <v>-10.9</v>
      </c>
      <c r="X22" s="133">
        <f>'Capital IQ Sheet-GPC'!AY22</f>
        <v>-29.8</v>
      </c>
      <c r="Z22" s="133" t="str">
        <f>'Capital IQ Sheet-GPC'!AZ22</f>
        <v xml:space="preserve"> n/a </v>
      </c>
      <c r="AA22" s="133">
        <f>'Capital IQ Sheet-GPC'!BA22</f>
        <v>3.5</v>
      </c>
      <c r="AB22" s="133">
        <f>'Capital IQ Sheet-GPC'!BB22</f>
        <v>93.7</v>
      </c>
      <c r="AD22" s="133">
        <f>'Capital IQ Sheet-GPC'!BC22</f>
        <v>8.3000000000000007</v>
      </c>
      <c r="AE22" s="133">
        <f>'Capital IQ Sheet-GPC'!BD22</f>
        <v>119.3</v>
      </c>
      <c r="AG22" s="386">
        <f>'Beta Calc'!K19</f>
        <v>393.3</v>
      </c>
      <c r="AH22" s="386">
        <f>'Beta Calc'!L19</f>
        <v>15.2</v>
      </c>
      <c r="AI22" s="386" t="str">
        <f>'Beta Calc'!M19</f>
        <v xml:space="preserve"> n/a </v>
      </c>
      <c r="AJ22" s="386" t="str">
        <f>'Beta Calc'!N19</f>
        <v xml:space="preserve"> n/a </v>
      </c>
      <c r="AK22" s="386">
        <f t="shared" si="11"/>
        <v>15.2</v>
      </c>
      <c r="AL22" s="386">
        <f t="shared" si="12"/>
        <v>408.5</v>
      </c>
      <c r="AM22" s="386">
        <f>'Beta Calc'!Q19</f>
        <v>85.2</v>
      </c>
      <c r="AN22" s="91">
        <f t="shared" si="13"/>
        <v>323.3</v>
      </c>
      <c r="AP22" s="92" t="str">
        <f>IF('MASTER PubCo Inputs'!C37="","",'MASTER PubCo Inputs'!C37)</f>
        <v>IQ59211637</v>
      </c>
      <c r="AQ22" s="503" t="str">
        <f>'Comp.1'!AM19</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3" spans="2:43" ht="12.75" customHeight="1">
      <c r="B23" s="385" t="str">
        <f>'Comp.1'!B20</f>
        <v>Galmed Pharmaceuticals Ltd.</v>
      </c>
      <c r="C23" s="91">
        <f t="shared" si="0"/>
        <v>289.7</v>
      </c>
      <c r="E23" s="89" t="str">
        <f t="shared" si="1"/>
        <v>n/a</v>
      </c>
      <c r="F23" s="89" t="str">
        <f t="shared" si="2"/>
        <v>n/a</v>
      </c>
      <c r="G23" s="89" t="str">
        <f t="shared" si="3"/>
        <v>n/a</v>
      </c>
      <c r="H23" s="386"/>
      <c r="I23" s="89" t="str">
        <f t="shared" si="4"/>
        <v>n/a</v>
      </c>
      <c r="J23" s="89" t="str">
        <f t="shared" si="5"/>
        <v>n/a</v>
      </c>
      <c r="L23" s="89">
        <f t="shared" si="6"/>
        <v>2490.2122905027936</v>
      </c>
      <c r="M23" s="89">
        <f t="shared" si="7"/>
        <v>5370.4578313253014</v>
      </c>
      <c r="N23" s="89">
        <f t="shared" si="8"/>
        <v>3277.5588235294122</v>
      </c>
      <c r="P23" s="89">
        <f t="shared" si="9"/>
        <v>4015.7477477477482</v>
      </c>
      <c r="Q23" s="89">
        <f t="shared" si="10"/>
        <v>2821.1898734177216</v>
      </c>
      <c r="S23" s="133">
        <f>'Capital IQ Sheet-GPC'!AU23</f>
        <v>-12.1</v>
      </c>
      <c r="T23" s="133">
        <f>'Capital IQ Sheet-GPC'!AV23</f>
        <v>-16.100000000000001</v>
      </c>
      <c r="U23" s="133">
        <f>'Capital IQ Sheet-GPC'!AW23</f>
        <v>-11.6</v>
      </c>
      <c r="V23" s="133"/>
      <c r="W23" s="133">
        <f>'Capital IQ Sheet-GPC'!AX23</f>
        <v>-17</v>
      </c>
      <c r="X23" s="133">
        <f>'Capital IQ Sheet-GPC'!AY23</f>
        <v>-12.3</v>
      </c>
      <c r="Z23" s="133">
        <f>'Capital IQ Sheet-GPC'!AZ23</f>
        <v>17.899999999999999</v>
      </c>
      <c r="AA23" s="133">
        <f>'Capital IQ Sheet-GPC'!BA23</f>
        <v>8.3000000000000007</v>
      </c>
      <c r="AB23" s="133">
        <f>'Capital IQ Sheet-GPC'!BB23</f>
        <v>13.6</v>
      </c>
      <c r="AD23" s="133">
        <f>'Capital IQ Sheet-GPC'!BC23</f>
        <v>11.1</v>
      </c>
      <c r="AE23" s="133">
        <f>'Capital IQ Sheet-GPC'!BD23</f>
        <v>15.8</v>
      </c>
      <c r="AG23" s="386">
        <f>'Beta Calc'!K20</f>
        <v>289.7</v>
      </c>
      <c r="AH23" s="386" t="str">
        <f>'Beta Calc'!L20</f>
        <v xml:space="preserve"> -   </v>
      </c>
      <c r="AI23" s="386" t="str">
        <f>'Beta Calc'!M20</f>
        <v xml:space="preserve"> n/a </v>
      </c>
      <c r="AJ23" s="386" t="str">
        <f>'Beta Calc'!N20</f>
        <v xml:space="preserve"> n/a </v>
      </c>
      <c r="AK23" s="386">
        <f t="shared" si="11"/>
        <v>0</v>
      </c>
      <c r="AL23" s="386">
        <f t="shared" si="12"/>
        <v>289.7</v>
      </c>
      <c r="AM23" s="386">
        <f>'Beta Calc'!Q20</f>
        <v>15.5</v>
      </c>
      <c r="AN23" s="91">
        <f t="shared" si="13"/>
        <v>274.2</v>
      </c>
      <c r="AP23" s="92" t="str">
        <f>IF('MASTER PubCo Inputs'!C38="","",'MASTER PubCo Inputs'!C38)</f>
        <v>IQ114779940</v>
      </c>
      <c r="AQ23" s="503" t="str">
        <f>'Comp.1'!AM20</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4" spans="2:43" ht="12.75" customHeight="1">
      <c r="B24" s="385" t="str">
        <f>'Comp.1'!B21</f>
        <v>Galectin Therapeutics, Inc.</v>
      </c>
      <c r="C24" s="91">
        <f t="shared" si="0"/>
        <v>202.3</v>
      </c>
      <c r="E24" s="89" t="str">
        <f t="shared" si="1"/>
        <v>n/a</v>
      </c>
      <c r="F24" s="89" t="str">
        <f t="shared" si="2"/>
        <v>n/a</v>
      </c>
      <c r="G24" s="89" t="str">
        <f t="shared" si="3"/>
        <v>n/a</v>
      </c>
      <c r="H24" s="386"/>
      <c r="I24" s="89" t="str">
        <f t="shared" si="4"/>
        <v>n/a</v>
      </c>
      <c r="J24" s="89" t="str">
        <f t="shared" si="5"/>
        <v>n/a</v>
      </c>
      <c r="L24" s="89">
        <f t="shared" si="6"/>
        <v>2285.8871794871798</v>
      </c>
      <c r="M24" s="89">
        <f t="shared" si="7"/>
        <v>4643.2083333333339</v>
      </c>
      <c r="N24" s="89">
        <f t="shared" si="8"/>
        <v>17144.153846153848</v>
      </c>
      <c r="P24" s="89">
        <f t="shared" si="9"/>
        <v>3714.5666666666671</v>
      </c>
      <c r="Q24" s="89">
        <f t="shared" si="10"/>
        <v>37145.666666666672</v>
      </c>
      <c r="S24" s="133">
        <f>'Capital IQ Sheet-GPC'!AU24</f>
        <v>-22</v>
      </c>
      <c r="T24" s="133">
        <f>'Capital IQ Sheet-GPC'!AV24</f>
        <v>-19.600000000000001</v>
      </c>
      <c r="U24" s="133">
        <f>'Capital IQ Sheet-GPC'!AW24</f>
        <v>-15.6</v>
      </c>
      <c r="V24" s="133"/>
      <c r="W24" s="133">
        <f>'Capital IQ Sheet-GPC'!AX24</f>
        <v>-21.4</v>
      </c>
      <c r="X24" s="133">
        <f>'Capital IQ Sheet-GPC'!AY24</f>
        <v>-16.2</v>
      </c>
      <c r="Z24" s="133">
        <f>'Capital IQ Sheet-GPC'!AZ24</f>
        <v>19.5</v>
      </c>
      <c r="AA24" s="133">
        <f>'Capital IQ Sheet-GPC'!BA24</f>
        <v>9.6</v>
      </c>
      <c r="AB24" s="133">
        <f>'Capital IQ Sheet-GPC'!BB24</f>
        <v>2.6</v>
      </c>
      <c r="AD24" s="133">
        <f>'Capital IQ Sheet-GPC'!BC24</f>
        <v>12</v>
      </c>
      <c r="AE24" s="133">
        <f>'Capital IQ Sheet-GPC'!BD24</f>
        <v>1.2</v>
      </c>
      <c r="AG24" s="386">
        <f>'Beta Calc'!K21</f>
        <v>202.3</v>
      </c>
      <c r="AH24" s="386" t="str">
        <f>'Beta Calc'!L21</f>
        <v xml:space="preserve"> -   </v>
      </c>
      <c r="AI24" s="386">
        <f>'Beta Calc'!M21</f>
        <v>9</v>
      </c>
      <c r="AJ24" s="386" t="str">
        <f>'Beta Calc'!N21</f>
        <v xml:space="preserve"> n/a </v>
      </c>
      <c r="AK24" s="386">
        <f t="shared" si="11"/>
        <v>9</v>
      </c>
      <c r="AL24" s="386">
        <f t="shared" si="12"/>
        <v>211.3</v>
      </c>
      <c r="AM24" s="386">
        <f>'Beta Calc'!Q21</f>
        <v>4</v>
      </c>
      <c r="AN24" s="91">
        <f t="shared" si="13"/>
        <v>207.3</v>
      </c>
      <c r="AP24" s="92" t="str">
        <f>IF('MASTER PubCo Inputs'!C39="","",'MASTER PubCo Inputs'!C39)</f>
        <v>IQ1065415</v>
      </c>
      <c r="AQ24" s="503" t="str">
        <f>'Comp.1'!AM21</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5" spans="2:43" ht="12.75" customHeight="1">
      <c r="B25" s="385" t="str">
        <f>'Comp.1'!B22</f>
        <v>Corbus Pharmaceuticals Holdings, Inc.</v>
      </c>
      <c r="C25" s="91">
        <f t="shared" si="0"/>
        <v>274.3</v>
      </c>
      <c r="E25" s="89" t="str">
        <f t="shared" si="1"/>
        <v>n/a</v>
      </c>
      <c r="F25" s="89" t="str">
        <f t="shared" si="2"/>
        <v>n/a</v>
      </c>
      <c r="G25" s="89" t="str">
        <f t="shared" si="3"/>
        <v>n/a</v>
      </c>
      <c r="H25" s="386"/>
      <c r="I25" s="89" t="str">
        <f t="shared" si="4"/>
        <v>n/a</v>
      </c>
      <c r="J25" s="89" t="str">
        <f t="shared" si="5"/>
        <v>n/a</v>
      </c>
      <c r="L25" s="89">
        <f t="shared" si="6"/>
        <v>6964.8125</v>
      </c>
      <c r="M25" s="89">
        <f t="shared" si="7"/>
        <v>1022.3577981651376</v>
      </c>
      <c r="N25" s="89">
        <f t="shared" si="8"/>
        <v>680.53129770992371</v>
      </c>
      <c r="P25" s="89">
        <f t="shared" si="9"/>
        <v>5008.4044943820227</v>
      </c>
      <c r="Q25" s="89">
        <f t="shared" si="10"/>
        <v>771.19031141868516</v>
      </c>
      <c r="S25" s="133">
        <f>'Capital IQ Sheet-GPC'!AU25</f>
        <v>-10.199999999999999</v>
      </c>
      <c r="T25" s="133">
        <f>'Capital IQ Sheet-GPC'!AV25</f>
        <v>-24.6</v>
      </c>
      <c r="U25" s="133">
        <f>'Capital IQ Sheet-GPC'!AW25</f>
        <v>-36.700000000000003</v>
      </c>
      <c r="V25" s="133"/>
      <c r="W25" s="133">
        <f>'Capital IQ Sheet-GPC'!AX25</f>
        <v>-20</v>
      </c>
      <c r="X25" s="133">
        <f>'Capital IQ Sheet-GPC'!AY25</f>
        <v>-32.4</v>
      </c>
      <c r="Z25" s="133">
        <f>'Capital IQ Sheet-GPC'!AZ25</f>
        <v>6.4</v>
      </c>
      <c r="AA25" s="133">
        <f>'Capital IQ Sheet-GPC'!BA25</f>
        <v>43.6</v>
      </c>
      <c r="AB25" s="133">
        <f>'Capital IQ Sheet-GPC'!BB25</f>
        <v>65.5</v>
      </c>
      <c r="AD25" s="133">
        <f>'Capital IQ Sheet-GPC'!BC25</f>
        <v>8.9</v>
      </c>
      <c r="AE25" s="133">
        <f>'Capital IQ Sheet-GPC'!BD25</f>
        <v>57.8</v>
      </c>
      <c r="AG25" s="386">
        <f>'Beta Calc'!K22</f>
        <v>274.3</v>
      </c>
      <c r="AH25" s="386">
        <f>'Beta Calc'!L22</f>
        <v>0.2</v>
      </c>
      <c r="AI25" s="386" t="str">
        <f>'Beta Calc'!M22</f>
        <v xml:space="preserve"> n/a </v>
      </c>
      <c r="AJ25" s="386" t="str">
        <f>'Beta Calc'!N22</f>
        <v xml:space="preserve"> n/a </v>
      </c>
      <c r="AK25" s="386">
        <f t="shared" si="11"/>
        <v>0.2</v>
      </c>
      <c r="AL25" s="386">
        <f t="shared" si="12"/>
        <v>274.5</v>
      </c>
      <c r="AM25" s="386">
        <f>'Beta Calc'!Q22</f>
        <v>71</v>
      </c>
      <c r="AN25" s="91">
        <f t="shared" si="13"/>
        <v>203.5</v>
      </c>
      <c r="AP25" s="92" t="str">
        <f>IF('MASTER PubCo Inputs'!C40="","",'MASTER PubCo Inputs'!C40)</f>
        <v>IQ254045988</v>
      </c>
      <c r="AQ25" s="503" t="str">
        <f>'Comp.1'!AM22</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6" spans="2:43" ht="12.75" customHeight="1">
      <c r="B26" s="385" t="str">
        <f>'Comp.1'!B23</f>
        <v>ProQR Therapeutics N.V.</v>
      </c>
      <c r="C26" s="91">
        <f t="shared" si="0"/>
        <v>212.3</v>
      </c>
      <c r="E26" s="89" t="str">
        <f t="shared" si="1"/>
        <v>n/a</v>
      </c>
      <c r="F26" s="89" t="str">
        <f t="shared" si="2"/>
        <v>n/a</v>
      </c>
      <c r="G26" s="89" t="str">
        <f t="shared" si="3"/>
        <v>n/a</v>
      </c>
      <c r="H26" s="386"/>
      <c r="I26" s="89" t="str">
        <f t="shared" si="4"/>
        <v>n/a</v>
      </c>
      <c r="J26" s="89" t="str">
        <f t="shared" si="5"/>
        <v>n/a</v>
      </c>
      <c r="L26" s="89">
        <f t="shared" si="6"/>
        <v>457.17743589743594</v>
      </c>
      <c r="M26" s="89">
        <f t="shared" si="7"/>
        <v>794.55971479500897</v>
      </c>
      <c r="N26" s="89">
        <f t="shared" si="8"/>
        <v>944.38135593220341</v>
      </c>
      <c r="P26" s="89">
        <f t="shared" si="9"/>
        <v>794.55971479500897</v>
      </c>
      <c r="Q26" s="89">
        <f t="shared" si="10"/>
        <v>944.38135593220341</v>
      </c>
      <c r="S26" s="133">
        <f>'Capital IQ Sheet-GPC'!AU26</f>
        <v>-22.6</v>
      </c>
      <c r="T26" s="133">
        <f>'Capital IQ Sheet-GPC'!AV26</f>
        <v>-41.3</v>
      </c>
      <c r="U26" s="133">
        <f>'Capital IQ Sheet-GPC'!AW26</f>
        <v>-52.4</v>
      </c>
      <c r="V26" s="133"/>
      <c r="W26" s="133">
        <f>'Capital IQ Sheet-GPC'!AX26</f>
        <v>-41.3</v>
      </c>
      <c r="X26" s="133">
        <f>'Capital IQ Sheet-GPC'!AY26</f>
        <v>-52.4</v>
      </c>
      <c r="Z26" s="133">
        <f>'Capital IQ Sheet-GPC'!AZ26</f>
        <v>97.5</v>
      </c>
      <c r="AA26" s="133">
        <f>'Capital IQ Sheet-GPC'!BA26</f>
        <v>56.1</v>
      </c>
      <c r="AB26" s="133">
        <f>'Capital IQ Sheet-GPC'!BB26</f>
        <v>47.2</v>
      </c>
      <c r="AD26" s="133">
        <f>'Capital IQ Sheet-GPC'!BC26</f>
        <v>56.1</v>
      </c>
      <c r="AE26" s="133">
        <f>'Capital IQ Sheet-GPC'!BD26</f>
        <v>47.2</v>
      </c>
      <c r="AG26" s="386">
        <f>'Beta Calc'!K23</f>
        <v>212.3</v>
      </c>
      <c r="AH26" s="386">
        <f>'Beta Calc'!L23</f>
        <v>8.6999999999999993</v>
      </c>
      <c r="AI26" s="386" t="str">
        <f>'Beta Calc'!M23</f>
        <v xml:space="preserve"> n/a </v>
      </c>
      <c r="AJ26" s="386">
        <f>'Beta Calc'!N23</f>
        <v>0</v>
      </c>
      <c r="AK26" s="386">
        <f t="shared" si="11"/>
        <v>8.6999999999999993</v>
      </c>
      <c r="AL26" s="386">
        <f t="shared" si="12"/>
        <v>221</v>
      </c>
      <c r="AM26" s="386">
        <f>'Beta Calc'!Q23</f>
        <v>57.8</v>
      </c>
      <c r="AN26" s="91">
        <f t="shared" si="13"/>
        <v>163.19999999999999</v>
      </c>
      <c r="AP26" s="92" t="str">
        <f>IF('MASTER PubCo Inputs'!C41="","",'MASTER PubCo Inputs'!C41)</f>
        <v>IQ224193775</v>
      </c>
      <c r="AQ26" s="503" t="str">
        <f>'Comp.1'!AM23</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7" spans="2:43" ht="12.75" customHeight="1">
      <c r="B27" s="385" t="str">
        <f>'Comp.1'!B24</f>
        <v>Miragen Therapeutics, Inc.</v>
      </c>
      <c r="C27" s="91">
        <f t="shared" si="0"/>
        <v>194.7</v>
      </c>
      <c r="E27" s="89" t="str">
        <f t="shared" si="1"/>
        <v>n/a</v>
      </c>
      <c r="F27" s="89" t="str">
        <f t="shared" si="2"/>
        <v>n/a</v>
      </c>
      <c r="G27" s="89" t="str">
        <f t="shared" si="3"/>
        <v>n/a</v>
      </c>
      <c r="H27" s="386"/>
      <c r="I27" s="89" t="str">
        <f t="shared" si="4"/>
        <v>n/a</v>
      </c>
      <c r="J27" s="89" t="str">
        <f t="shared" si="5"/>
        <v>n/a</v>
      </c>
      <c r="L27" s="89">
        <f t="shared" si="6"/>
        <v>2857.3589743589746</v>
      </c>
      <c r="M27" s="89">
        <f t="shared" si="7"/>
        <v>928.64166666666677</v>
      </c>
      <c r="N27" s="89">
        <f t="shared" si="8"/>
        <v>613.13342503438787</v>
      </c>
      <c r="P27" s="89">
        <f t="shared" si="9"/>
        <v>2951.9735099337749</v>
      </c>
      <c r="Q27" s="89">
        <f t="shared" si="10"/>
        <v>1157.787012987013</v>
      </c>
      <c r="S27" s="133">
        <f>'Capital IQ Sheet-GPC'!AU27</f>
        <v>-15.7</v>
      </c>
      <c r="T27" s="133">
        <f>'Capital IQ Sheet-GPC'!AV27</f>
        <v>-20.6</v>
      </c>
      <c r="U27" s="133">
        <f>'Capital IQ Sheet-GPC'!AW27</f>
        <v>-24.2</v>
      </c>
      <c r="V27" s="133"/>
      <c r="W27" s="133">
        <f>'Capital IQ Sheet-GPC'!AX27</f>
        <v>-17.3</v>
      </c>
      <c r="X27" s="133">
        <f>'Capital IQ Sheet-GPC'!AY27</f>
        <v>-26.5</v>
      </c>
      <c r="Z27" s="133">
        <f>'Capital IQ Sheet-GPC'!AZ27</f>
        <v>15.6</v>
      </c>
      <c r="AA27" s="133">
        <f>'Capital IQ Sheet-GPC'!BA27</f>
        <v>48</v>
      </c>
      <c r="AB27" s="133">
        <f>'Capital IQ Sheet-GPC'!BB27</f>
        <v>72.7</v>
      </c>
      <c r="AD27" s="133">
        <f>'Capital IQ Sheet-GPC'!BC27</f>
        <v>15.1</v>
      </c>
      <c r="AE27" s="133">
        <f>'Capital IQ Sheet-GPC'!BD27</f>
        <v>38.5</v>
      </c>
      <c r="AG27" s="386">
        <f>'Beta Calc'!K24</f>
        <v>194.7</v>
      </c>
      <c r="AH27" s="386">
        <f>'Beta Calc'!L24</f>
        <v>10</v>
      </c>
      <c r="AI27" s="386" t="str">
        <f>'Beta Calc'!M24</f>
        <v xml:space="preserve"> n/a </v>
      </c>
      <c r="AJ27" s="386" t="str">
        <f>'Beta Calc'!N24</f>
        <v xml:space="preserve"> n/a </v>
      </c>
      <c r="AK27" s="386">
        <f t="shared" si="11"/>
        <v>10</v>
      </c>
      <c r="AL27" s="386">
        <f t="shared" si="12"/>
        <v>204.7</v>
      </c>
      <c r="AM27" s="386">
        <f>'Beta Calc'!Q24</f>
        <v>78.099999999999994</v>
      </c>
      <c r="AN27" s="91">
        <f t="shared" si="13"/>
        <v>126.6</v>
      </c>
      <c r="AP27" s="92" t="str">
        <f>IF('MASTER PubCo Inputs'!C42="","",'MASTER PubCo Inputs'!C42)</f>
        <v>IQ45015663</v>
      </c>
      <c r="AQ27" s="503" t="str">
        <f>'Comp.1'!AM24</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8" spans="2:43" ht="12.75" customHeight="1">
      <c r="B28" s="385" t="str">
        <f>'Comp.1'!B25</f>
        <v>Conatus Pharmaceuticals Inc.</v>
      </c>
      <c r="C28" s="91">
        <f t="shared" si="0"/>
        <v>115.7</v>
      </c>
      <c r="E28" s="89" t="str">
        <f t="shared" si="1"/>
        <v>n/a</v>
      </c>
      <c r="F28" s="89" t="str">
        <f t="shared" si="2"/>
        <v>n/a</v>
      </c>
      <c r="G28" s="89" t="str">
        <f t="shared" si="3"/>
        <v>n/a</v>
      </c>
      <c r="H28" s="386"/>
      <c r="I28" s="89" t="str">
        <f t="shared" si="4"/>
        <v>n/a</v>
      </c>
      <c r="J28" s="89" t="str">
        <f t="shared" si="5"/>
        <v>n/a</v>
      </c>
      <c r="L28" s="89">
        <f t="shared" si="6"/>
        <v>1419.5796178343951</v>
      </c>
      <c r="M28" s="89">
        <f t="shared" si="7"/>
        <v>2285.8871794871798</v>
      </c>
      <c r="N28" s="89">
        <f t="shared" si="8"/>
        <v>1904.9059829059831</v>
      </c>
      <c r="P28" s="89">
        <f t="shared" si="9"/>
        <v>2044.7155963302753</v>
      </c>
      <c r="Q28" s="89">
        <f t="shared" si="10"/>
        <v>1591.957142857143</v>
      </c>
      <c r="S28" s="133">
        <f>'Capital IQ Sheet-GPC'!AU28</f>
        <v>-25.4</v>
      </c>
      <c r="T28" s="133">
        <f>'Capital IQ Sheet-GPC'!AV28</f>
        <v>-26.1</v>
      </c>
      <c r="U28" s="133">
        <f>'Capital IQ Sheet-GPC'!AW28</f>
        <v>-18.8</v>
      </c>
      <c r="V28" s="133"/>
      <c r="W28" s="133">
        <f>'Capital IQ Sheet-GPC'!AX28</f>
        <v>-29.7</v>
      </c>
      <c r="X28" s="133">
        <f>'Capital IQ Sheet-GPC'!AY28</f>
        <v>-17.399999999999999</v>
      </c>
      <c r="Z28" s="133">
        <f>'Capital IQ Sheet-GPC'!AZ28</f>
        <v>31.4</v>
      </c>
      <c r="AA28" s="133">
        <f>'Capital IQ Sheet-GPC'!BA28</f>
        <v>19.5</v>
      </c>
      <c r="AB28" s="133">
        <f>'Capital IQ Sheet-GPC'!BB28</f>
        <v>23.4</v>
      </c>
      <c r="AD28" s="133">
        <f>'Capital IQ Sheet-GPC'!BC28</f>
        <v>21.8</v>
      </c>
      <c r="AE28" s="133">
        <f>'Capital IQ Sheet-GPC'!BD28</f>
        <v>28</v>
      </c>
      <c r="AG28" s="386">
        <f>'Beta Calc'!K25</f>
        <v>115.7</v>
      </c>
      <c r="AH28" s="386">
        <f>'Beta Calc'!L25</f>
        <v>13.3</v>
      </c>
      <c r="AI28" s="386" t="str">
        <f>'Beta Calc'!M25</f>
        <v xml:space="preserve"> n/a </v>
      </c>
      <c r="AJ28" s="386" t="str">
        <f>'Beta Calc'!N25</f>
        <v xml:space="preserve"> n/a </v>
      </c>
      <c r="AK28" s="386">
        <f t="shared" si="11"/>
        <v>13.3</v>
      </c>
      <c r="AL28" s="386">
        <f t="shared" si="12"/>
        <v>129</v>
      </c>
      <c r="AM28" s="386">
        <f>'Beta Calc'!Q25</f>
        <v>66.8</v>
      </c>
      <c r="AN28" s="91">
        <f t="shared" si="13"/>
        <v>62.2</v>
      </c>
      <c r="AP28" s="92" t="str">
        <f>IF('MASTER PubCo Inputs'!C43="","",'MASTER PubCo Inputs'!C43)</f>
        <v>IQ30828389</v>
      </c>
      <c r="AQ28" s="503" t="str">
        <f>'Comp.1'!AM25</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9" spans="2:43" ht="12.75" customHeight="1">
      <c r="B29" s="385" t="str">
        <f>'Comp.1'!B26</f>
        <v>Immuron Limited</v>
      </c>
      <c r="C29" s="91">
        <f t="shared" si="0"/>
        <v>39.700000000000003</v>
      </c>
      <c r="E29" s="89" t="str">
        <f t="shared" si="1"/>
        <v>n/a</v>
      </c>
      <c r="F29" s="89" t="str">
        <f t="shared" si="2"/>
        <v>n/a</v>
      </c>
      <c r="G29" s="89" t="str">
        <f t="shared" si="3"/>
        <v>n/a</v>
      </c>
      <c r="H29" s="386"/>
      <c r="I29" s="89" t="str">
        <f t="shared" si="4"/>
        <v>n/a</v>
      </c>
      <c r="J29" s="89" t="str">
        <f t="shared" si="5"/>
        <v>n/a</v>
      </c>
      <c r="L29" s="89">
        <f t="shared" si="6"/>
        <v>31839.142857142862</v>
      </c>
      <c r="M29" s="89">
        <f t="shared" si="7"/>
        <v>17144.153846153848</v>
      </c>
      <c r="N29" s="89">
        <f t="shared" si="8"/>
        <v>11429.435897435898</v>
      </c>
      <c r="P29" s="89">
        <f t="shared" si="9"/>
        <v>17144.153846153848</v>
      </c>
      <c r="Q29" s="89">
        <f t="shared" si="10"/>
        <v>11429.435897435898</v>
      </c>
      <c r="S29" s="133">
        <f>'Capital IQ Sheet-GPC'!AU29</f>
        <v>-3.2</v>
      </c>
      <c r="T29" s="133">
        <f>'Capital IQ Sheet-GPC'!AV29</f>
        <v>-4.3</v>
      </c>
      <c r="U29" s="133">
        <f>'Capital IQ Sheet-GPC'!AW29</f>
        <v>-4.0999999999999996</v>
      </c>
      <c r="V29" s="133"/>
      <c r="W29" s="133">
        <f>'Capital IQ Sheet-GPC'!AX29</f>
        <v>-4.3</v>
      </c>
      <c r="X29" s="133">
        <f>'Capital IQ Sheet-GPC'!AY29</f>
        <v>-4.0999999999999996</v>
      </c>
      <c r="Z29" s="133">
        <f>'Capital IQ Sheet-GPC'!AZ29</f>
        <v>1.4</v>
      </c>
      <c r="AA29" s="133">
        <f>'Capital IQ Sheet-GPC'!BA29</f>
        <v>2.6</v>
      </c>
      <c r="AB29" s="133">
        <f>'Capital IQ Sheet-GPC'!BB29</f>
        <v>3.9</v>
      </c>
      <c r="AD29" s="133">
        <f>'Capital IQ Sheet-GPC'!BC29</f>
        <v>2.6</v>
      </c>
      <c r="AE29" s="133">
        <f>'Capital IQ Sheet-GPC'!BD29</f>
        <v>3.9</v>
      </c>
      <c r="AG29" s="386">
        <f>'Beta Calc'!K26</f>
        <v>39.700000000000003</v>
      </c>
      <c r="AH29" s="386">
        <f>'Beta Calc'!L26</f>
        <v>0</v>
      </c>
      <c r="AI29" s="386" t="str">
        <f>'Beta Calc'!M26</f>
        <v xml:space="preserve"> n/a </v>
      </c>
      <c r="AJ29" s="386" t="str">
        <f>'Beta Calc'!N26</f>
        <v xml:space="preserve"> n/a </v>
      </c>
      <c r="AK29" s="386">
        <f t="shared" si="11"/>
        <v>0</v>
      </c>
      <c r="AL29" s="386">
        <f t="shared" si="12"/>
        <v>39.700000000000003</v>
      </c>
      <c r="AM29" s="386">
        <f>'Beta Calc'!Q26</f>
        <v>0.5</v>
      </c>
      <c r="AN29" s="91">
        <f t="shared" si="13"/>
        <v>39.200000000000003</v>
      </c>
      <c r="AP29" s="92" t="str">
        <f>IF('MASTER PubCo Inputs'!C44="","",'MASTER PubCo Inputs'!C44)</f>
        <v>IQ7687411</v>
      </c>
      <c r="AQ29" s="503" t="str">
        <f>'Comp.1'!AM26</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30" spans="2:43" ht="12.75" customHeight="1">
      <c r="B30" s="385" t="str">
        <f>'Comp.1'!B27</f>
        <v>AdAlta Limited</v>
      </c>
      <c r="C30" s="91">
        <f t="shared" si="0"/>
        <v>25.2</v>
      </c>
      <c r="E30" s="89" t="str">
        <f t="shared" si="1"/>
        <v>n/a</v>
      </c>
      <c r="F30" s="89" t="str">
        <f t="shared" si="2"/>
        <v>n/a</v>
      </c>
      <c r="G30" s="89" t="str">
        <f t="shared" si="3"/>
        <v>n/a</v>
      </c>
      <c r="H30" s="386"/>
      <c r="I30" s="89" t="str">
        <f t="shared" si="4"/>
        <v>n/a</v>
      </c>
      <c r="J30" s="89" t="str">
        <f t="shared" si="5"/>
        <v>n/a</v>
      </c>
      <c r="L30" s="89">
        <f t="shared" si="6"/>
        <v>222874</v>
      </c>
      <c r="M30" s="89">
        <f t="shared" si="7"/>
        <v>7429.1333333333341</v>
      </c>
      <c r="N30" s="89">
        <f t="shared" si="8"/>
        <v>12735.657142857144</v>
      </c>
      <c r="P30" s="89">
        <f t="shared" si="9"/>
        <v>7429.1333333333341</v>
      </c>
      <c r="Q30" s="89">
        <f t="shared" si="10"/>
        <v>12735.657142857144</v>
      </c>
      <c r="S30" s="133">
        <f>'Capital IQ Sheet-GPC'!AU30</f>
        <v>-1.2</v>
      </c>
      <c r="T30" s="133">
        <f>'Capital IQ Sheet-GPC'!AV30</f>
        <v>-2</v>
      </c>
      <c r="U30" s="133">
        <f>'Capital IQ Sheet-GPC'!AW30</f>
        <v>-3.1</v>
      </c>
      <c r="V30" s="133"/>
      <c r="W30" s="133">
        <f>'Capital IQ Sheet-GPC'!AX30</f>
        <v>-2</v>
      </c>
      <c r="X30" s="133">
        <f>'Capital IQ Sheet-GPC'!AY30</f>
        <v>-3.1</v>
      </c>
      <c r="Z30" s="133">
        <f>'Capital IQ Sheet-GPC'!AZ30</f>
        <v>0.2</v>
      </c>
      <c r="AA30" s="133">
        <f>'Capital IQ Sheet-GPC'!BA30</f>
        <v>6</v>
      </c>
      <c r="AB30" s="133">
        <f>'Capital IQ Sheet-GPC'!BB30</f>
        <v>3.5</v>
      </c>
      <c r="AD30" s="133">
        <f>'Capital IQ Sheet-GPC'!BC30</f>
        <v>6</v>
      </c>
      <c r="AE30" s="133">
        <f>'Capital IQ Sheet-GPC'!BD30</f>
        <v>3.5</v>
      </c>
      <c r="AG30" s="386">
        <f>'Beta Calc'!K27</f>
        <v>25.2</v>
      </c>
      <c r="AH30" s="386" t="str">
        <f>'Beta Calc'!L27</f>
        <v xml:space="preserve"> -   </v>
      </c>
      <c r="AI30" s="386" t="str">
        <f>'Beta Calc'!M27</f>
        <v xml:space="preserve"> n/a </v>
      </c>
      <c r="AJ30" s="386" t="str">
        <f>'Beta Calc'!N27</f>
        <v xml:space="preserve"> n/a </v>
      </c>
      <c r="AK30" s="386">
        <f t="shared" si="11"/>
        <v>0</v>
      </c>
      <c r="AL30" s="386">
        <f t="shared" si="12"/>
        <v>25.2</v>
      </c>
      <c r="AM30" s="386">
        <f>'Beta Calc'!Q27</f>
        <v>4.0999999999999996</v>
      </c>
      <c r="AN30" s="91">
        <f t="shared" si="13"/>
        <v>21.1</v>
      </c>
      <c r="AP30" s="92" t="str">
        <f>IF('MASTER PubCo Inputs'!C45="","",'MASTER PubCo Inputs'!C45)</f>
        <v>IQ61120709</v>
      </c>
      <c r="AQ30" s="503" t="str">
        <f>'Comp.1'!AM27</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31" spans="2:43" ht="12.75" customHeight="1">
      <c r="B31" s="385" t="str">
        <f>'Comp.1'!B28</f>
        <v>Pulmatrix, Inc.</v>
      </c>
      <c r="C31" s="91">
        <f t="shared" si="0"/>
        <v>19.3</v>
      </c>
      <c r="E31" s="89" t="str">
        <f t="shared" si="1"/>
        <v>n/a</v>
      </c>
      <c r="F31" s="89" t="str">
        <f t="shared" si="2"/>
        <v>n/a</v>
      </c>
      <c r="G31" s="89" t="str">
        <f t="shared" si="3"/>
        <v>n/a</v>
      </c>
      <c r="H31" s="386"/>
      <c r="I31" s="89" t="str">
        <f t="shared" si="4"/>
        <v>n/a</v>
      </c>
      <c r="J31" s="89" t="str">
        <f t="shared" si="5"/>
        <v>n/a</v>
      </c>
      <c r="L31" s="89">
        <f t="shared" si="6"/>
        <v>1580.6666666666667</v>
      </c>
      <c r="M31" s="89">
        <f t="shared" si="7"/>
        <v>2803.4465408805031</v>
      </c>
      <c r="N31" s="89">
        <f t="shared" si="8"/>
        <v>5943.3066666666673</v>
      </c>
      <c r="P31" s="89">
        <f t="shared" si="9"/>
        <v>5065.318181818182</v>
      </c>
      <c r="Q31" s="89">
        <f t="shared" si="10"/>
        <v>4413.3465346534658</v>
      </c>
      <c r="S31" s="133">
        <f>'Capital IQ Sheet-GPC'!AU31</f>
        <v>-30</v>
      </c>
      <c r="T31" s="133">
        <f>'Capital IQ Sheet-GPC'!AV31</f>
        <v>-25.7</v>
      </c>
      <c r="U31" s="133">
        <f>'Capital IQ Sheet-GPC'!AW31</f>
        <v>-19.8</v>
      </c>
      <c r="V31" s="133"/>
      <c r="W31" s="133">
        <f>'Capital IQ Sheet-GPC'!AX31</f>
        <v>-27.8</v>
      </c>
      <c r="X31" s="133">
        <f>'Capital IQ Sheet-GPC'!AY31</f>
        <v>-18.100000000000001</v>
      </c>
      <c r="Z31" s="133">
        <f>'Capital IQ Sheet-GPC'!AZ31</f>
        <v>28.2</v>
      </c>
      <c r="AA31" s="133">
        <f>'Capital IQ Sheet-GPC'!BA31</f>
        <v>15.9</v>
      </c>
      <c r="AB31" s="133">
        <f>'Capital IQ Sheet-GPC'!BB31</f>
        <v>7.5</v>
      </c>
      <c r="AD31" s="133">
        <f>'Capital IQ Sheet-GPC'!BC31</f>
        <v>8.8000000000000007</v>
      </c>
      <c r="AE31" s="133">
        <f>'Capital IQ Sheet-GPC'!BD31</f>
        <v>10.1</v>
      </c>
      <c r="AG31" s="386">
        <f>'Beta Calc'!K28</f>
        <v>19.3</v>
      </c>
      <c r="AH31" s="386">
        <f>'Beta Calc'!L28</f>
        <v>2.5</v>
      </c>
      <c r="AI31" s="386" t="str">
        <f>'Beta Calc'!M28</f>
        <v xml:space="preserve"> n/a </v>
      </c>
      <c r="AJ31" s="386" t="str">
        <f>'Beta Calc'!N28</f>
        <v xml:space="preserve"> n/a </v>
      </c>
      <c r="AK31" s="386">
        <f t="shared" si="11"/>
        <v>2.5</v>
      </c>
      <c r="AL31" s="386">
        <f t="shared" si="12"/>
        <v>21.8</v>
      </c>
      <c r="AM31" s="386">
        <f>'Beta Calc'!Q28</f>
        <v>1.6</v>
      </c>
      <c r="AN31" s="91">
        <f t="shared" si="13"/>
        <v>20.2</v>
      </c>
      <c r="AP31" s="92" t="str">
        <f>IF('MASTER PubCo Inputs'!C46="","",'MASTER PubCo Inputs'!C46)</f>
        <v>IQ26897567</v>
      </c>
      <c r="AQ31" s="503" t="str">
        <f>'Comp.1'!AM28</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32" spans="2:43" ht="12.75" customHeight="1">
      <c r="B32" s="385" t="str">
        <f>'Comp.1'!B29</f>
        <v>AmpliPhi Biosciences Corporation</v>
      </c>
      <c r="C32" s="91">
        <f t="shared" si="0"/>
        <v>16.5</v>
      </c>
      <c r="E32" s="89">
        <f t="shared" si="1"/>
        <v>4089.4311926605506</v>
      </c>
      <c r="F32" s="89" t="str">
        <f t="shared" si="2"/>
        <v>n/a</v>
      </c>
      <c r="G32" s="89" t="str">
        <f t="shared" si="3"/>
        <v>n/a</v>
      </c>
      <c r="H32" s="386"/>
      <c r="I32" s="89" t="str">
        <f t="shared" si="4"/>
        <v>n/a</v>
      </c>
      <c r="J32" s="89" t="str">
        <f t="shared" si="5"/>
        <v>n/a</v>
      </c>
      <c r="L32" s="89">
        <f t="shared" si="6"/>
        <v>1972.3362831858408</v>
      </c>
      <c r="M32" s="89">
        <f t="shared" si="7"/>
        <v>6753.7575757575769</v>
      </c>
      <c r="N32" s="89">
        <f t="shared" si="8"/>
        <v>3944.6725663716816</v>
      </c>
      <c r="P32" s="89">
        <f t="shared" si="9"/>
        <v>4595.3402061855677</v>
      </c>
      <c r="Q32" s="89">
        <f t="shared" si="10"/>
        <v>5788.9350649350654</v>
      </c>
      <c r="S32" s="133">
        <f>'Capital IQ Sheet-GPC'!AU32</f>
        <v>10.9</v>
      </c>
      <c r="T32" s="133">
        <f>'Capital IQ Sheet-GPC'!AV32</f>
        <v>-19</v>
      </c>
      <c r="U32" s="133">
        <f>'Capital IQ Sheet-GPC'!AW32</f>
        <v>-12.7</v>
      </c>
      <c r="V32" s="133"/>
      <c r="W32" s="133">
        <f>'Capital IQ Sheet-GPC'!AX32</f>
        <v>-18.8</v>
      </c>
      <c r="X32" s="133">
        <f>'Capital IQ Sheet-GPC'!AY32</f>
        <v>-12.8</v>
      </c>
      <c r="Z32" s="133">
        <f>'Capital IQ Sheet-GPC'!AZ32</f>
        <v>22.6</v>
      </c>
      <c r="AA32" s="133">
        <f>'Capital IQ Sheet-GPC'!BA32</f>
        <v>6.6</v>
      </c>
      <c r="AB32" s="133">
        <f>'Capital IQ Sheet-GPC'!BB32</f>
        <v>11.3</v>
      </c>
      <c r="AD32" s="133">
        <f>'Capital IQ Sheet-GPC'!BC32</f>
        <v>9.6999999999999993</v>
      </c>
      <c r="AE32" s="133">
        <f>'Capital IQ Sheet-GPC'!BD32</f>
        <v>7.7</v>
      </c>
      <c r="AG32" s="386">
        <f>'Beta Calc'!K29</f>
        <v>16.5</v>
      </c>
      <c r="AH32" s="386" t="str">
        <f>'Beta Calc'!L29</f>
        <v xml:space="preserve"> -   </v>
      </c>
      <c r="AI32" s="386" t="str">
        <f>'Beta Calc'!M29</f>
        <v xml:space="preserve"> n/a </v>
      </c>
      <c r="AJ32" s="386" t="str">
        <f>'Beta Calc'!N29</f>
        <v xml:space="preserve"> n/a </v>
      </c>
      <c r="AK32" s="386">
        <f t="shared" si="11"/>
        <v>0</v>
      </c>
      <c r="AL32" s="386">
        <f t="shared" si="12"/>
        <v>16.5</v>
      </c>
      <c r="AM32" s="386">
        <f>'Beta Calc'!Q29</f>
        <v>8.1999999999999993</v>
      </c>
      <c r="AN32" s="91">
        <f t="shared" si="13"/>
        <v>8.3000000000000007</v>
      </c>
      <c r="AP32" s="92" t="str">
        <f>IF('MASTER PubCo Inputs'!C47="","",'MASTER PubCo Inputs'!C47)</f>
        <v>IQ35106</v>
      </c>
      <c r="AQ32" s="503" t="str">
        <f>'Comp.1'!AM29</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3" spans="2:43" ht="12.75" customHeight="1">
      <c r="B33" s="385">
        <f>'Comp.1'!B30</f>
        <v>0</v>
      </c>
      <c r="C33" s="91" t="str">
        <f t="shared" si="0"/>
        <v xml:space="preserve"> (Invalid Identifier) </v>
      </c>
      <c r="E33" s="89" t="str">
        <f t="shared" si="1"/>
        <v>n/a</v>
      </c>
      <c r="F33" s="89" t="str">
        <f t="shared" si="2"/>
        <v>n/a</v>
      </c>
      <c r="G33" s="89" t="str">
        <f t="shared" si="3"/>
        <v>n/a</v>
      </c>
      <c r="H33" s="386"/>
      <c r="I33" s="89" t="str">
        <f t="shared" si="4"/>
        <v>n/a</v>
      </c>
      <c r="J33" s="89" t="str">
        <f t="shared" si="5"/>
        <v>n/a</v>
      </c>
      <c r="L33" s="89" t="str">
        <f t="shared" si="6"/>
        <v>n/a</v>
      </c>
      <c r="M33" s="89" t="str">
        <f t="shared" si="7"/>
        <v>n/a</v>
      </c>
      <c r="N33" s="89" t="str">
        <f t="shared" si="8"/>
        <v>n/a</v>
      </c>
      <c r="P33" s="89" t="str">
        <f t="shared" si="9"/>
        <v>n/a</v>
      </c>
      <c r="Q33" s="89" t="str">
        <f t="shared" si="10"/>
        <v>n/a</v>
      </c>
      <c r="S33" s="133" t="str">
        <f>'Capital IQ Sheet-GPC'!AU33</f>
        <v xml:space="preserve"> (Invalid Identifier) </v>
      </c>
      <c r="T33" s="133" t="str">
        <f>'Capital IQ Sheet-GPC'!AV33</f>
        <v xml:space="preserve"> (Invalid Identifier) </v>
      </c>
      <c r="U33" s="133" t="str">
        <f>'Capital IQ Sheet-GPC'!AW33</f>
        <v xml:space="preserve"> (Invalid Identifier) </v>
      </c>
      <c r="V33" s="133"/>
      <c r="W33" s="133" t="str">
        <f>'Capital IQ Sheet-GPC'!AX33</f>
        <v xml:space="preserve"> (Invalid Identifier) </v>
      </c>
      <c r="X33" s="133" t="str">
        <f>'Capital IQ Sheet-GPC'!AY33</f>
        <v xml:space="preserve"> (Invalid Identifier) </v>
      </c>
      <c r="Z33" s="133" t="str">
        <f>'Capital IQ Sheet-GPC'!AZ33</f>
        <v xml:space="preserve"> (Invalid Identifier) </v>
      </c>
      <c r="AA33" s="133" t="str">
        <f>'Capital IQ Sheet-GPC'!BA33</f>
        <v xml:space="preserve"> (Invalid Identifier) </v>
      </c>
      <c r="AB33" s="133" t="str">
        <f>'Capital IQ Sheet-GPC'!BB33</f>
        <v xml:space="preserve"> (Invalid Identifier) </v>
      </c>
      <c r="AD33" s="133" t="str">
        <f>'Capital IQ Sheet-GPC'!BC33</f>
        <v xml:space="preserve"> (Invalid Identifier) </v>
      </c>
      <c r="AE33" s="133" t="str">
        <f>'Capital IQ Sheet-GPC'!BD33</f>
        <v xml:space="preserve"> (Invalid Identifier) </v>
      </c>
      <c r="AG33" s="386" t="str">
        <f>'Beta Calc'!K30</f>
        <v xml:space="preserve"> (Invalid Identifier) </v>
      </c>
      <c r="AH33" s="386" t="str">
        <f>'Beta Calc'!L30</f>
        <v xml:space="preserve"> (Invalid Identifier) </v>
      </c>
      <c r="AI33" s="386" t="str">
        <f>'Beta Calc'!M30</f>
        <v xml:space="preserve"> (Invalid Identifier) </v>
      </c>
      <c r="AJ33" s="386" t="str">
        <f>'Beta Calc'!N30</f>
        <v xml:space="preserve"> (Invalid Identifier) </v>
      </c>
      <c r="AK33" s="386">
        <f t="shared" si="11"/>
        <v>0</v>
      </c>
      <c r="AL33" s="386">
        <f t="shared" si="12"/>
        <v>0</v>
      </c>
      <c r="AM33" s="386" t="str">
        <f>'Beta Calc'!Q30</f>
        <v xml:space="preserve"> (Invalid Identifier) </v>
      </c>
      <c r="AN33" s="91" t="str">
        <f t="shared" si="13"/>
        <v>n/a</v>
      </c>
      <c r="AP33" s="92" t="str">
        <f>IF('MASTER PubCo Inputs'!C48="","",'MASTER PubCo Inputs'!C48)</f>
        <v>(Invalid Identifier)</v>
      </c>
      <c r="AQ33" s="503">
        <f>'Comp.1'!AM30</f>
        <v>0</v>
      </c>
    </row>
    <row r="34" spans="2:43" ht="12.75" customHeight="1">
      <c r="B34" s="385">
        <f>'Comp.1'!B31</f>
        <v>0</v>
      </c>
      <c r="C34" s="91" t="str">
        <f t="shared" si="0"/>
        <v xml:space="preserve"> (Invalid Identifier) </v>
      </c>
      <c r="E34" s="89" t="str">
        <f t="shared" si="1"/>
        <v>n/a</v>
      </c>
      <c r="F34" s="89" t="str">
        <f t="shared" si="2"/>
        <v>n/a</v>
      </c>
      <c r="G34" s="89" t="str">
        <f t="shared" si="3"/>
        <v>n/a</v>
      </c>
      <c r="H34" s="386"/>
      <c r="I34" s="89" t="str">
        <f t="shared" si="4"/>
        <v>n/a</v>
      </c>
      <c r="J34" s="89" t="str">
        <f t="shared" si="5"/>
        <v>n/a</v>
      </c>
      <c r="L34" s="89" t="str">
        <f t="shared" si="6"/>
        <v>n/a</v>
      </c>
      <c r="M34" s="89" t="str">
        <f t="shared" si="7"/>
        <v>n/a</v>
      </c>
      <c r="N34" s="89" t="str">
        <f t="shared" si="8"/>
        <v>n/a</v>
      </c>
      <c r="P34" s="89" t="str">
        <f t="shared" si="9"/>
        <v>n/a</v>
      </c>
      <c r="Q34" s="89" t="str">
        <f t="shared" si="10"/>
        <v>n/a</v>
      </c>
      <c r="S34" s="133" t="str">
        <f>'Capital IQ Sheet-GPC'!AU34</f>
        <v xml:space="preserve"> (Invalid Identifier) </v>
      </c>
      <c r="T34" s="133" t="str">
        <f>'Capital IQ Sheet-GPC'!AV34</f>
        <v xml:space="preserve"> (Invalid Identifier) </v>
      </c>
      <c r="U34" s="133" t="str">
        <f>'Capital IQ Sheet-GPC'!AW34</f>
        <v xml:space="preserve"> (Invalid Identifier) </v>
      </c>
      <c r="V34" s="133"/>
      <c r="W34" s="133" t="str">
        <f>'Capital IQ Sheet-GPC'!AX34</f>
        <v xml:space="preserve"> (Invalid Identifier) </v>
      </c>
      <c r="X34" s="133" t="str">
        <f>'Capital IQ Sheet-GPC'!AY34</f>
        <v xml:space="preserve"> (Invalid Identifier) </v>
      </c>
      <c r="Z34" s="133" t="str">
        <f>'Capital IQ Sheet-GPC'!AZ34</f>
        <v xml:space="preserve"> (Invalid Identifier) </v>
      </c>
      <c r="AA34" s="133" t="str">
        <f>'Capital IQ Sheet-GPC'!BA34</f>
        <v xml:space="preserve"> (Invalid Identifier) </v>
      </c>
      <c r="AB34" s="133" t="str">
        <f>'Capital IQ Sheet-GPC'!BB34</f>
        <v xml:space="preserve"> (Invalid Identifier) </v>
      </c>
      <c r="AD34" s="133" t="str">
        <f>'Capital IQ Sheet-GPC'!BC34</f>
        <v xml:space="preserve"> (Invalid Identifier) </v>
      </c>
      <c r="AE34" s="133" t="str">
        <f>'Capital IQ Sheet-GPC'!BD34</f>
        <v xml:space="preserve"> (Invalid Identifier) </v>
      </c>
      <c r="AG34" s="386" t="str">
        <f>'Beta Calc'!K31</f>
        <v xml:space="preserve"> (Invalid Identifier) </v>
      </c>
      <c r="AH34" s="386" t="str">
        <f>'Beta Calc'!L31</f>
        <v xml:space="preserve"> (Invalid Identifier) </v>
      </c>
      <c r="AI34" s="386" t="str">
        <f>'Beta Calc'!M31</f>
        <v xml:space="preserve"> (Invalid Identifier) </v>
      </c>
      <c r="AJ34" s="386" t="str">
        <f>'Beta Calc'!N31</f>
        <v xml:space="preserve"> (Invalid Identifier) </v>
      </c>
      <c r="AK34" s="386">
        <f t="shared" si="11"/>
        <v>0</v>
      </c>
      <c r="AL34" s="386">
        <f t="shared" si="12"/>
        <v>0</v>
      </c>
      <c r="AM34" s="386" t="str">
        <f>'Beta Calc'!Q31</f>
        <v xml:space="preserve"> (Invalid Identifier) </v>
      </c>
      <c r="AN34" s="91" t="str">
        <f t="shared" si="13"/>
        <v>n/a</v>
      </c>
      <c r="AP34" s="92" t="str">
        <f>IF('MASTER PubCo Inputs'!C49="","",'MASTER PubCo Inputs'!C49)</f>
        <v>(Invalid Identifier)</v>
      </c>
      <c r="AQ34" s="503">
        <f>'Comp.1'!AM31</f>
        <v>0</v>
      </c>
    </row>
    <row r="35" spans="2:43" ht="12.75" customHeight="1">
      <c r="B35" s="385">
        <f>'Comp.1'!B32</f>
        <v>0</v>
      </c>
      <c r="C35" s="91">
        <f t="shared" si="0"/>
        <v>0</v>
      </c>
      <c r="E35" s="89" t="str">
        <f t="shared" si="1"/>
        <v>n/a</v>
      </c>
      <c r="F35" s="89" t="str">
        <f t="shared" si="2"/>
        <v>n/a</v>
      </c>
      <c r="G35" s="89" t="str">
        <f t="shared" si="3"/>
        <v>n/a</v>
      </c>
      <c r="H35" s="386"/>
      <c r="I35" s="89" t="str">
        <f t="shared" si="4"/>
        <v>n/a</v>
      </c>
      <c r="J35" s="89" t="str">
        <f t="shared" si="5"/>
        <v>n/a</v>
      </c>
      <c r="L35" s="89" t="str">
        <f t="shared" si="6"/>
        <v>n/a</v>
      </c>
      <c r="M35" s="89" t="str">
        <f t="shared" si="7"/>
        <v>n/a</v>
      </c>
      <c r="N35" s="89" t="str">
        <f t="shared" si="8"/>
        <v>n/a</v>
      </c>
      <c r="P35" s="89" t="str">
        <f t="shared" si="9"/>
        <v>n/a</v>
      </c>
      <c r="Q35" s="89" t="str">
        <f t="shared" si="10"/>
        <v>n/a</v>
      </c>
      <c r="S35" s="133" t="str">
        <f>'Capital IQ Sheet-GPC'!AU35</f>
        <v xml:space="preserve"> (Invalid Identifier) </v>
      </c>
      <c r="T35" s="133" t="str">
        <f>'Capital IQ Sheet-GPC'!AV35</f>
        <v xml:space="preserve"> (Invalid Identifier) </v>
      </c>
      <c r="U35" s="133" t="str">
        <f>'Capital IQ Sheet-GPC'!AW35</f>
        <v xml:space="preserve"> (Invalid Identifier) </v>
      </c>
      <c r="V35" s="133"/>
      <c r="W35" s="133" t="str">
        <f>'Capital IQ Sheet-GPC'!AX35</f>
        <v xml:space="preserve"> (Invalid Identifier) </v>
      </c>
      <c r="X35" s="133" t="str">
        <f>'Capital IQ Sheet-GPC'!AY35</f>
        <v xml:space="preserve"> (Invalid Identifier) </v>
      </c>
      <c r="Z35" s="133" t="str">
        <f>'Capital IQ Sheet-GPC'!AZ35</f>
        <v xml:space="preserve"> (Invalid Identifier) </v>
      </c>
      <c r="AA35" s="133" t="str">
        <f>'Capital IQ Sheet-GPC'!BA35</f>
        <v xml:space="preserve"> (Invalid Identifier) </v>
      </c>
      <c r="AB35" s="133" t="str">
        <f>'Capital IQ Sheet-GPC'!BB35</f>
        <v xml:space="preserve"> (Invalid Identifier) </v>
      </c>
      <c r="AD35" s="133" t="str">
        <f>'Capital IQ Sheet-GPC'!BC35</f>
        <v xml:space="preserve"> (Invalid Identifier) </v>
      </c>
      <c r="AE35" s="133" t="str">
        <f>'Capital IQ Sheet-GPC'!BD35</f>
        <v xml:space="preserve"> (Invalid Identifier) </v>
      </c>
      <c r="AG35" s="386">
        <f>'Beta Calc'!K32</f>
        <v>0</v>
      </c>
      <c r="AH35" s="386">
        <f>'Beta Calc'!L32</f>
        <v>0</v>
      </c>
      <c r="AI35" s="386">
        <f>'Beta Calc'!M32</f>
        <v>0</v>
      </c>
      <c r="AJ35" s="386">
        <f>'Beta Calc'!N32</f>
        <v>0</v>
      </c>
      <c r="AK35" s="386">
        <f t="shared" si="11"/>
        <v>0</v>
      </c>
      <c r="AL35" s="386">
        <f t="shared" si="12"/>
        <v>0</v>
      </c>
      <c r="AM35" s="386">
        <f>'Beta Calc'!Q32</f>
        <v>0</v>
      </c>
      <c r="AN35" s="91">
        <f t="shared" si="13"/>
        <v>0</v>
      </c>
      <c r="AP35" s="92" t="str">
        <f>IF('MASTER PubCo Inputs'!C50="","",'MASTER PubCo Inputs'!C50)</f>
        <v/>
      </c>
      <c r="AQ35" s="503">
        <f>'Comp.1'!AM32</f>
        <v>0</v>
      </c>
    </row>
    <row r="36" spans="2:43" ht="12.75" customHeight="1">
      <c r="B36" s="385">
        <f>'Comp.1'!B33</f>
        <v>0</v>
      </c>
      <c r="C36" s="91">
        <f t="shared" si="0"/>
        <v>0</v>
      </c>
      <c r="E36" s="89" t="str">
        <f t="shared" si="1"/>
        <v>n/a</v>
      </c>
      <c r="F36" s="89" t="str">
        <f t="shared" si="2"/>
        <v>n/a</v>
      </c>
      <c r="G36" s="89" t="str">
        <f t="shared" si="3"/>
        <v>n/a</v>
      </c>
      <c r="H36" s="386"/>
      <c r="I36" s="89" t="str">
        <f t="shared" si="4"/>
        <v>n/a</v>
      </c>
      <c r="J36" s="89" t="str">
        <f t="shared" si="5"/>
        <v>n/a</v>
      </c>
      <c r="L36" s="89" t="str">
        <f t="shared" si="6"/>
        <v>n/a</v>
      </c>
      <c r="M36" s="89" t="str">
        <f t="shared" si="7"/>
        <v>n/a</v>
      </c>
      <c r="N36" s="89" t="str">
        <f t="shared" si="8"/>
        <v>n/a</v>
      </c>
      <c r="P36" s="89" t="str">
        <f t="shared" si="9"/>
        <v>n/a</v>
      </c>
      <c r="Q36" s="89" t="str">
        <f t="shared" si="10"/>
        <v>n/a</v>
      </c>
      <c r="S36" s="133" t="str">
        <f>'Capital IQ Sheet-GPC'!AU36</f>
        <v xml:space="preserve"> (Invalid Identifier) </v>
      </c>
      <c r="T36" s="133" t="str">
        <f>'Capital IQ Sheet-GPC'!AV36</f>
        <v xml:space="preserve"> (Invalid Identifier) </v>
      </c>
      <c r="U36" s="133" t="str">
        <f>'Capital IQ Sheet-GPC'!AW36</f>
        <v xml:space="preserve"> (Invalid Identifier) </v>
      </c>
      <c r="V36" s="133"/>
      <c r="W36" s="133" t="str">
        <f>'Capital IQ Sheet-GPC'!AX36</f>
        <v xml:space="preserve"> (Invalid Identifier) </v>
      </c>
      <c r="X36" s="133" t="str">
        <f>'Capital IQ Sheet-GPC'!AY36</f>
        <v xml:space="preserve"> (Invalid Identifier) </v>
      </c>
      <c r="Z36" s="133" t="str">
        <f>'Capital IQ Sheet-GPC'!AZ36</f>
        <v xml:space="preserve"> (Invalid Identifier) </v>
      </c>
      <c r="AA36" s="133" t="str">
        <f>'Capital IQ Sheet-GPC'!BA36</f>
        <v xml:space="preserve"> (Invalid Identifier) </v>
      </c>
      <c r="AB36" s="133" t="str">
        <f>'Capital IQ Sheet-GPC'!BB36</f>
        <v xml:space="preserve"> (Invalid Identifier) </v>
      </c>
      <c r="AD36" s="133" t="str">
        <f>'Capital IQ Sheet-GPC'!BC36</f>
        <v xml:space="preserve"> (Invalid Identifier) </v>
      </c>
      <c r="AE36" s="133" t="str">
        <f>'Capital IQ Sheet-GPC'!BD36</f>
        <v xml:space="preserve"> (Invalid Identifier) </v>
      </c>
      <c r="AG36" s="386">
        <f>'Beta Calc'!K33</f>
        <v>0</v>
      </c>
      <c r="AH36" s="386">
        <f>'Beta Calc'!L33</f>
        <v>0</v>
      </c>
      <c r="AI36" s="386">
        <f>'Beta Calc'!M33</f>
        <v>0</v>
      </c>
      <c r="AJ36" s="386">
        <f>'Beta Calc'!N33</f>
        <v>0</v>
      </c>
      <c r="AK36" s="386">
        <f t="shared" si="11"/>
        <v>0</v>
      </c>
      <c r="AL36" s="386">
        <f t="shared" si="12"/>
        <v>0</v>
      </c>
      <c r="AM36" s="386">
        <f>'Beta Calc'!Q33</f>
        <v>0</v>
      </c>
      <c r="AN36" s="91">
        <f t="shared" si="13"/>
        <v>0</v>
      </c>
      <c r="AP36" s="92" t="str">
        <f>IF('MASTER PubCo Inputs'!C51="","",'MASTER PubCo Inputs'!C51)</f>
        <v/>
      </c>
      <c r="AQ36" s="503">
        <f>'Comp.1'!AM33</f>
        <v>0</v>
      </c>
    </row>
    <row r="37" spans="2:43" ht="12.75" customHeight="1">
      <c r="B37" s="385">
        <f>'Comp.1'!B34</f>
        <v>0</v>
      </c>
      <c r="C37" s="91">
        <f t="shared" si="0"/>
        <v>0</v>
      </c>
      <c r="E37" s="89" t="str">
        <f t="shared" si="1"/>
        <v>n/a</v>
      </c>
      <c r="F37" s="89" t="str">
        <f t="shared" si="2"/>
        <v>n/a</v>
      </c>
      <c r="G37" s="89" t="str">
        <f t="shared" si="3"/>
        <v>n/a</v>
      </c>
      <c r="H37" s="386"/>
      <c r="I37" s="89" t="str">
        <f t="shared" si="4"/>
        <v>n/a</v>
      </c>
      <c r="J37" s="89" t="str">
        <f t="shared" si="5"/>
        <v>n/a</v>
      </c>
      <c r="L37" s="89" t="str">
        <f t="shared" si="6"/>
        <v>n/a</v>
      </c>
      <c r="M37" s="89" t="str">
        <f t="shared" si="7"/>
        <v>n/a</v>
      </c>
      <c r="N37" s="89" t="str">
        <f t="shared" si="8"/>
        <v>n/a</v>
      </c>
      <c r="P37" s="89" t="str">
        <f t="shared" si="9"/>
        <v>n/a</v>
      </c>
      <c r="Q37" s="89" t="str">
        <f t="shared" si="10"/>
        <v>n/a</v>
      </c>
      <c r="S37" s="133" t="str">
        <f>'Capital IQ Sheet-GPC'!AU37</f>
        <v xml:space="preserve"> (Invalid Identifier) </v>
      </c>
      <c r="T37" s="133" t="str">
        <f>'Capital IQ Sheet-GPC'!AV37</f>
        <v xml:space="preserve"> (Invalid Identifier) </v>
      </c>
      <c r="U37" s="133" t="str">
        <f>'Capital IQ Sheet-GPC'!AW37</f>
        <v xml:space="preserve"> (Invalid Identifier) </v>
      </c>
      <c r="V37" s="133"/>
      <c r="W37" s="133" t="str">
        <f>'Capital IQ Sheet-GPC'!AX37</f>
        <v xml:space="preserve"> (Invalid Identifier) </v>
      </c>
      <c r="X37" s="133" t="str">
        <f>'Capital IQ Sheet-GPC'!AY37</f>
        <v xml:space="preserve"> (Invalid Identifier) </v>
      </c>
      <c r="Z37" s="133" t="str">
        <f>'Capital IQ Sheet-GPC'!AZ37</f>
        <v xml:space="preserve"> (Invalid Identifier) </v>
      </c>
      <c r="AA37" s="133" t="str">
        <f>'Capital IQ Sheet-GPC'!BA37</f>
        <v xml:space="preserve"> (Invalid Identifier) </v>
      </c>
      <c r="AB37" s="133" t="str">
        <f>'Capital IQ Sheet-GPC'!BB37</f>
        <v xml:space="preserve"> (Invalid Identifier) </v>
      </c>
      <c r="AD37" s="133" t="str">
        <f>'Capital IQ Sheet-GPC'!BC37</f>
        <v xml:space="preserve"> (Invalid Identifier) </v>
      </c>
      <c r="AE37" s="133" t="str">
        <f>'Capital IQ Sheet-GPC'!BD37</f>
        <v xml:space="preserve"> (Invalid Identifier) </v>
      </c>
      <c r="AG37" s="386">
        <f>'Beta Calc'!K34</f>
        <v>0</v>
      </c>
      <c r="AH37" s="386">
        <f>'Beta Calc'!L34</f>
        <v>0</v>
      </c>
      <c r="AI37" s="386">
        <f>'Beta Calc'!M34</f>
        <v>0</v>
      </c>
      <c r="AJ37" s="386">
        <f>'Beta Calc'!N34</f>
        <v>0</v>
      </c>
      <c r="AK37" s="386">
        <f t="shared" si="11"/>
        <v>0</v>
      </c>
      <c r="AL37" s="386">
        <f t="shared" si="12"/>
        <v>0</v>
      </c>
      <c r="AM37" s="386">
        <f>'Beta Calc'!Q34</f>
        <v>0</v>
      </c>
      <c r="AN37" s="91">
        <f t="shared" si="13"/>
        <v>0</v>
      </c>
      <c r="AP37" s="92" t="str">
        <f>IF('MASTER PubCo Inputs'!C52="","",'MASTER PubCo Inputs'!C52)</f>
        <v/>
      </c>
      <c r="AQ37" s="503">
        <f>'Comp.1'!AM34</f>
        <v>0</v>
      </c>
    </row>
    <row r="38" spans="2:43" ht="12.75" customHeight="1">
      <c r="B38" s="385">
        <f>'Comp.1'!B35</f>
        <v>0</v>
      </c>
      <c r="C38" s="91">
        <f t="shared" si="0"/>
        <v>0</v>
      </c>
      <c r="E38" s="89" t="str">
        <f t="shared" si="1"/>
        <v>n/a</v>
      </c>
      <c r="F38" s="89" t="str">
        <f t="shared" si="2"/>
        <v>n/a</v>
      </c>
      <c r="G38" s="89" t="str">
        <f t="shared" si="3"/>
        <v>n/a</v>
      </c>
      <c r="H38" s="386"/>
      <c r="I38" s="89" t="str">
        <f t="shared" si="4"/>
        <v>n/a</v>
      </c>
      <c r="J38" s="89" t="str">
        <f t="shared" si="5"/>
        <v>n/a</v>
      </c>
      <c r="L38" s="89" t="str">
        <f t="shared" si="6"/>
        <v>n/a</v>
      </c>
      <c r="M38" s="89" t="str">
        <f t="shared" si="7"/>
        <v>n/a</v>
      </c>
      <c r="N38" s="89" t="str">
        <f t="shared" si="8"/>
        <v>n/a</v>
      </c>
      <c r="P38" s="89" t="str">
        <f t="shared" si="9"/>
        <v>n/a</v>
      </c>
      <c r="Q38" s="89" t="str">
        <f t="shared" si="10"/>
        <v>n/a</v>
      </c>
      <c r="S38" s="133" t="str">
        <f>'Capital IQ Sheet-GPC'!AU38</f>
        <v xml:space="preserve"> (Invalid Identifier) </v>
      </c>
      <c r="T38" s="133" t="str">
        <f>'Capital IQ Sheet-GPC'!AV38</f>
        <v xml:space="preserve"> (Invalid Identifier) </v>
      </c>
      <c r="U38" s="133" t="str">
        <f>'Capital IQ Sheet-GPC'!AW38</f>
        <v xml:space="preserve"> (Invalid Identifier) </v>
      </c>
      <c r="V38" s="133"/>
      <c r="W38" s="133" t="str">
        <f>'Capital IQ Sheet-GPC'!AX38</f>
        <v xml:space="preserve"> (Invalid Identifier) </v>
      </c>
      <c r="X38" s="133" t="str">
        <f>'Capital IQ Sheet-GPC'!AY38</f>
        <v xml:space="preserve"> (Invalid Identifier) </v>
      </c>
      <c r="Z38" s="133" t="str">
        <f>'Capital IQ Sheet-GPC'!AZ38</f>
        <v xml:space="preserve"> (Invalid Identifier) </v>
      </c>
      <c r="AA38" s="133" t="str">
        <f>'Capital IQ Sheet-GPC'!BA38</f>
        <v xml:space="preserve"> (Invalid Identifier) </v>
      </c>
      <c r="AB38" s="133" t="str">
        <f>'Capital IQ Sheet-GPC'!BB38</f>
        <v xml:space="preserve"> (Invalid Identifier) </v>
      </c>
      <c r="AD38" s="133" t="str">
        <f>'Capital IQ Sheet-GPC'!BC38</f>
        <v xml:space="preserve"> (Invalid Identifier) </v>
      </c>
      <c r="AE38" s="133" t="str">
        <f>'Capital IQ Sheet-GPC'!BD38</f>
        <v xml:space="preserve"> (Invalid Identifier) </v>
      </c>
      <c r="AG38" s="386">
        <f>'Beta Calc'!K35</f>
        <v>0</v>
      </c>
      <c r="AH38" s="386">
        <f>'Beta Calc'!L35</f>
        <v>0</v>
      </c>
      <c r="AI38" s="386">
        <f>'Beta Calc'!M35</f>
        <v>0</v>
      </c>
      <c r="AJ38" s="386">
        <f>'Beta Calc'!N35</f>
        <v>0</v>
      </c>
      <c r="AK38" s="386">
        <f t="shared" si="11"/>
        <v>0</v>
      </c>
      <c r="AL38" s="386">
        <f t="shared" si="12"/>
        <v>0</v>
      </c>
      <c r="AM38" s="386">
        <f>'Beta Calc'!Q35</f>
        <v>0</v>
      </c>
      <c r="AN38" s="91">
        <f t="shared" si="13"/>
        <v>0</v>
      </c>
      <c r="AP38" s="92" t="str">
        <f>IF('MASTER PubCo Inputs'!C53="","",'MASTER PubCo Inputs'!C53)</f>
        <v/>
      </c>
      <c r="AQ38" s="503">
        <f>'Comp.1'!AM35</f>
        <v>0</v>
      </c>
    </row>
    <row r="39" spans="2:43" ht="12.75" customHeight="1">
      <c r="B39" s="385">
        <f>'Comp.1'!B36</f>
        <v>0</v>
      </c>
      <c r="C39" s="91">
        <f t="shared" si="0"/>
        <v>0</v>
      </c>
      <c r="E39" s="89" t="str">
        <f t="shared" si="1"/>
        <v>n/a</v>
      </c>
      <c r="F39" s="89" t="str">
        <f t="shared" si="2"/>
        <v>n/a</v>
      </c>
      <c r="G39" s="89" t="str">
        <f t="shared" si="3"/>
        <v>n/a</v>
      </c>
      <c r="H39" s="386"/>
      <c r="I39" s="89" t="str">
        <f t="shared" si="4"/>
        <v>n/a</v>
      </c>
      <c r="J39" s="89" t="str">
        <f t="shared" si="5"/>
        <v>n/a</v>
      </c>
      <c r="L39" s="89" t="str">
        <f t="shared" si="6"/>
        <v>n/a</v>
      </c>
      <c r="M39" s="89" t="str">
        <f t="shared" si="7"/>
        <v>n/a</v>
      </c>
      <c r="N39" s="89" t="str">
        <f t="shared" si="8"/>
        <v>n/a</v>
      </c>
      <c r="P39" s="89" t="str">
        <f t="shared" si="9"/>
        <v>n/a</v>
      </c>
      <c r="Q39" s="89" t="str">
        <f t="shared" si="10"/>
        <v>n/a</v>
      </c>
      <c r="S39" s="133" t="str">
        <f>'Capital IQ Sheet-GPC'!AU39</f>
        <v xml:space="preserve"> (Invalid Identifier) </v>
      </c>
      <c r="T39" s="133" t="str">
        <f>'Capital IQ Sheet-GPC'!AV39</f>
        <v xml:space="preserve"> (Invalid Identifier) </v>
      </c>
      <c r="U39" s="133" t="str">
        <f>'Capital IQ Sheet-GPC'!AW39</f>
        <v xml:space="preserve"> (Invalid Identifier) </v>
      </c>
      <c r="V39" s="133"/>
      <c r="W39" s="133" t="str">
        <f>'Capital IQ Sheet-GPC'!AX39</f>
        <v xml:space="preserve"> (Invalid Identifier) </v>
      </c>
      <c r="X39" s="133" t="str">
        <f>'Capital IQ Sheet-GPC'!AY39</f>
        <v xml:space="preserve"> (Invalid Identifier) </v>
      </c>
      <c r="Z39" s="133" t="str">
        <f>'Capital IQ Sheet-GPC'!AZ39</f>
        <v xml:space="preserve"> (Invalid Identifier) </v>
      </c>
      <c r="AA39" s="133" t="str">
        <f>'Capital IQ Sheet-GPC'!BA39</f>
        <v xml:space="preserve"> (Invalid Identifier) </v>
      </c>
      <c r="AB39" s="133" t="str">
        <f>'Capital IQ Sheet-GPC'!BB39</f>
        <v xml:space="preserve"> (Invalid Identifier) </v>
      </c>
      <c r="AD39" s="133" t="str">
        <f>'Capital IQ Sheet-GPC'!BC39</f>
        <v xml:space="preserve"> (Invalid Identifier) </v>
      </c>
      <c r="AE39" s="133" t="str">
        <f>'Capital IQ Sheet-GPC'!BD39</f>
        <v xml:space="preserve"> (Invalid Identifier) </v>
      </c>
      <c r="AG39" s="386">
        <f>'Beta Calc'!K36</f>
        <v>0</v>
      </c>
      <c r="AH39" s="386">
        <f>'Beta Calc'!L36</f>
        <v>0</v>
      </c>
      <c r="AI39" s="386">
        <f>'Beta Calc'!M36</f>
        <v>0</v>
      </c>
      <c r="AJ39" s="386">
        <f>'Beta Calc'!N36</f>
        <v>0</v>
      </c>
      <c r="AK39" s="386">
        <f t="shared" si="11"/>
        <v>0</v>
      </c>
      <c r="AL39" s="386">
        <f t="shared" si="12"/>
        <v>0</v>
      </c>
      <c r="AM39" s="386">
        <f>'Beta Calc'!Q36</f>
        <v>0</v>
      </c>
      <c r="AN39" s="91">
        <f t="shared" si="13"/>
        <v>0</v>
      </c>
      <c r="AP39" s="92" t="str">
        <f>IF('MASTER PubCo Inputs'!C54="","",'MASTER PubCo Inputs'!C54)</f>
        <v/>
      </c>
      <c r="AQ39" s="503" t="str">
        <f>'Comp.1'!AM36</f>
        <v>(Invalid Identifier)</v>
      </c>
    </row>
    <row r="40" spans="2:43" ht="12.75" customHeight="1">
      <c r="B40" s="385">
        <f>'Comp.1'!B37</f>
        <v>0</v>
      </c>
      <c r="C40" s="91">
        <f t="shared" si="0"/>
        <v>0</v>
      </c>
      <c r="E40" s="89" t="str">
        <f t="shared" si="1"/>
        <v>n/a</v>
      </c>
      <c r="F40" s="89" t="str">
        <f t="shared" si="2"/>
        <v>n/a</v>
      </c>
      <c r="G40" s="89" t="str">
        <f t="shared" si="3"/>
        <v>n/a</v>
      </c>
      <c r="H40" s="386"/>
      <c r="I40" s="89" t="str">
        <f t="shared" si="4"/>
        <v>n/a</v>
      </c>
      <c r="J40" s="89" t="str">
        <f t="shared" si="5"/>
        <v>n/a</v>
      </c>
      <c r="L40" s="89" t="str">
        <f t="shared" si="6"/>
        <v>n/a</v>
      </c>
      <c r="M40" s="89" t="str">
        <f t="shared" si="7"/>
        <v>n/a</v>
      </c>
      <c r="N40" s="89" t="str">
        <f t="shared" si="8"/>
        <v>n/a</v>
      </c>
      <c r="P40" s="89" t="str">
        <f t="shared" si="9"/>
        <v>n/a</v>
      </c>
      <c r="Q40" s="89" t="str">
        <f t="shared" si="10"/>
        <v>n/a</v>
      </c>
      <c r="S40" s="133" t="str">
        <f>'Capital IQ Sheet-GPC'!AU40</f>
        <v xml:space="preserve"> (Invalid Identifier) </v>
      </c>
      <c r="T40" s="133" t="str">
        <f>'Capital IQ Sheet-GPC'!AV40</f>
        <v xml:space="preserve"> (Invalid Identifier) </v>
      </c>
      <c r="U40" s="133" t="str">
        <f>'Capital IQ Sheet-GPC'!AW40</f>
        <v xml:space="preserve"> (Invalid Identifier) </v>
      </c>
      <c r="V40" s="133"/>
      <c r="W40" s="133" t="str">
        <f>'Capital IQ Sheet-GPC'!AX40</f>
        <v xml:space="preserve"> (Invalid Identifier) </v>
      </c>
      <c r="X40" s="133" t="str">
        <f>'Capital IQ Sheet-GPC'!AY40</f>
        <v xml:space="preserve"> (Invalid Identifier) </v>
      </c>
      <c r="Z40" s="133" t="str">
        <f>'Capital IQ Sheet-GPC'!AZ40</f>
        <v xml:space="preserve"> (Invalid Identifier) </v>
      </c>
      <c r="AA40" s="133" t="str">
        <f>'Capital IQ Sheet-GPC'!BA40</f>
        <v xml:space="preserve"> (Invalid Identifier) </v>
      </c>
      <c r="AB40" s="133" t="str">
        <f>'Capital IQ Sheet-GPC'!BB40</f>
        <v xml:space="preserve"> (Invalid Identifier) </v>
      </c>
      <c r="AD40" s="133" t="str">
        <f>'Capital IQ Sheet-GPC'!BC40</f>
        <v xml:space="preserve"> (Invalid Identifier) </v>
      </c>
      <c r="AE40" s="133" t="str">
        <f>'Capital IQ Sheet-GPC'!BD40</f>
        <v xml:space="preserve"> (Invalid Identifier) </v>
      </c>
      <c r="AG40" s="386">
        <f>'Beta Calc'!K37</f>
        <v>0</v>
      </c>
      <c r="AH40" s="386">
        <f>'Beta Calc'!L37</f>
        <v>0</v>
      </c>
      <c r="AI40" s="386">
        <f>'Beta Calc'!M37</f>
        <v>0</v>
      </c>
      <c r="AJ40" s="386">
        <f>'Beta Calc'!N37</f>
        <v>0</v>
      </c>
      <c r="AK40" s="386">
        <f t="shared" si="11"/>
        <v>0</v>
      </c>
      <c r="AL40" s="386">
        <f t="shared" si="12"/>
        <v>0</v>
      </c>
      <c r="AM40" s="386">
        <f>'Beta Calc'!Q37</f>
        <v>0</v>
      </c>
      <c r="AN40" s="91">
        <f t="shared" si="13"/>
        <v>0</v>
      </c>
      <c r="AP40" s="92" t="str">
        <f>IF('MASTER PubCo Inputs'!C55="","",'MASTER PubCo Inputs'!C55)</f>
        <v/>
      </c>
      <c r="AQ40" s="503" t="str">
        <f>'Comp.1'!AM37</f>
        <v>(Invalid Identifier)</v>
      </c>
    </row>
    <row r="41" spans="2:43" ht="12.75" customHeight="1">
      <c r="B41" s="385">
        <f>'Comp.1'!B38</f>
        <v>0</v>
      </c>
      <c r="C41" s="91">
        <f t="shared" si="0"/>
        <v>0</v>
      </c>
      <c r="E41" s="89" t="str">
        <f t="shared" si="1"/>
        <v>n/a</v>
      </c>
      <c r="F41" s="89" t="str">
        <f t="shared" si="2"/>
        <v>n/a</v>
      </c>
      <c r="G41" s="89" t="str">
        <f t="shared" si="3"/>
        <v>n/a</v>
      </c>
      <c r="H41" s="386"/>
      <c r="I41" s="89" t="str">
        <f t="shared" si="4"/>
        <v>n/a</v>
      </c>
      <c r="J41" s="89" t="str">
        <f t="shared" si="5"/>
        <v>n/a</v>
      </c>
      <c r="L41" s="89" t="str">
        <f t="shared" si="6"/>
        <v>n/a</v>
      </c>
      <c r="M41" s="89" t="str">
        <f t="shared" si="7"/>
        <v>n/a</v>
      </c>
      <c r="N41" s="89" t="str">
        <f t="shared" si="8"/>
        <v>n/a</v>
      </c>
      <c r="P41" s="89" t="str">
        <f t="shared" si="9"/>
        <v>n/a</v>
      </c>
      <c r="Q41" s="89" t="str">
        <f t="shared" si="10"/>
        <v>n/a</v>
      </c>
      <c r="S41" s="133" t="str">
        <f>'Capital IQ Sheet-GPC'!AU41</f>
        <v xml:space="preserve"> (Invalid Identifier) </v>
      </c>
      <c r="T41" s="133" t="str">
        <f>'Capital IQ Sheet-GPC'!AV41</f>
        <v xml:space="preserve"> (Invalid Identifier) </v>
      </c>
      <c r="U41" s="133" t="str">
        <f>'Capital IQ Sheet-GPC'!AW41</f>
        <v xml:space="preserve"> (Invalid Identifier) </v>
      </c>
      <c r="V41" s="133"/>
      <c r="W41" s="133" t="str">
        <f>'Capital IQ Sheet-GPC'!AX41</f>
        <v xml:space="preserve"> (Invalid Identifier) </v>
      </c>
      <c r="X41" s="133" t="str">
        <f>'Capital IQ Sheet-GPC'!AY41</f>
        <v xml:space="preserve"> (Invalid Identifier) </v>
      </c>
      <c r="Z41" s="133" t="str">
        <f>'Capital IQ Sheet-GPC'!AZ41</f>
        <v xml:space="preserve"> (Invalid Identifier) </v>
      </c>
      <c r="AA41" s="133" t="str">
        <f>'Capital IQ Sheet-GPC'!BA41</f>
        <v xml:space="preserve"> (Invalid Identifier) </v>
      </c>
      <c r="AB41" s="133" t="str">
        <f>'Capital IQ Sheet-GPC'!BB41</f>
        <v xml:space="preserve"> (Invalid Identifier) </v>
      </c>
      <c r="AD41" s="133" t="str">
        <f>'Capital IQ Sheet-GPC'!BC41</f>
        <v xml:space="preserve"> (Invalid Identifier) </v>
      </c>
      <c r="AE41" s="133" t="str">
        <f>'Capital IQ Sheet-GPC'!BD41</f>
        <v xml:space="preserve"> (Invalid Identifier) </v>
      </c>
      <c r="AG41" s="386">
        <f>'Beta Calc'!K38</f>
        <v>0</v>
      </c>
      <c r="AH41" s="386">
        <f>'Beta Calc'!L38</f>
        <v>0</v>
      </c>
      <c r="AI41" s="386">
        <f>'Beta Calc'!M38</f>
        <v>0</v>
      </c>
      <c r="AJ41" s="386">
        <f>'Beta Calc'!N38</f>
        <v>0</v>
      </c>
      <c r="AK41" s="386">
        <f t="shared" si="11"/>
        <v>0</v>
      </c>
      <c r="AL41" s="386">
        <f t="shared" si="12"/>
        <v>0</v>
      </c>
      <c r="AM41" s="386">
        <f>'Beta Calc'!Q38</f>
        <v>0</v>
      </c>
      <c r="AN41" s="91">
        <f t="shared" si="13"/>
        <v>0</v>
      </c>
      <c r="AP41" s="92" t="str">
        <f>IF('MASTER PubCo Inputs'!C56="","",'MASTER PubCo Inputs'!C56)</f>
        <v/>
      </c>
      <c r="AQ41" s="503" t="str">
        <f>'Comp.1'!AM38</f>
        <v>(Invalid Identifier)</v>
      </c>
    </row>
    <row r="42" spans="2:43" ht="12.75" customHeight="1">
      <c r="B42" s="385">
        <f>'Comp.1'!B39</f>
        <v>0</v>
      </c>
      <c r="C42" s="91">
        <f t="shared" si="0"/>
        <v>0</v>
      </c>
      <c r="E42" s="89" t="str">
        <f t="shared" si="1"/>
        <v>n/a</v>
      </c>
      <c r="F42" s="89" t="str">
        <f t="shared" si="2"/>
        <v>n/a</v>
      </c>
      <c r="G42" s="89" t="str">
        <f t="shared" si="3"/>
        <v>n/a</v>
      </c>
      <c r="H42" s="386"/>
      <c r="I42" s="89" t="str">
        <f t="shared" si="4"/>
        <v>n/a</v>
      </c>
      <c r="J42" s="89" t="str">
        <f t="shared" si="5"/>
        <v>n/a</v>
      </c>
      <c r="L42" s="89" t="str">
        <f t="shared" si="6"/>
        <v>n/a</v>
      </c>
      <c r="M42" s="89" t="str">
        <f t="shared" si="7"/>
        <v>n/a</v>
      </c>
      <c r="N42" s="89" t="str">
        <f t="shared" si="8"/>
        <v>n/a</v>
      </c>
      <c r="P42" s="89" t="str">
        <f t="shared" si="9"/>
        <v>n/a</v>
      </c>
      <c r="Q42" s="89" t="str">
        <f t="shared" si="10"/>
        <v>n/a</v>
      </c>
      <c r="S42" s="133" t="str">
        <f>'Capital IQ Sheet-GPC'!AU42</f>
        <v xml:space="preserve"> (Invalid Identifier) </v>
      </c>
      <c r="T42" s="133" t="str">
        <f>'Capital IQ Sheet-GPC'!AV42</f>
        <v xml:space="preserve"> (Invalid Identifier) </v>
      </c>
      <c r="U42" s="133" t="str">
        <f>'Capital IQ Sheet-GPC'!AW42</f>
        <v xml:space="preserve"> (Invalid Identifier) </v>
      </c>
      <c r="V42" s="133"/>
      <c r="W42" s="133" t="str">
        <f>'Capital IQ Sheet-GPC'!AX42</f>
        <v xml:space="preserve"> (Invalid Identifier) </v>
      </c>
      <c r="X42" s="133" t="str">
        <f>'Capital IQ Sheet-GPC'!AY42</f>
        <v xml:space="preserve"> (Invalid Identifier) </v>
      </c>
      <c r="Z42" s="133" t="str">
        <f>'Capital IQ Sheet-GPC'!AZ42</f>
        <v xml:space="preserve"> (Invalid Identifier) </v>
      </c>
      <c r="AA42" s="133" t="str">
        <f>'Capital IQ Sheet-GPC'!BA42</f>
        <v xml:space="preserve"> (Invalid Identifier) </v>
      </c>
      <c r="AB42" s="133" t="str">
        <f>'Capital IQ Sheet-GPC'!BB42</f>
        <v xml:space="preserve"> (Invalid Identifier) </v>
      </c>
      <c r="AD42" s="133" t="str">
        <f>'Capital IQ Sheet-GPC'!BC42</f>
        <v xml:space="preserve"> (Invalid Identifier) </v>
      </c>
      <c r="AE42" s="133" t="str">
        <f>'Capital IQ Sheet-GPC'!BD42</f>
        <v xml:space="preserve"> (Invalid Identifier) </v>
      </c>
      <c r="AG42" s="386">
        <f>'Beta Calc'!K39</f>
        <v>0</v>
      </c>
      <c r="AH42" s="386">
        <f>'Beta Calc'!L39</f>
        <v>0</v>
      </c>
      <c r="AI42" s="386">
        <f>'Beta Calc'!M39</f>
        <v>0</v>
      </c>
      <c r="AJ42" s="386">
        <f>'Beta Calc'!N39</f>
        <v>0</v>
      </c>
      <c r="AK42" s="386">
        <f t="shared" si="11"/>
        <v>0</v>
      </c>
      <c r="AL42" s="386">
        <f t="shared" si="12"/>
        <v>0</v>
      </c>
      <c r="AM42" s="386">
        <f>'Beta Calc'!Q39</f>
        <v>0</v>
      </c>
      <c r="AN42" s="91">
        <f t="shared" si="13"/>
        <v>0</v>
      </c>
      <c r="AP42" s="92" t="str">
        <f>IF('MASTER PubCo Inputs'!C57="","",'MASTER PubCo Inputs'!C57)</f>
        <v/>
      </c>
      <c r="AQ42" s="503" t="str">
        <f>'Comp.1'!AM39</f>
        <v>(Invalid Identifier)</v>
      </c>
    </row>
    <row r="43" spans="2:43" ht="12.75" customHeight="1">
      <c r="C43" s="386"/>
      <c r="E43" s="386"/>
      <c r="F43" s="386"/>
      <c r="G43" s="386"/>
      <c r="H43" s="386"/>
      <c r="I43" s="386"/>
      <c r="J43" s="386"/>
    </row>
    <row r="44" spans="2:43" ht="12.75" customHeight="1">
      <c r="B44" s="753" t="s">
        <v>46</v>
      </c>
      <c r="C44" s="768">
        <f>MAX(C13:C43)</f>
        <v>44574.8</v>
      </c>
      <c r="D44" s="769"/>
      <c r="E44" s="768">
        <f>MAX(E13:E43)</f>
        <v>4089.4311926605506</v>
      </c>
      <c r="F44" s="768">
        <f>MAX(F13:F43)</f>
        <v>9286.4166666666679</v>
      </c>
      <c r="G44" s="768">
        <f>MAX(G13:G43)</f>
        <v>182.31002044989776</v>
      </c>
      <c r="H44" s="769"/>
      <c r="I44" s="768">
        <f>MAX(I13:I43)</f>
        <v>782.01403508771932</v>
      </c>
      <c r="J44" s="768">
        <f>MAX(J13:J43)</f>
        <v>486.62445414847167</v>
      </c>
      <c r="K44" s="769"/>
      <c r="L44" s="768">
        <f>MAX(L13:L43)</f>
        <v>222874</v>
      </c>
      <c r="M44" s="768">
        <f>MAX(M13:M43)</f>
        <v>17144.153846153848</v>
      </c>
      <c r="N44" s="768">
        <f>MAX(N13:N43)</f>
        <v>17144.153846153848</v>
      </c>
      <c r="O44" s="769"/>
      <c r="P44" s="768">
        <f>MAX(P13:P43)</f>
        <v>17144.153846153848</v>
      </c>
      <c r="Q44" s="770">
        <f>MAX(Q13:Q43)</f>
        <v>37145.666666666672</v>
      </c>
      <c r="R44" s="48"/>
      <c r="S44" s="48"/>
    </row>
    <row r="45" spans="2:43" ht="12.75" customHeight="1">
      <c r="B45" s="339" t="s">
        <v>50</v>
      </c>
      <c r="C45" s="99">
        <f>QUARTILE(C13:C43,3)</f>
        <v>519.65</v>
      </c>
      <c r="D45" s="75"/>
      <c r="E45" s="99">
        <f>QUARTILE(E13:E43,3)</f>
        <v>4089.4311926605506</v>
      </c>
      <c r="F45" s="99">
        <f>QUARTILE(F13:F43,3)</f>
        <v>7006.2542999256239</v>
      </c>
      <c r="G45" s="99">
        <f>QUARTILE(G13:G43,3)</f>
        <v>182.31002044989776</v>
      </c>
      <c r="H45" s="75"/>
      <c r="I45" s="99">
        <f>QUARTILE(I13:I43,3)</f>
        <v>782.01403508771932</v>
      </c>
      <c r="J45" s="99">
        <f>QUARTILE(J13:J43,3)</f>
        <v>486.62445414847167</v>
      </c>
      <c r="K45" s="75"/>
      <c r="L45" s="99">
        <f>QUARTILE(L13:L43,3)</f>
        <v>2490.2122905027936</v>
      </c>
      <c r="M45" s="99">
        <f>QUARTILE(M13:M43,3)</f>
        <v>5006.8330823293181</v>
      </c>
      <c r="N45" s="99">
        <f>QUARTILE(N13:N43,3)</f>
        <v>4793.5261566035624</v>
      </c>
      <c r="O45" s="75"/>
      <c r="P45" s="99">
        <f>QUARTILE(P13:P43,3)</f>
        <v>4801.8723502837947</v>
      </c>
      <c r="Q45" s="100">
        <f>QUARTILE(Q13:Q43,3)</f>
        <v>4757.2436672238655</v>
      </c>
      <c r="R45" s="48"/>
      <c r="S45" s="48"/>
    </row>
    <row r="46" spans="2:43" ht="12.75" customHeight="1">
      <c r="B46" s="339" t="s">
        <v>48</v>
      </c>
      <c r="C46" s="99">
        <f>AVERAGE(C13:C43)</f>
        <v>2406.7571428571432</v>
      </c>
      <c r="D46" s="75"/>
      <c r="E46" s="99">
        <f>AVERAGE(E13:E43)</f>
        <v>4089.4311926605506</v>
      </c>
      <c r="F46" s="99">
        <f>AVERAGE(F13:F43)</f>
        <v>4726.0919331845798</v>
      </c>
      <c r="G46" s="99">
        <f>AVERAGE(G13:G43)</f>
        <v>182.31002044989776</v>
      </c>
      <c r="H46" s="75"/>
      <c r="I46" s="99">
        <f>AVERAGE(I13:I43)</f>
        <v>782.01403508771932</v>
      </c>
      <c r="J46" s="99">
        <f>AVERAGE(J13:J43)</f>
        <v>486.62445414847167</v>
      </c>
      <c r="K46" s="75"/>
      <c r="L46" s="99">
        <f>AVERAGE(L13:L43)</f>
        <v>16309.845341921862</v>
      </c>
      <c r="M46" s="99">
        <f>AVERAGE(M13:M43)</f>
        <v>3461.0670501367581</v>
      </c>
      <c r="N46" s="99">
        <f>AVERAGE(N13:N43)</f>
        <v>3483.05738185061</v>
      </c>
      <c r="O46" s="75"/>
      <c r="P46" s="99">
        <f>AVERAGE(P13:P43)</f>
        <v>3248.4398469546431</v>
      </c>
      <c r="Q46" s="100">
        <f>AVERAGE(Q13:Q43)</f>
        <v>5433.436907629346</v>
      </c>
      <c r="R46" s="48"/>
      <c r="S46" s="48"/>
    </row>
    <row r="47" spans="2:43" ht="12.75" customHeight="1">
      <c r="B47" s="339" t="s">
        <v>3</v>
      </c>
      <c r="C47" s="99">
        <f>MEDIAN(C13:C43)</f>
        <v>198.5</v>
      </c>
      <c r="D47" s="75"/>
      <c r="E47" s="99">
        <f>MEDIAN(E13:E43)</f>
        <v>4089.4311926605506</v>
      </c>
      <c r="F47" s="99">
        <f>MEDIAN(F13:F43)</f>
        <v>4726.0919331845798</v>
      </c>
      <c r="G47" s="99">
        <f>MEDIAN(G13:G43)</f>
        <v>182.31002044989776</v>
      </c>
      <c r="H47" s="75"/>
      <c r="I47" s="99">
        <f>MEDIAN(I13:I43)</f>
        <v>782.01403508771932</v>
      </c>
      <c r="J47" s="99">
        <f>MEDIAN(J13:J43)</f>
        <v>486.62445414847167</v>
      </c>
      <c r="K47" s="75"/>
      <c r="L47" s="99">
        <f>MEDIAN(L13:L43)</f>
        <v>1419.5796178343951</v>
      </c>
      <c r="M47" s="99">
        <f>MEDIAN(M13:M43)</f>
        <v>1292.0231884057971</v>
      </c>
      <c r="N47" s="99">
        <f>MEDIAN(N13:N43)</f>
        <v>680.53129770992371</v>
      </c>
      <c r="O47" s="75"/>
      <c r="P47" s="99">
        <f>MEDIAN(P13:P43)</f>
        <v>2044.7155963302753</v>
      </c>
      <c r="Q47" s="100">
        <f>MEDIAN(Q13:Q43)</f>
        <v>1156.2872888769261</v>
      </c>
      <c r="R47" s="48"/>
      <c r="S47" s="48"/>
    </row>
    <row r="48" spans="2:43" ht="12.75" customHeight="1">
      <c r="B48" s="339" t="s">
        <v>49</v>
      </c>
      <c r="C48" s="99">
        <f>QUARTILE(C13:C43,1)</f>
        <v>0</v>
      </c>
      <c r="D48" s="75"/>
      <c r="E48" s="99">
        <f>QUARTILE(E13:E43,1)</f>
        <v>4089.4311926605506</v>
      </c>
      <c r="F48" s="99">
        <f>QUARTILE(F13:F43,1)</f>
        <v>2445.9295664435358</v>
      </c>
      <c r="G48" s="99">
        <f>QUARTILE(G13:G43,1)</f>
        <v>182.31002044989776</v>
      </c>
      <c r="H48" s="75"/>
      <c r="I48" s="99">
        <f>QUARTILE(I13:I43,1)</f>
        <v>782.01403508771932</v>
      </c>
      <c r="J48" s="99">
        <f>QUARTILE(J13:J43,1)</f>
        <v>486.62445414847167</v>
      </c>
      <c r="K48" s="75"/>
      <c r="L48" s="99">
        <f>QUARTILE(L13:L43,1)</f>
        <v>252.97843359818393</v>
      </c>
      <c r="M48" s="99">
        <f>QUARTILE(M13:M43,1)</f>
        <v>331.02643756689542</v>
      </c>
      <c r="N48" s="99">
        <f>QUARTILE(N13:N43,1)</f>
        <v>303.78977203066518</v>
      </c>
      <c r="O48" s="75"/>
      <c r="P48" s="99">
        <f>QUARTILE(P13:P43,1)</f>
        <v>292.14751784015482</v>
      </c>
      <c r="Q48" s="100">
        <f>QUARTILE(Q13:Q43,1)</f>
        <v>328.14992534161468</v>
      </c>
      <c r="R48" s="48"/>
      <c r="S48" s="48"/>
    </row>
    <row r="49" spans="2:19" ht="12.75" customHeight="1">
      <c r="B49" s="101" t="s">
        <v>47</v>
      </c>
      <c r="C49" s="71">
        <f>MIN(C13:C43)</f>
        <v>0</v>
      </c>
      <c r="D49" s="68"/>
      <c r="E49" s="71">
        <f>MIN(E13:E43)</f>
        <v>4089.4311926605506</v>
      </c>
      <c r="F49" s="71">
        <f>MIN(F13:F43)</f>
        <v>165.76719970249167</v>
      </c>
      <c r="G49" s="71">
        <f>MIN(G13:G43)</f>
        <v>182.31002044989776</v>
      </c>
      <c r="H49" s="68"/>
      <c r="I49" s="71">
        <f>MIN(I13:I43)</f>
        <v>782.01403508771932</v>
      </c>
      <c r="J49" s="71">
        <f>MIN(J13:J43)</f>
        <v>486.62445414847167</v>
      </c>
      <c r="K49" s="68"/>
      <c r="L49" s="71">
        <f>MIN(L13:L43)</f>
        <v>38.137234770705</v>
      </c>
      <c r="M49" s="71">
        <f>MIN(M13:M43)</f>
        <v>23.872536418166238</v>
      </c>
      <c r="N49" s="71">
        <f>MIN(N13:N43)</f>
        <v>16.41857895318428</v>
      </c>
      <c r="O49" s="68"/>
      <c r="P49" s="71">
        <f>MIN(P13:P43)</f>
        <v>33.309520251083548</v>
      </c>
      <c r="Q49" s="396">
        <f>MIN(Q13:Q43)</f>
        <v>21.825784654556141</v>
      </c>
      <c r="R49" s="48"/>
      <c r="S49" s="48"/>
    </row>
    <row r="50" spans="2:19" ht="12.75" customHeight="1">
      <c r="I50" s="386"/>
      <c r="J50" s="386"/>
      <c r="K50" s="386"/>
      <c r="L50" s="386"/>
      <c r="M50" s="386"/>
      <c r="N50" s="386"/>
      <c r="O50" s="386"/>
      <c r="P50" s="386"/>
      <c r="Q50" s="386"/>
    </row>
    <row r="51" spans="2:19" ht="12.75" customHeight="1">
      <c r="B51" s="8" t="s">
        <v>51</v>
      </c>
    </row>
    <row r="52" spans="2:19" ht="12.75" customHeight="1">
      <c r="B52" s="8"/>
      <c r="C52" s="386"/>
      <c r="E52" s="386"/>
      <c r="F52" s="386"/>
      <c r="G52" s="386"/>
      <c r="H52" s="386"/>
      <c r="I52" s="386"/>
      <c r="J52" s="386"/>
    </row>
    <row r="53" spans="2:19" ht="12.75" customHeight="1">
      <c r="C53" s="386"/>
      <c r="E53" s="386"/>
      <c r="F53" s="386"/>
      <c r="G53" s="386"/>
      <c r="H53" s="386"/>
      <c r="I53" s="386"/>
      <c r="J53" s="386"/>
    </row>
    <row r="54" spans="2:19" ht="12.75" customHeight="1"/>
    <row r="55" spans="2:19" s="56" customFormat="1" ht="12.75" customHeight="1"/>
    <row r="56" spans="2:19" ht="12.75" customHeight="1"/>
    <row r="57" spans="2:19" ht="12.75" customHeight="1"/>
    <row r="58" spans="2:19" ht="12.75" customHeight="1"/>
    <row r="59" spans="2:19" ht="12.75" customHeight="1"/>
    <row r="60" spans="2:19" ht="12.75" customHeight="1"/>
    <row r="61" spans="2:19" ht="12.75" customHeight="1"/>
    <row r="62" spans="2:19" ht="12.75" customHeight="1"/>
    <row r="63" spans="2:19" ht="12.75" customHeight="1"/>
    <row r="64" spans="2:19"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spans="2:2" ht="12.75" customHeight="1"/>
    <row r="82" spans="2:2" ht="12.75" customHeight="1"/>
    <row r="83" spans="2:2" ht="12.75" customHeight="1"/>
    <row r="84" spans="2:2" ht="12.75" customHeight="1"/>
    <row r="85" spans="2:2" ht="12.75" customHeight="1"/>
    <row r="86" spans="2:2" ht="12.75" customHeight="1">
      <c r="B86" s="8"/>
    </row>
    <row r="87" spans="2:2" ht="12.75" customHeight="1"/>
    <row r="88" spans="2:2" ht="12.75" customHeight="1"/>
  </sheetData>
  <conditionalFormatting sqref="C4:I4">
    <cfRule type="cellIs" dxfId="10" priority="15" stopIfTrue="1" operator="equal">
      <formula>"input"</formula>
    </cfRule>
  </conditionalFormatting>
  <conditionalFormatting sqref="J4">
    <cfRule type="cellIs" dxfId="9" priority="13" stopIfTrue="1" operator="equal">
      <formula>"input"</formula>
    </cfRule>
  </conditionalFormatting>
  <conditionalFormatting sqref="J4">
    <cfRule type="cellIs" dxfId="8" priority="14" stopIfTrue="1" operator="equal">
      <formula>"input"</formula>
    </cfRule>
  </conditionalFormatting>
  <conditionalFormatting sqref="K4">
    <cfRule type="cellIs" dxfId="7" priority="11" stopIfTrue="1" operator="equal">
      <formula>"input"</formula>
    </cfRule>
  </conditionalFormatting>
  <conditionalFormatting sqref="K4">
    <cfRule type="cellIs" dxfId="6" priority="12" stopIfTrue="1" operator="equal">
      <formula>"input"</formula>
    </cfRule>
  </conditionalFormatting>
  <conditionalFormatting sqref="L4:P4">
    <cfRule type="cellIs" dxfId="5" priority="9" stopIfTrue="1" operator="equal">
      <formula>"input"</formula>
    </cfRule>
  </conditionalFormatting>
  <conditionalFormatting sqref="L4:P4">
    <cfRule type="cellIs" dxfId="4" priority="10" stopIfTrue="1" operator="equal">
      <formula>"input"</formula>
    </cfRule>
  </conditionalFormatting>
  <conditionalFormatting sqref="B13:C42">
    <cfRule type="cellIs" dxfId="3" priority="7" operator="equal">
      <formula>"(Invalid Identifier)"</formula>
    </cfRule>
  </conditionalFormatting>
  <conditionalFormatting sqref="Q4">
    <cfRule type="cellIs" dxfId="2" priority="2" stopIfTrue="1" operator="equal">
      <formula>"input"</formula>
    </cfRule>
  </conditionalFormatting>
  <conditionalFormatting sqref="Q4">
    <cfRule type="cellIs" dxfId="1" priority="3" stopIfTrue="1" operator="equal">
      <formula>"input"</formula>
    </cfRule>
  </conditionalFormatting>
  <conditionalFormatting sqref="B4">
    <cfRule type="cellIs" dxfId="0"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84</vt:i4>
      </vt:variant>
      <vt:variant>
        <vt:lpstr>Named Ranges</vt:lpstr>
      </vt:variant>
      <vt:variant>
        <vt:i4>75</vt:i4>
      </vt:variant>
    </vt:vector>
  </HeadingPairs>
  <TitlesOfParts>
    <vt:vector size="159" baseType="lpstr">
      <vt:lpstr>Model Guidelines</vt:lpstr>
      <vt:lpstr>MASTER PubCo Inputs</vt:lpstr>
      <vt:lpstr>Change Log</vt:lpstr>
      <vt:lpstr>Notes &amp; Assumptions</vt:lpstr>
      <vt:lpstr>Checklist</vt:lpstr>
      <vt:lpstr>Title_Dividend Check</vt:lpstr>
      <vt:lpstr>Outline_Dividend</vt:lpstr>
      <vt:lpstr>Comparison Sheet</vt:lpstr>
      <vt:lpstr>Dividend Calculations</vt:lpstr>
      <vt:lpstr>PWERM_1</vt:lpstr>
      <vt:lpstr>PWERM_2</vt:lpstr>
      <vt:lpstr>Exhibits--&gt;&gt;</vt:lpstr>
      <vt:lpstr>Title</vt:lpstr>
      <vt:lpstr>Outline</vt:lpstr>
      <vt:lpstr>Val Summ</vt:lpstr>
      <vt:lpstr>Allocation Method &gt;&gt;</vt:lpstr>
      <vt:lpstr>Exit Probability</vt:lpstr>
      <vt:lpstr>PoTS</vt:lpstr>
      <vt:lpstr>FS &gt;&gt;</vt:lpstr>
      <vt:lpstr>Forecast</vt:lpstr>
      <vt:lpstr>Hist IS</vt:lpstr>
      <vt:lpstr>Hist BS</vt:lpstr>
      <vt:lpstr>Discount Rate FP &gt;&gt;</vt:lpstr>
      <vt:lpstr>WACC PWERM</vt:lpstr>
      <vt:lpstr>RoR Stage of Dev</vt:lpstr>
      <vt:lpstr>GCM FP &gt;&gt;</vt:lpstr>
      <vt:lpstr>Comp.1</vt:lpstr>
      <vt:lpstr>Comp.6</vt:lpstr>
      <vt:lpstr>GTM FP &gt;&gt;</vt:lpstr>
      <vt:lpstr>Trans.1</vt:lpstr>
      <vt:lpstr>Trans.2</vt:lpstr>
      <vt:lpstr>Cap Structure FP &gt;&gt;</vt:lpstr>
      <vt:lpstr>Cap Table</vt:lpstr>
      <vt:lpstr>Econ Rights</vt:lpstr>
      <vt:lpstr>Support FP &gt;&gt;</vt:lpstr>
      <vt:lpstr>PWERM DLOM</vt:lpstr>
      <vt:lpstr>Asset Vol_Early</vt:lpstr>
      <vt:lpstr>Asset Vol_Late</vt:lpstr>
      <vt:lpstr>Asset Vol_Structured</vt:lpstr>
      <vt:lpstr>Equity Vol</vt:lpstr>
      <vt:lpstr>Risk-Free Rates</vt:lpstr>
      <vt:lpstr>Licensing Deals</vt:lpstr>
      <vt:lpstr>Fibrosis IPO Data</vt:lpstr>
      <vt:lpstr>IPO Data_BioPharma</vt:lpstr>
      <vt:lpstr>Title_Workpapers &gt; &gt;</vt:lpstr>
      <vt:lpstr>Outline_Workpapers</vt:lpstr>
      <vt:lpstr>Hybrid OPM</vt:lpstr>
      <vt:lpstr>Waterfall Analysis</vt:lpstr>
      <vt:lpstr>Hybrid OPM 1</vt:lpstr>
      <vt:lpstr>Hybrid OPM 2</vt:lpstr>
      <vt:lpstr>Asset Vol_Hybrid OPM</vt:lpstr>
      <vt:lpstr>DLOM Hybrid OPM</vt:lpstr>
      <vt:lpstr>Market Trends since Prior Val</vt:lpstr>
      <vt:lpstr>Comparative Sheet</vt:lpstr>
      <vt:lpstr>OPM BackSolve WP</vt:lpstr>
      <vt:lpstr>OPM Backsolve WP2</vt:lpstr>
      <vt:lpstr>Asset Vol_OPM BackSolve</vt:lpstr>
      <vt:lpstr>DLOM OPM Backsolve</vt:lpstr>
      <vt:lpstr>Additional Adjustment</vt:lpstr>
      <vt:lpstr>PBC -&gt;&gt;&gt;</vt:lpstr>
      <vt:lpstr>Annual (000s)</vt:lpstr>
      <vt:lpstr>BOD.BS</vt:lpstr>
      <vt:lpstr>BOD.IS</vt:lpstr>
      <vt:lpstr>BvA</vt:lpstr>
      <vt:lpstr>Budget </vt:lpstr>
      <vt:lpstr>QB BS det</vt:lpstr>
      <vt:lpstr>QB PL det</vt:lpstr>
      <vt:lpstr>Cap table </vt:lpstr>
      <vt:lpstr>Detailed Cap_KC calcs</vt:lpstr>
      <vt:lpstr>CAPIQ -&gt;&gt;&gt;</vt:lpstr>
      <vt:lpstr>Capital IQ Sheet-GPC</vt:lpstr>
      <vt:lpstr>Capital IQ Sheet-STM</vt:lpstr>
      <vt:lpstr>GPC Linked</vt:lpstr>
      <vt:lpstr>STM Linked</vt:lpstr>
      <vt:lpstr>&lt;DO NOT INCLUDE&gt;</vt:lpstr>
      <vt:lpstr>List Data</vt:lpstr>
      <vt:lpstr>Template Details</vt:lpstr>
      <vt:lpstr>OPM 1</vt:lpstr>
      <vt:lpstr>OPM 2</vt:lpstr>
      <vt:lpstr>Asset Vol_OPM</vt:lpstr>
      <vt:lpstr>Beta Calc</vt:lpstr>
      <vt:lpstr>Comp.2</vt:lpstr>
      <vt:lpstr>Comp.5</vt:lpstr>
      <vt:lpstr>Comp.4</vt:lpstr>
      <vt:lpstr>'Additional Adjustment'!Print_Area</vt:lpstr>
      <vt:lpstr>'Allocation Method &gt;&gt;'!Print_Area</vt:lpstr>
      <vt:lpstr>'Asset Vol_Early'!Print_Area</vt:lpstr>
      <vt:lpstr>'Asset Vol_Hybrid OPM'!Print_Area</vt:lpstr>
      <vt:lpstr>'Asset Vol_Late'!Print_Area</vt:lpstr>
      <vt:lpstr>'Asset Vol_OPM'!Print_Area</vt:lpstr>
      <vt:lpstr>'Asset Vol_OPM BackSolve'!Print_Area</vt:lpstr>
      <vt:lpstr>'Asset Vol_Structured'!Print_Area</vt:lpstr>
      <vt:lpstr>BOD.BS!Print_Area</vt:lpstr>
      <vt:lpstr>BOD.IS!Print_Area</vt:lpstr>
      <vt:lpstr>BvA!Print_Area</vt:lpstr>
      <vt:lpstr>'Cap Structure FP &gt;&gt;'!Print_Area</vt:lpstr>
      <vt:lpstr>'Cap Table'!Print_Area</vt:lpstr>
      <vt:lpstr>'Capital IQ Sheet-GPC'!Print_Area</vt:lpstr>
      <vt:lpstr>'Capital IQ Sheet-STM'!Print_Area</vt:lpstr>
      <vt:lpstr>Checklist!Print_Area</vt:lpstr>
      <vt:lpstr>Comp.1!Print_Area</vt:lpstr>
      <vt:lpstr>Comp.6!Print_Area</vt:lpstr>
      <vt:lpstr>'Comparative Sheet'!Print_Area</vt:lpstr>
      <vt:lpstr>'Comparison Sheet'!Print_Area</vt:lpstr>
      <vt:lpstr>'Discount Rate FP &gt;&gt;'!Print_Area</vt:lpstr>
      <vt:lpstr>'Dividend Calculations'!Print_Area</vt:lpstr>
      <vt:lpstr>'DLOM Hybrid OPM'!Print_Area</vt:lpstr>
      <vt:lpstr>'DLOM OPM Backsolve'!Print_Area</vt:lpstr>
      <vt:lpstr>'Econ Rights'!Print_Area</vt:lpstr>
      <vt:lpstr>'Equity Vol'!Print_Area</vt:lpstr>
      <vt:lpstr>'Exit Probability'!Print_Area</vt:lpstr>
      <vt:lpstr>'Fibrosis IPO Data'!Print_Area</vt:lpstr>
      <vt:lpstr>Forecast!Print_Area</vt:lpstr>
      <vt:lpstr>'FS &gt;&gt;'!Print_Area</vt:lpstr>
      <vt:lpstr>'GCM FP &gt;&gt;'!Print_Area</vt:lpstr>
      <vt:lpstr>'GPC Linked'!Print_Area</vt:lpstr>
      <vt:lpstr>'GTM FP &gt;&gt;'!Print_Area</vt:lpstr>
      <vt:lpstr>'Hist BS'!Print_Area</vt:lpstr>
      <vt:lpstr>'Hist IS'!Print_Area</vt:lpstr>
      <vt:lpstr>'Hybrid OPM'!Print_Area</vt:lpstr>
      <vt:lpstr>'Hybrid OPM 1'!Print_Area</vt:lpstr>
      <vt:lpstr>'Hybrid OPM 2'!Print_Area</vt:lpstr>
      <vt:lpstr>'IPO Data_BioPharma'!Print_Area</vt:lpstr>
      <vt:lpstr>'Licensing Deals'!Print_Area</vt:lpstr>
      <vt:lpstr>'Market Trends since Prior Val'!Print_Area</vt:lpstr>
      <vt:lpstr>'OPM 1'!Print_Area</vt:lpstr>
      <vt:lpstr>'OPM 2'!Print_Area</vt:lpstr>
      <vt:lpstr>'OPM BackSolve WP'!Print_Area</vt:lpstr>
      <vt:lpstr>'OPM Backsolve WP2'!Print_Area</vt:lpstr>
      <vt:lpstr>Outline!Print_Area</vt:lpstr>
      <vt:lpstr>Outline_Dividend!Print_Area</vt:lpstr>
      <vt:lpstr>Outline_Workpapers!Print_Area</vt:lpstr>
      <vt:lpstr>PoTS!Print_Area</vt:lpstr>
      <vt:lpstr>'PWERM DLOM'!Print_Area</vt:lpstr>
      <vt:lpstr>PWERM_1!Print_Area</vt:lpstr>
      <vt:lpstr>PWERM_2!Print_Area</vt:lpstr>
      <vt:lpstr>'Risk-Free Rates'!Print_Area</vt:lpstr>
      <vt:lpstr>'RoR Stage of Dev'!Print_Area</vt:lpstr>
      <vt:lpstr>'STM Linked'!Print_Area</vt:lpstr>
      <vt:lpstr>'Support FP &gt;&gt;'!Print_Area</vt:lpstr>
      <vt:lpstr>Title!Print_Area</vt:lpstr>
      <vt:lpstr>'Title_Dividend Check'!Print_Area</vt:lpstr>
      <vt:lpstr>'Title_Workpapers &gt; &gt;'!Print_Area</vt:lpstr>
      <vt:lpstr>Trans.1!Print_Area</vt:lpstr>
      <vt:lpstr>Trans.2!Print_Area</vt:lpstr>
      <vt:lpstr>'Val Summ'!Print_Area</vt:lpstr>
      <vt:lpstr>'WACC PWERM'!Print_Area</vt:lpstr>
      <vt:lpstr>'Waterfall Analysis'!Print_Area</vt:lpstr>
      <vt:lpstr>Comp.6!Print_Titles</vt:lpstr>
      <vt:lpstr>'Exit Probability'!Print_Titles</vt:lpstr>
      <vt:lpstr>'Hybrid OPM'!Print_Titles</vt:lpstr>
      <vt:lpstr>'IPO Data_BioPharma'!Print_Titles</vt:lpstr>
      <vt:lpstr>'Licensing Deals'!Print_Titles</vt:lpstr>
      <vt:lpstr>'OPM BackSolve WP'!Print_Titles</vt:lpstr>
      <vt:lpstr>PoTS!Print_Titles</vt:lpstr>
      <vt:lpstr>PWERM_1!Print_Titles</vt:lpstr>
      <vt:lpstr>PWERM_2!Print_Titles</vt:lpstr>
      <vt:lpstr>Trans.1!Print_Titles</vt:lpstr>
      <vt:lpstr>Trans.2!Print_Titles</vt:lpstr>
    </vt:vector>
  </TitlesOfParts>
  <Company>Burr Pilger Mayer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RNA</cp:lastModifiedBy>
  <cp:lastPrinted>2018-11-29T14:19:27Z</cp:lastPrinted>
  <dcterms:created xsi:type="dcterms:W3CDTF">2014-03-18T02:31:57Z</dcterms:created>
  <dcterms:modified xsi:type="dcterms:W3CDTF">2018-11-29T14:19:55Z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